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whatsApp.png" ContentType="image/.PNG"/>
  <Override PartName="/customUI/images/user-guide.png" ContentType="image/.PNG"/>
  <Override PartName="/customUI/images/multiple-users-silhouette.png" ContentType="image/.PNG"/>
  <Override PartName="/customUI/images/google-forms.png" ContentType="image/.PNG"/>
  <Override PartName="/customUI/images/school.png" ContentType="image/.PNG"/>
  <Override PartName="/customUI/images/copy.png" ContentType="image/.PNG"/>
  <Override PartName="/customUI/images/help.png" ContentType="image/.PNG"/>
  <Override PartName="/customUI/images/slides.png" ContentType="image/.PNG"/>
  <Override PartName="/customUI/images/home-button.png" ContentType="image/.PNG"/>
  <Override PartName="/customUI/images/paper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5c5c2d3d270e437f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GION\Desktop\Rekapitulasi Catatan Harian (RCH)\Rekapitulasi Catatan Harian Kelas (RCHK)\Rekapitulasi Catatan Harian (RCH)\Rombel\"/>
    </mc:Choice>
  </mc:AlternateContent>
  <xr:revisionPtr revIDLastSave="0" documentId="13_ncr:1_{B6DE7EDC-10A6-453E-ABAE-D9700E271FDD}" xr6:coauthVersionLast="47" xr6:coauthVersionMax="47" xr10:uidLastSave="{00000000-0000-0000-0000-000000000000}"/>
  <bookViews>
    <workbookView showSheetTabs="0" xWindow="-28920" yWindow="5265" windowWidth="29040" windowHeight="16440" tabRatio="603" firstSheet="5" activeTab="12" xr2:uid="{00000000-000D-0000-FFFF-FFFF00000000}"/>
  </bookViews>
  <sheets>
    <sheet name="info" sheetId="4" state="hidden" r:id="rId1"/>
    <sheet name="progress" sheetId="37" state="hidden" r:id="rId2"/>
    <sheet name="12Month" sheetId="79" state="hidden" r:id="rId3"/>
    <sheet name="R" sheetId="91" state="hidden" r:id="rId4"/>
    <sheet name="CopyIni" sheetId="93" r:id="rId5"/>
    <sheet name="beranda" sheetId="34" r:id="rId6"/>
    <sheet name="panduan" sheetId="7" r:id="rId7"/>
    <sheet name="profilKelas" sheetId="35" r:id="rId8"/>
    <sheet name="identitasMurid" sheetId="3" r:id="rId9"/>
    <sheet name="RkpBulan" sheetId="50" r:id="rId10"/>
    <sheet name="RkpSemester" sheetId="95" r:id="rId11"/>
    <sheet name="RkpTahun" sheetId="97" r:id="rId12"/>
    <sheet name="FAQ" sheetId="53" r:id="rId13"/>
    <sheet name="Cetak" sheetId="94" r:id="rId14"/>
    <sheet name="Juli" sheetId="25" r:id="rId15"/>
    <sheet name="Agustus" sheetId="80" r:id="rId16"/>
    <sheet name="September" sheetId="81" r:id="rId17"/>
    <sheet name="Oktober" sheetId="82" r:id="rId18"/>
    <sheet name="November" sheetId="83" r:id="rId19"/>
    <sheet name="Desember" sheetId="84" r:id="rId20"/>
    <sheet name="Januari" sheetId="85" r:id="rId21"/>
    <sheet name="Februari" sheetId="86" r:id="rId22"/>
    <sheet name="Maret" sheetId="87" r:id="rId23"/>
    <sheet name="April" sheetId="88" r:id="rId24"/>
    <sheet name="Mei" sheetId="89" r:id="rId25"/>
    <sheet name="Juni" sheetId="90" r:id="rId26"/>
  </sheets>
  <functionGroups builtInGroupCount="19"/>
  <definedNames>
    <definedName name="_xlnm._FilterDatabase" localSheetId="15" hidden="1">Agustus!$B$13:$B$57</definedName>
    <definedName name="_xlnm._FilterDatabase" localSheetId="23" hidden="1">April!$B$13:$B$57</definedName>
    <definedName name="_xlnm._FilterDatabase" localSheetId="13" hidden="1">Cetak!$B$12:$B$52</definedName>
    <definedName name="_xlnm._FilterDatabase" localSheetId="19" hidden="1">Desember!$B$13:$B$57</definedName>
    <definedName name="_xlnm._FilterDatabase" localSheetId="21" hidden="1">Februari!$B$13:$B$57</definedName>
    <definedName name="_xlnm._FilterDatabase" localSheetId="8" hidden="1">identitasMurid!$B$13:$B$51</definedName>
    <definedName name="_xlnm._FilterDatabase" localSheetId="0" hidden="1">info!$B$1:$D$516</definedName>
    <definedName name="_xlnm._FilterDatabase" localSheetId="20" hidden="1">Januari!$B$13:$B$57</definedName>
    <definedName name="_xlnm._FilterDatabase" localSheetId="14" hidden="1">Juli!$B$13:$B$57</definedName>
    <definedName name="_xlnm._FilterDatabase" localSheetId="25" hidden="1">Juni!$B$13:$B$57</definedName>
    <definedName name="_xlnm._FilterDatabase" localSheetId="22" hidden="1">Maret!$B$13:$B$57</definedName>
    <definedName name="_xlnm._FilterDatabase" localSheetId="24" hidden="1">Mei!$B$13:$B$57</definedName>
    <definedName name="_xlnm._FilterDatabase" localSheetId="18" hidden="1">November!$B$13:$B$57</definedName>
    <definedName name="_xlnm._FilterDatabase" localSheetId="17" hidden="1">Oktober!$B$13:$B$57</definedName>
    <definedName name="_xlnm._FilterDatabase" localSheetId="16" hidden="1">September!$B$13:$B$57</definedName>
    <definedName name="AguKategoriAkhir">#REF!</definedName>
    <definedName name="AprKategoriAkhir">#REF!</definedName>
    <definedName name="BelumTerbiasa">info!$Y$2</definedName>
    <definedName name="DesKategoriAkhir">#REF!</definedName>
    <definedName name="FebKategoriAkhir">#REF!</definedName>
    <definedName name="JanKategoriAkhir">#REF!</definedName>
    <definedName name="JulAktifBermasyarakat" localSheetId="15">Agustus!$Z$13:$Z$57</definedName>
    <definedName name="JulAktifBermasyarakat" localSheetId="23">April!$Z$13:$Z$57</definedName>
    <definedName name="JulAktifBermasyarakat" localSheetId="13">Cetak!#REF!</definedName>
    <definedName name="JulAktifBermasyarakat" localSheetId="19">Desember!$Z$13:$Z$57</definedName>
    <definedName name="JulAktifBermasyarakat" localSheetId="21">Februari!$Z$13:$Z$57</definedName>
    <definedName name="JulAktifBermasyarakat" localSheetId="20">Januari!$Z$13:$Z$57</definedName>
    <definedName name="JulAktifBermasyarakat" localSheetId="14">Juli!$Z$13:$Z$57</definedName>
    <definedName name="JulAktifBermasyarakat" localSheetId="25">Juni!$Z$13:$Z$57</definedName>
    <definedName name="JulAktifBermasyarakat" localSheetId="22">Maret!$Z$13:$Z$57</definedName>
    <definedName name="JulAktifBermasyarakat" localSheetId="24">Mei!$Z$13:$Z$57</definedName>
    <definedName name="JulAktifBermasyarakat" localSheetId="18">November!$Z$13:$Z$57</definedName>
    <definedName name="JulAktifBermasyarakat" localSheetId="17">Oktober!$Z$13:$Z$57</definedName>
    <definedName name="JulAktifBermasyarakat" localSheetId="16">September!$Z$13:$Z$57</definedName>
    <definedName name="JulBangunPagi" localSheetId="15">Agustus!$U$13:$U$57</definedName>
    <definedName name="JulBangunPagi" localSheetId="23">April!$U$13:$U$57</definedName>
    <definedName name="JulBangunPagi" localSheetId="13">Cetak!#REF!</definedName>
    <definedName name="JulBangunPagi" localSheetId="19">Desember!$U$13:$U$57</definedName>
    <definedName name="JulBangunPagi" localSheetId="21">Februari!$U$13:$U$57</definedName>
    <definedName name="JulBangunPagi" localSheetId="20">Januari!$U$13:$U$57</definedName>
    <definedName name="JulBangunPagi" localSheetId="14">Juli!$U$13:$U$57</definedName>
    <definedName name="JulBangunPagi" localSheetId="25">Juni!$U$13:$U$57</definedName>
    <definedName name="JulBangunPagi" localSheetId="22">Maret!$U$13:$U$57</definedName>
    <definedName name="JulBangunPagi" localSheetId="24">Mei!$U$13:$U$57</definedName>
    <definedName name="JulBangunPagi" localSheetId="18">November!$U$13:$U$57</definedName>
    <definedName name="JulBangunPagi" localSheetId="17">Oktober!$U$13:$U$57</definedName>
    <definedName name="JulBangunPagi" localSheetId="16">September!$U$13:$U$57</definedName>
    <definedName name="JulBerolahraga" localSheetId="15">Agustus!$W$13:$W$57</definedName>
    <definedName name="JulBerolahraga" localSheetId="23">April!$W$13:$W$57</definedName>
    <definedName name="JulBerolahraga" localSheetId="13">Cetak!#REF!</definedName>
    <definedName name="JulBerolahraga" localSheetId="19">Desember!$W$13:$W$57</definedName>
    <definedName name="JulBerolahraga" localSheetId="21">Februari!$W$13:$W$57</definedName>
    <definedName name="JulBerolahraga" localSheetId="20">Januari!$W$13:$W$57</definedName>
    <definedName name="JulBerolahraga" localSheetId="14">Juli!$W$13:$W$57</definedName>
    <definedName name="JulBerolahraga" localSheetId="25">Juni!$W$13:$W$57</definedName>
    <definedName name="JulBerolahraga" localSheetId="22">Maret!$W$13:$W$57</definedName>
    <definedName name="JulBerolahraga" localSheetId="24">Mei!$W$13:$W$57</definedName>
    <definedName name="JulBerolahraga" localSheetId="18">November!$W$13:$W$57</definedName>
    <definedName name="JulBerolahraga" localSheetId="17">Oktober!$W$13:$W$57</definedName>
    <definedName name="JulBerolahraga" localSheetId="16">September!$W$13:$W$57</definedName>
    <definedName name="JulGemarBelajar" localSheetId="15">Agustus!$Y$13:$Y$57</definedName>
    <definedName name="JulGemarBelajar" localSheetId="23">April!$Y$13:$Y$57</definedName>
    <definedName name="JulGemarBelajar" localSheetId="13">Cetak!#REF!</definedName>
    <definedName name="JulGemarBelajar" localSheetId="19">Desember!$Y$13:$Y$57</definedName>
    <definedName name="JulGemarBelajar" localSheetId="21">Februari!$Y$13:$Y$57</definedName>
    <definedName name="JulGemarBelajar" localSheetId="20">Januari!$Y$13:$Y$57</definedName>
    <definedName name="JulGemarBelajar" localSheetId="14">Juli!$Y$13:$Y$57</definedName>
    <definedName name="JulGemarBelajar" localSheetId="25">Juni!$Y$13:$Y$57</definedName>
    <definedName name="JulGemarBelajar" localSheetId="22">Maret!$Y$13:$Y$57</definedName>
    <definedName name="JulGemarBelajar" localSheetId="24">Mei!$Y$13:$Y$57</definedName>
    <definedName name="JulGemarBelajar" localSheetId="18">November!$Y$13:$Y$57</definedName>
    <definedName name="JulGemarBelajar" localSheetId="17">Oktober!$Y$13:$Y$57</definedName>
    <definedName name="JulGemarBelajar" localSheetId="16">September!$Y$13:$Y$57</definedName>
    <definedName name="JulKategoriAkhir" localSheetId="15">Agustus!$AB$13:$AB$57</definedName>
    <definedName name="JulKategoriAkhir" localSheetId="23">April!$AB$13:$AB$57</definedName>
    <definedName name="JulKategoriAkhir" localSheetId="13">Cetak!#REF!</definedName>
    <definedName name="JulKategoriAkhir" localSheetId="19">Desember!$AB$13:$AB$57</definedName>
    <definedName name="JulKategoriAkhir" localSheetId="21">Februari!$AB$13:$AB$57</definedName>
    <definedName name="JulKategoriAkhir" localSheetId="20">Januari!$AB$13:$AB$57</definedName>
    <definedName name="JulKategoriAkhir" localSheetId="14">Juli!$AB$13:$AB$57</definedName>
    <definedName name="JulKategoriAkhir" localSheetId="25">Juni!$AB$13:$AB$57</definedName>
    <definedName name="JulKategoriAkhir" localSheetId="22">Maret!$AB$13:$AB$57</definedName>
    <definedName name="JulKategoriAkhir" localSheetId="24">Mei!$AB$13:$AB$57</definedName>
    <definedName name="JulKategoriAkhir" localSheetId="18">November!$AB$13:$AB$57</definedName>
    <definedName name="JulKategoriAkhir" localSheetId="17">Oktober!$AB$13:$AB$57</definedName>
    <definedName name="JulKategoriAkhir" localSheetId="16">September!$AB$13:$AB$57</definedName>
    <definedName name="JulMakanSehatBergizi" localSheetId="15">Agustus!$X$13:$X$57</definedName>
    <definedName name="JulMakanSehatBergizi" localSheetId="23">April!$X$13:$X$57</definedName>
    <definedName name="JulMakanSehatBergizi" localSheetId="13">Cetak!#REF!</definedName>
    <definedName name="JulMakanSehatBergizi" localSheetId="19">Desember!$X$13:$X$57</definedName>
    <definedName name="JulMakanSehatBergizi" localSheetId="21">Februari!$X$13:$X$57</definedName>
    <definedName name="JulMakanSehatBergizi" localSheetId="20">Januari!$X$13:$X$57</definedName>
    <definedName name="JulMakanSehatBergizi" localSheetId="14">Juli!$X$13:$X$57</definedName>
    <definedName name="JulMakanSehatBergizi" localSheetId="25">Juni!$X$13:$X$57</definedName>
    <definedName name="JulMakanSehatBergizi" localSheetId="22">Maret!$X$13:$X$57</definedName>
    <definedName name="JulMakanSehatBergizi" localSheetId="24">Mei!$X$13:$X$57</definedName>
    <definedName name="JulMakanSehatBergizi" localSheetId="18">November!$X$13:$X$57</definedName>
    <definedName name="JulMakanSehatBergizi" localSheetId="17">Oktober!$X$13:$X$57</definedName>
    <definedName name="JulMakanSehatBergizi" localSheetId="16">September!$X$13:$X$57</definedName>
    <definedName name="JulPL" localSheetId="15">Agustus!$T$13:$T$57</definedName>
    <definedName name="JulPL" localSheetId="23">April!$T$13:$T$57</definedName>
    <definedName name="JulPL" localSheetId="13">Cetak!#REF!</definedName>
    <definedName name="JulPL" localSheetId="19">Desember!$T$13:$T$57</definedName>
    <definedName name="JulPL" localSheetId="21">Februari!$T$13:$T$57</definedName>
    <definedName name="JulPL" localSheetId="20">Januari!$T$13:$T$57</definedName>
    <definedName name="JulPL" localSheetId="14">Juli!$T$13:$T$57</definedName>
    <definedName name="JulPL" localSheetId="25">Juni!$T$13:$T$57</definedName>
    <definedName name="JulPL" localSheetId="22">Maret!$T$13:$T$57</definedName>
    <definedName name="JulPL" localSheetId="24">Mei!$T$13:$T$57</definedName>
    <definedName name="JulPL" localSheetId="18">November!$T$13:$T$57</definedName>
    <definedName name="JulPL" localSheetId="17">Oktober!$T$13:$T$57</definedName>
    <definedName name="JulPL" localSheetId="16">September!$T$13:$T$57</definedName>
    <definedName name="JulStsSw" localSheetId="15">Agustus!$E$13:$E$57</definedName>
    <definedName name="JulStsSw" localSheetId="23">April!$E$13:$E$57</definedName>
    <definedName name="JulStsSw" localSheetId="13">Cetak!$E$13:$E$52</definedName>
    <definedName name="JulStsSw" localSheetId="19">Desember!$E$13:$E$57</definedName>
    <definedName name="JulStsSw" localSheetId="21">Februari!$E$13:$E$57</definedName>
    <definedName name="JulStsSw" localSheetId="20">Januari!$E$13:$E$57</definedName>
    <definedName name="JulStsSw" localSheetId="25">Juni!$E$13:$E$57</definedName>
    <definedName name="JulStsSw" localSheetId="22">Maret!$E$13:$E$57</definedName>
    <definedName name="JulStsSw" localSheetId="24">Mei!$E$13:$E$57</definedName>
    <definedName name="JulStsSw" localSheetId="18">November!$E$13:$E$57</definedName>
    <definedName name="JulStsSw" localSheetId="17">Oktober!$E$13:$E$57</definedName>
    <definedName name="JulStsSw" localSheetId="16">September!$E$13:$E$57</definedName>
    <definedName name="JulStsSw">Juli!$E$13:$E$57</definedName>
    <definedName name="JulTaatBeribadah" localSheetId="15">Agustus!$V$13:$V$57</definedName>
    <definedName name="JulTaatBeribadah" localSheetId="23">April!$V$13:$V$57</definedName>
    <definedName name="JulTaatBeribadah" localSheetId="13">Cetak!#REF!</definedName>
    <definedName name="JulTaatBeribadah" localSheetId="19">Desember!$V$13:$V$57</definedName>
    <definedName name="JulTaatBeribadah" localSheetId="21">Februari!$V$13:$V$57</definedName>
    <definedName name="JulTaatBeribadah" localSheetId="20">Januari!$V$13:$V$57</definedName>
    <definedName name="JulTaatBeribadah" localSheetId="14">Juli!$V$13:$V$57</definedName>
    <definedName name="JulTaatBeribadah" localSheetId="25">Juni!$V$13:$V$57</definedName>
    <definedName name="JulTaatBeribadah" localSheetId="22">Maret!$V$13:$V$57</definedName>
    <definedName name="JulTaatBeribadah" localSheetId="24">Mei!$V$13:$V$57</definedName>
    <definedName name="JulTaatBeribadah" localSheetId="18">November!$V$13:$V$57</definedName>
    <definedName name="JulTaatBeribadah" localSheetId="17">Oktober!$V$13:$V$57</definedName>
    <definedName name="JulTaatBeribadah" localSheetId="16">September!$V$13:$V$57</definedName>
    <definedName name="JulTidurCepat" localSheetId="15">Agustus!$AA$13:$AA$57</definedName>
    <definedName name="JulTidurCepat" localSheetId="23">April!$AA$13:$AA$57</definedName>
    <definedName name="JulTidurCepat" localSheetId="13">Cetak!#REF!</definedName>
    <definedName name="JulTidurCepat" localSheetId="19">Desember!$AA$13:$AA$57</definedName>
    <definedName name="JulTidurCepat" localSheetId="21">Februari!$AA$13:$AA$57</definedName>
    <definedName name="JulTidurCepat" localSheetId="20">Januari!$AA$13:$AA$57</definedName>
    <definedName name="JulTidurCepat" localSheetId="14">Juli!$AA$13:$AA$57</definedName>
    <definedName name="JulTidurCepat" localSheetId="25">Juni!$AA$13:$AA$57</definedName>
    <definedName name="JulTidurCepat" localSheetId="22">Maret!$AA$13:$AA$57</definedName>
    <definedName name="JulTidurCepat" localSheetId="24">Mei!$AA$13:$AA$57</definedName>
    <definedName name="JulTidurCepat" localSheetId="18">November!$AA$13:$AA$57</definedName>
    <definedName name="JulTidurCepat" localSheetId="17">Oktober!$AA$13:$AA$57</definedName>
    <definedName name="JulTidurCepat" localSheetId="16">September!$AA$13:$AA$57</definedName>
    <definedName name="JunKategoriAkhir">#REF!</definedName>
    <definedName name="Laki_Laki">info!$AA$2</definedName>
    <definedName name="MeiKategoriAkhir">#REF!</definedName>
    <definedName name="NovKategoriAkhir">#REF!</definedName>
    <definedName name="OktKategoriAkhir">#REF!</definedName>
    <definedName name="Perempuan">info!$Z$2</definedName>
    <definedName name="_xlnm.Print_Area" localSheetId="15">Agustus!$B$6:$M$69</definedName>
    <definedName name="_xlnm.Print_Area" localSheetId="23">April!$B$6:$M$69</definedName>
    <definedName name="_xlnm.Print_Area" localSheetId="5">beranda!$A$1:$K$24</definedName>
    <definedName name="_xlnm.Print_Area" localSheetId="13">Cetak!$B$6:$M$61</definedName>
    <definedName name="_xlnm.Print_Area" localSheetId="19">Desember!$B$6:$M$69</definedName>
    <definedName name="_xlnm.Print_Area" localSheetId="21">Februari!$B$6:$M$69</definedName>
    <definedName name="_xlnm.Print_Area" localSheetId="8">identitasMurid!$A$5:$D$40</definedName>
    <definedName name="_xlnm.Print_Area" localSheetId="20">Januari!$B$6:$M$69</definedName>
    <definedName name="_xlnm.Print_Area" localSheetId="14">Juli!$B$6:$M$69</definedName>
    <definedName name="_xlnm.Print_Area" localSheetId="25">Juni!$B$6:$M$69</definedName>
    <definedName name="_xlnm.Print_Area" localSheetId="22">Maret!$B$6:$M$69</definedName>
    <definedName name="_xlnm.Print_Area" localSheetId="24">Mei!$B$6:$M$69</definedName>
    <definedName name="_xlnm.Print_Area" localSheetId="18">November!$B$6:$M$69</definedName>
    <definedName name="_xlnm.Print_Area" localSheetId="17">Oktober!$B$6:$M$69</definedName>
    <definedName name="_xlnm.Print_Area" localSheetId="9">RkpBulan!$B$6:$Q$40</definedName>
    <definedName name="_xlnm.Print_Area" localSheetId="10">RkpSemester!$B$6:$Q$40</definedName>
    <definedName name="_xlnm.Print_Area" localSheetId="11">RkpTahun!$B$6:$Q$40</definedName>
    <definedName name="_xlnm.Print_Area" localSheetId="16">September!$B$6:$M$69</definedName>
    <definedName name="RepAktifBermasyarakat" localSheetId="9">RkpBulan!$Y$13:$Y$57</definedName>
    <definedName name="RepAktifBermasyarakat" localSheetId="10">RkpSemester!$Y$13:$Y$57</definedName>
    <definedName name="RepAktifBermasyarakat" localSheetId="11">RkpTahun!$Y$13:$Y$57</definedName>
    <definedName name="RepBangunPagi" localSheetId="9">RkpBulan!$T$13:$T$57</definedName>
    <definedName name="RepBangunPagi" localSheetId="10">RkpSemester!$T$13:$T$57</definedName>
    <definedName name="RepBangunPagi" localSheetId="11">RkpTahun!$T$13:$T$57</definedName>
    <definedName name="RepBerolahraga" localSheetId="9">RkpBulan!$V$13:$V$57</definedName>
    <definedName name="RepBerolahraga" localSheetId="10">RkpSemester!$V$13:$V$57</definedName>
    <definedName name="RepBerolahraga" localSheetId="11">RkpTahun!$V$13:$V$57</definedName>
    <definedName name="RepGemarBelajar" localSheetId="9">RkpBulan!$X$19:$X$57</definedName>
    <definedName name="RepGemarBelajar" localSheetId="10">RkpSemester!$X$19:$X$57</definedName>
    <definedName name="RepGemarBelajar" localSheetId="11">RkpTahun!$X$19:$X$57</definedName>
    <definedName name="RepKategoriAkhir" localSheetId="9">RkpBulan!$AA$13:$AA$57</definedName>
    <definedName name="RepKategoriAkhir" localSheetId="10">RkpSemester!$AA$13:$AA$57</definedName>
    <definedName name="RepKategoriAkhir" localSheetId="11">RkpTahun!$AA$13:$AA$57</definedName>
    <definedName name="RepMakanSehatBergizi" localSheetId="9">RkpBulan!$W$19:$W$57</definedName>
    <definedName name="RepMakanSehatBergizi" localSheetId="10">RkpSemester!$W$19:$W$57</definedName>
    <definedName name="RepMakanSehatBergizi" localSheetId="11">RkpTahun!$W$19:$W$57</definedName>
    <definedName name="RepPL" localSheetId="9">RkpBulan!$S$14:$S$57</definedName>
    <definedName name="RepPL" localSheetId="10">RkpSemester!$S$14:$S$57</definedName>
    <definedName name="RepPL" localSheetId="11">RkpTahun!$S$14:$S$57</definedName>
    <definedName name="RepTaatBeribadah" localSheetId="9">RkpBulan!$U$13:$U$57</definedName>
    <definedName name="RepTaatBeribadah" localSheetId="10">RkpSemester!$U$13:$U$57</definedName>
    <definedName name="RepTaatBeribadah" localSheetId="11">RkpTahun!$U$13:$U$57</definedName>
    <definedName name="RepTidurCepat" localSheetId="9">RkpBulan!$Z$13:$Z$57</definedName>
    <definedName name="RepTidurCepat" localSheetId="10">RkpSemester!$Z$13:$Z$57</definedName>
    <definedName name="RepTidurCepat" localSheetId="11">RkpTahun!$Z$13:$Z$57</definedName>
    <definedName name="SelectedProv">OFFSET(info!$G$2, 0, 0, COUNTA(info!$G1048550:$G14)-1, 1)</definedName>
    <definedName name="SepKategoriAkhir">#REF!</definedName>
    <definedName name="Status_Siswa" localSheetId="15">Agustus!$E$11:$E$57</definedName>
    <definedName name="Status_Siswa" localSheetId="23">April!$E$11:$E$57</definedName>
    <definedName name="Status_Siswa" localSheetId="13">Cetak!$E$11:$E$52</definedName>
    <definedName name="Status_Siswa" localSheetId="19">Desember!$E$11:$E$57</definedName>
    <definedName name="Status_Siswa" localSheetId="21">Februari!$E$11:$E$57</definedName>
    <definedName name="Status_Siswa" localSheetId="20">Januari!$E$11:$E$57</definedName>
    <definedName name="Status_Siswa" localSheetId="25">Juni!$E$11:$E$57</definedName>
    <definedName name="Status_Siswa" localSheetId="22">Maret!$E$11:$E$57</definedName>
    <definedName name="Status_Siswa" localSheetId="24">Mei!$E$11:$E$57</definedName>
    <definedName name="Status_Siswa" localSheetId="18">November!$E$11:$E$57</definedName>
    <definedName name="Status_Siswa" localSheetId="17">Oktober!$E$11:$E$57</definedName>
    <definedName name="Status_Siswa" localSheetId="16">September!$E$11:$E$57</definedName>
    <definedName name="Status_Siswa">Juli!$E$11:$E$57</definedName>
    <definedName name="SudahTerbiasa">info!$X$2</definedName>
    <definedName name="yearValid" localSheetId="15">RegExpMatch(info!$AH$1,info!$AH$2)</definedName>
    <definedName name="yearValid" localSheetId="23">RegExpMatch(info!$AH$1,info!$AH$2)</definedName>
    <definedName name="yearValid" localSheetId="13">RegExpMatch(info!$AH$1,info!$AH$2)</definedName>
    <definedName name="yearValid" localSheetId="19">RegExpMatch(info!$AH$1,info!$AH$2)</definedName>
    <definedName name="yearValid" localSheetId="21">RegExpMatch(info!$AH$1,info!$AH$2)</definedName>
    <definedName name="yearValid" localSheetId="20">RegExpMatch(info!$AH$1,info!$AH$2)</definedName>
    <definedName name="yearValid" localSheetId="25">RegExpMatch(info!$AH$1,info!$AH$2)</definedName>
    <definedName name="yearValid" localSheetId="22">RegExpMatch(info!$AH$1,info!$AH$2)</definedName>
    <definedName name="yearValid" localSheetId="24">RegExpMatch(info!$AH$1,info!$AH$2)</definedName>
    <definedName name="yearValid" localSheetId="18">RegExpMatch(info!$AH$1,info!$AH$2)</definedName>
    <definedName name="yearValid" localSheetId="17">RegExpMatch(info!$AH$1,info!$AH$2)</definedName>
    <definedName name="yearValid" localSheetId="3">RegExpMatch(info!$AH$1,info!$AH$2)</definedName>
    <definedName name="yearValid" localSheetId="10">RegExpMatch(info!$AH$1,info!$AH$2)</definedName>
    <definedName name="yearValid" localSheetId="11">RegExpMatch(info!$AH$1,info!$AH$2)</definedName>
    <definedName name="yearValid" localSheetId="16">RegExpMatch(info!$AH$1,info!$AH$2)</definedName>
    <definedName name="yearValid">RegExpMatch(info!$AH$1,info!$AH$2)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7" i="90" l="1"/>
  <c r="C34" i="82"/>
  <c r="A1" i="97"/>
  <c r="A1" i="95"/>
  <c r="A1" i="50" l="1"/>
  <c r="D7" i="94"/>
  <c r="RV1" i="93"/>
  <c r="RU1" i="93"/>
  <c r="RT1" i="93"/>
  <c r="RS1" i="93"/>
  <c r="RR1" i="93"/>
  <c r="RQ1" i="93"/>
  <c r="RP1" i="93"/>
  <c r="RO1" i="93"/>
  <c r="RN1" i="93"/>
  <c r="RM1" i="93"/>
  <c r="RL1" i="93"/>
  <c r="RK1" i="93"/>
  <c r="RJ1" i="93"/>
  <c r="RI1" i="93"/>
  <c r="RH1" i="93"/>
  <c r="RG1" i="93"/>
  <c r="RF1" i="93"/>
  <c r="RE1" i="93"/>
  <c r="RD1" i="93"/>
  <c r="RC1" i="93"/>
  <c r="RB1" i="93"/>
  <c r="RA1" i="93"/>
  <c r="QZ1" i="93"/>
  <c r="QY1" i="93"/>
  <c r="QX1" i="93"/>
  <c r="QW1" i="93"/>
  <c r="QV1" i="93"/>
  <c r="QU1" i="93"/>
  <c r="QT1" i="93"/>
  <c r="QS1" i="93"/>
  <c r="QR1" i="93"/>
  <c r="QQ1" i="93"/>
  <c r="QP1" i="93"/>
  <c r="QO1" i="93"/>
  <c r="QN1" i="93"/>
  <c r="QM1" i="93"/>
  <c r="QL1" i="93"/>
  <c r="QK1" i="93"/>
  <c r="QJ1" i="93"/>
  <c r="QI1" i="93"/>
  <c r="QH1" i="93"/>
  <c r="QG1" i="93"/>
  <c r="QF1" i="93"/>
  <c r="QE1" i="93"/>
  <c r="QD1" i="93"/>
  <c r="QC1" i="93"/>
  <c r="QB1" i="93"/>
  <c r="QA1" i="93"/>
  <c r="PZ1" i="93"/>
  <c r="PY1" i="93"/>
  <c r="PX1" i="93"/>
  <c r="PW1" i="93"/>
  <c r="PV1" i="93"/>
  <c r="PU1" i="93"/>
  <c r="PT1" i="93"/>
  <c r="PS1" i="93"/>
  <c r="PR1" i="93"/>
  <c r="PQ1" i="93"/>
  <c r="PP1" i="93"/>
  <c r="PO1" i="93"/>
  <c r="PN1" i="93"/>
  <c r="PM1" i="93"/>
  <c r="PL1" i="93"/>
  <c r="PK1" i="93"/>
  <c r="PJ1" i="93"/>
  <c r="PI1" i="93"/>
  <c r="PH1" i="93"/>
  <c r="PG1" i="93"/>
  <c r="PF1" i="93"/>
  <c r="PE1" i="93"/>
  <c r="PD1" i="93"/>
  <c r="PC1" i="93"/>
  <c r="PB1" i="93"/>
  <c r="PA1" i="93"/>
  <c r="OZ1" i="93"/>
  <c r="OY1" i="93"/>
  <c r="OX1" i="93"/>
  <c r="OW1" i="93"/>
  <c r="OV1" i="93"/>
  <c r="OU1" i="93"/>
  <c r="OT1" i="93"/>
  <c r="OS1" i="93"/>
  <c r="OR1" i="93"/>
  <c r="OQ1" i="93"/>
  <c r="OP1" i="93"/>
  <c r="OO1" i="93"/>
  <c r="ON1" i="93"/>
  <c r="OM1" i="93"/>
  <c r="OL1" i="93"/>
  <c r="OK1" i="93"/>
  <c r="OJ1" i="93"/>
  <c r="OI1" i="93"/>
  <c r="OH1" i="93"/>
  <c r="OG1" i="93"/>
  <c r="OF1" i="93"/>
  <c r="OE1" i="93"/>
  <c r="OD1" i="93" l="1"/>
  <c r="OC1" i="93"/>
  <c r="OB1" i="93"/>
  <c r="OA1" i="93"/>
  <c r="NZ1" i="93"/>
  <c r="NY1" i="93"/>
  <c r="NX1" i="93"/>
  <c r="NW1" i="93"/>
  <c r="NV1" i="93"/>
  <c r="NU1" i="93"/>
  <c r="NT1" i="93"/>
  <c r="NS1" i="93"/>
  <c r="NR1" i="93"/>
  <c r="NQ1" i="93"/>
  <c r="NP1" i="93"/>
  <c r="NO1" i="93"/>
  <c r="NN1" i="93"/>
  <c r="NM1" i="93"/>
  <c r="NL1" i="93"/>
  <c r="NK1" i="93"/>
  <c r="NJ1" i="93"/>
  <c r="NI1" i="93"/>
  <c r="NH1" i="93"/>
  <c r="NG1" i="93"/>
  <c r="NF1" i="93"/>
  <c r="NE1" i="93"/>
  <c r="ND1" i="93"/>
  <c r="NC1" i="93"/>
  <c r="NB1" i="93"/>
  <c r="NA1" i="93"/>
  <c r="MZ1" i="93"/>
  <c r="MY1" i="93"/>
  <c r="MX1" i="93"/>
  <c r="MW1" i="93"/>
  <c r="MV1" i="93"/>
  <c r="MU1" i="93"/>
  <c r="MT1" i="93"/>
  <c r="MS1" i="93"/>
  <c r="MR1" i="93"/>
  <c r="MQ1" i="93"/>
  <c r="MP1" i="93"/>
  <c r="MO1" i="93"/>
  <c r="MN1" i="93"/>
  <c r="MM1" i="93"/>
  <c r="ML1" i="93"/>
  <c r="MK1" i="93"/>
  <c r="MJ1" i="93"/>
  <c r="MI1" i="93"/>
  <c r="MH1" i="93"/>
  <c r="MG1" i="93"/>
  <c r="MF1" i="93"/>
  <c r="ME1" i="93"/>
  <c r="MD1" i="93"/>
  <c r="MC1" i="93"/>
  <c r="MB1" i="93"/>
  <c r="MA1" i="93"/>
  <c r="LZ1" i="93"/>
  <c r="LY1" i="93"/>
  <c r="LX1" i="93"/>
  <c r="LW1" i="93"/>
  <c r="LV1" i="93"/>
  <c r="LU1" i="93"/>
  <c r="LT1" i="93"/>
  <c r="LS1" i="93"/>
  <c r="LR1" i="93"/>
  <c r="LQ1" i="93"/>
  <c r="LP1" i="93"/>
  <c r="LO1" i="93"/>
  <c r="LN1" i="93"/>
  <c r="LM1" i="93"/>
  <c r="LL1" i="93"/>
  <c r="LK1" i="93"/>
  <c r="LJ1" i="93"/>
  <c r="LI1" i="93"/>
  <c r="LH1" i="93"/>
  <c r="LG1" i="93"/>
  <c r="LF1" i="93"/>
  <c r="LE1" i="93"/>
  <c r="LD1" i="93"/>
  <c r="LC1" i="93"/>
  <c r="LB1" i="93"/>
  <c r="LA1" i="93"/>
  <c r="KZ1" i="93"/>
  <c r="KY1" i="93"/>
  <c r="KX1" i="93"/>
  <c r="KW1" i="93"/>
  <c r="KV1" i="93"/>
  <c r="KU1" i="93"/>
  <c r="KT1" i="93"/>
  <c r="KS1" i="93"/>
  <c r="KR1" i="93"/>
  <c r="KQ1" i="93"/>
  <c r="KP1" i="93"/>
  <c r="KO1" i="93"/>
  <c r="KN1" i="93"/>
  <c r="KM1" i="93"/>
  <c r="KL1" i="93"/>
  <c r="KK1" i="93"/>
  <c r="KJ1" i="93"/>
  <c r="KI1" i="93"/>
  <c r="KH1" i="93"/>
  <c r="KG1" i="93"/>
  <c r="KF1" i="93"/>
  <c r="KE1" i="93"/>
  <c r="KD1" i="93"/>
  <c r="KC1" i="93"/>
  <c r="KB1" i="93"/>
  <c r="KA1" i="93"/>
  <c r="JZ1" i="93"/>
  <c r="JY1" i="93"/>
  <c r="JX1" i="93"/>
  <c r="JW1" i="93"/>
  <c r="JV1" i="93"/>
  <c r="JU1" i="93"/>
  <c r="JT1" i="93"/>
  <c r="JS1" i="93"/>
  <c r="JR1" i="93"/>
  <c r="JQ1" i="93"/>
  <c r="JP1" i="93"/>
  <c r="JO1" i="93"/>
  <c r="JN1" i="93"/>
  <c r="JM1" i="93"/>
  <c r="JL1" i="93"/>
  <c r="JK1" i="93"/>
  <c r="JJ1" i="93"/>
  <c r="JI1" i="93"/>
  <c r="JH1" i="93"/>
  <c r="JG1" i="93"/>
  <c r="JF1" i="93"/>
  <c r="JE1" i="93"/>
  <c r="JD1" i="93"/>
  <c r="JC1" i="93"/>
  <c r="JB1" i="93"/>
  <c r="JA1" i="93"/>
  <c r="IZ1" i="93"/>
  <c r="IY1" i="93"/>
  <c r="IX1" i="93"/>
  <c r="IW1" i="93"/>
  <c r="IV1" i="93"/>
  <c r="IU1" i="93"/>
  <c r="IT1" i="93"/>
  <c r="IS1" i="93"/>
  <c r="IR1" i="93"/>
  <c r="IQ1" i="93"/>
  <c r="IP1" i="93"/>
  <c r="IO1" i="93"/>
  <c r="IN1" i="93"/>
  <c r="IM1" i="93"/>
  <c r="IL1" i="93"/>
  <c r="IK1" i="93"/>
  <c r="IJ1" i="93"/>
  <c r="II1" i="93"/>
  <c r="IH1" i="93"/>
  <c r="IG1" i="93"/>
  <c r="IF1" i="93"/>
  <c r="IE1" i="93"/>
  <c r="ID1" i="93"/>
  <c r="IC1" i="93"/>
  <c r="IB1" i="93"/>
  <c r="IA1" i="93"/>
  <c r="HZ1" i="93"/>
  <c r="HY1" i="93"/>
  <c r="HX1" i="93"/>
  <c r="HW1" i="93"/>
  <c r="HV1" i="93"/>
  <c r="HU1" i="93"/>
  <c r="HT1" i="93"/>
  <c r="HS1" i="93"/>
  <c r="HR1" i="93"/>
  <c r="HQ1" i="93"/>
  <c r="HP1" i="93"/>
  <c r="HO1" i="93"/>
  <c r="HN1" i="93"/>
  <c r="HM1" i="93"/>
  <c r="HL1" i="93"/>
  <c r="HK1" i="93"/>
  <c r="HJ1" i="93"/>
  <c r="HI1" i="93"/>
  <c r="HH1" i="93"/>
  <c r="HG1" i="93"/>
  <c r="HF1" i="93"/>
  <c r="HE1" i="93"/>
  <c r="HD1" i="93"/>
  <c r="HC1" i="93"/>
  <c r="HB1" i="93"/>
  <c r="HA1" i="93"/>
  <c r="GZ1" i="93"/>
  <c r="GY1" i="93"/>
  <c r="GX1" i="93"/>
  <c r="GW1" i="93"/>
  <c r="GV1" i="93"/>
  <c r="GU1" i="93"/>
  <c r="GT1" i="93"/>
  <c r="GS1" i="93"/>
  <c r="GR1" i="93"/>
  <c r="GQ1" i="93"/>
  <c r="GP1" i="93"/>
  <c r="GO1" i="93"/>
  <c r="GN1" i="93"/>
  <c r="GM1" i="93"/>
  <c r="GL1" i="93"/>
  <c r="GK1" i="93"/>
  <c r="GJ1" i="93"/>
  <c r="GI1" i="93"/>
  <c r="GH1" i="93"/>
  <c r="GG1" i="93"/>
  <c r="GF1" i="93"/>
  <c r="GE1" i="93"/>
  <c r="GD1" i="93"/>
  <c r="GC1" i="93"/>
  <c r="GB1" i="93"/>
  <c r="GA1" i="93"/>
  <c r="FZ1" i="93"/>
  <c r="FY1" i="93"/>
  <c r="FX1" i="93"/>
  <c r="FW1" i="93"/>
  <c r="FV1" i="93"/>
  <c r="FU1" i="93"/>
  <c r="FT1" i="93"/>
  <c r="FS1" i="93"/>
  <c r="FR1" i="93"/>
  <c r="FQ1" i="93"/>
  <c r="FP1" i="93"/>
  <c r="FO1" i="93"/>
  <c r="FN1" i="93"/>
  <c r="FM1" i="93"/>
  <c r="FL1" i="93"/>
  <c r="FK1" i="93"/>
  <c r="FJ1" i="93"/>
  <c r="FI1" i="93"/>
  <c r="FH1" i="93"/>
  <c r="FG1" i="93"/>
  <c r="FF1" i="93"/>
  <c r="FE1" i="93"/>
  <c r="FD1" i="93"/>
  <c r="FC1" i="93"/>
  <c r="FB1" i="93"/>
  <c r="FA1" i="93"/>
  <c r="EZ1" i="93"/>
  <c r="EY1" i="93"/>
  <c r="EX1" i="93"/>
  <c r="EW1" i="93"/>
  <c r="EV1" i="93"/>
  <c r="EU1" i="93"/>
  <c r="ET1" i="93"/>
  <c r="ES1" i="93"/>
  <c r="ER1" i="93"/>
  <c r="EQ1" i="93"/>
  <c r="EP1" i="93"/>
  <c r="EO1" i="93"/>
  <c r="EN1" i="93"/>
  <c r="EM1" i="93"/>
  <c r="EL1" i="93"/>
  <c r="EK1" i="93"/>
  <c r="EJ1" i="93"/>
  <c r="EI1" i="93"/>
  <c r="EH1" i="93"/>
  <c r="EG1" i="93"/>
  <c r="EF1" i="93"/>
  <c r="EE1" i="93"/>
  <c r="ED1" i="93"/>
  <c r="EC1" i="93"/>
  <c r="EB1" i="93"/>
  <c r="EA1" i="93"/>
  <c r="DZ1" i="93"/>
  <c r="DY1" i="93"/>
  <c r="DX1" i="93"/>
  <c r="DW1" i="93"/>
  <c r="DV1" i="93"/>
  <c r="DU1" i="93"/>
  <c r="DT1" i="93"/>
  <c r="DS1" i="93"/>
  <c r="DR1" i="93"/>
  <c r="DQ1" i="93"/>
  <c r="DP1" i="93"/>
  <c r="DO1" i="93"/>
  <c r="DN1" i="93"/>
  <c r="DM1" i="93"/>
  <c r="DL1" i="93"/>
  <c r="DK1" i="93"/>
  <c r="DJ1" i="93"/>
  <c r="DI1" i="93"/>
  <c r="DH1" i="93"/>
  <c r="DG1" i="93"/>
  <c r="DF1" i="93"/>
  <c r="DE1" i="93"/>
  <c r="DD1" i="93"/>
  <c r="DC1" i="93"/>
  <c r="DB1" i="93"/>
  <c r="DA1" i="93"/>
  <c r="CZ1" i="93"/>
  <c r="CY1" i="93"/>
  <c r="CX1" i="93"/>
  <c r="CW1" i="93"/>
  <c r="CV1" i="93"/>
  <c r="CU1" i="93"/>
  <c r="CT1" i="93"/>
  <c r="CS1" i="93"/>
  <c r="CR1" i="93"/>
  <c r="CQ1" i="93"/>
  <c r="CP1" i="93"/>
  <c r="CO1" i="93"/>
  <c r="CN1" i="93"/>
  <c r="CM1" i="93"/>
  <c r="CL1" i="93"/>
  <c r="CK1" i="93"/>
  <c r="CJ1" i="93"/>
  <c r="CI1" i="93"/>
  <c r="CH1" i="93"/>
  <c r="CG1" i="93"/>
  <c r="CF1" i="93"/>
  <c r="CE1" i="93"/>
  <c r="CD1" i="93"/>
  <c r="CC1" i="93"/>
  <c r="CB1" i="93"/>
  <c r="CA1" i="93"/>
  <c r="BZ1" i="93"/>
  <c r="BY1" i="93"/>
  <c r="BX1" i="93"/>
  <c r="BW1" i="93"/>
  <c r="BV1" i="93"/>
  <c r="BU1" i="93"/>
  <c r="BT1" i="93"/>
  <c r="BS1" i="93"/>
  <c r="BR1" i="93"/>
  <c r="BQ1" i="93"/>
  <c r="BP1" i="93"/>
  <c r="BO1" i="93"/>
  <c r="BN1" i="93"/>
  <c r="BM1" i="93"/>
  <c r="BL1" i="93"/>
  <c r="BK1" i="93"/>
  <c r="BJ1" i="93"/>
  <c r="BI1" i="93"/>
  <c r="BH1" i="93"/>
  <c r="BG1" i="93"/>
  <c r="BF1" i="93"/>
  <c r="BE1" i="93"/>
  <c r="BD1" i="93"/>
  <c r="BC1" i="93"/>
  <c r="BB1" i="93"/>
  <c r="BA1" i="93"/>
  <c r="AZ1" i="93"/>
  <c r="AY1" i="93"/>
  <c r="AX1" i="93"/>
  <c r="AW1" i="93"/>
  <c r="AV1" i="93"/>
  <c r="AU1" i="93"/>
  <c r="AT1" i="93"/>
  <c r="AS1" i="93"/>
  <c r="AR1" i="93"/>
  <c r="AQ1" i="93"/>
  <c r="AP1" i="93"/>
  <c r="AO1" i="93"/>
  <c r="AN1" i="93"/>
  <c r="AM1" i="93"/>
  <c r="AL1" i="93"/>
  <c r="AK1" i="93"/>
  <c r="AJ1" i="93"/>
  <c r="AI1" i="93"/>
  <c r="AH1" i="93"/>
  <c r="AG1" i="93"/>
  <c r="AF1" i="93"/>
  <c r="AE1" i="93"/>
  <c r="AD1" i="93"/>
  <c r="AC1" i="93"/>
  <c r="AB1" i="93"/>
  <c r="AA1" i="93"/>
  <c r="Z1" i="93"/>
  <c r="Y1" i="93"/>
  <c r="X1" i="93"/>
  <c r="W1" i="93"/>
  <c r="V1" i="93"/>
  <c r="U1" i="93"/>
  <c r="T1" i="93"/>
  <c r="S1" i="93"/>
  <c r="R1" i="93"/>
  <c r="Q1" i="93"/>
  <c r="P1" i="93"/>
  <c r="O1" i="93"/>
  <c r="N1" i="93"/>
  <c r="M1" i="93"/>
  <c r="L1" i="93"/>
  <c r="K1" i="93"/>
  <c r="C6" i="97"/>
  <c r="E12" i="97"/>
  <c r="E11" i="97"/>
  <c r="C11" i="97"/>
  <c r="E10" i="97"/>
  <c r="E9" i="97"/>
  <c r="C6" i="95"/>
  <c r="E12" i="95" l="1"/>
  <c r="E11" i="95"/>
  <c r="C11" i="95"/>
  <c r="E10" i="95"/>
  <c r="E9" i="95"/>
  <c r="J3" i="93" l="1"/>
  <c r="I3" i="93"/>
  <c r="H3" i="93"/>
  <c r="G3" i="93"/>
  <c r="F3" i="93"/>
  <c r="E3" i="93"/>
  <c r="K64" i="25" l="1"/>
  <c r="K64" i="80"/>
  <c r="K64" i="81"/>
  <c r="K64" i="82"/>
  <c r="K64" i="83"/>
  <c r="K64" i="84"/>
  <c r="K64" i="85"/>
  <c r="K64" i="86"/>
  <c r="K64" i="87"/>
  <c r="K64" i="88"/>
  <c r="K64" i="89"/>
  <c r="K64" i="90"/>
  <c r="G14" i="35"/>
  <c r="C60" i="94"/>
  <c r="C59" i="94"/>
  <c r="J60" i="94"/>
  <c r="J59" i="94"/>
  <c r="J54" i="94"/>
  <c r="D8" i="94"/>
  <c r="J8" i="94"/>
  <c r="J7" i="94"/>
  <c r="N63" i="94"/>
  <c r="O63" i="94" s="1"/>
  <c r="J55" i="94"/>
  <c r="C55" i="94"/>
  <c r="A1" i="94"/>
  <c r="C19" i="37"/>
  <c r="D60" i="90"/>
  <c r="D60" i="89"/>
  <c r="D60" i="88"/>
  <c r="D60" i="87"/>
  <c r="D60" i="86"/>
  <c r="D60" i="85"/>
  <c r="D60" i="84"/>
  <c r="D60" i="83"/>
  <c r="D60" i="82"/>
  <c r="D60" i="81"/>
  <c r="D60" i="80"/>
  <c r="D60" i="25"/>
  <c r="H13" i="35"/>
  <c r="H17" i="91"/>
  <c r="G17" i="91"/>
  <c r="F17" i="91"/>
  <c r="E17" i="91"/>
  <c r="D17" i="91"/>
  <c r="B17" i="91" s="1"/>
  <c r="H16" i="91"/>
  <c r="G16" i="91"/>
  <c r="F16" i="91"/>
  <c r="E16" i="91"/>
  <c r="D16" i="91"/>
  <c r="B16" i="91" s="1"/>
  <c r="H15" i="91"/>
  <c r="G15" i="91"/>
  <c r="F15" i="91"/>
  <c r="E15" i="91"/>
  <c r="D15" i="91"/>
  <c r="B15" i="91" s="1"/>
  <c r="DV1" i="79" a="1"/>
  <c r="C12" i="97" l="1"/>
  <c r="D3" i="93"/>
  <c r="C12" i="95"/>
  <c r="DV1" i="79"/>
  <c r="CU47" i="79" l="1"/>
  <c r="CU46" i="79"/>
  <c r="CU45" i="79"/>
  <c r="CU44" i="79"/>
  <c r="CU43" i="79"/>
  <c r="CU42" i="79"/>
  <c r="CU41" i="79"/>
  <c r="CU40" i="79"/>
  <c r="CU39" i="79"/>
  <c r="CU38" i="79"/>
  <c r="CU37" i="79"/>
  <c r="CU36" i="79"/>
  <c r="CU35" i="79"/>
  <c r="CU34" i="79"/>
  <c r="CU33" i="79"/>
  <c r="CU32" i="79"/>
  <c r="CU31" i="79"/>
  <c r="CU30" i="79"/>
  <c r="CU29" i="79"/>
  <c r="CU28" i="79"/>
  <c r="CU27" i="79"/>
  <c r="CU26" i="79"/>
  <c r="CU25" i="79"/>
  <c r="CU24" i="79"/>
  <c r="CU23" i="79"/>
  <c r="CU22" i="79"/>
  <c r="CU21" i="79"/>
  <c r="CU20" i="79"/>
  <c r="CU19" i="79"/>
  <c r="CU18" i="79"/>
  <c r="CU17" i="79"/>
  <c r="CU16" i="79"/>
  <c r="CU15" i="79"/>
  <c r="CU14" i="79"/>
  <c r="CU13" i="79"/>
  <c r="CU12" i="79"/>
  <c r="CU11" i="79"/>
  <c r="CU10" i="79"/>
  <c r="CU9" i="79"/>
  <c r="CU8" i="79"/>
  <c r="CU7" i="79"/>
  <c r="CU6" i="79"/>
  <c r="CU5" i="79"/>
  <c r="CU4" i="79"/>
  <c r="CU3" i="79"/>
  <c r="EU13" i="79" l="1"/>
  <c r="DW13" i="79"/>
  <c r="EI12" i="79"/>
  <c r="EI13" i="79"/>
  <c r="DW12" i="79"/>
  <c r="EU12" i="79"/>
  <c r="A14" i="79"/>
  <c r="A16" i="79"/>
  <c r="A15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33" i="79"/>
  <c r="A34" i="79"/>
  <c r="A35" i="79"/>
  <c r="A36" i="79"/>
  <c r="A37" i="79"/>
  <c r="A38" i="79"/>
  <c r="A39" i="79"/>
  <c r="A40" i="79"/>
  <c r="A41" i="79"/>
  <c r="A42" i="79"/>
  <c r="A43" i="79"/>
  <c r="A44" i="79"/>
  <c r="A45" i="79"/>
  <c r="A46" i="79"/>
  <c r="A47" i="79"/>
  <c r="J7" i="90"/>
  <c r="N68" i="90"/>
  <c r="O68" i="90" s="1"/>
  <c r="Z65" i="90"/>
  <c r="S65" i="90"/>
  <c r="K65" i="90"/>
  <c r="D65" i="90"/>
  <c r="Z64" i="90"/>
  <c r="S64" i="90"/>
  <c r="D64" i="90"/>
  <c r="Z60" i="90"/>
  <c r="S60" i="90"/>
  <c r="K60" i="90"/>
  <c r="Z59" i="90"/>
  <c r="K59" i="90"/>
  <c r="Q57" i="90"/>
  <c r="D57" i="90"/>
  <c r="T57" i="90" s="1"/>
  <c r="C57" i="90"/>
  <c r="R57" i="90" s="1"/>
  <c r="B57" i="90"/>
  <c r="Y57" i="90" s="1"/>
  <c r="Q56" i="90"/>
  <c r="D56" i="90"/>
  <c r="T56" i="90" s="1"/>
  <c r="C56" i="90"/>
  <c r="R56" i="90" s="1"/>
  <c r="B56" i="90"/>
  <c r="U56" i="90" s="1"/>
  <c r="Q55" i="90"/>
  <c r="D55" i="90"/>
  <c r="T55" i="90" s="1"/>
  <c r="C55" i="90"/>
  <c r="R55" i="90" s="1"/>
  <c r="B55" i="90"/>
  <c r="AA55" i="90" s="1"/>
  <c r="Q54" i="90"/>
  <c r="D54" i="90"/>
  <c r="T54" i="90" s="1"/>
  <c r="C54" i="90"/>
  <c r="R54" i="90" s="1"/>
  <c r="B54" i="90"/>
  <c r="W54" i="90" s="1"/>
  <c r="Q53" i="90"/>
  <c r="D53" i="90"/>
  <c r="T53" i="90" s="1"/>
  <c r="C53" i="90"/>
  <c r="R53" i="90" s="1"/>
  <c r="B53" i="90"/>
  <c r="AA53" i="90" s="1"/>
  <c r="Q52" i="90"/>
  <c r="D52" i="90"/>
  <c r="T52" i="90" s="1"/>
  <c r="C52" i="90"/>
  <c r="R52" i="90" s="1"/>
  <c r="B52" i="90"/>
  <c r="Y52" i="90" s="1"/>
  <c r="Q51" i="90"/>
  <c r="D51" i="90"/>
  <c r="T51" i="90" s="1"/>
  <c r="C51" i="90"/>
  <c r="R51" i="90" s="1"/>
  <c r="B51" i="90"/>
  <c r="U51" i="90" s="1"/>
  <c r="Q50" i="90"/>
  <c r="D50" i="90"/>
  <c r="T50" i="90" s="1"/>
  <c r="C50" i="90"/>
  <c r="R50" i="90" s="1"/>
  <c r="B50" i="90"/>
  <c r="AA50" i="90" s="1"/>
  <c r="Q49" i="90"/>
  <c r="D49" i="90"/>
  <c r="T49" i="90" s="1"/>
  <c r="C49" i="90"/>
  <c r="R49" i="90" s="1"/>
  <c r="B49" i="90"/>
  <c r="W49" i="90" s="1"/>
  <c r="Q48" i="90"/>
  <c r="D48" i="90"/>
  <c r="T48" i="90" s="1"/>
  <c r="C48" i="90"/>
  <c r="R48" i="90" s="1"/>
  <c r="B48" i="90"/>
  <c r="AA48" i="90" s="1"/>
  <c r="Q47" i="90"/>
  <c r="D47" i="90"/>
  <c r="T47" i="90" s="1"/>
  <c r="C47" i="90"/>
  <c r="R47" i="90" s="1"/>
  <c r="B47" i="90"/>
  <c r="Y47" i="90" s="1"/>
  <c r="Q46" i="90"/>
  <c r="D46" i="90"/>
  <c r="T46" i="90" s="1"/>
  <c r="C46" i="90"/>
  <c r="R46" i="90" s="1"/>
  <c r="B46" i="90"/>
  <c r="U46" i="90" s="1"/>
  <c r="Q45" i="90"/>
  <c r="D45" i="90"/>
  <c r="T45" i="90" s="1"/>
  <c r="C45" i="90"/>
  <c r="R45" i="90" s="1"/>
  <c r="B45" i="90"/>
  <c r="AA45" i="90" s="1"/>
  <c r="Q44" i="90"/>
  <c r="D44" i="90"/>
  <c r="T44" i="90" s="1"/>
  <c r="C44" i="90"/>
  <c r="R44" i="90" s="1"/>
  <c r="B44" i="90"/>
  <c r="W44" i="90" s="1"/>
  <c r="Q43" i="90"/>
  <c r="D43" i="90"/>
  <c r="T43" i="90" s="1"/>
  <c r="C43" i="90"/>
  <c r="R43" i="90" s="1"/>
  <c r="B43" i="90"/>
  <c r="AA43" i="90" s="1"/>
  <c r="Q42" i="90"/>
  <c r="D42" i="90"/>
  <c r="T42" i="90" s="1"/>
  <c r="C42" i="90"/>
  <c r="R42" i="90" s="1"/>
  <c r="B42" i="90"/>
  <c r="Y42" i="90" s="1"/>
  <c r="Q41" i="90"/>
  <c r="D41" i="90"/>
  <c r="T41" i="90" s="1"/>
  <c r="C41" i="90"/>
  <c r="R41" i="90" s="1"/>
  <c r="B41" i="90"/>
  <c r="U41" i="90" s="1"/>
  <c r="Q40" i="90"/>
  <c r="D40" i="90"/>
  <c r="T40" i="90" s="1"/>
  <c r="C40" i="90"/>
  <c r="R40" i="90" s="1"/>
  <c r="B40" i="90"/>
  <c r="AA40" i="90" s="1"/>
  <c r="Q39" i="90"/>
  <c r="D39" i="90"/>
  <c r="T39" i="90" s="1"/>
  <c r="C39" i="90"/>
  <c r="R39" i="90" s="1"/>
  <c r="B39" i="90"/>
  <c r="U39" i="90" s="1"/>
  <c r="Q38" i="90"/>
  <c r="D38" i="90"/>
  <c r="T38" i="90" s="1"/>
  <c r="C38" i="90"/>
  <c r="R38" i="90" s="1"/>
  <c r="B38" i="90"/>
  <c r="Q37" i="90"/>
  <c r="D37" i="90"/>
  <c r="T37" i="90" s="1"/>
  <c r="R37" i="90"/>
  <c r="B37" i="90"/>
  <c r="AA37" i="90" s="1"/>
  <c r="Q36" i="90"/>
  <c r="D36" i="90"/>
  <c r="T36" i="90" s="1"/>
  <c r="C36" i="90"/>
  <c r="R36" i="90" s="1"/>
  <c r="B36" i="90"/>
  <c r="Q35" i="90"/>
  <c r="D35" i="90"/>
  <c r="T35" i="90" s="1"/>
  <c r="C35" i="90"/>
  <c r="R35" i="90" s="1"/>
  <c r="B35" i="90"/>
  <c r="Q34" i="90"/>
  <c r="D34" i="90"/>
  <c r="T34" i="90" s="1"/>
  <c r="C34" i="90"/>
  <c r="R34" i="90" s="1"/>
  <c r="B34" i="90"/>
  <c r="U34" i="90" s="1"/>
  <c r="Q33" i="90"/>
  <c r="D33" i="90"/>
  <c r="T33" i="90" s="1"/>
  <c r="C33" i="90"/>
  <c r="R33" i="90" s="1"/>
  <c r="B33" i="90"/>
  <c r="Q32" i="90"/>
  <c r="D32" i="90"/>
  <c r="T32" i="90" s="1"/>
  <c r="C32" i="90"/>
  <c r="R32" i="90" s="1"/>
  <c r="B32" i="90"/>
  <c r="U32" i="90" s="1"/>
  <c r="Q31" i="90"/>
  <c r="D31" i="90"/>
  <c r="T31" i="90" s="1"/>
  <c r="C31" i="90"/>
  <c r="R31" i="90" s="1"/>
  <c r="B31" i="90"/>
  <c r="Q30" i="90"/>
  <c r="D30" i="90"/>
  <c r="T30" i="90" s="1"/>
  <c r="C30" i="90"/>
  <c r="R30" i="90" s="1"/>
  <c r="B30" i="90"/>
  <c r="Q29" i="90"/>
  <c r="D29" i="90"/>
  <c r="T29" i="90" s="1"/>
  <c r="C29" i="90"/>
  <c r="R29" i="90" s="1"/>
  <c r="B29" i="90"/>
  <c r="AB29" i="90" s="1" a="1"/>
  <c r="AB29" i="90" s="1"/>
  <c r="Q28" i="90"/>
  <c r="D28" i="90"/>
  <c r="T28" i="90" s="1"/>
  <c r="C28" i="90"/>
  <c r="R28" i="90" s="1"/>
  <c r="B28" i="90"/>
  <c r="Q27" i="90"/>
  <c r="D27" i="90"/>
  <c r="T27" i="90" s="1"/>
  <c r="C27" i="90"/>
  <c r="R27" i="90" s="1"/>
  <c r="B27" i="90"/>
  <c r="AB27" i="90" s="1" a="1"/>
  <c r="AB27" i="90" s="1"/>
  <c r="Q26" i="90"/>
  <c r="D26" i="90"/>
  <c r="T26" i="90" s="1"/>
  <c r="C26" i="90"/>
  <c r="R26" i="90" s="1"/>
  <c r="B26" i="90"/>
  <c r="Q25" i="90"/>
  <c r="D25" i="90"/>
  <c r="T25" i="90" s="1"/>
  <c r="C25" i="90"/>
  <c r="R25" i="90" s="1"/>
  <c r="B25" i="90"/>
  <c r="Q24" i="90"/>
  <c r="D24" i="90"/>
  <c r="T24" i="90" s="1"/>
  <c r="C24" i="90"/>
  <c r="R24" i="90" s="1"/>
  <c r="B24" i="90"/>
  <c r="S24" i="90" s="1"/>
  <c r="Q23" i="90"/>
  <c r="D23" i="90"/>
  <c r="T23" i="90" s="1"/>
  <c r="C23" i="90"/>
  <c r="R23" i="90" s="1"/>
  <c r="B23" i="90"/>
  <c r="S23" i="90" s="1"/>
  <c r="Q22" i="90"/>
  <c r="D22" i="90"/>
  <c r="T22" i="90" s="1"/>
  <c r="C22" i="90"/>
  <c r="R22" i="90" s="1"/>
  <c r="B22" i="90"/>
  <c r="Q21" i="90"/>
  <c r="D21" i="90"/>
  <c r="T21" i="90" s="1"/>
  <c r="C21" i="90"/>
  <c r="R21" i="90" s="1"/>
  <c r="B21" i="90"/>
  <c r="Q20" i="90"/>
  <c r="D20" i="90"/>
  <c r="T20" i="90" s="1"/>
  <c r="C20" i="90"/>
  <c r="R20" i="90" s="1"/>
  <c r="B20" i="90"/>
  <c r="Q19" i="90"/>
  <c r="D19" i="90"/>
  <c r="T19" i="90" s="1"/>
  <c r="C19" i="90"/>
  <c r="R19" i="90" s="1"/>
  <c r="B19" i="90"/>
  <c r="Q18" i="90"/>
  <c r="D18" i="90"/>
  <c r="T18" i="90" s="1"/>
  <c r="C18" i="90"/>
  <c r="R18" i="90" s="1"/>
  <c r="B18" i="90"/>
  <c r="Q17" i="90"/>
  <c r="D17" i="90"/>
  <c r="T17" i="90" s="1"/>
  <c r="C17" i="90"/>
  <c r="R17" i="90" s="1"/>
  <c r="B17" i="90"/>
  <c r="Q16" i="90"/>
  <c r="D16" i="90"/>
  <c r="T16" i="90" s="1"/>
  <c r="C16" i="90"/>
  <c r="R16" i="90" s="1"/>
  <c r="B16" i="90"/>
  <c r="Q15" i="90"/>
  <c r="D15" i="90"/>
  <c r="T15" i="90" s="1"/>
  <c r="C15" i="90"/>
  <c r="R15" i="90" s="1"/>
  <c r="B15" i="90"/>
  <c r="Q14" i="90"/>
  <c r="D14" i="90"/>
  <c r="T14" i="90" s="1"/>
  <c r="C14" i="90"/>
  <c r="R14" i="90" s="1"/>
  <c r="B14" i="90"/>
  <c r="Q13" i="90"/>
  <c r="D13" i="90"/>
  <c r="T13" i="90" s="1"/>
  <c r="C13" i="90"/>
  <c r="R13" i="90" s="1"/>
  <c r="B13" i="90"/>
  <c r="AF12" i="90"/>
  <c r="AF11" i="90"/>
  <c r="AD11" i="90"/>
  <c r="AF10" i="90"/>
  <c r="AF9" i="90"/>
  <c r="Z8" i="90"/>
  <c r="J8" i="90"/>
  <c r="S7" i="90"/>
  <c r="Z7" i="90"/>
  <c r="D7" i="90"/>
  <c r="A1" i="90"/>
  <c r="J7" i="89"/>
  <c r="AD6" i="89" s="1"/>
  <c r="N68" i="89"/>
  <c r="O68" i="89" s="1"/>
  <c r="Z65" i="89"/>
  <c r="S65" i="89"/>
  <c r="K65" i="89"/>
  <c r="D65" i="89"/>
  <c r="Z64" i="89"/>
  <c r="S64" i="89"/>
  <c r="D64" i="89"/>
  <c r="Z60" i="89"/>
  <c r="S60" i="89"/>
  <c r="K60" i="89"/>
  <c r="Z59" i="89"/>
  <c r="K59" i="89"/>
  <c r="Q57" i="89"/>
  <c r="D57" i="89"/>
  <c r="T57" i="89" s="1"/>
  <c r="C57" i="89"/>
  <c r="R57" i="89" s="1"/>
  <c r="B57" i="89"/>
  <c r="Y57" i="89" s="1"/>
  <c r="Q56" i="89"/>
  <c r="D56" i="89"/>
  <c r="T56" i="89" s="1"/>
  <c r="C56" i="89"/>
  <c r="R56" i="89" s="1"/>
  <c r="B56" i="89"/>
  <c r="U56" i="89" s="1"/>
  <c r="Q55" i="89"/>
  <c r="D55" i="89"/>
  <c r="T55" i="89" s="1"/>
  <c r="C55" i="89"/>
  <c r="R55" i="89" s="1"/>
  <c r="B55" i="89"/>
  <c r="AB55" i="89" s="1" a="1"/>
  <c r="AB55" i="89" s="1"/>
  <c r="Q54" i="89"/>
  <c r="D54" i="89"/>
  <c r="T54" i="89" s="1"/>
  <c r="C54" i="89"/>
  <c r="R54" i="89" s="1"/>
  <c r="B54" i="89"/>
  <c r="AB54" i="89" s="1" a="1"/>
  <c r="AB54" i="89" s="1"/>
  <c r="Q53" i="89"/>
  <c r="D53" i="89"/>
  <c r="T53" i="89" s="1"/>
  <c r="C53" i="89"/>
  <c r="R53" i="89" s="1"/>
  <c r="B53" i="89"/>
  <c r="AB53" i="89" s="1" a="1"/>
  <c r="AB53" i="89" s="1"/>
  <c r="Q52" i="89"/>
  <c r="D52" i="89"/>
  <c r="T52" i="89" s="1"/>
  <c r="C52" i="89"/>
  <c r="R52" i="89" s="1"/>
  <c r="B52" i="89"/>
  <c r="Y52" i="89" s="1"/>
  <c r="Q51" i="89"/>
  <c r="D51" i="89"/>
  <c r="T51" i="89" s="1"/>
  <c r="C51" i="89"/>
  <c r="R51" i="89" s="1"/>
  <c r="B51" i="89"/>
  <c r="U51" i="89" s="1"/>
  <c r="Q50" i="89"/>
  <c r="D50" i="89"/>
  <c r="T50" i="89" s="1"/>
  <c r="C50" i="89"/>
  <c r="R50" i="89" s="1"/>
  <c r="B50" i="89"/>
  <c r="AB50" i="89" s="1" a="1"/>
  <c r="AB50" i="89" s="1"/>
  <c r="Q49" i="89"/>
  <c r="D49" i="89"/>
  <c r="T49" i="89" s="1"/>
  <c r="C49" i="89"/>
  <c r="R49" i="89" s="1"/>
  <c r="B49" i="89"/>
  <c r="AB49" i="89" s="1" a="1"/>
  <c r="AB49" i="89" s="1"/>
  <c r="Q48" i="89"/>
  <c r="D48" i="89"/>
  <c r="T48" i="89" s="1"/>
  <c r="C48" i="89"/>
  <c r="R48" i="89" s="1"/>
  <c r="B48" i="89"/>
  <c r="AB48" i="89" s="1" a="1"/>
  <c r="AB48" i="89" s="1"/>
  <c r="Q47" i="89"/>
  <c r="D47" i="89"/>
  <c r="T47" i="89" s="1"/>
  <c r="C47" i="89"/>
  <c r="R47" i="89" s="1"/>
  <c r="B47" i="89"/>
  <c r="Y47" i="89" s="1"/>
  <c r="Q46" i="89"/>
  <c r="D46" i="89"/>
  <c r="T46" i="89" s="1"/>
  <c r="C46" i="89"/>
  <c r="R46" i="89" s="1"/>
  <c r="B46" i="89"/>
  <c r="U46" i="89" s="1"/>
  <c r="Q45" i="89"/>
  <c r="D45" i="89"/>
  <c r="T45" i="89" s="1"/>
  <c r="C45" i="89"/>
  <c r="R45" i="89" s="1"/>
  <c r="B45" i="89"/>
  <c r="AB45" i="89" s="1" a="1"/>
  <c r="AB45" i="89" s="1"/>
  <c r="Q44" i="89"/>
  <c r="D44" i="89"/>
  <c r="T44" i="89" s="1"/>
  <c r="C44" i="89"/>
  <c r="R44" i="89" s="1"/>
  <c r="B44" i="89"/>
  <c r="AB44" i="89" s="1" a="1"/>
  <c r="AB44" i="89" s="1"/>
  <c r="Q43" i="89"/>
  <c r="D43" i="89"/>
  <c r="T43" i="89" s="1"/>
  <c r="C43" i="89"/>
  <c r="R43" i="89" s="1"/>
  <c r="B43" i="89"/>
  <c r="AB43" i="89" s="1" a="1"/>
  <c r="AB43" i="89" s="1"/>
  <c r="Q42" i="89"/>
  <c r="D42" i="89"/>
  <c r="T42" i="89" s="1"/>
  <c r="C42" i="89"/>
  <c r="R42" i="89" s="1"/>
  <c r="B42" i="89"/>
  <c r="Y42" i="89" s="1"/>
  <c r="Q41" i="89"/>
  <c r="D41" i="89"/>
  <c r="T41" i="89" s="1"/>
  <c r="C41" i="89"/>
  <c r="R41" i="89" s="1"/>
  <c r="B41" i="89"/>
  <c r="U41" i="89" s="1"/>
  <c r="Q40" i="89"/>
  <c r="D40" i="89"/>
  <c r="T40" i="89" s="1"/>
  <c r="C40" i="89"/>
  <c r="R40" i="89" s="1"/>
  <c r="B40" i="89"/>
  <c r="AB40" i="89" s="1" a="1"/>
  <c r="AB40" i="89" s="1"/>
  <c r="Q39" i="89"/>
  <c r="D39" i="89"/>
  <c r="T39" i="89" s="1"/>
  <c r="C39" i="89"/>
  <c r="R39" i="89" s="1"/>
  <c r="B39" i="89"/>
  <c r="U39" i="89" s="1"/>
  <c r="Q38" i="89"/>
  <c r="D38" i="89"/>
  <c r="T38" i="89" s="1"/>
  <c r="C38" i="89"/>
  <c r="R38" i="89" s="1"/>
  <c r="B38" i="89"/>
  <c r="Q37" i="89"/>
  <c r="D37" i="89"/>
  <c r="T37" i="89" s="1"/>
  <c r="C37" i="89"/>
  <c r="R37" i="89" s="1"/>
  <c r="B37" i="89"/>
  <c r="Q36" i="89"/>
  <c r="D36" i="89"/>
  <c r="T36" i="89" s="1"/>
  <c r="C36" i="89"/>
  <c r="R36" i="89" s="1"/>
  <c r="B36" i="89"/>
  <c r="AB36" i="89" s="1" a="1"/>
  <c r="AB36" i="89" s="1"/>
  <c r="Q35" i="89"/>
  <c r="D35" i="89"/>
  <c r="T35" i="89" s="1"/>
  <c r="C35" i="89"/>
  <c r="R35" i="89" s="1"/>
  <c r="B35" i="89"/>
  <c r="Q34" i="89"/>
  <c r="D34" i="89"/>
  <c r="T34" i="89" s="1"/>
  <c r="C34" i="89"/>
  <c r="R34" i="89" s="1"/>
  <c r="B34" i="89"/>
  <c r="U34" i="89" s="1"/>
  <c r="Q33" i="89"/>
  <c r="D33" i="89"/>
  <c r="T33" i="89" s="1"/>
  <c r="C33" i="89"/>
  <c r="R33" i="89" s="1"/>
  <c r="B33" i="89"/>
  <c r="Q32" i="89"/>
  <c r="D32" i="89"/>
  <c r="T32" i="89" s="1"/>
  <c r="C32" i="89"/>
  <c r="R32" i="89" s="1"/>
  <c r="B32" i="89"/>
  <c r="Q31" i="89"/>
  <c r="D31" i="89"/>
  <c r="T31" i="89" s="1"/>
  <c r="C31" i="89"/>
  <c r="R31" i="89" s="1"/>
  <c r="B31" i="89"/>
  <c r="Z31" i="89" s="1"/>
  <c r="Q30" i="89"/>
  <c r="D30" i="89"/>
  <c r="T30" i="89" s="1"/>
  <c r="C30" i="89"/>
  <c r="R30" i="89" s="1"/>
  <c r="B30" i="89"/>
  <c r="Q29" i="89"/>
  <c r="D29" i="89"/>
  <c r="T29" i="89" s="1"/>
  <c r="C29" i="89"/>
  <c r="R29" i="89" s="1"/>
  <c r="B29" i="89"/>
  <c r="W29" i="89" s="1"/>
  <c r="Q28" i="89"/>
  <c r="D28" i="89"/>
  <c r="T28" i="89" s="1"/>
  <c r="C28" i="89"/>
  <c r="R28" i="89" s="1"/>
  <c r="B28" i="89"/>
  <c r="Q27" i="89"/>
  <c r="D27" i="89"/>
  <c r="T27" i="89" s="1"/>
  <c r="C27" i="89"/>
  <c r="R27" i="89" s="1"/>
  <c r="B27" i="89"/>
  <c r="Q26" i="89"/>
  <c r="D26" i="89"/>
  <c r="T26" i="89" s="1"/>
  <c r="C26" i="89"/>
  <c r="R26" i="89" s="1"/>
  <c r="B26" i="89"/>
  <c r="Z26" i="89" s="1"/>
  <c r="Q25" i="89"/>
  <c r="D25" i="89"/>
  <c r="T25" i="89" s="1"/>
  <c r="C25" i="89"/>
  <c r="R25" i="89" s="1"/>
  <c r="B25" i="89"/>
  <c r="Q24" i="89"/>
  <c r="D24" i="89"/>
  <c r="T24" i="89" s="1"/>
  <c r="C24" i="89"/>
  <c r="R24" i="89" s="1"/>
  <c r="B24" i="89"/>
  <c r="S24" i="89" s="1"/>
  <c r="Q23" i="89"/>
  <c r="D23" i="89"/>
  <c r="T23" i="89" s="1"/>
  <c r="C23" i="89"/>
  <c r="R23" i="89" s="1"/>
  <c r="B23" i="89"/>
  <c r="S23" i="89" s="1"/>
  <c r="Q22" i="89"/>
  <c r="D22" i="89"/>
  <c r="T22" i="89" s="1"/>
  <c r="C22" i="89"/>
  <c r="R22" i="89" s="1"/>
  <c r="B22" i="89"/>
  <c r="Q21" i="89"/>
  <c r="D21" i="89"/>
  <c r="T21" i="89" s="1"/>
  <c r="C21" i="89"/>
  <c r="R21" i="89" s="1"/>
  <c r="B21" i="89"/>
  <c r="Q20" i="89"/>
  <c r="D20" i="89"/>
  <c r="T20" i="89" s="1"/>
  <c r="C20" i="89"/>
  <c r="R20" i="89" s="1"/>
  <c r="B20" i="89"/>
  <c r="Q19" i="89"/>
  <c r="D19" i="89"/>
  <c r="T19" i="89" s="1"/>
  <c r="C19" i="89"/>
  <c r="R19" i="89" s="1"/>
  <c r="B19" i="89"/>
  <c r="Q18" i="89"/>
  <c r="D18" i="89"/>
  <c r="T18" i="89" s="1"/>
  <c r="C18" i="89"/>
  <c r="R18" i="89" s="1"/>
  <c r="B18" i="89"/>
  <c r="Q17" i="89"/>
  <c r="D17" i="89"/>
  <c r="T17" i="89" s="1"/>
  <c r="C17" i="89"/>
  <c r="B17" i="89"/>
  <c r="Q16" i="89"/>
  <c r="D16" i="89"/>
  <c r="T16" i="89" s="1"/>
  <c r="C16" i="89"/>
  <c r="R16" i="89" s="1"/>
  <c r="B16" i="89"/>
  <c r="Q15" i="89"/>
  <c r="D15" i="89"/>
  <c r="T15" i="89" s="1"/>
  <c r="C15" i="89"/>
  <c r="B15" i="89"/>
  <c r="S15" i="89" s="1"/>
  <c r="Q14" i="89"/>
  <c r="D14" i="89"/>
  <c r="T14" i="89" s="1"/>
  <c r="C14" i="89"/>
  <c r="R14" i="89" s="1"/>
  <c r="B14" i="89"/>
  <c r="Q13" i="89"/>
  <c r="D13" i="89"/>
  <c r="T13" i="89" s="1"/>
  <c r="C13" i="89"/>
  <c r="R13" i="89" s="1"/>
  <c r="B13" i="89"/>
  <c r="S13" i="89" s="1"/>
  <c r="AF12" i="89"/>
  <c r="AF11" i="89"/>
  <c r="AD11" i="89"/>
  <c r="AF10" i="89"/>
  <c r="AF9" i="89"/>
  <c r="Z8" i="89"/>
  <c r="J8" i="89"/>
  <c r="Z7" i="89"/>
  <c r="S7" i="89"/>
  <c r="D7" i="89"/>
  <c r="A1" i="89"/>
  <c r="J7" i="88"/>
  <c r="Z7" i="88" s="1"/>
  <c r="N68" i="88"/>
  <c r="O68" i="88" s="1"/>
  <c r="Z65" i="88"/>
  <c r="S65" i="88"/>
  <c r="K65" i="88"/>
  <c r="D65" i="88"/>
  <c r="Z64" i="88"/>
  <c r="S64" i="88"/>
  <c r="D64" i="88"/>
  <c r="Z60" i="88"/>
  <c r="S60" i="88"/>
  <c r="K60" i="88"/>
  <c r="Z59" i="88"/>
  <c r="K59" i="88"/>
  <c r="Q57" i="88"/>
  <c r="D57" i="88"/>
  <c r="T57" i="88" s="1"/>
  <c r="C57" i="88"/>
  <c r="R57" i="88" s="1"/>
  <c r="B57" i="88"/>
  <c r="Y57" i="88" s="1"/>
  <c r="Q56" i="88"/>
  <c r="D56" i="88"/>
  <c r="T56" i="88" s="1"/>
  <c r="C56" i="88"/>
  <c r="R56" i="88" s="1"/>
  <c r="B56" i="88"/>
  <c r="U56" i="88" s="1"/>
  <c r="Q55" i="88"/>
  <c r="D55" i="88"/>
  <c r="T55" i="88" s="1"/>
  <c r="C55" i="88"/>
  <c r="R55" i="88" s="1"/>
  <c r="B55" i="88"/>
  <c r="AB55" i="88" s="1" a="1"/>
  <c r="AB55" i="88" s="1"/>
  <c r="Q54" i="88"/>
  <c r="D54" i="88"/>
  <c r="T54" i="88" s="1"/>
  <c r="C54" i="88"/>
  <c r="R54" i="88" s="1"/>
  <c r="B54" i="88"/>
  <c r="Z54" i="88" s="1"/>
  <c r="Q53" i="88"/>
  <c r="D53" i="88"/>
  <c r="T53" i="88" s="1"/>
  <c r="C53" i="88"/>
  <c r="R53" i="88" s="1"/>
  <c r="B53" i="88"/>
  <c r="AB53" i="88" s="1" a="1"/>
  <c r="AB53" i="88" s="1"/>
  <c r="Q52" i="88"/>
  <c r="D52" i="88"/>
  <c r="T52" i="88" s="1"/>
  <c r="C52" i="88"/>
  <c r="R52" i="88" s="1"/>
  <c r="B52" i="88"/>
  <c r="Y52" i="88" s="1"/>
  <c r="Q51" i="88"/>
  <c r="D51" i="88"/>
  <c r="T51" i="88" s="1"/>
  <c r="C51" i="88"/>
  <c r="R51" i="88" s="1"/>
  <c r="B51" i="88"/>
  <c r="U51" i="88" s="1"/>
  <c r="Q50" i="88"/>
  <c r="D50" i="88"/>
  <c r="T50" i="88" s="1"/>
  <c r="C50" i="88"/>
  <c r="R50" i="88" s="1"/>
  <c r="B50" i="88"/>
  <c r="AB50" i="88" s="1" a="1"/>
  <c r="AB50" i="88" s="1"/>
  <c r="Q49" i="88"/>
  <c r="D49" i="88"/>
  <c r="T49" i="88" s="1"/>
  <c r="C49" i="88"/>
  <c r="R49" i="88" s="1"/>
  <c r="B49" i="88"/>
  <c r="Z49" i="88" s="1"/>
  <c r="Q48" i="88"/>
  <c r="D48" i="88"/>
  <c r="T48" i="88" s="1"/>
  <c r="C48" i="88"/>
  <c r="R48" i="88" s="1"/>
  <c r="B48" i="88"/>
  <c r="AB48" i="88" s="1" a="1"/>
  <c r="AB48" i="88" s="1"/>
  <c r="Q47" i="88"/>
  <c r="D47" i="88"/>
  <c r="T47" i="88" s="1"/>
  <c r="C47" i="88"/>
  <c r="R47" i="88" s="1"/>
  <c r="B47" i="88"/>
  <c r="Y47" i="88" s="1"/>
  <c r="Q46" i="88"/>
  <c r="D46" i="88"/>
  <c r="T46" i="88" s="1"/>
  <c r="C46" i="88"/>
  <c r="R46" i="88" s="1"/>
  <c r="B46" i="88"/>
  <c r="U46" i="88" s="1"/>
  <c r="Q45" i="88"/>
  <c r="D45" i="88"/>
  <c r="T45" i="88" s="1"/>
  <c r="C45" i="88"/>
  <c r="R45" i="88" s="1"/>
  <c r="B45" i="88"/>
  <c r="AB45" i="88" s="1" a="1"/>
  <c r="AB45" i="88" s="1"/>
  <c r="Q44" i="88"/>
  <c r="D44" i="88"/>
  <c r="T44" i="88" s="1"/>
  <c r="C44" i="88"/>
  <c r="R44" i="88" s="1"/>
  <c r="B44" i="88"/>
  <c r="Z44" i="88" s="1"/>
  <c r="Q43" i="88"/>
  <c r="D43" i="88"/>
  <c r="T43" i="88" s="1"/>
  <c r="C43" i="88"/>
  <c r="R43" i="88" s="1"/>
  <c r="B43" i="88"/>
  <c r="AB43" i="88" s="1" a="1"/>
  <c r="AB43" i="88" s="1"/>
  <c r="Q42" i="88"/>
  <c r="D42" i="88"/>
  <c r="T42" i="88" s="1"/>
  <c r="C42" i="88"/>
  <c r="R42" i="88" s="1"/>
  <c r="B42" i="88"/>
  <c r="Y42" i="88" s="1"/>
  <c r="Q41" i="88"/>
  <c r="D41" i="88"/>
  <c r="T41" i="88" s="1"/>
  <c r="C41" i="88"/>
  <c r="R41" i="88" s="1"/>
  <c r="B41" i="88"/>
  <c r="U41" i="88" s="1"/>
  <c r="Q40" i="88"/>
  <c r="D40" i="88"/>
  <c r="T40" i="88" s="1"/>
  <c r="C40" i="88"/>
  <c r="R40" i="88" s="1"/>
  <c r="B40" i="88"/>
  <c r="AB40" i="88" s="1" a="1"/>
  <c r="AB40" i="88" s="1"/>
  <c r="Q39" i="88"/>
  <c r="D39" i="88"/>
  <c r="T39" i="88" s="1"/>
  <c r="C39" i="88"/>
  <c r="R39" i="88" s="1"/>
  <c r="B39" i="88"/>
  <c r="U39" i="88" s="1"/>
  <c r="Q38" i="88"/>
  <c r="D38" i="88"/>
  <c r="T38" i="88" s="1"/>
  <c r="C38" i="88"/>
  <c r="R38" i="88" s="1"/>
  <c r="B38" i="88"/>
  <c r="Q37" i="88"/>
  <c r="D37" i="88"/>
  <c r="T37" i="88" s="1"/>
  <c r="C37" i="88"/>
  <c r="R37" i="88" s="1"/>
  <c r="B37" i="88"/>
  <c r="Q36" i="88"/>
  <c r="D36" i="88"/>
  <c r="T36" i="88" s="1"/>
  <c r="C36" i="88"/>
  <c r="R36" i="88" s="1"/>
  <c r="B36" i="88"/>
  <c r="Q35" i="88"/>
  <c r="D35" i="88"/>
  <c r="T35" i="88" s="1"/>
  <c r="C35" i="88"/>
  <c r="R35" i="88" s="1"/>
  <c r="B35" i="88"/>
  <c r="Q34" i="88"/>
  <c r="D34" i="88"/>
  <c r="T34" i="88" s="1"/>
  <c r="C34" i="88"/>
  <c r="R34" i="88" s="1"/>
  <c r="B34" i="88"/>
  <c r="U34" i="88" s="1"/>
  <c r="Q33" i="88"/>
  <c r="D33" i="88"/>
  <c r="T33" i="88" s="1"/>
  <c r="C33" i="88"/>
  <c r="R33" i="88" s="1"/>
  <c r="B33" i="88"/>
  <c r="Q32" i="88"/>
  <c r="D32" i="88"/>
  <c r="T32" i="88" s="1"/>
  <c r="C32" i="88"/>
  <c r="R32" i="88" s="1"/>
  <c r="B32" i="88"/>
  <c r="Q31" i="88"/>
  <c r="D31" i="88"/>
  <c r="T31" i="88" s="1"/>
  <c r="C31" i="88"/>
  <c r="R31" i="88" s="1"/>
  <c r="B31" i="88"/>
  <c r="Q30" i="88"/>
  <c r="D30" i="88"/>
  <c r="T30" i="88" s="1"/>
  <c r="C30" i="88"/>
  <c r="R30" i="88" s="1"/>
  <c r="B30" i="88"/>
  <c r="Q29" i="88"/>
  <c r="D29" i="88"/>
  <c r="T29" i="88" s="1"/>
  <c r="C29" i="88"/>
  <c r="R29" i="88" s="1"/>
  <c r="B29" i="88"/>
  <c r="AB29" i="88" s="1" a="1"/>
  <c r="AB29" i="88" s="1"/>
  <c r="Q28" i="88"/>
  <c r="D28" i="88"/>
  <c r="T28" i="88" s="1"/>
  <c r="C28" i="88"/>
  <c r="R28" i="88" s="1"/>
  <c r="B28" i="88"/>
  <c r="Q27" i="88"/>
  <c r="D27" i="88"/>
  <c r="T27" i="88" s="1"/>
  <c r="C27" i="88"/>
  <c r="R27" i="88" s="1"/>
  <c r="B27" i="88"/>
  <c r="Q26" i="88"/>
  <c r="D26" i="88"/>
  <c r="T26" i="88" s="1"/>
  <c r="C26" i="88"/>
  <c r="R26" i="88" s="1"/>
  <c r="B26" i="88"/>
  <c r="Q25" i="88"/>
  <c r="D25" i="88"/>
  <c r="T25" i="88" s="1"/>
  <c r="C25" i="88"/>
  <c r="R25" i="88" s="1"/>
  <c r="B25" i="88"/>
  <c r="Q24" i="88"/>
  <c r="D24" i="88"/>
  <c r="T24" i="88" s="1"/>
  <c r="C24" i="88"/>
  <c r="R24" i="88" s="1"/>
  <c r="B24" i="88"/>
  <c r="S24" i="88" s="1"/>
  <c r="Q23" i="88"/>
  <c r="D23" i="88"/>
  <c r="T23" i="88" s="1"/>
  <c r="C23" i="88"/>
  <c r="R23" i="88" s="1"/>
  <c r="B23" i="88"/>
  <c r="S23" i="88" s="1"/>
  <c r="Q22" i="88"/>
  <c r="D22" i="88"/>
  <c r="T22" i="88" s="1"/>
  <c r="C22" i="88"/>
  <c r="R22" i="88" s="1"/>
  <c r="B22" i="88"/>
  <c r="Q21" i="88"/>
  <c r="D21" i="88"/>
  <c r="T21" i="88" s="1"/>
  <c r="C21" i="88"/>
  <c r="R21" i="88" s="1"/>
  <c r="B21" i="88"/>
  <c r="Q20" i="88"/>
  <c r="D20" i="88"/>
  <c r="T20" i="88" s="1"/>
  <c r="C20" i="88"/>
  <c r="R20" i="88" s="1"/>
  <c r="B20" i="88"/>
  <c r="Q19" i="88"/>
  <c r="D19" i="88"/>
  <c r="T19" i="88" s="1"/>
  <c r="C19" i="88"/>
  <c r="R19" i="88" s="1"/>
  <c r="B19" i="88"/>
  <c r="Q18" i="88"/>
  <c r="D18" i="88"/>
  <c r="T18" i="88" s="1"/>
  <c r="C18" i="88"/>
  <c r="R18" i="88" s="1"/>
  <c r="B18" i="88"/>
  <c r="Q17" i="88"/>
  <c r="D17" i="88"/>
  <c r="T17" i="88" s="1"/>
  <c r="C17" i="88"/>
  <c r="B17" i="88"/>
  <c r="Q16" i="88"/>
  <c r="D16" i="88"/>
  <c r="T16" i="88" s="1"/>
  <c r="C16" i="88"/>
  <c r="B16" i="88"/>
  <c r="Q15" i="88"/>
  <c r="D15" i="88"/>
  <c r="T15" i="88" s="1"/>
  <c r="C15" i="88"/>
  <c r="B15" i="88"/>
  <c r="S15" i="88" s="1"/>
  <c r="Q14" i="88"/>
  <c r="D14" i="88"/>
  <c r="T14" i="88" s="1"/>
  <c r="C14" i="88"/>
  <c r="B14" i="88"/>
  <c r="Q13" i="88"/>
  <c r="D13" i="88"/>
  <c r="T13" i="88" s="1"/>
  <c r="C13" i="88"/>
  <c r="R13" i="88" s="1"/>
  <c r="B13" i="88"/>
  <c r="AF12" i="88"/>
  <c r="AF11" i="88"/>
  <c r="AD11" i="88"/>
  <c r="AF10" i="88"/>
  <c r="AF9" i="88"/>
  <c r="Z8" i="88"/>
  <c r="J8" i="88"/>
  <c r="S7" i="88"/>
  <c r="AD6" i="88"/>
  <c r="D7" i="88"/>
  <c r="A1" i="88"/>
  <c r="J7" i="87"/>
  <c r="Z7" i="87" s="1"/>
  <c r="N68" i="87"/>
  <c r="O68" i="87" s="1"/>
  <c r="Z65" i="87"/>
  <c r="S65" i="87"/>
  <c r="K65" i="87"/>
  <c r="D65" i="87"/>
  <c r="Z64" i="87"/>
  <c r="S64" i="87"/>
  <c r="D64" i="87"/>
  <c r="Z60" i="87"/>
  <c r="S60" i="87"/>
  <c r="K60" i="87"/>
  <c r="Z59" i="87"/>
  <c r="K59" i="87"/>
  <c r="Q57" i="87"/>
  <c r="D57" i="87"/>
  <c r="T57" i="87" s="1"/>
  <c r="C57" i="87"/>
  <c r="R57" i="87" s="1"/>
  <c r="B57" i="87"/>
  <c r="Y57" i="87" s="1"/>
  <c r="Q56" i="87"/>
  <c r="D56" i="87"/>
  <c r="T56" i="87" s="1"/>
  <c r="C56" i="87"/>
  <c r="R56" i="87" s="1"/>
  <c r="B56" i="87"/>
  <c r="U56" i="87" s="1"/>
  <c r="Q55" i="87"/>
  <c r="D55" i="87"/>
  <c r="T55" i="87" s="1"/>
  <c r="C55" i="87"/>
  <c r="R55" i="87" s="1"/>
  <c r="B55" i="87"/>
  <c r="AB55" i="87" s="1" a="1"/>
  <c r="AB55" i="87" s="1"/>
  <c r="Q54" i="87"/>
  <c r="D54" i="87"/>
  <c r="T54" i="87" s="1"/>
  <c r="C54" i="87"/>
  <c r="R54" i="87" s="1"/>
  <c r="B54" i="87"/>
  <c r="AB54" i="87" s="1" a="1"/>
  <c r="AB54" i="87" s="1"/>
  <c r="Q53" i="87"/>
  <c r="D53" i="87"/>
  <c r="T53" i="87" s="1"/>
  <c r="C53" i="87"/>
  <c r="R53" i="87" s="1"/>
  <c r="B53" i="87"/>
  <c r="S53" i="87" s="1"/>
  <c r="Q52" i="87"/>
  <c r="D52" i="87"/>
  <c r="T52" i="87" s="1"/>
  <c r="C52" i="87"/>
  <c r="R52" i="87" s="1"/>
  <c r="B52" i="87"/>
  <c r="Y52" i="87" s="1"/>
  <c r="Q51" i="87"/>
  <c r="D51" i="87"/>
  <c r="T51" i="87" s="1"/>
  <c r="C51" i="87"/>
  <c r="R51" i="87" s="1"/>
  <c r="B51" i="87"/>
  <c r="U51" i="87" s="1"/>
  <c r="Q50" i="87"/>
  <c r="D50" i="87"/>
  <c r="T50" i="87" s="1"/>
  <c r="C50" i="87"/>
  <c r="R50" i="87" s="1"/>
  <c r="B50" i="87"/>
  <c r="AB50" i="87" s="1" a="1"/>
  <c r="AB50" i="87" s="1"/>
  <c r="Q49" i="87"/>
  <c r="D49" i="87"/>
  <c r="T49" i="87" s="1"/>
  <c r="C49" i="87"/>
  <c r="R49" i="87" s="1"/>
  <c r="B49" i="87"/>
  <c r="AB49" i="87" s="1" a="1"/>
  <c r="AB49" i="87" s="1"/>
  <c r="Q48" i="87"/>
  <c r="D48" i="87"/>
  <c r="T48" i="87" s="1"/>
  <c r="C48" i="87"/>
  <c r="R48" i="87" s="1"/>
  <c r="B48" i="87"/>
  <c r="S48" i="87" s="1"/>
  <c r="Q47" i="87"/>
  <c r="D47" i="87"/>
  <c r="T47" i="87" s="1"/>
  <c r="C47" i="87"/>
  <c r="R47" i="87" s="1"/>
  <c r="B47" i="87"/>
  <c r="Y47" i="87" s="1"/>
  <c r="Q46" i="87"/>
  <c r="D46" i="87"/>
  <c r="T46" i="87" s="1"/>
  <c r="C46" i="87"/>
  <c r="R46" i="87" s="1"/>
  <c r="B46" i="87"/>
  <c r="U46" i="87" s="1"/>
  <c r="Q45" i="87"/>
  <c r="D45" i="87"/>
  <c r="T45" i="87" s="1"/>
  <c r="C45" i="87"/>
  <c r="R45" i="87" s="1"/>
  <c r="B45" i="87"/>
  <c r="AB45" i="87" s="1" a="1"/>
  <c r="AB45" i="87" s="1"/>
  <c r="Q44" i="87"/>
  <c r="D44" i="87"/>
  <c r="T44" i="87" s="1"/>
  <c r="C44" i="87"/>
  <c r="R44" i="87" s="1"/>
  <c r="B44" i="87"/>
  <c r="AB44" i="87" s="1" a="1"/>
  <c r="AB44" i="87" s="1"/>
  <c r="Q43" i="87"/>
  <c r="D43" i="87"/>
  <c r="T43" i="87" s="1"/>
  <c r="C43" i="87"/>
  <c r="R43" i="87" s="1"/>
  <c r="B43" i="87"/>
  <c r="S43" i="87" s="1"/>
  <c r="Q42" i="87"/>
  <c r="D42" i="87"/>
  <c r="T42" i="87" s="1"/>
  <c r="C42" i="87"/>
  <c r="R42" i="87" s="1"/>
  <c r="B42" i="87"/>
  <c r="Y42" i="87" s="1"/>
  <c r="Q41" i="87"/>
  <c r="D41" i="87"/>
  <c r="T41" i="87" s="1"/>
  <c r="C41" i="87"/>
  <c r="R41" i="87" s="1"/>
  <c r="B41" i="87"/>
  <c r="U41" i="87" s="1"/>
  <c r="Q40" i="87"/>
  <c r="D40" i="87"/>
  <c r="T40" i="87" s="1"/>
  <c r="C40" i="87"/>
  <c r="R40" i="87" s="1"/>
  <c r="B40" i="87"/>
  <c r="AB40" i="87" s="1" a="1"/>
  <c r="AB40" i="87" s="1"/>
  <c r="Q39" i="87"/>
  <c r="D39" i="87"/>
  <c r="T39" i="87" s="1"/>
  <c r="C39" i="87"/>
  <c r="R39" i="87" s="1"/>
  <c r="B39" i="87"/>
  <c r="U39" i="87" s="1"/>
  <c r="Q38" i="87"/>
  <c r="D38" i="87"/>
  <c r="T38" i="87" s="1"/>
  <c r="C38" i="87"/>
  <c r="R38" i="87" s="1"/>
  <c r="B38" i="87"/>
  <c r="Q37" i="87"/>
  <c r="D37" i="87"/>
  <c r="T37" i="87" s="1"/>
  <c r="C37" i="87"/>
  <c r="R37" i="87" s="1"/>
  <c r="B37" i="87"/>
  <c r="S37" i="87" s="1"/>
  <c r="Q36" i="87"/>
  <c r="D36" i="87"/>
  <c r="T36" i="87" s="1"/>
  <c r="C36" i="87"/>
  <c r="R36" i="87" s="1"/>
  <c r="B36" i="87"/>
  <c r="Q35" i="87"/>
  <c r="D35" i="87"/>
  <c r="T35" i="87" s="1"/>
  <c r="C35" i="87"/>
  <c r="R35" i="87" s="1"/>
  <c r="B35" i="87"/>
  <c r="Q34" i="87"/>
  <c r="D34" i="87"/>
  <c r="T34" i="87" s="1"/>
  <c r="C34" i="87"/>
  <c r="R34" i="87" s="1"/>
  <c r="B34" i="87"/>
  <c r="U34" i="87" s="1"/>
  <c r="Q33" i="87"/>
  <c r="D33" i="87"/>
  <c r="T33" i="87" s="1"/>
  <c r="C33" i="87"/>
  <c r="R33" i="87" s="1"/>
  <c r="B33" i="87"/>
  <c r="Q32" i="87"/>
  <c r="D32" i="87"/>
  <c r="T32" i="87" s="1"/>
  <c r="C32" i="87"/>
  <c r="R32" i="87" s="1"/>
  <c r="B32" i="87"/>
  <c r="U32" i="87" s="1"/>
  <c r="Q31" i="87"/>
  <c r="D31" i="87"/>
  <c r="T31" i="87" s="1"/>
  <c r="C31" i="87"/>
  <c r="R31" i="87" s="1"/>
  <c r="B31" i="87"/>
  <c r="Q30" i="87"/>
  <c r="D30" i="87"/>
  <c r="T30" i="87" s="1"/>
  <c r="C30" i="87"/>
  <c r="R30" i="87" s="1"/>
  <c r="B30" i="87"/>
  <c r="Q29" i="87"/>
  <c r="D29" i="87"/>
  <c r="T29" i="87" s="1"/>
  <c r="C29" i="87"/>
  <c r="R29" i="87" s="1"/>
  <c r="B29" i="87"/>
  <c r="AB29" i="87" s="1" a="1"/>
  <c r="AB29" i="87" s="1"/>
  <c r="Q28" i="87"/>
  <c r="D28" i="87"/>
  <c r="T28" i="87" s="1"/>
  <c r="C28" i="87"/>
  <c r="R28" i="87" s="1"/>
  <c r="B28" i="87"/>
  <c r="Q27" i="87"/>
  <c r="D27" i="87"/>
  <c r="T27" i="87" s="1"/>
  <c r="C27" i="87"/>
  <c r="R27" i="87" s="1"/>
  <c r="B27" i="87"/>
  <c r="AB27" i="87" s="1" a="1"/>
  <c r="AB27" i="87" s="1"/>
  <c r="Q26" i="87"/>
  <c r="D26" i="87"/>
  <c r="T26" i="87" s="1"/>
  <c r="C26" i="87"/>
  <c r="R26" i="87" s="1"/>
  <c r="B26" i="87"/>
  <c r="Q25" i="87"/>
  <c r="D25" i="87"/>
  <c r="T25" i="87" s="1"/>
  <c r="C25" i="87"/>
  <c r="R25" i="87" s="1"/>
  <c r="B25" i="87"/>
  <c r="Q24" i="87"/>
  <c r="D24" i="87"/>
  <c r="T24" i="87" s="1"/>
  <c r="C24" i="87"/>
  <c r="R24" i="87" s="1"/>
  <c r="B24" i="87"/>
  <c r="S24" i="87" s="1"/>
  <c r="Q23" i="87"/>
  <c r="D23" i="87"/>
  <c r="T23" i="87" s="1"/>
  <c r="C23" i="87"/>
  <c r="R23" i="87" s="1"/>
  <c r="B23" i="87"/>
  <c r="S23" i="87" s="1"/>
  <c r="Q22" i="87"/>
  <c r="D22" i="87"/>
  <c r="T22" i="87" s="1"/>
  <c r="C22" i="87"/>
  <c r="R22" i="87" s="1"/>
  <c r="B22" i="87"/>
  <c r="Q21" i="87"/>
  <c r="D21" i="87"/>
  <c r="T21" i="87" s="1"/>
  <c r="C21" i="87"/>
  <c r="R21" i="87" s="1"/>
  <c r="B21" i="87"/>
  <c r="Q20" i="87"/>
  <c r="D20" i="87"/>
  <c r="T20" i="87" s="1"/>
  <c r="C20" i="87"/>
  <c r="R20" i="87" s="1"/>
  <c r="B20" i="87"/>
  <c r="Q19" i="87"/>
  <c r="D19" i="87"/>
  <c r="T19" i="87" s="1"/>
  <c r="C19" i="87"/>
  <c r="B19" i="87"/>
  <c r="S19" i="87" s="1"/>
  <c r="Q18" i="87"/>
  <c r="D18" i="87"/>
  <c r="T18" i="87" s="1"/>
  <c r="C18" i="87"/>
  <c r="B18" i="87"/>
  <c r="Q17" i="87"/>
  <c r="D17" i="87"/>
  <c r="T17" i="87" s="1"/>
  <c r="C17" i="87"/>
  <c r="R17" i="87" s="1"/>
  <c r="B17" i="87"/>
  <c r="S17" i="87" s="1"/>
  <c r="Q16" i="87"/>
  <c r="D16" i="87"/>
  <c r="T16" i="87" s="1"/>
  <c r="C16" i="87"/>
  <c r="R16" i="87" s="1"/>
  <c r="B16" i="87"/>
  <c r="Q15" i="87"/>
  <c r="D15" i="87"/>
  <c r="T15" i="87" s="1"/>
  <c r="C15" i="87"/>
  <c r="R15" i="87" s="1"/>
  <c r="B15" i="87"/>
  <c r="Q14" i="87"/>
  <c r="D14" i="87"/>
  <c r="T14" i="87" s="1"/>
  <c r="C14" i="87"/>
  <c r="R14" i="87" s="1"/>
  <c r="B14" i="87"/>
  <c r="Q13" i="87"/>
  <c r="D13" i="87"/>
  <c r="T13" i="87" s="1"/>
  <c r="C13" i="87"/>
  <c r="R13" i="87" s="1"/>
  <c r="B13" i="87"/>
  <c r="S13" i="87" s="1"/>
  <c r="AF12" i="87"/>
  <c r="AF11" i="87"/>
  <c r="AD11" i="87"/>
  <c r="AF10" i="87"/>
  <c r="AF9" i="87"/>
  <c r="Z8" i="87"/>
  <c r="J8" i="87"/>
  <c r="S7" i="87"/>
  <c r="D7" i="87"/>
  <c r="A1" i="87"/>
  <c r="J7" i="86"/>
  <c r="Z7" i="86" s="1"/>
  <c r="N68" i="86"/>
  <c r="O68" i="86" s="1"/>
  <c r="Z65" i="86"/>
  <c r="S65" i="86"/>
  <c r="K65" i="86"/>
  <c r="D65" i="86"/>
  <c r="Z64" i="86"/>
  <c r="S64" i="86"/>
  <c r="D64" i="86"/>
  <c r="Z60" i="86"/>
  <c r="S60" i="86"/>
  <c r="K60" i="86"/>
  <c r="Z59" i="86"/>
  <c r="K59" i="86"/>
  <c r="Q57" i="86"/>
  <c r="D57" i="86"/>
  <c r="T57" i="86" s="1"/>
  <c r="C57" i="86"/>
  <c r="R57" i="86" s="1"/>
  <c r="B57" i="86"/>
  <c r="W57" i="86" s="1"/>
  <c r="Q56" i="86"/>
  <c r="D56" i="86"/>
  <c r="T56" i="86" s="1"/>
  <c r="C56" i="86"/>
  <c r="R56" i="86" s="1"/>
  <c r="B56" i="86"/>
  <c r="S56" i="86" s="1"/>
  <c r="Q55" i="86"/>
  <c r="D55" i="86"/>
  <c r="T55" i="86" s="1"/>
  <c r="C55" i="86"/>
  <c r="R55" i="86" s="1"/>
  <c r="B55" i="86"/>
  <c r="AB55" i="86" s="1" a="1"/>
  <c r="AB55" i="86" s="1"/>
  <c r="Q54" i="86"/>
  <c r="D54" i="86"/>
  <c r="T54" i="86" s="1"/>
  <c r="C54" i="86"/>
  <c r="R54" i="86" s="1"/>
  <c r="B54" i="86"/>
  <c r="AB54" i="86" s="1" a="1"/>
  <c r="AB54" i="86" s="1"/>
  <c r="Q53" i="86"/>
  <c r="D53" i="86"/>
  <c r="T53" i="86" s="1"/>
  <c r="C53" i="86"/>
  <c r="R53" i="86" s="1"/>
  <c r="B53" i="86"/>
  <c r="AB53" i="86" s="1" a="1"/>
  <c r="AB53" i="86" s="1"/>
  <c r="Q52" i="86"/>
  <c r="D52" i="86"/>
  <c r="T52" i="86" s="1"/>
  <c r="C52" i="86"/>
  <c r="R52" i="86" s="1"/>
  <c r="B52" i="86"/>
  <c r="W52" i="86" s="1"/>
  <c r="Q51" i="86"/>
  <c r="D51" i="86"/>
  <c r="T51" i="86" s="1"/>
  <c r="C51" i="86"/>
  <c r="R51" i="86" s="1"/>
  <c r="B51" i="86"/>
  <c r="S51" i="86" s="1"/>
  <c r="Q50" i="86"/>
  <c r="D50" i="86"/>
  <c r="T50" i="86" s="1"/>
  <c r="C50" i="86"/>
  <c r="R50" i="86" s="1"/>
  <c r="B50" i="86"/>
  <c r="AB50" i="86" s="1" a="1"/>
  <c r="AB50" i="86" s="1"/>
  <c r="Q49" i="86"/>
  <c r="D49" i="86"/>
  <c r="T49" i="86" s="1"/>
  <c r="C49" i="86"/>
  <c r="R49" i="86" s="1"/>
  <c r="B49" i="86"/>
  <c r="AB49" i="86" s="1" a="1"/>
  <c r="AB49" i="86" s="1"/>
  <c r="Q48" i="86"/>
  <c r="D48" i="86"/>
  <c r="T48" i="86" s="1"/>
  <c r="C48" i="86"/>
  <c r="R48" i="86" s="1"/>
  <c r="B48" i="86"/>
  <c r="AB48" i="86" s="1" a="1"/>
  <c r="AB48" i="86" s="1"/>
  <c r="Q47" i="86"/>
  <c r="D47" i="86"/>
  <c r="T47" i="86" s="1"/>
  <c r="C47" i="86"/>
  <c r="R47" i="86" s="1"/>
  <c r="B47" i="86"/>
  <c r="W47" i="86" s="1"/>
  <c r="Q46" i="86"/>
  <c r="D46" i="86"/>
  <c r="T46" i="86" s="1"/>
  <c r="C46" i="86"/>
  <c r="R46" i="86" s="1"/>
  <c r="B46" i="86"/>
  <c r="S46" i="86" s="1"/>
  <c r="Q45" i="86"/>
  <c r="D45" i="86"/>
  <c r="T45" i="86" s="1"/>
  <c r="C45" i="86"/>
  <c r="R45" i="86" s="1"/>
  <c r="B45" i="86"/>
  <c r="AB45" i="86" s="1" a="1"/>
  <c r="AB45" i="86" s="1"/>
  <c r="Q44" i="86"/>
  <c r="D44" i="86"/>
  <c r="T44" i="86" s="1"/>
  <c r="C44" i="86"/>
  <c r="R44" i="86" s="1"/>
  <c r="B44" i="86"/>
  <c r="AB44" i="86" s="1" a="1"/>
  <c r="AB44" i="86" s="1"/>
  <c r="Q43" i="86"/>
  <c r="D43" i="86"/>
  <c r="T43" i="86" s="1"/>
  <c r="C43" i="86"/>
  <c r="R43" i="86" s="1"/>
  <c r="B43" i="86"/>
  <c r="AB43" i="86" s="1" a="1"/>
  <c r="AB43" i="86" s="1"/>
  <c r="Q42" i="86"/>
  <c r="D42" i="86"/>
  <c r="T42" i="86" s="1"/>
  <c r="C42" i="86"/>
  <c r="R42" i="86" s="1"/>
  <c r="B42" i="86"/>
  <c r="W42" i="86" s="1"/>
  <c r="Q41" i="86"/>
  <c r="D41" i="86"/>
  <c r="T41" i="86" s="1"/>
  <c r="C41" i="86"/>
  <c r="R41" i="86" s="1"/>
  <c r="B41" i="86"/>
  <c r="S41" i="86" s="1"/>
  <c r="Q40" i="86"/>
  <c r="D40" i="86"/>
  <c r="T40" i="86" s="1"/>
  <c r="C40" i="86"/>
  <c r="R40" i="86" s="1"/>
  <c r="B40" i="86"/>
  <c r="AB40" i="86" s="1" a="1"/>
  <c r="AB40" i="86" s="1"/>
  <c r="Q39" i="86"/>
  <c r="D39" i="86"/>
  <c r="T39" i="86" s="1"/>
  <c r="C39" i="86"/>
  <c r="R39" i="86" s="1"/>
  <c r="B39" i="86"/>
  <c r="S39" i="86" s="1"/>
  <c r="Q38" i="86"/>
  <c r="D38" i="86"/>
  <c r="T38" i="86" s="1"/>
  <c r="C38" i="86"/>
  <c r="R38" i="86" s="1"/>
  <c r="B38" i="86"/>
  <c r="Q37" i="86"/>
  <c r="D37" i="86"/>
  <c r="T37" i="86" s="1"/>
  <c r="C37" i="86"/>
  <c r="R37" i="86" s="1"/>
  <c r="B37" i="86"/>
  <c r="AB37" i="86" s="1" a="1"/>
  <c r="AB37" i="86" s="1"/>
  <c r="Q36" i="86"/>
  <c r="D36" i="86"/>
  <c r="T36" i="86" s="1"/>
  <c r="C36" i="86"/>
  <c r="R36" i="86" s="1"/>
  <c r="B36" i="86"/>
  <c r="AB36" i="86" s="1" a="1"/>
  <c r="AB36" i="86" s="1"/>
  <c r="Q35" i="86"/>
  <c r="D35" i="86"/>
  <c r="T35" i="86" s="1"/>
  <c r="C35" i="86"/>
  <c r="R35" i="86" s="1"/>
  <c r="B35" i="86"/>
  <c r="Q34" i="86"/>
  <c r="D34" i="86"/>
  <c r="T34" i="86" s="1"/>
  <c r="C34" i="86"/>
  <c r="R34" i="86" s="1"/>
  <c r="B34" i="86"/>
  <c r="S34" i="86" s="1"/>
  <c r="Q33" i="86"/>
  <c r="D33" i="86"/>
  <c r="T33" i="86" s="1"/>
  <c r="C33" i="86"/>
  <c r="R33" i="86" s="1"/>
  <c r="B33" i="86"/>
  <c r="Q32" i="86"/>
  <c r="D32" i="86"/>
  <c r="T32" i="86" s="1"/>
  <c r="C32" i="86"/>
  <c r="R32" i="86" s="1"/>
  <c r="B32" i="86"/>
  <c r="S32" i="86" s="1"/>
  <c r="Q31" i="86"/>
  <c r="D31" i="86"/>
  <c r="T31" i="86" s="1"/>
  <c r="C31" i="86"/>
  <c r="R31" i="86" s="1"/>
  <c r="B31" i="86"/>
  <c r="AB31" i="86" s="1" a="1"/>
  <c r="AB31" i="86" s="1"/>
  <c r="Q30" i="86"/>
  <c r="D30" i="86"/>
  <c r="T30" i="86" s="1"/>
  <c r="C30" i="86"/>
  <c r="R30" i="86" s="1"/>
  <c r="B30" i="86"/>
  <c r="Q29" i="86"/>
  <c r="D29" i="86"/>
  <c r="T29" i="86" s="1"/>
  <c r="C29" i="86"/>
  <c r="R29" i="86" s="1"/>
  <c r="B29" i="86"/>
  <c r="Q28" i="86"/>
  <c r="D28" i="86"/>
  <c r="T28" i="86" s="1"/>
  <c r="C28" i="86"/>
  <c r="R28" i="86" s="1"/>
  <c r="B28" i="86"/>
  <c r="Q27" i="86"/>
  <c r="D27" i="86"/>
  <c r="T27" i="86" s="1"/>
  <c r="C27" i="86"/>
  <c r="R27" i="86" s="1"/>
  <c r="B27" i="86"/>
  <c r="AB27" i="86" s="1" a="1"/>
  <c r="AB27" i="86" s="1"/>
  <c r="Q26" i="86"/>
  <c r="D26" i="86"/>
  <c r="T26" i="86" s="1"/>
  <c r="C26" i="86"/>
  <c r="R26" i="86" s="1"/>
  <c r="B26" i="86"/>
  <c r="AB26" i="86" s="1" a="1"/>
  <c r="AB26" i="86" s="1"/>
  <c r="Q25" i="86"/>
  <c r="D25" i="86"/>
  <c r="T25" i="86" s="1"/>
  <c r="C25" i="86"/>
  <c r="R25" i="86" s="1"/>
  <c r="B25" i="86"/>
  <c r="Q24" i="86"/>
  <c r="D24" i="86"/>
  <c r="T24" i="86" s="1"/>
  <c r="C24" i="86"/>
  <c r="R24" i="86" s="1"/>
  <c r="B24" i="86"/>
  <c r="Q23" i="86"/>
  <c r="D23" i="86"/>
  <c r="T23" i="86" s="1"/>
  <c r="C23" i="86"/>
  <c r="R23" i="86" s="1"/>
  <c r="B23" i="86"/>
  <c r="Q22" i="86"/>
  <c r="D22" i="86"/>
  <c r="T22" i="86" s="1"/>
  <c r="C22" i="86"/>
  <c r="R22" i="86" s="1"/>
  <c r="B22" i="86"/>
  <c r="AB22" i="86" s="1" a="1"/>
  <c r="AB22" i="86" s="1"/>
  <c r="Q21" i="86"/>
  <c r="D21" i="86"/>
  <c r="T21" i="86" s="1"/>
  <c r="C21" i="86"/>
  <c r="R21" i="86" s="1"/>
  <c r="B21" i="86"/>
  <c r="Q20" i="86"/>
  <c r="D20" i="86"/>
  <c r="T20" i="86" s="1"/>
  <c r="C20" i="86"/>
  <c r="R20" i="86" s="1"/>
  <c r="B20" i="86"/>
  <c r="Q19" i="86"/>
  <c r="D19" i="86"/>
  <c r="T19" i="86" s="1"/>
  <c r="C19" i="86"/>
  <c r="R19" i="86" s="1"/>
  <c r="B19" i="86"/>
  <c r="Q18" i="86"/>
  <c r="D18" i="86"/>
  <c r="T18" i="86" s="1"/>
  <c r="C18" i="86"/>
  <c r="R18" i="86" s="1"/>
  <c r="B18" i="86"/>
  <c r="Q17" i="86"/>
  <c r="D17" i="86"/>
  <c r="T17" i="86" s="1"/>
  <c r="C17" i="86"/>
  <c r="B17" i="86"/>
  <c r="Q16" i="86"/>
  <c r="D16" i="86"/>
  <c r="T16" i="86" s="1"/>
  <c r="C16" i="86"/>
  <c r="R16" i="86" s="1"/>
  <c r="B16" i="86"/>
  <c r="S16" i="86" s="1"/>
  <c r="Q15" i="86"/>
  <c r="D15" i="86"/>
  <c r="T15" i="86" s="1"/>
  <c r="C15" i="86"/>
  <c r="R15" i="86" s="1"/>
  <c r="B15" i="86"/>
  <c r="Q14" i="86"/>
  <c r="D14" i="86"/>
  <c r="T14" i="86" s="1"/>
  <c r="C14" i="86"/>
  <c r="B14" i="86"/>
  <c r="S14" i="86" s="1"/>
  <c r="Q13" i="86"/>
  <c r="D13" i="86"/>
  <c r="T13" i="86" s="1"/>
  <c r="C13" i="86"/>
  <c r="R13" i="86" s="1"/>
  <c r="B13" i="86"/>
  <c r="AF12" i="86"/>
  <c r="AF11" i="86"/>
  <c r="AD11" i="86"/>
  <c r="AF10" i="86"/>
  <c r="AF9" i="86"/>
  <c r="Z8" i="86"/>
  <c r="J8" i="86"/>
  <c r="S7" i="86"/>
  <c r="D7" i="86"/>
  <c r="A1" i="86"/>
  <c r="J7" i="85"/>
  <c r="N68" i="85"/>
  <c r="O68" i="85" s="1"/>
  <c r="Z65" i="85"/>
  <c r="S65" i="85"/>
  <c r="K65" i="85"/>
  <c r="D65" i="85"/>
  <c r="Z64" i="85"/>
  <c r="S64" i="85"/>
  <c r="D64" i="85"/>
  <c r="Z60" i="85"/>
  <c r="S60" i="85"/>
  <c r="K60" i="85"/>
  <c r="Z59" i="85"/>
  <c r="K59" i="85"/>
  <c r="Q57" i="85"/>
  <c r="D57" i="85"/>
  <c r="T57" i="85" s="1"/>
  <c r="C57" i="85"/>
  <c r="R57" i="85" s="1"/>
  <c r="B57" i="85"/>
  <c r="Y57" i="85" s="1"/>
  <c r="Q56" i="85"/>
  <c r="D56" i="85"/>
  <c r="T56" i="85" s="1"/>
  <c r="C56" i="85"/>
  <c r="R56" i="85" s="1"/>
  <c r="B56" i="85"/>
  <c r="U56" i="85" s="1"/>
  <c r="Q55" i="85"/>
  <c r="D55" i="85"/>
  <c r="T55" i="85" s="1"/>
  <c r="C55" i="85"/>
  <c r="R55" i="85" s="1"/>
  <c r="B55" i="85"/>
  <c r="AB55" i="85" s="1" a="1"/>
  <c r="AB55" i="85" s="1"/>
  <c r="Q54" i="85"/>
  <c r="D54" i="85"/>
  <c r="T54" i="85" s="1"/>
  <c r="C54" i="85"/>
  <c r="R54" i="85" s="1"/>
  <c r="B54" i="85"/>
  <c r="AB54" i="85" s="1" a="1"/>
  <c r="AB54" i="85" s="1"/>
  <c r="Q53" i="85"/>
  <c r="D53" i="85"/>
  <c r="T53" i="85" s="1"/>
  <c r="C53" i="85"/>
  <c r="R53" i="85" s="1"/>
  <c r="B53" i="85"/>
  <c r="AB53" i="85" s="1" a="1"/>
  <c r="AB53" i="85" s="1"/>
  <c r="Q52" i="85"/>
  <c r="D52" i="85"/>
  <c r="T52" i="85" s="1"/>
  <c r="C52" i="85"/>
  <c r="R52" i="85" s="1"/>
  <c r="B52" i="85"/>
  <c r="Y52" i="85" s="1"/>
  <c r="Q51" i="85"/>
  <c r="D51" i="85"/>
  <c r="T51" i="85" s="1"/>
  <c r="C51" i="85"/>
  <c r="R51" i="85" s="1"/>
  <c r="B51" i="85"/>
  <c r="U51" i="85" s="1"/>
  <c r="Q50" i="85"/>
  <c r="D50" i="85"/>
  <c r="T50" i="85" s="1"/>
  <c r="C50" i="85"/>
  <c r="R50" i="85" s="1"/>
  <c r="B50" i="85"/>
  <c r="AB50" i="85" s="1" a="1"/>
  <c r="AB50" i="85" s="1"/>
  <c r="Q49" i="85"/>
  <c r="D49" i="85"/>
  <c r="T49" i="85" s="1"/>
  <c r="C49" i="85"/>
  <c r="R49" i="85" s="1"/>
  <c r="B49" i="85"/>
  <c r="AB49" i="85" s="1" a="1"/>
  <c r="AB49" i="85" s="1"/>
  <c r="Q48" i="85"/>
  <c r="D48" i="85"/>
  <c r="T48" i="85" s="1"/>
  <c r="C48" i="85"/>
  <c r="R48" i="85" s="1"/>
  <c r="B48" i="85"/>
  <c r="AB48" i="85" s="1" a="1"/>
  <c r="AB48" i="85" s="1"/>
  <c r="Q47" i="85"/>
  <c r="D47" i="85"/>
  <c r="T47" i="85" s="1"/>
  <c r="C47" i="85"/>
  <c r="R47" i="85" s="1"/>
  <c r="B47" i="85"/>
  <c r="Y47" i="85" s="1"/>
  <c r="Q46" i="85"/>
  <c r="D46" i="85"/>
  <c r="T46" i="85" s="1"/>
  <c r="C46" i="85"/>
  <c r="R46" i="85" s="1"/>
  <c r="B46" i="85"/>
  <c r="U46" i="85" s="1"/>
  <c r="Q45" i="85"/>
  <c r="D45" i="85"/>
  <c r="T45" i="85" s="1"/>
  <c r="C45" i="85"/>
  <c r="R45" i="85" s="1"/>
  <c r="B45" i="85"/>
  <c r="AB45" i="85" s="1" a="1"/>
  <c r="AB45" i="85" s="1"/>
  <c r="Q44" i="85"/>
  <c r="D44" i="85"/>
  <c r="T44" i="85" s="1"/>
  <c r="C44" i="85"/>
  <c r="R44" i="85" s="1"/>
  <c r="B44" i="85"/>
  <c r="AB44" i="85" s="1" a="1"/>
  <c r="AB44" i="85" s="1"/>
  <c r="Q43" i="85"/>
  <c r="D43" i="85"/>
  <c r="T43" i="85" s="1"/>
  <c r="C43" i="85"/>
  <c r="R43" i="85" s="1"/>
  <c r="B43" i="85"/>
  <c r="AB43" i="85" s="1" a="1"/>
  <c r="AB43" i="85" s="1"/>
  <c r="Q42" i="85"/>
  <c r="D42" i="85"/>
  <c r="T42" i="85" s="1"/>
  <c r="C42" i="85"/>
  <c r="R42" i="85" s="1"/>
  <c r="B42" i="85"/>
  <c r="Y42" i="85" s="1"/>
  <c r="Q41" i="85"/>
  <c r="D41" i="85"/>
  <c r="T41" i="85" s="1"/>
  <c r="C41" i="85"/>
  <c r="R41" i="85" s="1"/>
  <c r="B41" i="85"/>
  <c r="U41" i="85" s="1"/>
  <c r="Q40" i="85"/>
  <c r="D40" i="85"/>
  <c r="T40" i="85" s="1"/>
  <c r="C40" i="85"/>
  <c r="R40" i="85" s="1"/>
  <c r="B40" i="85"/>
  <c r="AB40" i="85" s="1" a="1"/>
  <c r="AB40" i="85" s="1"/>
  <c r="Q39" i="85"/>
  <c r="D39" i="85"/>
  <c r="T39" i="85" s="1"/>
  <c r="C39" i="85"/>
  <c r="R39" i="85" s="1"/>
  <c r="B39" i="85"/>
  <c r="Q38" i="85"/>
  <c r="D38" i="85"/>
  <c r="T38" i="85" s="1"/>
  <c r="C38" i="85"/>
  <c r="R38" i="85" s="1"/>
  <c r="B38" i="85"/>
  <c r="Q37" i="85"/>
  <c r="D37" i="85"/>
  <c r="T37" i="85" s="1"/>
  <c r="C37" i="85"/>
  <c r="R37" i="85" s="1"/>
  <c r="B37" i="85"/>
  <c r="Q36" i="85"/>
  <c r="D36" i="85"/>
  <c r="T36" i="85" s="1"/>
  <c r="C36" i="85"/>
  <c r="R36" i="85" s="1"/>
  <c r="B36" i="85"/>
  <c r="AB36" i="85" s="1" a="1"/>
  <c r="AB36" i="85" s="1"/>
  <c r="Q35" i="85"/>
  <c r="D35" i="85"/>
  <c r="T35" i="85" s="1"/>
  <c r="C35" i="85"/>
  <c r="R35" i="85" s="1"/>
  <c r="B35" i="85"/>
  <c r="Q34" i="85"/>
  <c r="D34" i="85"/>
  <c r="T34" i="85" s="1"/>
  <c r="C34" i="85"/>
  <c r="R34" i="85" s="1"/>
  <c r="B34" i="85"/>
  <c r="Q33" i="85"/>
  <c r="D33" i="85"/>
  <c r="T33" i="85" s="1"/>
  <c r="C33" i="85"/>
  <c r="R33" i="85" s="1"/>
  <c r="B33" i="85"/>
  <c r="Q32" i="85"/>
  <c r="D32" i="85"/>
  <c r="T32" i="85" s="1"/>
  <c r="C32" i="85"/>
  <c r="R32" i="85" s="1"/>
  <c r="B32" i="85"/>
  <c r="Q31" i="85"/>
  <c r="D31" i="85"/>
  <c r="T31" i="85" s="1"/>
  <c r="C31" i="85"/>
  <c r="R31" i="85" s="1"/>
  <c r="B31" i="85"/>
  <c r="Q30" i="85"/>
  <c r="D30" i="85"/>
  <c r="T30" i="85" s="1"/>
  <c r="C30" i="85"/>
  <c r="R30" i="85" s="1"/>
  <c r="B30" i="85"/>
  <c r="Q29" i="85"/>
  <c r="D29" i="85"/>
  <c r="T29" i="85" s="1"/>
  <c r="C29" i="85"/>
  <c r="R29" i="85" s="1"/>
  <c r="B29" i="85"/>
  <c r="Q28" i="85"/>
  <c r="D28" i="85"/>
  <c r="T28" i="85" s="1"/>
  <c r="C28" i="85"/>
  <c r="R28" i="85" s="1"/>
  <c r="B28" i="85"/>
  <c r="Q27" i="85"/>
  <c r="D27" i="85"/>
  <c r="T27" i="85" s="1"/>
  <c r="C27" i="85"/>
  <c r="R27" i="85" s="1"/>
  <c r="B27" i="85"/>
  <c r="Q26" i="85"/>
  <c r="D26" i="85"/>
  <c r="T26" i="85" s="1"/>
  <c r="C26" i="85"/>
  <c r="R26" i="85" s="1"/>
  <c r="B26" i="85"/>
  <c r="Q25" i="85"/>
  <c r="D25" i="85"/>
  <c r="T25" i="85" s="1"/>
  <c r="C25" i="85"/>
  <c r="R25" i="85" s="1"/>
  <c r="B25" i="85"/>
  <c r="Q24" i="85"/>
  <c r="D24" i="85"/>
  <c r="T24" i="85" s="1"/>
  <c r="C24" i="85"/>
  <c r="R24" i="85" s="1"/>
  <c r="B24" i="85"/>
  <c r="S24" i="85" s="1"/>
  <c r="Q23" i="85"/>
  <c r="D23" i="85"/>
  <c r="T23" i="85" s="1"/>
  <c r="C23" i="85"/>
  <c r="R23" i="85" s="1"/>
  <c r="B23" i="85"/>
  <c r="S23" i="85" s="1"/>
  <c r="Q22" i="85"/>
  <c r="D22" i="85"/>
  <c r="T22" i="85" s="1"/>
  <c r="C22" i="85"/>
  <c r="R22" i="85" s="1"/>
  <c r="B22" i="85"/>
  <c r="Q21" i="85"/>
  <c r="D21" i="85"/>
  <c r="T21" i="85" s="1"/>
  <c r="C21" i="85"/>
  <c r="R21" i="85" s="1"/>
  <c r="B21" i="85"/>
  <c r="Q20" i="85"/>
  <c r="D20" i="85"/>
  <c r="T20" i="85" s="1"/>
  <c r="C20" i="85"/>
  <c r="R20" i="85" s="1"/>
  <c r="B20" i="85"/>
  <c r="S20" i="85" s="1"/>
  <c r="Q19" i="85"/>
  <c r="D19" i="85"/>
  <c r="T19" i="85" s="1"/>
  <c r="C19" i="85"/>
  <c r="R19" i="85" s="1"/>
  <c r="B19" i="85"/>
  <c r="Q18" i="85"/>
  <c r="D18" i="85"/>
  <c r="T18" i="85" s="1"/>
  <c r="C18" i="85"/>
  <c r="R18" i="85" s="1"/>
  <c r="B18" i="85"/>
  <c r="Q17" i="85"/>
  <c r="D17" i="85"/>
  <c r="T17" i="85" s="1"/>
  <c r="C17" i="85"/>
  <c r="R17" i="85" s="1"/>
  <c r="B17" i="85"/>
  <c r="Q16" i="85"/>
  <c r="D16" i="85"/>
  <c r="T16" i="85" s="1"/>
  <c r="C16" i="85"/>
  <c r="R16" i="85" s="1"/>
  <c r="B16" i="85"/>
  <c r="Q15" i="85"/>
  <c r="D15" i="85"/>
  <c r="T15" i="85" s="1"/>
  <c r="C15" i="85"/>
  <c r="R15" i="85" s="1"/>
  <c r="B15" i="85"/>
  <c r="Q14" i="85"/>
  <c r="D14" i="85"/>
  <c r="T14" i="85" s="1"/>
  <c r="C14" i="85"/>
  <c r="R14" i="85" s="1"/>
  <c r="B14" i="85"/>
  <c r="Q13" i="85"/>
  <c r="D13" i="85"/>
  <c r="T13" i="85" s="1"/>
  <c r="C13" i="85"/>
  <c r="R13" i="85" s="1"/>
  <c r="B13" i="85"/>
  <c r="AF12" i="85"/>
  <c r="AF11" i="85"/>
  <c r="AD11" i="85"/>
  <c r="AF10" i="85"/>
  <c r="AF9" i="85"/>
  <c r="Z8" i="85"/>
  <c r="J8" i="85"/>
  <c r="Z7" i="85"/>
  <c r="S7" i="85"/>
  <c r="D7" i="85"/>
  <c r="AD6" i="85"/>
  <c r="A1" i="85"/>
  <c r="J8" i="84"/>
  <c r="J8" i="83"/>
  <c r="J8" i="82"/>
  <c r="J8" i="81"/>
  <c r="J8" i="80"/>
  <c r="J8" i="25"/>
  <c r="J7" i="84"/>
  <c r="J7" i="82"/>
  <c r="Z7" i="82" s="1"/>
  <c r="J7" i="81"/>
  <c r="AD6" i="81" s="1"/>
  <c r="J7" i="80"/>
  <c r="J7" i="25"/>
  <c r="N68" i="84"/>
  <c r="O68" i="84" s="1"/>
  <c r="Z65" i="84"/>
  <c r="S65" i="84"/>
  <c r="K65" i="84"/>
  <c r="D65" i="84"/>
  <c r="Z64" i="84"/>
  <c r="S64" i="84"/>
  <c r="D64" i="84"/>
  <c r="Z60" i="84"/>
  <c r="S60" i="84"/>
  <c r="K60" i="84"/>
  <c r="Z59" i="84"/>
  <c r="K59" i="84"/>
  <c r="Q57" i="84"/>
  <c r="D57" i="84"/>
  <c r="T57" i="84" s="1"/>
  <c r="C57" i="84"/>
  <c r="R57" i="84" s="1"/>
  <c r="B57" i="84"/>
  <c r="Y57" i="84" s="1"/>
  <c r="Q56" i="84"/>
  <c r="D56" i="84"/>
  <c r="T56" i="84" s="1"/>
  <c r="C56" i="84"/>
  <c r="R56" i="84" s="1"/>
  <c r="B56" i="84"/>
  <c r="U56" i="84" s="1"/>
  <c r="Q55" i="84"/>
  <c r="D55" i="84"/>
  <c r="T55" i="84" s="1"/>
  <c r="C55" i="84"/>
  <c r="R55" i="84" s="1"/>
  <c r="B55" i="84"/>
  <c r="Y55" i="84" s="1"/>
  <c r="Q54" i="84"/>
  <c r="D54" i="84"/>
  <c r="T54" i="84" s="1"/>
  <c r="C54" i="84"/>
  <c r="R54" i="84" s="1"/>
  <c r="B54" i="84"/>
  <c r="U54" i="84" s="1"/>
  <c r="Q53" i="84"/>
  <c r="D53" i="84"/>
  <c r="T53" i="84" s="1"/>
  <c r="C53" i="84"/>
  <c r="R53" i="84" s="1"/>
  <c r="B53" i="84"/>
  <c r="AB53" i="84" s="1" a="1"/>
  <c r="AB53" i="84" s="1"/>
  <c r="Q52" i="84"/>
  <c r="D52" i="84"/>
  <c r="T52" i="84" s="1"/>
  <c r="C52" i="84"/>
  <c r="R52" i="84" s="1"/>
  <c r="B52" i="84"/>
  <c r="Y52" i="84" s="1"/>
  <c r="Q51" i="84"/>
  <c r="D51" i="84"/>
  <c r="T51" i="84" s="1"/>
  <c r="C51" i="84"/>
  <c r="R51" i="84" s="1"/>
  <c r="B51" i="84"/>
  <c r="U51" i="84" s="1"/>
  <c r="Q50" i="84"/>
  <c r="D50" i="84"/>
  <c r="T50" i="84" s="1"/>
  <c r="C50" i="84"/>
  <c r="R50" i="84" s="1"/>
  <c r="B50" i="84"/>
  <c r="Y50" i="84" s="1"/>
  <c r="Q49" i="84"/>
  <c r="D49" i="84"/>
  <c r="T49" i="84" s="1"/>
  <c r="C49" i="84"/>
  <c r="R49" i="84" s="1"/>
  <c r="B49" i="84"/>
  <c r="U49" i="84" s="1"/>
  <c r="Q48" i="84"/>
  <c r="D48" i="84"/>
  <c r="T48" i="84" s="1"/>
  <c r="C48" i="84"/>
  <c r="R48" i="84" s="1"/>
  <c r="B48" i="84"/>
  <c r="AB48" i="84" s="1" a="1"/>
  <c r="AB48" i="84" s="1"/>
  <c r="Q47" i="84"/>
  <c r="D47" i="84"/>
  <c r="T47" i="84" s="1"/>
  <c r="C47" i="84"/>
  <c r="R47" i="84" s="1"/>
  <c r="B47" i="84"/>
  <c r="Y47" i="84" s="1"/>
  <c r="Q46" i="84"/>
  <c r="D46" i="84"/>
  <c r="T46" i="84" s="1"/>
  <c r="C46" i="84"/>
  <c r="R46" i="84" s="1"/>
  <c r="B46" i="84"/>
  <c r="U46" i="84" s="1"/>
  <c r="Q45" i="84"/>
  <c r="D45" i="84"/>
  <c r="T45" i="84" s="1"/>
  <c r="C45" i="84"/>
  <c r="R45" i="84" s="1"/>
  <c r="B45" i="84"/>
  <c r="Y45" i="84" s="1"/>
  <c r="Q44" i="84"/>
  <c r="D44" i="84"/>
  <c r="T44" i="84" s="1"/>
  <c r="C44" i="84"/>
  <c r="R44" i="84" s="1"/>
  <c r="B44" i="84"/>
  <c r="U44" i="84" s="1"/>
  <c r="Q43" i="84"/>
  <c r="D43" i="84"/>
  <c r="T43" i="84" s="1"/>
  <c r="C43" i="84"/>
  <c r="R43" i="84" s="1"/>
  <c r="B43" i="84"/>
  <c r="AB43" i="84" s="1" a="1"/>
  <c r="AB43" i="84" s="1"/>
  <c r="Q42" i="84"/>
  <c r="D42" i="84"/>
  <c r="T42" i="84" s="1"/>
  <c r="C42" i="84"/>
  <c r="R42" i="84" s="1"/>
  <c r="B42" i="84"/>
  <c r="Y42" i="84" s="1"/>
  <c r="Q41" i="84"/>
  <c r="D41" i="84"/>
  <c r="T41" i="84" s="1"/>
  <c r="C41" i="84"/>
  <c r="R41" i="84" s="1"/>
  <c r="B41" i="84"/>
  <c r="U41" i="84" s="1"/>
  <c r="Q40" i="84"/>
  <c r="D40" i="84"/>
  <c r="T40" i="84" s="1"/>
  <c r="C40" i="84"/>
  <c r="R40" i="84" s="1"/>
  <c r="B40" i="84"/>
  <c r="Y40" i="84" s="1"/>
  <c r="Q39" i="84"/>
  <c r="D39" i="84"/>
  <c r="T39" i="84" s="1"/>
  <c r="C39" i="84"/>
  <c r="R39" i="84" s="1"/>
  <c r="B39" i="84"/>
  <c r="Q38" i="84"/>
  <c r="D38" i="84"/>
  <c r="T38" i="84" s="1"/>
  <c r="C38" i="84"/>
  <c r="R38" i="84" s="1"/>
  <c r="B38" i="84"/>
  <c r="Y38" i="84" s="1"/>
  <c r="Q37" i="84"/>
  <c r="D37" i="84"/>
  <c r="T37" i="84" s="1"/>
  <c r="C37" i="84"/>
  <c r="R37" i="84" s="1"/>
  <c r="B37" i="84"/>
  <c r="Q36" i="84"/>
  <c r="D36" i="84"/>
  <c r="T36" i="84" s="1"/>
  <c r="C36" i="84"/>
  <c r="R36" i="84" s="1"/>
  <c r="B36" i="84"/>
  <c r="Q35" i="84"/>
  <c r="D35" i="84"/>
  <c r="T35" i="84" s="1"/>
  <c r="C35" i="84"/>
  <c r="R35" i="84" s="1"/>
  <c r="B35" i="84"/>
  <c r="Y35" i="84" s="1"/>
  <c r="Q34" i="84"/>
  <c r="D34" i="84"/>
  <c r="T34" i="84" s="1"/>
  <c r="C34" i="84"/>
  <c r="R34" i="84" s="1"/>
  <c r="B34" i="84"/>
  <c r="Q33" i="84"/>
  <c r="D33" i="84"/>
  <c r="T33" i="84" s="1"/>
  <c r="C33" i="84"/>
  <c r="R33" i="84" s="1"/>
  <c r="B33" i="84"/>
  <c r="Y33" i="84" s="1"/>
  <c r="Q32" i="84"/>
  <c r="D32" i="84"/>
  <c r="T32" i="84" s="1"/>
  <c r="C32" i="84"/>
  <c r="R32" i="84" s="1"/>
  <c r="B32" i="84"/>
  <c r="Q31" i="84"/>
  <c r="D31" i="84"/>
  <c r="T31" i="84" s="1"/>
  <c r="C31" i="84"/>
  <c r="R31" i="84" s="1"/>
  <c r="B31" i="84"/>
  <c r="Q30" i="84"/>
  <c r="D30" i="84"/>
  <c r="T30" i="84" s="1"/>
  <c r="C30" i="84"/>
  <c r="R30" i="84" s="1"/>
  <c r="B30" i="84"/>
  <c r="U30" i="84" s="1"/>
  <c r="Q29" i="84"/>
  <c r="D29" i="84"/>
  <c r="T29" i="84" s="1"/>
  <c r="C29" i="84"/>
  <c r="R29" i="84" s="1"/>
  <c r="B29" i="84"/>
  <c r="Q28" i="84"/>
  <c r="D28" i="84"/>
  <c r="T28" i="84" s="1"/>
  <c r="C28" i="84"/>
  <c r="R28" i="84" s="1"/>
  <c r="B28" i="84"/>
  <c r="V28" i="84" s="1"/>
  <c r="Q27" i="84"/>
  <c r="D27" i="84"/>
  <c r="T27" i="84" s="1"/>
  <c r="C27" i="84"/>
  <c r="R27" i="84" s="1"/>
  <c r="B27" i="84"/>
  <c r="Q26" i="84"/>
  <c r="D26" i="84"/>
  <c r="T26" i="84" s="1"/>
  <c r="C26" i="84"/>
  <c r="R26" i="84" s="1"/>
  <c r="B26" i="84"/>
  <c r="Q25" i="84"/>
  <c r="D25" i="84"/>
  <c r="T25" i="84" s="1"/>
  <c r="C25" i="84"/>
  <c r="R25" i="84" s="1"/>
  <c r="B25" i="84"/>
  <c r="Q24" i="84"/>
  <c r="D24" i="84"/>
  <c r="T24" i="84" s="1"/>
  <c r="C24" i="84"/>
  <c r="R24" i="84" s="1"/>
  <c r="B24" i="84"/>
  <c r="S24" i="84" s="1"/>
  <c r="Q23" i="84"/>
  <c r="D23" i="84"/>
  <c r="T23" i="84" s="1"/>
  <c r="C23" i="84"/>
  <c r="R23" i="84" s="1"/>
  <c r="B23" i="84"/>
  <c r="S23" i="84" s="1"/>
  <c r="Q22" i="84"/>
  <c r="D22" i="84"/>
  <c r="T22" i="84" s="1"/>
  <c r="C22" i="84"/>
  <c r="R22" i="84" s="1"/>
  <c r="B22" i="84"/>
  <c r="Q21" i="84"/>
  <c r="D21" i="84"/>
  <c r="T21" i="84" s="1"/>
  <c r="C21" i="84"/>
  <c r="R21" i="84" s="1"/>
  <c r="B21" i="84"/>
  <c r="S21" i="84" s="1"/>
  <c r="Q20" i="84"/>
  <c r="D20" i="84"/>
  <c r="T20" i="84" s="1"/>
  <c r="C20" i="84"/>
  <c r="R20" i="84" s="1"/>
  <c r="B20" i="84"/>
  <c r="S20" i="84" s="1"/>
  <c r="Q19" i="84"/>
  <c r="D19" i="84"/>
  <c r="T19" i="84" s="1"/>
  <c r="C19" i="84"/>
  <c r="R19" i="84" s="1"/>
  <c r="B19" i="84"/>
  <c r="Q18" i="84"/>
  <c r="D18" i="84"/>
  <c r="T18" i="84" s="1"/>
  <c r="C18" i="84"/>
  <c r="R18" i="84" s="1"/>
  <c r="B18" i="84"/>
  <c r="Q17" i="84"/>
  <c r="D17" i="84"/>
  <c r="T17" i="84" s="1"/>
  <c r="C17" i="84"/>
  <c r="R17" i="84" s="1"/>
  <c r="B17" i="84"/>
  <c r="Q16" i="84"/>
  <c r="D16" i="84"/>
  <c r="T16" i="84" s="1"/>
  <c r="C16" i="84"/>
  <c r="R16" i="84" s="1"/>
  <c r="B16" i="84"/>
  <c r="Q15" i="84"/>
  <c r="D15" i="84"/>
  <c r="T15" i="84" s="1"/>
  <c r="C15" i="84"/>
  <c r="R15" i="84" s="1"/>
  <c r="B15" i="84"/>
  <c r="Q14" i="84"/>
  <c r="D14" i="84"/>
  <c r="T14" i="84" s="1"/>
  <c r="C14" i="84"/>
  <c r="R14" i="84" s="1"/>
  <c r="B14" i="84"/>
  <c r="Q13" i="84"/>
  <c r="D13" i="84"/>
  <c r="T13" i="84" s="1"/>
  <c r="C13" i="84"/>
  <c r="R13" i="84" s="1"/>
  <c r="B13" i="84"/>
  <c r="AF12" i="84"/>
  <c r="AF11" i="84"/>
  <c r="AD11" i="84"/>
  <c r="AF10" i="84"/>
  <c r="AF9" i="84"/>
  <c r="Z8" i="84"/>
  <c r="S7" i="84"/>
  <c r="Z7" i="84"/>
  <c r="D7" i="84"/>
  <c r="AD6" i="84"/>
  <c r="A1" i="84"/>
  <c r="J7" i="83"/>
  <c r="Z7" i="83" s="1"/>
  <c r="N68" i="83"/>
  <c r="O68" i="83" s="1"/>
  <c r="Z65" i="83"/>
  <c r="S65" i="83"/>
  <c r="K65" i="83"/>
  <c r="D65" i="83"/>
  <c r="Z64" i="83"/>
  <c r="S64" i="83"/>
  <c r="D64" i="83"/>
  <c r="Z60" i="83"/>
  <c r="S60" i="83"/>
  <c r="K60" i="83"/>
  <c r="Z59" i="83"/>
  <c r="K59" i="83"/>
  <c r="Q57" i="83"/>
  <c r="D57" i="83"/>
  <c r="T57" i="83" s="1"/>
  <c r="C57" i="83"/>
  <c r="R57" i="83" s="1"/>
  <c r="B57" i="83"/>
  <c r="Y57" i="83" s="1"/>
  <c r="Q56" i="83"/>
  <c r="D56" i="83"/>
  <c r="T56" i="83" s="1"/>
  <c r="C56" i="83"/>
  <c r="R56" i="83" s="1"/>
  <c r="B56" i="83"/>
  <c r="U56" i="83" s="1"/>
  <c r="Q55" i="83"/>
  <c r="D55" i="83"/>
  <c r="T55" i="83" s="1"/>
  <c r="C55" i="83"/>
  <c r="R55" i="83" s="1"/>
  <c r="B55" i="83"/>
  <c r="AA55" i="83" s="1"/>
  <c r="Q54" i="83"/>
  <c r="D54" i="83"/>
  <c r="T54" i="83" s="1"/>
  <c r="C54" i="83"/>
  <c r="R54" i="83" s="1"/>
  <c r="B54" i="83"/>
  <c r="AA54" i="83" s="1"/>
  <c r="Q53" i="83"/>
  <c r="D53" i="83"/>
  <c r="T53" i="83" s="1"/>
  <c r="C53" i="83"/>
  <c r="R53" i="83" s="1"/>
  <c r="B53" i="83"/>
  <c r="AB53" i="83" s="1" a="1"/>
  <c r="AB53" i="83" s="1"/>
  <c r="Q52" i="83"/>
  <c r="D52" i="83"/>
  <c r="T52" i="83" s="1"/>
  <c r="C52" i="83"/>
  <c r="R52" i="83" s="1"/>
  <c r="B52" i="83"/>
  <c r="Y52" i="83" s="1"/>
  <c r="Q51" i="83"/>
  <c r="D51" i="83"/>
  <c r="T51" i="83" s="1"/>
  <c r="C51" i="83"/>
  <c r="R51" i="83" s="1"/>
  <c r="B51" i="83"/>
  <c r="U51" i="83" s="1"/>
  <c r="Q50" i="83"/>
  <c r="D50" i="83"/>
  <c r="T50" i="83" s="1"/>
  <c r="C50" i="83"/>
  <c r="R50" i="83" s="1"/>
  <c r="B50" i="83"/>
  <c r="AA50" i="83" s="1"/>
  <c r="Q49" i="83"/>
  <c r="D49" i="83"/>
  <c r="T49" i="83" s="1"/>
  <c r="C49" i="83"/>
  <c r="R49" i="83" s="1"/>
  <c r="B49" i="83"/>
  <c r="AA49" i="83" s="1"/>
  <c r="Q48" i="83"/>
  <c r="D48" i="83"/>
  <c r="T48" i="83" s="1"/>
  <c r="C48" i="83"/>
  <c r="R48" i="83" s="1"/>
  <c r="B48" i="83"/>
  <c r="AB48" i="83" s="1" a="1"/>
  <c r="AB48" i="83" s="1"/>
  <c r="Q47" i="83"/>
  <c r="D47" i="83"/>
  <c r="T47" i="83" s="1"/>
  <c r="C47" i="83"/>
  <c r="R47" i="83" s="1"/>
  <c r="B47" i="83"/>
  <c r="Y47" i="83" s="1"/>
  <c r="Q46" i="83"/>
  <c r="D46" i="83"/>
  <c r="T46" i="83" s="1"/>
  <c r="C46" i="83"/>
  <c r="R46" i="83" s="1"/>
  <c r="B46" i="83"/>
  <c r="U46" i="83" s="1"/>
  <c r="Q45" i="83"/>
  <c r="D45" i="83"/>
  <c r="T45" i="83" s="1"/>
  <c r="C45" i="83"/>
  <c r="R45" i="83" s="1"/>
  <c r="B45" i="83"/>
  <c r="AA45" i="83" s="1"/>
  <c r="Q44" i="83"/>
  <c r="D44" i="83"/>
  <c r="T44" i="83" s="1"/>
  <c r="C44" i="83"/>
  <c r="R44" i="83" s="1"/>
  <c r="B44" i="83"/>
  <c r="AA44" i="83" s="1"/>
  <c r="Q43" i="83"/>
  <c r="D43" i="83"/>
  <c r="T43" i="83" s="1"/>
  <c r="C43" i="83"/>
  <c r="R43" i="83" s="1"/>
  <c r="B43" i="83"/>
  <c r="AB43" i="83" s="1" a="1"/>
  <c r="AB43" i="83" s="1"/>
  <c r="Q42" i="83"/>
  <c r="D42" i="83"/>
  <c r="T42" i="83" s="1"/>
  <c r="C42" i="83"/>
  <c r="R42" i="83" s="1"/>
  <c r="B42" i="83"/>
  <c r="Y42" i="83" s="1"/>
  <c r="Q41" i="83"/>
  <c r="D41" i="83"/>
  <c r="T41" i="83" s="1"/>
  <c r="C41" i="83"/>
  <c r="R41" i="83" s="1"/>
  <c r="B41" i="83"/>
  <c r="U41" i="83" s="1"/>
  <c r="Q40" i="83"/>
  <c r="D40" i="83"/>
  <c r="T40" i="83" s="1"/>
  <c r="C40" i="83"/>
  <c r="R40" i="83" s="1"/>
  <c r="B40" i="83"/>
  <c r="AA40" i="83" s="1"/>
  <c r="Q39" i="83"/>
  <c r="D39" i="83"/>
  <c r="T39" i="83" s="1"/>
  <c r="C39" i="83"/>
  <c r="R39" i="83" s="1"/>
  <c r="B39" i="83"/>
  <c r="Q38" i="83"/>
  <c r="D38" i="83"/>
  <c r="T38" i="83" s="1"/>
  <c r="C38" i="83"/>
  <c r="R38" i="83" s="1"/>
  <c r="B38" i="83"/>
  <c r="Q37" i="83"/>
  <c r="D37" i="83"/>
  <c r="T37" i="83" s="1"/>
  <c r="C37" i="83"/>
  <c r="R37" i="83" s="1"/>
  <c r="B37" i="83"/>
  <c r="Q36" i="83"/>
  <c r="D36" i="83"/>
  <c r="T36" i="83" s="1"/>
  <c r="C36" i="83"/>
  <c r="R36" i="83" s="1"/>
  <c r="B36" i="83"/>
  <c r="Q35" i="83"/>
  <c r="D35" i="83"/>
  <c r="T35" i="83" s="1"/>
  <c r="C35" i="83"/>
  <c r="R35" i="83" s="1"/>
  <c r="B35" i="83"/>
  <c r="Q34" i="83"/>
  <c r="D34" i="83"/>
  <c r="T34" i="83" s="1"/>
  <c r="C34" i="83"/>
  <c r="R34" i="83" s="1"/>
  <c r="B34" i="83"/>
  <c r="Q33" i="83"/>
  <c r="D33" i="83"/>
  <c r="T33" i="83" s="1"/>
  <c r="C33" i="83"/>
  <c r="R33" i="83" s="1"/>
  <c r="B33" i="83"/>
  <c r="Q32" i="83"/>
  <c r="D32" i="83"/>
  <c r="T32" i="83" s="1"/>
  <c r="C32" i="83"/>
  <c r="R32" i="83" s="1"/>
  <c r="B32" i="83"/>
  <c r="Q31" i="83"/>
  <c r="D31" i="83"/>
  <c r="T31" i="83" s="1"/>
  <c r="C31" i="83"/>
  <c r="R31" i="83" s="1"/>
  <c r="B31" i="83"/>
  <c r="Q30" i="83"/>
  <c r="D30" i="83"/>
  <c r="T30" i="83" s="1"/>
  <c r="C30" i="83"/>
  <c r="R30" i="83" s="1"/>
  <c r="B30" i="83"/>
  <c r="Q29" i="83"/>
  <c r="D29" i="83"/>
  <c r="T29" i="83" s="1"/>
  <c r="C29" i="83"/>
  <c r="R29" i="83" s="1"/>
  <c r="B29" i="83"/>
  <c r="Q28" i="83"/>
  <c r="D28" i="83"/>
  <c r="T28" i="83" s="1"/>
  <c r="C28" i="83"/>
  <c r="R28" i="83" s="1"/>
  <c r="B28" i="83"/>
  <c r="Q27" i="83"/>
  <c r="D27" i="83"/>
  <c r="T27" i="83" s="1"/>
  <c r="C27" i="83"/>
  <c r="R27" i="83" s="1"/>
  <c r="B27" i="83"/>
  <c r="Q26" i="83"/>
  <c r="D26" i="83"/>
  <c r="T26" i="83" s="1"/>
  <c r="C26" i="83"/>
  <c r="R26" i="83" s="1"/>
  <c r="B26" i="83"/>
  <c r="Q25" i="83"/>
  <c r="D25" i="83"/>
  <c r="T25" i="83" s="1"/>
  <c r="C25" i="83"/>
  <c r="R25" i="83" s="1"/>
  <c r="B25" i="83"/>
  <c r="Q24" i="83"/>
  <c r="D24" i="83"/>
  <c r="T24" i="83" s="1"/>
  <c r="C24" i="83"/>
  <c r="R24" i="83" s="1"/>
  <c r="B24" i="83"/>
  <c r="S24" i="83" s="1"/>
  <c r="Q23" i="83"/>
  <c r="D23" i="83"/>
  <c r="T23" i="83" s="1"/>
  <c r="C23" i="83"/>
  <c r="R23" i="83" s="1"/>
  <c r="B23" i="83"/>
  <c r="S23" i="83" s="1"/>
  <c r="Q22" i="83"/>
  <c r="D22" i="83"/>
  <c r="T22" i="83" s="1"/>
  <c r="C22" i="83"/>
  <c r="R22" i="83" s="1"/>
  <c r="B22" i="83"/>
  <c r="Q21" i="83"/>
  <c r="D21" i="83"/>
  <c r="T21" i="83" s="1"/>
  <c r="C21" i="83"/>
  <c r="R21" i="83" s="1"/>
  <c r="B21" i="83"/>
  <c r="Q20" i="83"/>
  <c r="D20" i="83"/>
  <c r="T20" i="83" s="1"/>
  <c r="C20" i="83"/>
  <c r="R20" i="83" s="1"/>
  <c r="B20" i="83"/>
  <c r="S20" i="83" s="1"/>
  <c r="Q19" i="83"/>
  <c r="D19" i="83"/>
  <c r="T19" i="83" s="1"/>
  <c r="C19" i="83"/>
  <c r="B19" i="83"/>
  <c r="S19" i="83" s="1"/>
  <c r="Q18" i="83"/>
  <c r="D18" i="83"/>
  <c r="T18" i="83" s="1"/>
  <c r="C18" i="83"/>
  <c r="R18" i="83" s="1"/>
  <c r="B18" i="83"/>
  <c r="Q17" i="83"/>
  <c r="D17" i="83"/>
  <c r="T17" i="83" s="1"/>
  <c r="C17" i="83"/>
  <c r="R17" i="83" s="1"/>
  <c r="B17" i="83"/>
  <c r="Q16" i="83"/>
  <c r="D16" i="83"/>
  <c r="T16" i="83" s="1"/>
  <c r="C16" i="83"/>
  <c r="R16" i="83" s="1"/>
  <c r="B16" i="83"/>
  <c r="Q15" i="83"/>
  <c r="D15" i="83"/>
  <c r="T15" i="83" s="1"/>
  <c r="C15" i="83"/>
  <c r="R15" i="83" s="1"/>
  <c r="B15" i="83"/>
  <c r="Q14" i="83"/>
  <c r="D14" i="83"/>
  <c r="T14" i="83" s="1"/>
  <c r="C14" i="83"/>
  <c r="R14" i="83" s="1"/>
  <c r="B14" i="83"/>
  <c r="Q13" i="83"/>
  <c r="D13" i="83"/>
  <c r="T13" i="83" s="1"/>
  <c r="C13" i="83"/>
  <c r="R13" i="83" s="1"/>
  <c r="B13" i="83"/>
  <c r="S13" i="83" s="1"/>
  <c r="AF12" i="83"/>
  <c r="AF11" i="83"/>
  <c r="AD11" i="83"/>
  <c r="AF10" i="83"/>
  <c r="AF9" i="83"/>
  <c r="Z8" i="83"/>
  <c r="S7" i="83"/>
  <c r="D7" i="83"/>
  <c r="A1" i="83"/>
  <c r="N68" i="82"/>
  <c r="O68" i="82" s="1"/>
  <c r="Z65" i="82"/>
  <c r="S65" i="82"/>
  <c r="K65" i="82"/>
  <c r="D65" i="82"/>
  <c r="Z64" i="82"/>
  <c r="S64" i="82"/>
  <c r="D64" i="82"/>
  <c r="Z60" i="82"/>
  <c r="S60" i="82"/>
  <c r="K60" i="82"/>
  <c r="Z59" i="82"/>
  <c r="K59" i="82"/>
  <c r="Q57" i="82"/>
  <c r="D57" i="82"/>
  <c r="T57" i="82" s="1"/>
  <c r="C57" i="82"/>
  <c r="R57" i="82" s="1"/>
  <c r="B57" i="82"/>
  <c r="Y57" i="82" s="1"/>
  <c r="Q56" i="82"/>
  <c r="D56" i="82"/>
  <c r="T56" i="82" s="1"/>
  <c r="C56" i="82"/>
  <c r="R56" i="82" s="1"/>
  <c r="B56" i="82"/>
  <c r="U56" i="82" s="1"/>
  <c r="Q55" i="82"/>
  <c r="D55" i="82"/>
  <c r="T55" i="82" s="1"/>
  <c r="C55" i="82"/>
  <c r="R55" i="82" s="1"/>
  <c r="B55" i="82"/>
  <c r="Z55" i="82" s="1"/>
  <c r="Q54" i="82"/>
  <c r="D54" i="82"/>
  <c r="T54" i="82" s="1"/>
  <c r="C54" i="82"/>
  <c r="R54" i="82" s="1"/>
  <c r="B54" i="82"/>
  <c r="V54" i="82" s="1"/>
  <c r="Q53" i="82"/>
  <c r="D53" i="82"/>
  <c r="T53" i="82" s="1"/>
  <c r="C53" i="82"/>
  <c r="R53" i="82" s="1"/>
  <c r="B53" i="82"/>
  <c r="AB53" i="82" s="1" a="1"/>
  <c r="AB53" i="82" s="1"/>
  <c r="Q52" i="82"/>
  <c r="D52" i="82"/>
  <c r="T52" i="82" s="1"/>
  <c r="C52" i="82"/>
  <c r="R52" i="82" s="1"/>
  <c r="B52" i="82"/>
  <c r="Y52" i="82" s="1"/>
  <c r="Q51" i="82"/>
  <c r="D51" i="82"/>
  <c r="T51" i="82" s="1"/>
  <c r="C51" i="82"/>
  <c r="R51" i="82" s="1"/>
  <c r="B51" i="82"/>
  <c r="U51" i="82" s="1"/>
  <c r="Q50" i="82"/>
  <c r="D50" i="82"/>
  <c r="T50" i="82" s="1"/>
  <c r="C50" i="82"/>
  <c r="R50" i="82" s="1"/>
  <c r="B50" i="82"/>
  <c r="Z50" i="82" s="1"/>
  <c r="Q49" i="82"/>
  <c r="D49" i="82"/>
  <c r="T49" i="82" s="1"/>
  <c r="C49" i="82"/>
  <c r="R49" i="82" s="1"/>
  <c r="B49" i="82"/>
  <c r="V49" i="82" s="1"/>
  <c r="Q48" i="82"/>
  <c r="D48" i="82"/>
  <c r="T48" i="82" s="1"/>
  <c r="C48" i="82"/>
  <c r="R48" i="82" s="1"/>
  <c r="B48" i="82"/>
  <c r="AB48" i="82" s="1" a="1"/>
  <c r="AB48" i="82" s="1"/>
  <c r="Q47" i="82"/>
  <c r="D47" i="82"/>
  <c r="T47" i="82" s="1"/>
  <c r="C47" i="82"/>
  <c r="R47" i="82" s="1"/>
  <c r="B47" i="82"/>
  <c r="Y47" i="82" s="1"/>
  <c r="Q46" i="82"/>
  <c r="D46" i="82"/>
  <c r="T46" i="82" s="1"/>
  <c r="C46" i="82"/>
  <c r="R46" i="82" s="1"/>
  <c r="B46" i="82"/>
  <c r="U46" i="82" s="1"/>
  <c r="Q45" i="82"/>
  <c r="D45" i="82"/>
  <c r="T45" i="82" s="1"/>
  <c r="C45" i="82"/>
  <c r="R45" i="82" s="1"/>
  <c r="B45" i="82"/>
  <c r="Z45" i="82" s="1"/>
  <c r="Q44" i="82"/>
  <c r="D44" i="82"/>
  <c r="T44" i="82" s="1"/>
  <c r="C44" i="82"/>
  <c r="R44" i="82" s="1"/>
  <c r="B44" i="82"/>
  <c r="V44" i="82" s="1"/>
  <c r="Q43" i="82"/>
  <c r="D43" i="82"/>
  <c r="T43" i="82" s="1"/>
  <c r="C43" i="82"/>
  <c r="R43" i="82" s="1"/>
  <c r="B43" i="82"/>
  <c r="AB43" i="82" s="1" a="1"/>
  <c r="AB43" i="82" s="1"/>
  <c r="Q42" i="82"/>
  <c r="D42" i="82"/>
  <c r="T42" i="82" s="1"/>
  <c r="C42" i="82"/>
  <c r="R42" i="82" s="1"/>
  <c r="B42" i="82"/>
  <c r="Y42" i="82" s="1"/>
  <c r="Q41" i="82"/>
  <c r="D41" i="82"/>
  <c r="T41" i="82" s="1"/>
  <c r="C41" i="82"/>
  <c r="R41" i="82" s="1"/>
  <c r="B41" i="82"/>
  <c r="U41" i="82" s="1"/>
  <c r="Q40" i="82"/>
  <c r="D40" i="82"/>
  <c r="T40" i="82" s="1"/>
  <c r="C40" i="82"/>
  <c r="R40" i="82" s="1"/>
  <c r="B40" i="82"/>
  <c r="Z40" i="82" s="1"/>
  <c r="Q39" i="82"/>
  <c r="D39" i="82"/>
  <c r="T39" i="82" s="1"/>
  <c r="C39" i="82"/>
  <c r="R39" i="82" s="1"/>
  <c r="B39" i="82"/>
  <c r="Q38" i="82"/>
  <c r="D38" i="82"/>
  <c r="T38" i="82" s="1"/>
  <c r="C38" i="82"/>
  <c r="R38" i="82" s="1"/>
  <c r="B38" i="82"/>
  <c r="Q37" i="82"/>
  <c r="D37" i="82"/>
  <c r="T37" i="82" s="1"/>
  <c r="C37" i="82"/>
  <c r="R37" i="82" s="1"/>
  <c r="B37" i="82"/>
  <c r="AB37" i="82" s="1" a="1"/>
  <c r="AB37" i="82" s="1"/>
  <c r="Q36" i="82"/>
  <c r="D36" i="82"/>
  <c r="T36" i="82" s="1"/>
  <c r="C36" i="82"/>
  <c r="R36" i="82" s="1"/>
  <c r="B36" i="82"/>
  <c r="Q35" i="82"/>
  <c r="D35" i="82"/>
  <c r="T35" i="82" s="1"/>
  <c r="C35" i="82"/>
  <c r="R35" i="82" s="1"/>
  <c r="B35" i="82"/>
  <c r="Q34" i="82"/>
  <c r="D34" i="82"/>
  <c r="T34" i="82" s="1"/>
  <c r="R34" i="82"/>
  <c r="B34" i="82"/>
  <c r="Q33" i="82"/>
  <c r="D33" i="82"/>
  <c r="T33" i="82" s="1"/>
  <c r="C33" i="82"/>
  <c r="R33" i="82" s="1"/>
  <c r="B33" i="82"/>
  <c r="Q32" i="82"/>
  <c r="D32" i="82"/>
  <c r="T32" i="82" s="1"/>
  <c r="C32" i="82"/>
  <c r="R32" i="82" s="1"/>
  <c r="B32" i="82"/>
  <c r="U32" i="82" s="1"/>
  <c r="Q31" i="82"/>
  <c r="D31" i="82"/>
  <c r="T31" i="82" s="1"/>
  <c r="C31" i="82"/>
  <c r="R31" i="82" s="1"/>
  <c r="B31" i="82"/>
  <c r="Q30" i="82"/>
  <c r="D30" i="82"/>
  <c r="T30" i="82" s="1"/>
  <c r="C30" i="82"/>
  <c r="R30" i="82" s="1"/>
  <c r="B30" i="82"/>
  <c r="Q29" i="82"/>
  <c r="D29" i="82"/>
  <c r="T29" i="82" s="1"/>
  <c r="C29" i="82"/>
  <c r="R29" i="82" s="1"/>
  <c r="B29" i="82"/>
  <c r="Q28" i="82"/>
  <c r="D28" i="82"/>
  <c r="T28" i="82" s="1"/>
  <c r="C28" i="82"/>
  <c r="R28" i="82" s="1"/>
  <c r="B28" i="82"/>
  <c r="Q27" i="82"/>
  <c r="D27" i="82"/>
  <c r="T27" i="82" s="1"/>
  <c r="C27" i="82"/>
  <c r="R27" i="82" s="1"/>
  <c r="B27" i="82"/>
  <c r="X27" i="82" s="1"/>
  <c r="Q26" i="82"/>
  <c r="D26" i="82"/>
  <c r="T26" i="82" s="1"/>
  <c r="C26" i="82"/>
  <c r="R26" i="82" s="1"/>
  <c r="B26" i="82"/>
  <c r="Q25" i="82"/>
  <c r="D25" i="82"/>
  <c r="T25" i="82" s="1"/>
  <c r="C25" i="82"/>
  <c r="R25" i="82" s="1"/>
  <c r="B25" i="82"/>
  <c r="Q24" i="82"/>
  <c r="D24" i="82"/>
  <c r="T24" i="82" s="1"/>
  <c r="C24" i="82"/>
  <c r="R24" i="82" s="1"/>
  <c r="B24" i="82"/>
  <c r="S24" i="82" s="1"/>
  <c r="Q23" i="82"/>
  <c r="D23" i="82"/>
  <c r="T23" i="82" s="1"/>
  <c r="C23" i="82"/>
  <c r="R23" i="82" s="1"/>
  <c r="B23" i="82"/>
  <c r="S23" i="82" s="1"/>
  <c r="Q22" i="82"/>
  <c r="D22" i="82"/>
  <c r="T22" i="82" s="1"/>
  <c r="C22" i="82"/>
  <c r="R22" i="82" s="1"/>
  <c r="B22" i="82"/>
  <c r="Q21" i="82"/>
  <c r="D21" i="82"/>
  <c r="T21" i="82" s="1"/>
  <c r="C21" i="82"/>
  <c r="R21" i="82" s="1"/>
  <c r="B21" i="82"/>
  <c r="Q20" i="82"/>
  <c r="D20" i="82"/>
  <c r="T20" i="82" s="1"/>
  <c r="C20" i="82"/>
  <c r="R20" i="82" s="1"/>
  <c r="B20" i="82"/>
  <c r="Q19" i="82"/>
  <c r="D19" i="82"/>
  <c r="T19" i="82" s="1"/>
  <c r="C19" i="82"/>
  <c r="R19" i="82" s="1"/>
  <c r="B19" i="82"/>
  <c r="Q18" i="82"/>
  <c r="D18" i="82"/>
  <c r="T18" i="82" s="1"/>
  <c r="C18" i="82"/>
  <c r="R18" i="82" s="1"/>
  <c r="B18" i="82"/>
  <c r="Q17" i="82"/>
  <c r="D17" i="82"/>
  <c r="T17" i="82" s="1"/>
  <c r="C17" i="82"/>
  <c r="R17" i="82" s="1"/>
  <c r="B17" i="82"/>
  <c r="Q16" i="82"/>
  <c r="D16" i="82"/>
  <c r="T16" i="82" s="1"/>
  <c r="C16" i="82"/>
  <c r="R16" i="82" s="1"/>
  <c r="B16" i="82"/>
  <c r="Q15" i="82"/>
  <c r="D15" i="82"/>
  <c r="T15" i="82" s="1"/>
  <c r="C15" i="82"/>
  <c r="R15" i="82" s="1"/>
  <c r="B15" i="82"/>
  <c r="S15" i="82" s="1"/>
  <c r="Q14" i="82"/>
  <c r="D14" i="82"/>
  <c r="T14" i="82" s="1"/>
  <c r="C14" i="82"/>
  <c r="R14" i="82" s="1"/>
  <c r="B14" i="82"/>
  <c r="Q13" i="82"/>
  <c r="D13" i="82"/>
  <c r="T13" i="82" s="1"/>
  <c r="C13" i="82"/>
  <c r="B13" i="82"/>
  <c r="S13" i="82" s="1"/>
  <c r="AF12" i="82"/>
  <c r="AF11" i="82"/>
  <c r="AD11" i="82"/>
  <c r="AF10" i="82"/>
  <c r="AF9" i="82"/>
  <c r="Z8" i="82"/>
  <c r="S7" i="82"/>
  <c r="D7" i="82"/>
  <c r="A1" i="82"/>
  <c r="N68" i="81"/>
  <c r="O68" i="81" s="1"/>
  <c r="Z65" i="81"/>
  <c r="S65" i="81"/>
  <c r="K65" i="81"/>
  <c r="D65" i="81"/>
  <c r="Z64" i="81"/>
  <c r="S64" i="81"/>
  <c r="D64" i="81"/>
  <c r="Z60" i="81"/>
  <c r="S60" i="81"/>
  <c r="K60" i="81"/>
  <c r="Z59" i="81"/>
  <c r="K59" i="81"/>
  <c r="Q57" i="81"/>
  <c r="D57" i="81"/>
  <c r="T57" i="81" s="1"/>
  <c r="C57" i="81"/>
  <c r="R57" i="81" s="1"/>
  <c r="B57" i="81"/>
  <c r="Y57" i="81" s="1"/>
  <c r="Q56" i="81"/>
  <c r="D56" i="81"/>
  <c r="T56" i="81" s="1"/>
  <c r="C56" i="81"/>
  <c r="R56" i="81" s="1"/>
  <c r="B56" i="81"/>
  <c r="S56" i="81" s="1"/>
  <c r="Q55" i="81"/>
  <c r="D55" i="81"/>
  <c r="T55" i="81" s="1"/>
  <c r="C55" i="81"/>
  <c r="R55" i="81" s="1"/>
  <c r="B55" i="81"/>
  <c r="Y55" i="81" s="1"/>
  <c r="Q54" i="81"/>
  <c r="D54" i="81"/>
  <c r="T54" i="81" s="1"/>
  <c r="C54" i="81"/>
  <c r="R54" i="81" s="1"/>
  <c r="B54" i="81"/>
  <c r="Z54" i="81" s="1"/>
  <c r="Q53" i="81"/>
  <c r="D53" i="81"/>
  <c r="T53" i="81" s="1"/>
  <c r="C53" i="81"/>
  <c r="R53" i="81" s="1"/>
  <c r="B53" i="81"/>
  <c r="AA53" i="81" s="1"/>
  <c r="Q52" i="81"/>
  <c r="D52" i="81"/>
  <c r="T52" i="81" s="1"/>
  <c r="C52" i="81"/>
  <c r="R52" i="81" s="1"/>
  <c r="B52" i="81"/>
  <c r="Y52" i="81" s="1"/>
  <c r="Q51" i="81"/>
  <c r="D51" i="81"/>
  <c r="T51" i="81" s="1"/>
  <c r="C51" i="81"/>
  <c r="R51" i="81" s="1"/>
  <c r="B51" i="81"/>
  <c r="S51" i="81" s="1"/>
  <c r="Q50" i="81"/>
  <c r="D50" i="81"/>
  <c r="T50" i="81" s="1"/>
  <c r="C50" i="81"/>
  <c r="R50" i="81" s="1"/>
  <c r="B50" i="81"/>
  <c r="Y50" i="81" s="1"/>
  <c r="Q49" i="81"/>
  <c r="D49" i="81"/>
  <c r="T49" i="81" s="1"/>
  <c r="C49" i="81"/>
  <c r="R49" i="81" s="1"/>
  <c r="B49" i="81"/>
  <c r="Z49" i="81" s="1"/>
  <c r="Q48" i="81"/>
  <c r="D48" i="81"/>
  <c r="T48" i="81" s="1"/>
  <c r="C48" i="81"/>
  <c r="R48" i="81" s="1"/>
  <c r="B48" i="81"/>
  <c r="AA48" i="81" s="1"/>
  <c r="Q47" i="81"/>
  <c r="D47" i="81"/>
  <c r="T47" i="81" s="1"/>
  <c r="C47" i="81"/>
  <c r="R47" i="81" s="1"/>
  <c r="B47" i="81"/>
  <c r="Y47" i="81" s="1"/>
  <c r="Q46" i="81"/>
  <c r="D46" i="81"/>
  <c r="T46" i="81" s="1"/>
  <c r="C46" i="81"/>
  <c r="R46" i="81" s="1"/>
  <c r="B46" i="81"/>
  <c r="S46" i="81" s="1"/>
  <c r="Q45" i="81"/>
  <c r="D45" i="81"/>
  <c r="T45" i="81" s="1"/>
  <c r="C45" i="81"/>
  <c r="R45" i="81" s="1"/>
  <c r="B45" i="81"/>
  <c r="Y45" i="81" s="1"/>
  <c r="Q44" i="81"/>
  <c r="D44" i="81"/>
  <c r="T44" i="81" s="1"/>
  <c r="C44" i="81"/>
  <c r="R44" i="81" s="1"/>
  <c r="B44" i="81"/>
  <c r="Z44" i="81" s="1"/>
  <c r="Q43" i="81"/>
  <c r="D43" i="81"/>
  <c r="T43" i="81" s="1"/>
  <c r="C43" i="81"/>
  <c r="R43" i="81" s="1"/>
  <c r="B43" i="81"/>
  <c r="AA43" i="81" s="1"/>
  <c r="Q42" i="81"/>
  <c r="D42" i="81"/>
  <c r="T42" i="81" s="1"/>
  <c r="C42" i="81"/>
  <c r="R42" i="81" s="1"/>
  <c r="B42" i="81"/>
  <c r="Y42" i="81" s="1"/>
  <c r="Q41" i="81"/>
  <c r="D41" i="81"/>
  <c r="T41" i="81" s="1"/>
  <c r="C41" i="81"/>
  <c r="R41" i="81" s="1"/>
  <c r="B41" i="81"/>
  <c r="S41" i="81" s="1"/>
  <c r="Q40" i="81"/>
  <c r="D40" i="81"/>
  <c r="T40" i="81" s="1"/>
  <c r="C40" i="81"/>
  <c r="R40" i="81" s="1"/>
  <c r="B40" i="81"/>
  <c r="Y40" i="81" s="1"/>
  <c r="Q39" i="81"/>
  <c r="D39" i="81"/>
  <c r="T39" i="81" s="1"/>
  <c r="C39" i="81"/>
  <c r="R39" i="81" s="1"/>
  <c r="B39" i="81"/>
  <c r="S39" i="81" s="1"/>
  <c r="Q38" i="81"/>
  <c r="D38" i="81"/>
  <c r="T38" i="81" s="1"/>
  <c r="C38" i="81"/>
  <c r="R38" i="81" s="1"/>
  <c r="B38" i="81"/>
  <c r="Q37" i="81"/>
  <c r="D37" i="81"/>
  <c r="T37" i="81" s="1"/>
  <c r="C37" i="81"/>
  <c r="R37" i="81" s="1"/>
  <c r="B37" i="81"/>
  <c r="AA37" i="81" s="1"/>
  <c r="Q36" i="81"/>
  <c r="D36" i="81"/>
  <c r="T36" i="81" s="1"/>
  <c r="C36" i="81"/>
  <c r="R36" i="81" s="1"/>
  <c r="B36" i="81"/>
  <c r="Z36" i="81" s="1"/>
  <c r="Q35" i="81"/>
  <c r="D35" i="81"/>
  <c r="T35" i="81" s="1"/>
  <c r="C35" i="81"/>
  <c r="R35" i="81" s="1"/>
  <c r="B35" i="81"/>
  <c r="Q34" i="81"/>
  <c r="D34" i="81"/>
  <c r="T34" i="81" s="1"/>
  <c r="C34" i="81"/>
  <c r="R34" i="81" s="1"/>
  <c r="B34" i="81"/>
  <c r="S34" i="81" s="1"/>
  <c r="Q33" i="81"/>
  <c r="D33" i="81"/>
  <c r="T33" i="81" s="1"/>
  <c r="C33" i="81"/>
  <c r="R33" i="81" s="1"/>
  <c r="B33" i="81"/>
  <c r="Q32" i="81"/>
  <c r="D32" i="81"/>
  <c r="T32" i="81" s="1"/>
  <c r="C32" i="81"/>
  <c r="R32" i="81" s="1"/>
  <c r="B32" i="81"/>
  <c r="S32" i="81" s="1"/>
  <c r="Q31" i="81"/>
  <c r="D31" i="81"/>
  <c r="T31" i="81" s="1"/>
  <c r="C31" i="81"/>
  <c r="R31" i="81" s="1"/>
  <c r="B31" i="81"/>
  <c r="Y31" i="81" s="1"/>
  <c r="Q30" i="81"/>
  <c r="D30" i="81"/>
  <c r="T30" i="81" s="1"/>
  <c r="C30" i="81"/>
  <c r="R30" i="81" s="1"/>
  <c r="B30" i="81"/>
  <c r="Q29" i="81"/>
  <c r="D29" i="81"/>
  <c r="T29" i="81" s="1"/>
  <c r="C29" i="81"/>
  <c r="R29" i="81" s="1"/>
  <c r="B29" i="81"/>
  <c r="Q28" i="81"/>
  <c r="D28" i="81"/>
  <c r="T28" i="81" s="1"/>
  <c r="C28" i="81"/>
  <c r="R28" i="81" s="1"/>
  <c r="B28" i="81"/>
  <c r="Q27" i="81"/>
  <c r="D27" i="81"/>
  <c r="T27" i="81" s="1"/>
  <c r="C27" i="81"/>
  <c r="R27" i="81" s="1"/>
  <c r="B27" i="81"/>
  <c r="V27" i="81" s="1"/>
  <c r="Q26" i="81"/>
  <c r="D26" i="81"/>
  <c r="T26" i="81" s="1"/>
  <c r="C26" i="81"/>
  <c r="R26" i="81" s="1"/>
  <c r="B26" i="81"/>
  <c r="Y26" i="81" s="1"/>
  <c r="Q25" i="81"/>
  <c r="D25" i="81"/>
  <c r="T25" i="81" s="1"/>
  <c r="C25" i="81"/>
  <c r="R25" i="81" s="1"/>
  <c r="B25" i="81"/>
  <c r="Q24" i="81"/>
  <c r="D24" i="81"/>
  <c r="T24" i="81" s="1"/>
  <c r="C24" i="81"/>
  <c r="R24" i="81" s="1"/>
  <c r="B24" i="81"/>
  <c r="S24" i="81" s="1"/>
  <c r="Q23" i="81"/>
  <c r="D23" i="81"/>
  <c r="T23" i="81" s="1"/>
  <c r="C23" i="81"/>
  <c r="R23" i="81" s="1"/>
  <c r="B23" i="81"/>
  <c r="Q22" i="81"/>
  <c r="D22" i="81"/>
  <c r="T22" i="81" s="1"/>
  <c r="C22" i="81"/>
  <c r="R22" i="81" s="1"/>
  <c r="B22" i="81"/>
  <c r="V22" i="81" s="1"/>
  <c r="Q21" i="81"/>
  <c r="D21" i="81"/>
  <c r="T21" i="81" s="1"/>
  <c r="C21" i="81"/>
  <c r="R21" i="81" s="1"/>
  <c r="B21" i="81"/>
  <c r="Q20" i="81"/>
  <c r="D20" i="81"/>
  <c r="T20" i="81" s="1"/>
  <c r="C20" i="81"/>
  <c r="R20" i="81" s="1"/>
  <c r="B20" i="81"/>
  <c r="Q19" i="81"/>
  <c r="D19" i="81"/>
  <c r="T19" i="81" s="1"/>
  <c r="C19" i="81"/>
  <c r="R19" i="81" s="1"/>
  <c r="B19" i="81"/>
  <c r="Q18" i="81"/>
  <c r="D18" i="81"/>
  <c r="T18" i="81" s="1"/>
  <c r="C18" i="81"/>
  <c r="R18" i="81" s="1"/>
  <c r="B18" i="81"/>
  <c r="Q17" i="81"/>
  <c r="D17" i="81"/>
  <c r="T17" i="81" s="1"/>
  <c r="C17" i="81"/>
  <c r="R17" i="81" s="1"/>
  <c r="B17" i="81"/>
  <c r="Q16" i="81"/>
  <c r="D16" i="81"/>
  <c r="T16" i="81" s="1"/>
  <c r="C16" i="81"/>
  <c r="B16" i="81"/>
  <c r="Q15" i="81"/>
  <c r="D15" i="81"/>
  <c r="T15" i="81" s="1"/>
  <c r="C15" i="81"/>
  <c r="R15" i="81" s="1"/>
  <c r="B15" i="81"/>
  <c r="Q14" i="81"/>
  <c r="D14" i="81"/>
  <c r="T14" i="81" s="1"/>
  <c r="C14" i="81"/>
  <c r="R14" i="81" s="1"/>
  <c r="B14" i="81"/>
  <c r="Q13" i="81"/>
  <c r="D13" i="81"/>
  <c r="T13" i="81" s="1"/>
  <c r="C13" i="81"/>
  <c r="B13" i="81"/>
  <c r="S13" i="81" s="1"/>
  <c r="AF12" i="81"/>
  <c r="AF11" i="81"/>
  <c r="AD11" i="81"/>
  <c r="AF10" i="81"/>
  <c r="AF9" i="81"/>
  <c r="Z8" i="81"/>
  <c r="S7" i="81"/>
  <c r="D7" i="81"/>
  <c r="A1" i="81"/>
  <c r="N68" i="80"/>
  <c r="O68" i="80" s="1"/>
  <c r="Z65" i="80"/>
  <c r="S65" i="80"/>
  <c r="K65" i="80"/>
  <c r="D65" i="80"/>
  <c r="Z64" i="80"/>
  <c r="S64" i="80"/>
  <c r="D64" i="80"/>
  <c r="Z60" i="80"/>
  <c r="S60" i="80"/>
  <c r="K60" i="80"/>
  <c r="Z59" i="80"/>
  <c r="K59" i="80"/>
  <c r="Q57" i="80"/>
  <c r="D57" i="80"/>
  <c r="T57" i="80" s="1"/>
  <c r="C57" i="80"/>
  <c r="R57" i="80" s="1"/>
  <c r="B57" i="80"/>
  <c r="Y57" i="80" s="1"/>
  <c r="Q56" i="80"/>
  <c r="D56" i="80"/>
  <c r="T56" i="80" s="1"/>
  <c r="C56" i="80"/>
  <c r="R56" i="80" s="1"/>
  <c r="B56" i="80"/>
  <c r="U56" i="80" s="1"/>
  <c r="Q55" i="80"/>
  <c r="D55" i="80"/>
  <c r="T55" i="80" s="1"/>
  <c r="C55" i="80"/>
  <c r="R55" i="80" s="1"/>
  <c r="B55" i="80"/>
  <c r="AB55" i="80" s="1" a="1"/>
  <c r="AB55" i="80" s="1"/>
  <c r="Q54" i="80"/>
  <c r="D54" i="80"/>
  <c r="T54" i="80" s="1"/>
  <c r="C54" i="80"/>
  <c r="R54" i="80" s="1"/>
  <c r="B54" i="80"/>
  <c r="X54" i="80" s="1"/>
  <c r="Q53" i="80"/>
  <c r="D53" i="80"/>
  <c r="T53" i="80" s="1"/>
  <c r="C53" i="80"/>
  <c r="R53" i="80" s="1"/>
  <c r="B53" i="80"/>
  <c r="AB53" i="80" s="1" a="1"/>
  <c r="AB53" i="80" s="1"/>
  <c r="Q52" i="80"/>
  <c r="D52" i="80"/>
  <c r="T52" i="80" s="1"/>
  <c r="C52" i="80"/>
  <c r="R52" i="80" s="1"/>
  <c r="B52" i="80"/>
  <c r="Y52" i="80" s="1"/>
  <c r="Q51" i="80"/>
  <c r="D51" i="80"/>
  <c r="T51" i="80" s="1"/>
  <c r="C51" i="80"/>
  <c r="R51" i="80" s="1"/>
  <c r="B51" i="80"/>
  <c r="U51" i="80" s="1"/>
  <c r="Q50" i="80"/>
  <c r="D50" i="80"/>
  <c r="T50" i="80" s="1"/>
  <c r="C50" i="80"/>
  <c r="R50" i="80" s="1"/>
  <c r="B50" i="80"/>
  <c r="AB50" i="80" s="1" a="1"/>
  <c r="AB50" i="80" s="1"/>
  <c r="Q49" i="80"/>
  <c r="D49" i="80"/>
  <c r="T49" i="80" s="1"/>
  <c r="C49" i="80"/>
  <c r="R49" i="80" s="1"/>
  <c r="B49" i="80"/>
  <c r="X49" i="80" s="1"/>
  <c r="Q48" i="80"/>
  <c r="D48" i="80"/>
  <c r="T48" i="80" s="1"/>
  <c r="C48" i="80"/>
  <c r="R48" i="80" s="1"/>
  <c r="B48" i="80"/>
  <c r="AB48" i="80" s="1" a="1"/>
  <c r="AB48" i="80" s="1"/>
  <c r="Q47" i="80"/>
  <c r="D47" i="80"/>
  <c r="T47" i="80" s="1"/>
  <c r="C47" i="80"/>
  <c r="R47" i="80" s="1"/>
  <c r="B47" i="80"/>
  <c r="Y47" i="80" s="1"/>
  <c r="Q46" i="80"/>
  <c r="D46" i="80"/>
  <c r="T46" i="80" s="1"/>
  <c r="C46" i="80"/>
  <c r="R46" i="80" s="1"/>
  <c r="B46" i="80"/>
  <c r="U46" i="80" s="1"/>
  <c r="Q45" i="80"/>
  <c r="D45" i="80"/>
  <c r="T45" i="80" s="1"/>
  <c r="C45" i="80"/>
  <c r="R45" i="80" s="1"/>
  <c r="B45" i="80"/>
  <c r="AB45" i="80" s="1" a="1"/>
  <c r="AB45" i="80" s="1"/>
  <c r="Q44" i="80"/>
  <c r="D44" i="80"/>
  <c r="T44" i="80" s="1"/>
  <c r="C44" i="80"/>
  <c r="R44" i="80" s="1"/>
  <c r="B44" i="80"/>
  <c r="X44" i="80" s="1"/>
  <c r="Q43" i="80"/>
  <c r="D43" i="80"/>
  <c r="T43" i="80" s="1"/>
  <c r="C43" i="80"/>
  <c r="R43" i="80" s="1"/>
  <c r="B43" i="80"/>
  <c r="AB43" i="80" s="1" a="1"/>
  <c r="AB43" i="80" s="1"/>
  <c r="Q42" i="80"/>
  <c r="D42" i="80"/>
  <c r="T42" i="80" s="1"/>
  <c r="C42" i="80"/>
  <c r="R42" i="80" s="1"/>
  <c r="B42" i="80"/>
  <c r="Y42" i="80" s="1"/>
  <c r="Q41" i="80"/>
  <c r="D41" i="80"/>
  <c r="T41" i="80" s="1"/>
  <c r="C41" i="80"/>
  <c r="R41" i="80" s="1"/>
  <c r="B41" i="80"/>
  <c r="U41" i="80" s="1"/>
  <c r="Q40" i="80"/>
  <c r="D40" i="80"/>
  <c r="T40" i="80" s="1"/>
  <c r="C40" i="80"/>
  <c r="R40" i="80" s="1"/>
  <c r="B40" i="80"/>
  <c r="AB40" i="80" s="1" a="1"/>
  <c r="AB40" i="80" s="1"/>
  <c r="Q39" i="80"/>
  <c r="D39" i="80"/>
  <c r="T39" i="80" s="1"/>
  <c r="C39" i="80"/>
  <c r="R39" i="80" s="1"/>
  <c r="B39" i="80"/>
  <c r="U39" i="80" s="1"/>
  <c r="Q38" i="80"/>
  <c r="D38" i="80"/>
  <c r="T38" i="80" s="1"/>
  <c r="C38" i="80"/>
  <c r="R38" i="80" s="1"/>
  <c r="B38" i="80"/>
  <c r="Q37" i="80"/>
  <c r="D37" i="80"/>
  <c r="T37" i="80" s="1"/>
  <c r="C37" i="80"/>
  <c r="R37" i="80" s="1"/>
  <c r="B37" i="80"/>
  <c r="Q36" i="80"/>
  <c r="D36" i="80"/>
  <c r="T36" i="80" s="1"/>
  <c r="C36" i="80"/>
  <c r="R36" i="80" s="1"/>
  <c r="B36" i="80"/>
  <c r="X36" i="80" s="1"/>
  <c r="Q35" i="80"/>
  <c r="D35" i="80"/>
  <c r="T35" i="80" s="1"/>
  <c r="C35" i="80"/>
  <c r="R35" i="80" s="1"/>
  <c r="B35" i="80"/>
  <c r="AB35" i="80" s="1" a="1"/>
  <c r="AB35" i="80" s="1"/>
  <c r="Q34" i="80"/>
  <c r="D34" i="80"/>
  <c r="T34" i="80" s="1"/>
  <c r="C34" i="80"/>
  <c r="R34" i="80" s="1"/>
  <c r="B34" i="80"/>
  <c r="U34" i="80" s="1"/>
  <c r="Q33" i="80"/>
  <c r="D33" i="80"/>
  <c r="T33" i="80" s="1"/>
  <c r="C33" i="80"/>
  <c r="R33" i="80" s="1"/>
  <c r="B33" i="80"/>
  <c r="Q32" i="80"/>
  <c r="D32" i="80"/>
  <c r="T32" i="80" s="1"/>
  <c r="C32" i="80"/>
  <c r="R32" i="80" s="1"/>
  <c r="B32" i="80"/>
  <c r="Q31" i="80"/>
  <c r="D31" i="80"/>
  <c r="T31" i="80" s="1"/>
  <c r="C31" i="80"/>
  <c r="R31" i="80" s="1"/>
  <c r="B31" i="80"/>
  <c r="AB31" i="80" s="1" a="1"/>
  <c r="AB31" i="80" s="1"/>
  <c r="Q30" i="80"/>
  <c r="D30" i="80"/>
  <c r="T30" i="80" s="1"/>
  <c r="C30" i="80"/>
  <c r="R30" i="80" s="1"/>
  <c r="B30" i="80"/>
  <c r="Q29" i="80"/>
  <c r="D29" i="80"/>
  <c r="T29" i="80" s="1"/>
  <c r="C29" i="80"/>
  <c r="R29" i="80" s="1"/>
  <c r="B29" i="80"/>
  <c r="U29" i="80" s="1"/>
  <c r="Q28" i="80"/>
  <c r="D28" i="80"/>
  <c r="T28" i="80" s="1"/>
  <c r="C28" i="80"/>
  <c r="R28" i="80" s="1"/>
  <c r="B28" i="80"/>
  <c r="Q27" i="80"/>
  <c r="D27" i="80"/>
  <c r="T27" i="80" s="1"/>
  <c r="C27" i="80"/>
  <c r="R27" i="80" s="1"/>
  <c r="B27" i="80"/>
  <c r="Q26" i="80"/>
  <c r="D26" i="80"/>
  <c r="T26" i="80" s="1"/>
  <c r="C26" i="80"/>
  <c r="R26" i="80" s="1"/>
  <c r="B26" i="80"/>
  <c r="Q25" i="80"/>
  <c r="D25" i="80"/>
  <c r="T25" i="80" s="1"/>
  <c r="C25" i="80"/>
  <c r="R25" i="80" s="1"/>
  <c r="B25" i="80"/>
  <c r="AB25" i="80" s="1" a="1"/>
  <c r="AB25" i="80" s="1"/>
  <c r="Q24" i="80"/>
  <c r="D24" i="80"/>
  <c r="T24" i="80" s="1"/>
  <c r="C24" i="80"/>
  <c r="R24" i="80" s="1"/>
  <c r="B24" i="80"/>
  <c r="S24" i="80" s="1"/>
  <c r="Q23" i="80"/>
  <c r="D23" i="80"/>
  <c r="T23" i="80" s="1"/>
  <c r="C23" i="80"/>
  <c r="R23" i="80" s="1"/>
  <c r="B23" i="80"/>
  <c r="S23" i="80" s="1"/>
  <c r="Q22" i="80"/>
  <c r="D22" i="80"/>
  <c r="T22" i="80" s="1"/>
  <c r="C22" i="80"/>
  <c r="R22" i="80" s="1"/>
  <c r="B22" i="80"/>
  <c r="Q21" i="80"/>
  <c r="D21" i="80"/>
  <c r="T21" i="80" s="1"/>
  <c r="C21" i="80"/>
  <c r="R21" i="80" s="1"/>
  <c r="B21" i="80"/>
  <c r="Q20" i="80"/>
  <c r="D20" i="80"/>
  <c r="T20" i="80" s="1"/>
  <c r="C20" i="80"/>
  <c r="R20" i="80" s="1"/>
  <c r="B20" i="80"/>
  <c r="Q19" i="80"/>
  <c r="D19" i="80"/>
  <c r="T19" i="80" s="1"/>
  <c r="C19" i="80"/>
  <c r="B19" i="80"/>
  <c r="Q18" i="80"/>
  <c r="D18" i="80"/>
  <c r="T18" i="80" s="1"/>
  <c r="C18" i="80"/>
  <c r="B18" i="80"/>
  <c r="Q17" i="80"/>
  <c r="D17" i="80"/>
  <c r="T17" i="80" s="1"/>
  <c r="C17" i="80"/>
  <c r="R17" i="80" s="1"/>
  <c r="B17" i="80"/>
  <c r="Q16" i="80"/>
  <c r="D16" i="80"/>
  <c r="T16" i="80" s="1"/>
  <c r="C16" i="80"/>
  <c r="R16" i="80" s="1"/>
  <c r="B16" i="80"/>
  <c r="Q15" i="80"/>
  <c r="D15" i="80"/>
  <c r="T15" i="80" s="1"/>
  <c r="C15" i="80"/>
  <c r="R15" i="80" s="1"/>
  <c r="B15" i="80"/>
  <c r="Q14" i="80"/>
  <c r="D14" i="80"/>
  <c r="T14" i="80" s="1"/>
  <c r="C14" i="80"/>
  <c r="R14" i="80" s="1"/>
  <c r="B14" i="80"/>
  <c r="Q13" i="80"/>
  <c r="D13" i="80"/>
  <c r="T13" i="80" s="1"/>
  <c r="C13" i="80"/>
  <c r="R13" i="80" s="1"/>
  <c r="B13" i="80"/>
  <c r="AF12" i="80"/>
  <c r="AF11" i="80"/>
  <c r="AD11" i="80"/>
  <c r="AF10" i="80"/>
  <c r="AF9" i="80"/>
  <c r="Z8" i="80"/>
  <c r="S7" i="80"/>
  <c r="AD6" i="80"/>
  <c r="D7" i="80"/>
  <c r="A1" i="80"/>
  <c r="B47" i="79"/>
  <c r="B46" i="79"/>
  <c r="B45" i="79"/>
  <c r="B44" i="79"/>
  <c r="B43" i="79"/>
  <c r="B42" i="79"/>
  <c r="B41" i="79"/>
  <c r="B40" i="79"/>
  <c r="B39" i="79"/>
  <c r="B38" i="79"/>
  <c r="B37" i="79"/>
  <c r="B36" i="79"/>
  <c r="B35" i="79"/>
  <c r="B34" i="79"/>
  <c r="B33" i="79"/>
  <c r="B32" i="79"/>
  <c r="B31" i="79"/>
  <c r="B30" i="79"/>
  <c r="B29" i="79"/>
  <c r="B28" i="79"/>
  <c r="B27" i="79"/>
  <c r="B26" i="79"/>
  <c r="B25" i="79"/>
  <c r="B24" i="79"/>
  <c r="B23" i="79"/>
  <c r="B22" i="79"/>
  <c r="B21" i="79"/>
  <c r="B20" i="79"/>
  <c r="B19" i="79"/>
  <c r="B18" i="79"/>
  <c r="B17" i="79"/>
  <c r="B16" i="79"/>
  <c r="B15" i="79"/>
  <c r="B14" i="79"/>
  <c r="B13" i="79"/>
  <c r="B12" i="79"/>
  <c r="B11" i="79"/>
  <c r="B10" i="79"/>
  <c r="B9" i="79"/>
  <c r="B8" i="79"/>
  <c r="B7" i="79"/>
  <c r="B6" i="79"/>
  <c r="B5" i="79"/>
  <c r="B4" i="79"/>
  <c r="B3" i="79"/>
  <c r="A13" i="79"/>
  <c r="A12" i="79"/>
  <c r="A11" i="79"/>
  <c r="A10" i="79"/>
  <c r="A9" i="79"/>
  <c r="A8" i="79"/>
  <c r="A7" i="79"/>
  <c r="A6" i="79"/>
  <c r="A5" i="79"/>
  <c r="A4" i="79"/>
  <c r="A1" i="79"/>
  <c r="A3" i="79"/>
  <c r="Q57" i="25"/>
  <c r="Q56" i="25"/>
  <c r="Q55" i="25"/>
  <c r="Q54" i="25"/>
  <c r="Q53" i="25"/>
  <c r="Q52" i="25"/>
  <c r="Q51" i="25"/>
  <c r="Q50" i="25"/>
  <c r="Q49" i="25"/>
  <c r="Q48" i="25"/>
  <c r="Q47" i="25"/>
  <c r="Q46" i="25"/>
  <c r="Q45" i="25"/>
  <c r="Q44" i="25"/>
  <c r="Q43" i="25"/>
  <c r="Q42" i="25"/>
  <c r="Q41" i="25"/>
  <c r="Q40" i="25"/>
  <c r="Q39" i="25"/>
  <c r="Q38" i="25"/>
  <c r="Q37" i="25"/>
  <c r="Q36" i="25"/>
  <c r="Q35" i="25"/>
  <c r="Q34" i="25"/>
  <c r="Q33" i="25"/>
  <c r="Q32" i="25"/>
  <c r="Q31" i="25"/>
  <c r="Q30" i="25"/>
  <c r="Q29" i="25"/>
  <c r="Q28" i="25"/>
  <c r="Q27" i="25"/>
  <c r="Q26" i="25"/>
  <c r="Q25" i="25"/>
  <c r="Q24" i="25"/>
  <c r="Q23" i="25"/>
  <c r="Q22" i="25"/>
  <c r="Q21" i="25"/>
  <c r="Q20" i="25"/>
  <c r="Q19" i="25"/>
  <c r="Q18" i="25"/>
  <c r="Q17" i="25"/>
  <c r="Q16" i="25"/>
  <c r="Q15" i="25"/>
  <c r="Q14" i="25"/>
  <c r="Q13" i="25"/>
  <c r="C6" i="50" a="1"/>
  <c r="DS22" i="79" l="1"/>
  <c r="DR22" i="79"/>
  <c r="DJ22" i="79"/>
  <c r="DQ22" i="79"/>
  <c r="DP22" i="79"/>
  <c r="DH22" i="79"/>
  <c r="DO22" i="79"/>
  <c r="DG22" i="79"/>
  <c r="DL22" i="79"/>
  <c r="DD22" i="79"/>
  <c r="CY22" i="79"/>
  <c r="CX22" i="79"/>
  <c r="DN22" i="79"/>
  <c r="DK22" i="79"/>
  <c r="CW22" i="79"/>
  <c r="DM22" i="79"/>
  <c r="DI22" i="79"/>
  <c r="CV22" i="79"/>
  <c r="DA22" i="79"/>
  <c r="CZ22" i="79"/>
  <c r="DF22" i="79"/>
  <c r="DC22" i="79"/>
  <c r="DE22" i="79"/>
  <c r="DB22" i="79"/>
  <c r="DS14" i="79"/>
  <c r="DR14" i="79"/>
  <c r="DJ14" i="79"/>
  <c r="DQ14" i="79"/>
  <c r="DP14" i="79"/>
  <c r="DH14" i="79"/>
  <c r="DO14" i="79"/>
  <c r="DG14" i="79"/>
  <c r="DL14" i="79"/>
  <c r="DD14" i="79"/>
  <c r="CY14" i="79"/>
  <c r="CX14" i="79"/>
  <c r="DN14" i="79"/>
  <c r="DK14" i="79"/>
  <c r="CW14" i="79"/>
  <c r="CZ14" i="79"/>
  <c r="DM14" i="79"/>
  <c r="DI14" i="79"/>
  <c r="CV14" i="79"/>
  <c r="DF14" i="79"/>
  <c r="DC14" i="79"/>
  <c r="DA14" i="79"/>
  <c r="DE14" i="79"/>
  <c r="DB14" i="79"/>
  <c r="DS23" i="79"/>
  <c r="DK23" i="79"/>
  <c r="DR23" i="79"/>
  <c r="DJ23" i="79"/>
  <c r="DQ23" i="79"/>
  <c r="DI23" i="79"/>
  <c r="DP23" i="79"/>
  <c r="DH23" i="79"/>
  <c r="DO23" i="79"/>
  <c r="DG23" i="79"/>
  <c r="DL23" i="79"/>
  <c r="DD23" i="79"/>
  <c r="DN23" i="79"/>
  <c r="DF23" i="79"/>
  <c r="CY23" i="79"/>
  <c r="DM23" i="79"/>
  <c r="DE23" i="79"/>
  <c r="CX23" i="79"/>
  <c r="CW23" i="79"/>
  <c r="CV23" i="79"/>
  <c r="DC23" i="79"/>
  <c r="CZ23" i="79"/>
  <c r="DB23" i="79"/>
  <c r="DA23" i="79"/>
  <c r="DS24" i="79"/>
  <c r="DK24" i="79"/>
  <c r="DR24" i="79"/>
  <c r="DJ24" i="79"/>
  <c r="DQ24" i="79"/>
  <c r="DI24" i="79"/>
  <c r="DP24" i="79"/>
  <c r="DH24" i="79"/>
  <c r="DO24" i="79"/>
  <c r="DG24" i="79"/>
  <c r="DL24" i="79"/>
  <c r="DD24" i="79"/>
  <c r="CY24" i="79"/>
  <c r="CZ24" i="79"/>
  <c r="CX24" i="79"/>
  <c r="DM24" i="79"/>
  <c r="CW24" i="79"/>
  <c r="DA24" i="79"/>
  <c r="DE24" i="79"/>
  <c r="CV24" i="79"/>
  <c r="DN24" i="79"/>
  <c r="DC24" i="79"/>
  <c r="DB24" i="79"/>
  <c r="DF24" i="79"/>
  <c r="DS40" i="79"/>
  <c r="DK40" i="79"/>
  <c r="DR40" i="79"/>
  <c r="DJ40" i="79"/>
  <c r="DB40" i="79"/>
  <c r="DQ40" i="79"/>
  <c r="DI40" i="79"/>
  <c r="DP40" i="79"/>
  <c r="DH40" i="79"/>
  <c r="CZ40" i="79"/>
  <c r="DO40" i="79"/>
  <c r="DG40" i="79"/>
  <c r="CY40" i="79"/>
  <c r="DL40" i="79"/>
  <c r="DD40" i="79"/>
  <c r="CV40" i="79"/>
  <c r="DN40" i="79"/>
  <c r="DC40" i="79"/>
  <c r="DF40" i="79"/>
  <c r="DM40" i="79"/>
  <c r="DA40" i="79"/>
  <c r="CX40" i="79"/>
  <c r="CW40" i="79"/>
  <c r="DE40" i="79"/>
  <c r="E16" i="97" a="1"/>
  <c r="E16" i="97" s="1"/>
  <c r="DS39" i="79"/>
  <c r="DK39" i="79"/>
  <c r="DR39" i="79"/>
  <c r="DJ39" i="79"/>
  <c r="DQ39" i="79"/>
  <c r="DI39" i="79"/>
  <c r="DP39" i="79"/>
  <c r="DH39" i="79"/>
  <c r="CZ39" i="79"/>
  <c r="DO39" i="79"/>
  <c r="DG39" i="79"/>
  <c r="DL39" i="79"/>
  <c r="DD39" i="79"/>
  <c r="CV39" i="79"/>
  <c r="DN39" i="79"/>
  <c r="DF39" i="79"/>
  <c r="DA39" i="79"/>
  <c r="DM39" i="79"/>
  <c r="DE39" i="79"/>
  <c r="CY39" i="79"/>
  <c r="CX39" i="79"/>
  <c r="DC39" i="79"/>
  <c r="CW39" i="79"/>
  <c r="DB39" i="79"/>
  <c r="DS32" i="79"/>
  <c r="DK32" i="79"/>
  <c r="DR32" i="79"/>
  <c r="DJ32" i="79"/>
  <c r="DQ32" i="79"/>
  <c r="DI32" i="79"/>
  <c r="DP32" i="79"/>
  <c r="DH32" i="79"/>
  <c r="DO32" i="79"/>
  <c r="DG32" i="79"/>
  <c r="DL32" i="79"/>
  <c r="DD32" i="79"/>
  <c r="CY32" i="79"/>
  <c r="CX32" i="79"/>
  <c r="CW32" i="79"/>
  <c r="DN32" i="79"/>
  <c r="DF32" i="79"/>
  <c r="CV32" i="79"/>
  <c r="DC32" i="79"/>
  <c r="DM32" i="79"/>
  <c r="CZ32" i="79"/>
  <c r="DB32" i="79"/>
  <c r="DA32" i="79"/>
  <c r="DE32" i="79"/>
  <c r="DS17" i="79"/>
  <c r="DR17" i="79"/>
  <c r="DJ17" i="79"/>
  <c r="DQ17" i="79"/>
  <c r="DP17" i="79"/>
  <c r="DH17" i="79"/>
  <c r="DO17" i="79"/>
  <c r="DG17" i="79"/>
  <c r="DL17" i="79"/>
  <c r="DD17" i="79"/>
  <c r="DF17" i="79"/>
  <c r="CY17" i="79"/>
  <c r="DK17" i="79"/>
  <c r="CZ17" i="79"/>
  <c r="DE17" i="79"/>
  <c r="CX17" i="79"/>
  <c r="DA17" i="79"/>
  <c r="CW17" i="79"/>
  <c r="CV17" i="79"/>
  <c r="DN17" i="79"/>
  <c r="DC17" i="79"/>
  <c r="DM17" i="79"/>
  <c r="DB17" i="79"/>
  <c r="DI17" i="79"/>
  <c r="DS25" i="79"/>
  <c r="DK25" i="79"/>
  <c r="DR25" i="79"/>
  <c r="DJ25" i="79"/>
  <c r="DQ25" i="79"/>
  <c r="DI25" i="79"/>
  <c r="DP25" i="79"/>
  <c r="DH25" i="79"/>
  <c r="DO25" i="79"/>
  <c r="DG25" i="79"/>
  <c r="DL25" i="79"/>
  <c r="DD25" i="79"/>
  <c r="CY25" i="79"/>
  <c r="CX25" i="79"/>
  <c r="CW25" i="79"/>
  <c r="CV25" i="79"/>
  <c r="DN25" i="79"/>
  <c r="DF25" i="79"/>
  <c r="DC25" i="79"/>
  <c r="DM25" i="79"/>
  <c r="DE25" i="79"/>
  <c r="DB25" i="79"/>
  <c r="DA25" i="79"/>
  <c r="CZ25" i="79"/>
  <c r="DS33" i="79"/>
  <c r="DK33" i="79"/>
  <c r="DR33" i="79"/>
  <c r="DJ33" i="79"/>
  <c r="DQ33" i="79"/>
  <c r="DI33" i="79"/>
  <c r="DP33" i="79"/>
  <c r="DH33" i="79"/>
  <c r="DO33" i="79"/>
  <c r="DG33" i="79"/>
  <c r="DL33" i="79"/>
  <c r="DD33" i="79"/>
  <c r="CY33" i="79"/>
  <c r="CZ33" i="79"/>
  <c r="CX33" i="79"/>
  <c r="CW33" i="79"/>
  <c r="DA33" i="79"/>
  <c r="CV33" i="79"/>
  <c r="DN33" i="79"/>
  <c r="DF33" i="79"/>
  <c r="DC33" i="79"/>
  <c r="DM33" i="79"/>
  <c r="DE33" i="79"/>
  <c r="DB33" i="79"/>
  <c r="DS41" i="79"/>
  <c r="DK41" i="79"/>
  <c r="DR41" i="79"/>
  <c r="DJ41" i="79"/>
  <c r="DB41" i="79"/>
  <c r="DQ41" i="79"/>
  <c r="DI41" i="79"/>
  <c r="DP41" i="79"/>
  <c r="DH41" i="79"/>
  <c r="CZ41" i="79"/>
  <c r="DO41" i="79"/>
  <c r="DG41" i="79"/>
  <c r="CY41" i="79"/>
  <c r="DL41" i="79"/>
  <c r="DD41" i="79"/>
  <c r="CV41" i="79"/>
  <c r="CX41" i="79"/>
  <c r="CW41" i="79"/>
  <c r="DA41" i="79"/>
  <c r="DN41" i="79"/>
  <c r="DF41" i="79"/>
  <c r="DM41" i="79"/>
  <c r="DE41" i="79"/>
  <c r="DC41" i="79"/>
  <c r="DS16" i="79"/>
  <c r="DR16" i="79"/>
  <c r="DJ16" i="79"/>
  <c r="DQ16" i="79"/>
  <c r="DP16" i="79"/>
  <c r="DH16" i="79"/>
  <c r="DO16" i="79"/>
  <c r="DG16" i="79"/>
  <c r="DL16" i="79"/>
  <c r="DD16" i="79"/>
  <c r="CY16" i="79"/>
  <c r="CX16" i="79"/>
  <c r="DK16" i="79"/>
  <c r="CW16" i="79"/>
  <c r="DA16" i="79"/>
  <c r="DI16" i="79"/>
  <c r="CV16" i="79"/>
  <c r="DM16" i="79"/>
  <c r="CZ16" i="79"/>
  <c r="DF16" i="79"/>
  <c r="DC16" i="79"/>
  <c r="DE16" i="79"/>
  <c r="DB16" i="79"/>
  <c r="DN16" i="79"/>
  <c r="DS42" i="79"/>
  <c r="DK42" i="79"/>
  <c r="DR42" i="79"/>
  <c r="DJ42" i="79"/>
  <c r="DB42" i="79"/>
  <c r="DQ42" i="79"/>
  <c r="DI42" i="79"/>
  <c r="DP42" i="79"/>
  <c r="DH42" i="79"/>
  <c r="CZ42" i="79"/>
  <c r="DO42" i="79"/>
  <c r="DG42" i="79"/>
  <c r="CY42" i="79"/>
  <c r="DL42" i="79"/>
  <c r="DD42" i="79"/>
  <c r="CV42" i="79"/>
  <c r="DN42" i="79"/>
  <c r="DF42" i="79"/>
  <c r="DC42" i="79"/>
  <c r="DM42" i="79"/>
  <c r="DE42" i="79"/>
  <c r="DA42" i="79"/>
  <c r="CX42" i="79"/>
  <c r="CW42" i="79"/>
  <c r="DS30" i="79"/>
  <c r="DK30" i="79"/>
  <c r="DR30" i="79"/>
  <c r="DJ30" i="79"/>
  <c r="DQ30" i="79"/>
  <c r="DI30" i="79"/>
  <c r="DP30" i="79"/>
  <c r="DH30" i="79"/>
  <c r="DO30" i="79"/>
  <c r="DG30" i="79"/>
  <c r="DL30" i="79"/>
  <c r="DD30" i="79"/>
  <c r="CY30" i="79"/>
  <c r="CX30" i="79"/>
  <c r="DN30" i="79"/>
  <c r="DF30" i="79"/>
  <c r="CW30" i="79"/>
  <c r="DM30" i="79"/>
  <c r="DE30" i="79"/>
  <c r="CV30" i="79"/>
  <c r="CZ30" i="79"/>
  <c r="DC30" i="79"/>
  <c r="DB30" i="79"/>
  <c r="DA30" i="79"/>
  <c r="DS15" i="79"/>
  <c r="DR15" i="79"/>
  <c r="DJ15" i="79"/>
  <c r="DQ15" i="79"/>
  <c r="DP15" i="79"/>
  <c r="DH15" i="79"/>
  <c r="DO15" i="79"/>
  <c r="DG15" i="79"/>
  <c r="DL15" i="79"/>
  <c r="DD15" i="79"/>
  <c r="DN15" i="79"/>
  <c r="DF15" i="79"/>
  <c r="CY15" i="79"/>
  <c r="DM15" i="79"/>
  <c r="DE15" i="79"/>
  <c r="CX15" i="79"/>
  <c r="CW15" i="79"/>
  <c r="DI15" i="79"/>
  <c r="CV15" i="79"/>
  <c r="DC15" i="79"/>
  <c r="DB15" i="79"/>
  <c r="CZ15" i="79"/>
  <c r="DK15" i="79"/>
  <c r="DA15" i="79"/>
  <c r="DS18" i="79"/>
  <c r="DR18" i="79"/>
  <c r="DJ18" i="79"/>
  <c r="DQ18" i="79"/>
  <c r="DP18" i="79"/>
  <c r="DH18" i="79"/>
  <c r="DO18" i="79"/>
  <c r="DG18" i="79"/>
  <c r="DL18" i="79"/>
  <c r="DD18" i="79"/>
  <c r="CY18" i="79"/>
  <c r="CX18" i="79"/>
  <c r="CZ18" i="79"/>
  <c r="DN18" i="79"/>
  <c r="DK18" i="79"/>
  <c r="CW18" i="79"/>
  <c r="DM18" i="79"/>
  <c r="DI18" i="79"/>
  <c r="CV18" i="79"/>
  <c r="DF18" i="79"/>
  <c r="DC18" i="79"/>
  <c r="DE18" i="79"/>
  <c r="DB18" i="79"/>
  <c r="DA18" i="79"/>
  <c r="DS19" i="79"/>
  <c r="DR19" i="79"/>
  <c r="DJ19" i="79"/>
  <c r="DQ19" i="79"/>
  <c r="DP19" i="79"/>
  <c r="DH19" i="79"/>
  <c r="DO19" i="79"/>
  <c r="DG19" i="79"/>
  <c r="DL19" i="79"/>
  <c r="DD19" i="79"/>
  <c r="DN19" i="79"/>
  <c r="DF19" i="79"/>
  <c r="CY19" i="79"/>
  <c r="DM19" i="79"/>
  <c r="DE19" i="79"/>
  <c r="CX19" i="79"/>
  <c r="CW19" i="79"/>
  <c r="DA19" i="79"/>
  <c r="CV19" i="79"/>
  <c r="DK19" i="79"/>
  <c r="DI19" i="79"/>
  <c r="DC19" i="79"/>
  <c r="DB19" i="79"/>
  <c r="CZ19" i="79"/>
  <c r="DS27" i="79"/>
  <c r="DK27" i="79"/>
  <c r="DR27" i="79"/>
  <c r="DJ27" i="79"/>
  <c r="DQ27" i="79"/>
  <c r="DI27" i="79"/>
  <c r="DP27" i="79"/>
  <c r="DH27" i="79"/>
  <c r="DO27" i="79"/>
  <c r="DG27" i="79"/>
  <c r="DL27" i="79"/>
  <c r="DD27" i="79"/>
  <c r="DN27" i="79"/>
  <c r="DF27" i="79"/>
  <c r="CY27" i="79"/>
  <c r="DM27" i="79"/>
  <c r="DE27" i="79"/>
  <c r="CX27" i="79"/>
  <c r="DA27" i="79"/>
  <c r="CZ27" i="79"/>
  <c r="CW27" i="79"/>
  <c r="CV27" i="79"/>
  <c r="DC27" i="79"/>
  <c r="DB27" i="79"/>
  <c r="DS35" i="79"/>
  <c r="DK35" i="79"/>
  <c r="DR35" i="79"/>
  <c r="DJ35" i="79"/>
  <c r="DQ35" i="79"/>
  <c r="DI35" i="79"/>
  <c r="DP35" i="79"/>
  <c r="DH35" i="79"/>
  <c r="CZ35" i="79"/>
  <c r="DO35" i="79"/>
  <c r="DG35" i="79"/>
  <c r="DL35" i="79"/>
  <c r="DD35" i="79"/>
  <c r="CV35" i="79"/>
  <c r="DN35" i="79"/>
  <c r="DF35" i="79"/>
  <c r="DA35" i="79"/>
  <c r="DM35" i="79"/>
  <c r="DE35" i="79"/>
  <c r="CY35" i="79"/>
  <c r="CX35" i="79"/>
  <c r="DB35" i="79"/>
  <c r="CW35" i="79"/>
  <c r="DC35" i="79"/>
  <c r="DS43" i="79"/>
  <c r="DK43" i="79"/>
  <c r="DR43" i="79"/>
  <c r="DJ43" i="79"/>
  <c r="DB43" i="79"/>
  <c r="DQ43" i="79"/>
  <c r="DI43" i="79"/>
  <c r="DP43" i="79"/>
  <c r="DH43" i="79"/>
  <c r="CZ43" i="79"/>
  <c r="DO43" i="79"/>
  <c r="DG43" i="79"/>
  <c r="CY43" i="79"/>
  <c r="DL43" i="79"/>
  <c r="DD43" i="79"/>
  <c r="CV43" i="79"/>
  <c r="DN43" i="79"/>
  <c r="DF43" i="79"/>
  <c r="CX43" i="79"/>
  <c r="DM43" i="79"/>
  <c r="DE43" i="79"/>
  <c r="CW43" i="79"/>
  <c r="DA43" i="79"/>
  <c r="DC43" i="79"/>
  <c r="DS38" i="79"/>
  <c r="DK38" i="79"/>
  <c r="DR38" i="79"/>
  <c r="DJ38" i="79"/>
  <c r="DQ38" i="79"/>
  <c r="DI38" i="79"/>
  <c r="DP38" i="79"/>
  <c r="DH38" i="79"/>
  <c r="CZ38" i="79"/>
  <c r="DO38" i="79"/>
  <c r="DG38" i="79"/>
  <c r="DL38" i="79"/>
  <c r="DD38" i="79"/>
  <c r="CV38" i="79"/>
  <c r="CX38" i="79"/>
  <c r="CW38" i="79"/>
  <c r="DN38" i="79"/>
  <c r="DF38" i="79"/>
  <c r="DM38" i="79"/>
  <c r="DE38" i="79"/>
  <c r="CY38" i="79"/>
  <c r="DC38" i="79"/>
  <c r="DB38" i="79"/>
  <c r="DA38" i="79"/>
  <c r="DS31" i="79"/>
  <c r="DK31" i="79"/>
  <c r="DR31" i="79"/>
  <c r="DJ31" i="79"/>
  <c r="DQ31" i="79"/>
  <c r="DI31" i="79"/>
  <c r="DP31" i="79"/>
  <c r="DH31" i="79"/>
  <c r="DO31" i="79"/>
  <c r="DG31" i="79"/>
  <c r="DL31" i="79"/>
  <c r="DD31" i="79"/>
  <c r="DN31" i="79"/>
  <c r="DF31" i="79"/>
  <c r="CY31" i="79"/>
  <c r="DM31" i="79"/>
  <c r="DE31" i="79"/>
  <c r="CX31" i="79"/>
  <c r="CW31" i="79"/>
  <c r="DA31" i="79"/>
  <c r="CZ31" i="79"/>
  <c r="CV31" i="79"/>
  <c r="DC31" i="79"/>
  <c r="DB31" i="79"/>
  <c r="DS26" i="79"/>
  <c r="DK26" i="79"/>
  <c r="DR26" i="79"/>
  <c r="DJ26" i="79"/>
  <c r="DQ26" i="79"/>
  <c r="DI26" i="79"/>
  <c r="DP26" i="79"/>
  <c r="DH26" i="79"/>
  <c r="DO26" i="79"/>
  <c r="DG26" i="79"/>
  <c r="DL26" i="79"/>
  <c r="DD26" i="79"/>
  <c r="CY26" i="79"/>
  <c r="CX26" i="79"/>
  <c r="DN26" i="79"/>
  <c r="DF26" i="79"/>
  <c r="CW26" i="79"/>
  <c r="DA26" i="79"/>
  <c r="CZ26" i="79"/>
  <c r="DM26" i="79"/>
  <c r="DE26" i="79"/>
  <c r="CV26" i="79"/>
  <c r="DC26" i="79"/>
  <c r="DB26" i="79"/>
  <c r="DS12" i="79"/>
  <c r="DR12" i="79"/>
  <c r="DJ12" i="79"/>
  <c r="DQ12" i="79"/>
  <c r="DP12" i="79"/>
  <c r="DH12" i="79"/>
  <c r="DO12" i="79"/>
  <c r="DG12" i="79"/>
  <c r="DL12" i="79"/>
  <c r="DD12" i="79"/>
  <c r="CY12" i="79"/>
  <c r="CX12" i="79"/>
  <c r="DK12" i="79"/>
  <c r="CW12" i="79"/>
  <c r="DB12" i="79"/>
  <c r="DN12" i="79"/>
  <c r="DI12" i="79"/>
  <c r="CV12" i="79"/>
  <c r="DA12" i="79"/>
  <c r="DF12" i="79"/>
  <c r="DC12" i="79"/>
  <c r="DE12" i="79"/>
  <c r="DM12" i="79"/>
  <c r="CZ12" i="79"/>
  <c r="DS36" i="79"/>
  <c r="DK36" i="79"/>
  <c r="DR36" i="79"/>
  <c r="DJ36" i="79"/>
  <c r="DQ36" i="79"/>
  <c r="DI36" i="79"/>
  <c r="DP36" i="79"/>
  <c r="DH36" i="79"/>
  <c r="CZ36" i="79"/>
  <c r="DO36" i="79"/>
  <c r="DG36" i="79"/>
  <c r="DL36" i="79"/>
  <c r="DD36" i="79"/>
  <c r="CV36" i="79"/>
  <c r="DC36" i="79"/>
  <c r="DB36" i="79"/>
  <c r="DA36" i="79"/>
  <c r="CY36" i="79"/>
  <c r="CX36" i="79"/>
  <c r="CW36" i="79"/>
  <c r="DN36" i="79"/>
  <c r="DF36" i="79"/>
  <c r="DM36" i="79"/>
  <c r="DE36" i="79"/>
  <c r="DS46" i="79"/>
  <c r="DK46" i="79"/>
  <c r="DR46" i="79"/>
  <c r="DJ46" i="79"/>
  <c r="DB46" i="79"/>
  <c r="DQ46" i="79"/>
  <c r="DI46" i="79"/>
  <c r="DP46" i="79"/>
  <c r="DH46" i="79"/>
  <c r="CZ46" i="79"/>
  <c r="DO46" i="79"/>
  <c r="DG46" i="79"/>
  <c r="CY46" i="79"/>
  <c r="DL46" i="79"/>
  <c r="DD46" i="79"/>
  <c r="CV46" i="79"/>
  <c r="DN46" i="79"/>
  <c r="DF46" i="79"/>
  <c r="DC46" i="79"/>
  <c r="DM46" i="79"/>
  <c r="DE46" i="79"/>
  <c r="DA46" i="79"/>
  <c r="CX46" i="79"/>
  <c r="CW46" i="79"/>
  <c r="DS47" i="79"/>
  <c r="DK47" i="79"/>
  <c r="DR47" i="79"/>
  <c r="DJ47" i="79"/>
  <c r="DB47" i="79"/>
  <c r="DQ47" i="79"/>
  <c r="DI47" i="79"/>
  <c r="DP47" i="79"/>
  <c r="DH47" i="79"/>
  <c r="CZ47" i="79"/>
  <c r="DO47" i="79"/>
  <c r="DG47" i="79"/>
  <c r="CY47" i="79"/>
  <c r="DL47" i="79"/>
  <c r="DD47" i="79"/>
  <c r="CV47" i="79"/>
  <c r="DN47" i="79"/>
  <c r="DF47" i="79"/>
  <c r="CX47" i="79"/>
  <c r="DA47" i="79"/>
  <c r="DM47" i="79"/>
  <c r="DE47" i="79"/>
  <c r="CW47" i="79"/>
  <c r="DC47" i="79"/>
  <c r="DS34" i="79"/>
  <c r="DK34" i="79"/>
  <c r="DR34" i="79"/>
  <c r="DJ34" i="79"/>
  <c r="DQ34" i="79"/>
  <c r="DI34" i="79"/>
  <c r="DP34" i="79"/>
  <c r="DH34" i="79"/>
  <c r="DO34" i="79"/>
  <c r="DG34" i="79"/>
  <c r="DL34" i="79"/>
  <c r="DD34" i="79"/>
  <c r="CY34" i="79"/>
  <c r="CX34" i="79"/>
  <c r="DN34" i="79"/>
  <c r="DF34" i="79"/>
  <c r="CW34" i="79"/>
  <c r="DM34" i="79"/>
  <c r="DE34" i="79"/>
  <c r="CV34" i="79"/>
  <c r="DC34" i="79"/>
  <c r="DA34" i="79"/>
  <c r="DB34" i="79"/>
  <c r="CZ34" i="79"/>
  <c r="DS20" i="79"/>
  <c r="DR20" i="79"/>
  <c r="DJ20" i="79"/>
  <c r="DQ20" i="79"/>
  <c r="DP20" i="79"/>
  <c r="DH20" i="79"/>
  <c r="DO20" i="79"/>
  <c r="DG20" i="79"/>
  <c r="DL20" i="79"/>
  <c r="DD20" i="79"/>
  <c r="CY20" i="79"/>
  <c r="CX20" i="79"/>
  <c r="DK20" i="79"/>
  <c r="CW20" i="79"/>
  <c r="DN20" i="79"/>
  <c r="DI20" i="79"/>
  <c r="CV20" i="79"/>
  <c r="DF20" i="79"/>
  <c r="DC20" i="79"/>
  <c r="DA20" i="79"/>
  <c r="DE20" i="79"/>
  <c r="DB20" i="79"/>
  <c r="DM20" i="79"/>
  <c r="CZ20" i="79"/>
  <c r="DS28" i="79"/>
  <c r="DK28" i="79"/>
  <c r="DR28" i="79"/>
  <c r="DJ28" i="79"/>
  <c r="DQ28" i="79"/>
  <c r="DI28" i="79"/>
  <c r="DP28" i="79"/>
  <c r="DH28" i="79"/>
  <c r="DO28" i="79"/>
  <c r="DG28" i="79"/>
  <c r="DL28" i="79"/>
  <c r="DD28" i="79"/>
  <c r="CY28" i="79"/>
  <c r="DM28" i="79"/>
  <c r="CX28" i="79"/>
  <c r="CW28" i="79"/>
  <c r="CV28" i="79"/>
  <c r="DC28" i="79"/>
  <c r="DN28" i="79"/>
  <c r="DF28" i="79"/>
  <c r="DA28" i="79"/>
  <c r="DB28" i="79"/>
  <c r="DE28" i="79"/>
  <c r="CZ28" i="79"/>
  <c r="DS44" i="79"/>
  <c r="DK44" i="79"/>
  <c r="DR44" i="79"/>
  <c r="DJ44" i="79"/>
  <c r="DB44" i="79"/>
  <c r="DQ44" i="79"/>
  <c r="DI44" i="79"/>
  <c r="DP44" i="79"/>
  <c r="DH44" i="79"/>
  <c r="CZ44" i="79"/>
  <c r="DO44" i="79"/>
  <c r="DG44" i="79"/>
  <c r="CY44" i="79"/>
  <c r="DL44" i="79"/>
  <c r="DD44" i="79"/>
  <c r="CV44" i="79"/>
  <c r="DN44" i="79"/>
  <c r="DC44" i="79"/>
  <c r="DA44" i="79"/>
  <c r="CX44" i="79"/>
  <c r="CW44" i="79"/>
  <c r="DF44" i="79"/>
  <c r="DM44" i="79"/>
  <c r="DE44" i="79"/>
  <c r="DS13" i="79"/>
  <c r="DR13" i="79"/>
  <c r="DJ13" i="79"/>
  <c r="DQ13" i="79"/>
  <c r="DP13" i="79"/>
  <c r="DH13" i="79"/>
  <c r="DO13" i="79"/>
  <c r="DG13" i="79"/>
  <c r="DL13" i="79"/>
  <c r="DD13" i="79"/>
  <c r="DF13" i="79"/>
  <c r="CY13" i="79"/>
  <c r="DA13" i="79"/>
  <c r="DE13" i="79"/>
  <c r="CX13" i="79"/>
  <c r="CW13" i="79"/>
  <c r="DK13" i="79"/>
  <c r="CV13" i="79"/>
  <c r="DB13" i="79"/>
  <c r="DN13" i="79"/>
  <c r="DC13" i="79"/>
  <c r="DM13" i="79"/>
  <c r="CZ13" i="79"/>
  <c r="DI13" i="79"/>
  <c r="DS21" i="79"/>
  <c r="DR21" i="79"/>
  <c r="DJ21" i="79"/>
  <c r="DQ21" i="79"/>
  <c r="DP21" i="79"/>
  <c r="DH21" i="79"/>
  <c r="DO21" i="79"/>
  <c r="DG21" i="79"/>
  <c r="DL21" i="79"/>
  <c r="DD21" i="79"/>
  <c r="DF21" i="79"/>
  <c r="CY21" i="79"/>
  <c r="DA21" i="79"/>
  <c r="DE21" i="79"/>
  <c r="CX21" i="79"/>
  <c r="CW21" i="79"/>
  <c r="DK21" i="79"/>
  <c r="CZ21" i="79"/>
  <c r="CV21" i="79"/>
  <c r="DN21" i="79"/>
  <c r="DC21" i="79"/>
  <c r="DM21" i="79"/>
  <c r="DB21" i="79"/>
  <c r="DI21" i="79"/>
  <c r="DS29" i="79"/>
  <c r="DK29" i="79"/>
  <c r="DR29" i="79"/>
  <c r="DJ29" i="79"/>
  <c r="DQ29" i="79"/>
  <c r="DI29" i="79"/>
  <c r="DP29" i="79"/>
  <c r="DH29" i="79"/>
  <c r="DO29" i="79"/>
  <c r="DG29" i="79"/>
  <c r="DL29" i="79"/>
  <c r="DD29" i="79"/>
  <c r="CY29" i="79"/>
  <c r="DA29" i="79"/>
  <c r="CX29" i="79"/>
  <c r="CW29" i="79"/>
  <c r="CV29" i="79"/>
  <c r="DN29" i="79"/>
  <c r="DF29" i="79"/>
  <c r="DC29" i="79"/>
  <c r="DM29" i="79"/>
  <c r="DE29" i="79"/>
  <c r="DB29" i="79"/>
  <c r="CZ29" i="79"/>
  <c r="DS37" i="79"/>
  <c r="DK37" i="79"/>
  <c r="DR37" i="79"/>
  <c r="DJ37" i="79"/>
  <c r="DQ37" i="79"/>
  <c r="DI37" i="79"/>
  <c r="DP37" i="79"/>
  <c r="DH37" i="79"/>
  <c r="CZ37" i="79"/>
  <c r="DO37" i="79"/>
  <c r="DG37" i="79"/>
  <c r="DL37" i="79"/>
  <c r="DD37" i="79"/>
  <c r="CV37" i="79"/>
  <c r="CX37" i="79"/>
  <c r="DC37" i="79"/>
  <c r="DB37" i="79"/>
  <c r="DN37" i="79"/>
  <c r="DF37" i="79"/>
  <c r="DA37" i="79"/>
  <c r="DM37" i="79"/>
  <c r="DE37" i="79"/>
  <c r="CY37" i="79"/>
  <c r="CW37" i="79"/>
  <c r="DS45" i="79"/>
  <c r="DK45" i="79"/>
  <c r="DR45" i="79"/>
  <c r="DJ45" i="79"/>
  <c r="DB45" i="79"/>
  <c r="DQ45" i="79"/>
  <c r="DI45" i="79"/>
  <c r="DP45" i="79"/>
  <c r="DH45" i="79"/>
  <c r="CZ45" i="79"/>
  <c r="DO45" i="79"/>
  <c r="DG45" i="79"/>
  <c r="CY45" i="79"/>
  <c r="DL45" i="79"/>
  <c r="DD45" i="79"/>
  <c r="CV45" i="79"/>
  <c r="CX45" i="79"/>
  <c r="CW45" i="79"/>
  <c r="DC45" i="79"/>
  <c r="DN45" i="79"/>
  <c r="DF45" i="79"/>
  <c r="DA45" i="79"/>
  <c r="DM45" i="79"/>
  <c r="DE45" i="79"/>
  <c r="C6" i="50"/>
  <c r="E16" i="95" a="1"/>
  <c r="E16" i="95" s="1"/>
  <c r="AD6" i="86"/>
  <c r="Z7" i="81"/>
  <c r="AB26" i="87" a="1"/>
  <c r="AB26" i="87" s="1"/>
  <c r="AB31" i="87" a="1"/>
  <c r="AB31" i="87" s="1"/>
  <c r="AA36" i="87"/>
  <c r="AB25" i="83" a="1"/>
  <c r="AB25" i="83" s="1"/>
  <c r="AA30" i="83"/>
  <c r="AA35" i="83"/>
  <c r="AB31" i="88" a="1"/>
  <c r="AB31" i="88" s="1"/>
  <c r="AA36" i="88"/>
  <c r="V29" i="86"/>
  <c r="AA31" i="83"/>
  <c r="AA36" i="83"/>
  <c r="Z22" i="83"/>
  <c r="Z27" i="83"/>
  <c r="U32" i="83"/>
  <c r="AB37" i="83" a="1"/>
  <c r="AB37" i="83" s="1"/>
  <c r="AB28" i="82" a="1"/>
  <c r="AB28" i="82" s="1"/>
  <c r="Y33" i="82"/>
  <c r="Y38" i="82"/>
  <c r="W18" i="88"/>
  <c r="AB28" i="88" a="1"/>
  <c r="AB28" i="88" s="1"/>
  <c r="Y33" i="88"/>
  <c r="Y38" i="88"/>
  <c r="Y28" i="83"/>
  <c r="Y33" i="83"/>
  <c r="Y38" i="83"/>
  <c r="Y22" i="89"/>
  <c r="Y27" i="89"/>
  <c r="U32" i="89"/>
  <c r="AB37" i="89" a="1"/>
  <c r="AB37" i="89" s="1"/>
  <c r="AB29" i="82" a="1"/>
  <c r="AB29" i="82" s="1"/>
  <c r="U34" i="82"/>
  <c r="U39" i="82"/>
  <c r="X27" i="84"/>
  <c r="U32" i="84"/>
  <c r="AB37" i="84" a="1"/>
  <c r="AB37" i="84" s="1"/>
  <c r="AB23" i="81" a="1"/>
  <c r="AB23" i="81" s="1"/>
  <c r="AB28" i="81" a="1"/>
  <c r="AB28" i="81" s="1"/>
  <c r="Y33" i="81"/>
  <c r="Y38" i="81"/>
  <c r="X30" i="80"/>
  <c r="Z28" i="87"/>
  <c r="Y33" i="87"/>
  <c r="Y38" i="87"/>
  <c r="AA13" i="90"/>
  <c r="Y28" i="90"/>
  <c r="Y33" i="90"/>
  <c r="Y38" i="90"/>
  <c r="Y31" i="84"/>
  <c r="U36" i="84"/>
  <c r="AB30" i="86" a="1"/>
  <c r="AB30" i="86" s="1"/>
  <c r="AB35" i="86" a="1"/>
  <c r="AB35" i="86" s="1"/>
  <c r="AB27" i="88" a="1"/>
  <c r="AB27" i="88" s="1"/>
  <c r="U32" i="88"/>
  <c r="AB37" i="88" a="1"/>
  <c r="AB37" i="88" s="1"/>
  <c r="AB30" i="89" a="1"/>
  <c r="AB30" i="89" s="1"/>
  <c r="AB35" i="89" a="1"/>
  <c r="AB35" i="89" s="1"/>
  <c r="AB37" i="85" a="1"/>
  <c r="AB37" i="85" s="1"/>
  <c r="Y38" i="85"/>
  <c r="V17" i="80"/>
  <c r="AA22" i="80"/>
  <c r="AA27" i="80"/>
  <c r="U32" i="80"/>
  <c r="AB37" i="80" a="1"/>
  <c r="AB37" i="80" s="1"/>
  <c r="AA25" i="82"/>
  <c r="Z35" i="82"/>
  <c r="U39" i="83"/>
  <c r="U39" i="85"/>
  <c r="Z28" i="80"/>
  <c r="Y33" i="80"/>
  <c r="Y38" i="80"/>
  <c r="Z26" i="82"/>
  <c r="Z31" i="82"/>
  <c r="V36" i="82"/>
  <c r="W36" i="90"/>
  <c r="U39" i="84"/>
  <c r="W38" i="86"/>
  <c r="Y38" i="89"/>
  <c r="AA25" i="85"/>
  <c r="AB30" i="85" a="1"/>
  <c r="AB30" i="85" s="1"/>
  <c r="Z35" i="85"/>
  <c r="Z31" i="85"/>
  <c r="AA29" i="81"/>
  <c r="V22" i="85"/>
  <c r="V27" i="85"/>
  <c r="U32" i="85"/>
  <c r="Z25" i="81"/>
  <c r="Z30" i="81"/>
  <c r="Y35" i="81"/>
  <c r="X18" i="85"/>
  <c r="U28" i="85"/>
  <c r="Y33" i="85"/>
  <c r="X29" i="83"/>
  <c r="U34" i="83"/>
  <c r="AA30" i="87"/>
  <c r="AB35" i="87" a="1"/>
  <c r="AB35" i="87" s="1"/>
  <c r="W30" i="90"/>
  <c r="AA35" i="90"/>
  <c r="V30" i="82"/>
  <c r="U29" i="85"/>
  <c r="U34" i="85"/>
  <c r="AA26" i="90"/>
  <c r="AA31" i="90"/>
  <c r="V29" i="84"/>
  <c r="U34" i="84"/>
  <c r="AB28" i="86" a="1"/>
  <c r="AB28" i="86" s="1"/>
  <c r="W33" i="86"/>
  <c r="Z30" i="88"/>
  <c r="AB35" i="88" a="1"/>
  <c r="AB35" i="88" s="1"/>
  <c r="X28" i="89"/>
  <c r="Y33" i="89"/>
  <c r="AB22" i="82" a="1"/>
  <c r="AB22" i="82" s="1"/>
  <c r="AA26" i="83"/>
  <c r="AB22" i="87" a="1"/>
  <c r="AB22" i="87" s="1"/>
  <c r="V22" i="90"/>
  <c r="Z25" i="84"/>
  <c r="AB24" i="86" a="1"/>
  <c r="AB24" i="86" s="1"/>
  <c r="AB26" i="88" a="1"/>
  <c r="AB26" i="88" s="1"/>
  <c r="X19" i="89"/>
  <c r="Z26" i="85"/>
  <c r="Y26" i="84"/>
  <c r="Z25" i="86"/>
  <c r="AB22" i="88" a="1"/>
  <c r="AB22" i="88" s="1"/>
  <c r="AB20" i="89" a="1"/>
  <c r="AB20" i="89" s="1"/>
  <c r="AA25" i="89"/>
  <c r="AB26" i="80" a="1"/>
  <c r="AB26" i="80" s="1"/>
  <c r="X19" i="82"/>
  <c r="AB25" i="87" a="1"/>
  <c r="AB25" i="87" s="1"/>
  <c r="X20" i="90"/>
  <c r="AB25" i="90" a="1"/>
  <c r="AB25" i="90" s="1"/>
  <c r="X22" i="84"/>
  <c r="Z14" i="84"/>
  <c r="X19" i="84"/>
  <c r="W23" i="86"/>
  <c r="AB25" i="88" a="1"/>
  <c r="AB25" i="88" s="1"/>
  <c r="W18" i="89"/>
  <c r="Z28" i="83"/>
  <c r="Y22" i="86"/>
  <c r="Z22" i="86"/>
  <c r="Y13" i="80"/>
  <c r="X29" i="80"/>
  <c r="AA31" i="84"/>
  <c r="AA16" i="81"/>
  <c r="AA15" i="90"/>
  <c r="Z24" i="85"/>
  <c r="Y31" i="86"/>
  <c r="AA18" i="88"/>
  <c r="X19" i="83"/>
  <c r="AB31" i="84" a="1"/>
  <c r="AB31" i="84" s="1"/>
  <c r="X18" i="87"/>
  <c r="Z14" i="85"/>
  <c r="X19" i="81"/>
  <c r="Y15" i="81"/>
  <c r="V17" i="83"/>
  <c r="U18" i="86"/>
  <c r="AA19" i="80"/>
  <c r="U16" i="82"/>
  <c r="W18" i="81"/>
  <c r="U16" i="88"/>
  <c r="X28" i="81"/>
  <c r="X27" i="85"/>
  <c r="Y29" i="81"/>
  <c r="W24" i="86"/>
  <c r="Z29" i="84"/>
  <c r="W16" i="86"/>
  <c r="X16" i="86"/>
  <c r="V13" i="80"/>
  <c r="Y27" i="83"/>
  <c r="S25" i="88"/>
  <c r="S28" i="87"/>
  <c r="U25" i="88"/>
  <c r="U23" i="83"/>
  <c r="AA28" i="87"/>
  <c r="Y16" i="88"/>
  <c r="V25" i="88"/>
  <c r="AB30" i="82" a="1"/>
  <c r="AB30" i="82" s="1"/>
  <c r="W31" i="86"/>
  <c r="W25" i="88"/>
  <c r="X25" i="88"/>
  <c r="W27" i="81"/>
  <c r="S18" i="86"/>
  <c r="S22" i="89"/>
  <c r="X22" i="89"/>
  <c r="W19" i="80"/>
  <c r="Y27" i="85"/>
  <c r="S20" i="90"/>
  <c r="Z26" i="81"/>
  <c r="AB27" i="85" a="1"/>
  <c r="AB27" i="85" s="1"/>
  <c r="AA26" i="81"/>
  <c r="AB31" i="83" a="1"/>
  <c r="AB31" i="83" s="1"/>
  <c r="S28" i="80"/>
  <c r="AB26" i="81" a="1"/>
  <c r="AB26" i="81" s="1"/>
  <c r="U31" i="88"/>
  <c r="Y17" i="89"/>
  <c r="U22" i="84"/>
  <c r="U17" i="88"/>
  <c r="Y22" i="84"/>
  <c r="S19" i="80"/>
  <c r="W29" i="80"/>
  <c r="AA25" i="81"/>
  <c r="AA14" i="84"/>
  <c r="Z22" i="84"/>
  <c r="Y23" i="86"/>
  <c r="U29" i="89"/>
  <c r="S16" i="81"/>
  <c r="AA22" i="84"/>
  <c r="U24" i="85"/>
  <c r="Z23" i="86"/>
  <c r="V29" i="89"/>
  <c r="Y29" i="80"/>
  <c r="X29" i="81"/>
  <c r="W30" i="82"/>
  <c r="AB22" i="84" a="1"/>
  <c r="AB22" i="84" s="1"/>
  <c r="W22" i="89"/>
  <c r="Y29" i="89"/>
  <c r="Z29" i="89"/>
  <c r="Z13" i="81"/>
  <c r="Z29" i="81"/>
  <c r="Z22" i="89"/>
  <c r="AA29" i="89"/>
  <c r="U26" i="88"/>
  <c r="AB22" i="89" a="1"/>
  <c r="AB22" i="89" s="1"/>
  <c r="AB29" i="89" a="1"/>
  <c r="AB29" i="89" s="1"/>
  <c r="V13" i="82"/>
  <c r="S22" i="82"/>
  <c r="Z30" i="90"/>
  <c r="Y22" i="81"/>
  <c r="AB30" i="80" a="1"/>
  <c r="AB30" i="80" s="1"/>
  <c r="V22" i="82"/>
  <c r="S31" i="82"/>
  <c r="W17" i="86"/>
  <c r="U15" i="88"/>
  <c r="S22" i="90"/>
  <c r="AA30" i="90"/>
  <c r="V30" i="81"/>
  <c r="Y27" i="82"/>
  <c r="U22" i="90"/>
  <c r="AB30" i="90" a="1"/>
  <c r="AB30" i="90" s="1"/>
  <c r="W30" i="81"/>
  <c r="Z22" i="85"/>
  <c r="AA30" i="85"/>
  <c r="U23" i="89"/>
  <c r="AA27" i="89"/>
  <c r="W22" i="90"/>
  <c r="AB26" i="90" a="1"/>
  <c r="AB26" i="90" s="1"/>
  <c r="AA30" i="80"/>
  <c r="Y30" i="81"/>
  <c r="W29" i="84"/>
  <c r="S18" i="85"/>
  <c r="AA22" i="85"/>
  <c r="V23" i="89"/>
  <c r="AB27" i="89" a="1"/>
  <c r="AB27" i="89" s="1"/>
  <c r="X22" i="90"/>
  <c r="AA30" i="81"/>
  <c r="W29" i="83"/>
  <c r="X29" i="84"/>
  <c r="AB22" i="85" a="1"/>
  <c r="AB22" i="85" s="1"/>
  <c r="S20" i="89"/>
  <c r="W23" i="89"/>
  <c r="Y22" i="90"/>
  <c r="AA13" i="80"/>
  <c r="AB30" i="81" a="1"/>
  <c r="AB30" i="81" s="1"/>
  <c r="S25" i="83"/>
  <c r="AB29" i="83" a="1"/>
  <c r="AB29" i="83" s="1"/>
  <c r="Y29" i="84"/>
  <c r="X22" i="86"/>
  <c r="Z16" i="88"/>
  <c r="AB23" i="89" a="1"/>
  <c r="AB23" i="89" s="1"/>
  <c r="Z22" i="90"/>
  <c r="U16" i="83"/>
  <c r="U16" i="84"/>
  <c r="AA13" i="86"/>
  <c r="U17" i="86"/>
  <c r="Z14" i="88"/>
  <c r="R17" i="88"/>
  <c r="R17" i="89"/>
  <c r="Z19" i="80"/>
  <c r="Y13" i="84"/>
  <c r="V17" i="84"/>
  <c r="Y18" i="85"/>
  <c r="W17" i="87"/>
  <c r="Z15" i="85"/>
  <c r="W13" i="81"/>
  <c r="V17" i="81"/>
  <c r="W18" i="83"/>
  <c r="Y15" i="86"/>
  <c r="V17" i="82"/>
  <c r="AA14" i="83"/>
  <c r="U13" i="80"/>
  <c r="R13" i="81"/>
  <c r="U16" i="89"/>
  <c r="W14" i="90"/>
  <c r="X13" i="80"/>
  <c r="W18" i="80"/>
  <c r="R16" i="88"/>
  <c r="Z13" i="80"/>
  <c r="Z14" i="81"/>
  <c r="AA15" i="83"/>
  <c r="Y15" i="84"/>
  <c r="X14" i="80"/>
  <c r="U16" i="87"/>
  <c r="V17" i="88"/>
  <c r="V17" i="89"/>
  <c r="X14" i="90"/>
  <c r="V19" i="86"/>
  <c r="X19" i="90"/>
  <c r="EI14" i="79"/>
  <c r="DW14" i="79"/>
  <c r="EU14" i="79"/>
  <c r="S44" i="86"/>
  <c r="Z22" i="81"/>
  <c r="Z27" i="82"/>
  <c r="X30" i="82"/>
  <c r="U13" i="83"/>
  <c r="AA22" i="81"/>
  <c r="AA27" i="82"/>
  <c r="Y30" i="82"/>
  <c r="Z27" i="85"/>
  <c r="Y16" i="86"/>
  <c r="AA23" i="86"/>
  <c r="V18" i="87"/>
  <c r="AB22" i="81" a="1"/>
  <c r="AB22" i="81" s="1"/>
  <c r="AB27" i="82" a="1"/>
  <c r="AB27" i="82" s="1"/>
  <c r="Z30" i="82"/>
  <c r="AA27" i="85"/>
  <c r="AB23" i="86" a="1"/>
  <c r="AB23" i="86" s="1"/>
  <c r="AA30" i="82"/>
  <c r="Z26" i="84"/>
  <c r="S26" i="86"/>
  <c r="S28" i="86"/>
  <c r="AB30" i="87" a="1"/>
  <c r="AB30" i="87" s="1"/>
  <c r="AA30" i="88"/>
  <c r="AA26" i="84"/>
  <c r="S31" i="85"/>
  <c r="U26" i="86"/>
  <c r="S18" i="87"/>
  <c r="AB30" i="88" a="1"/>
  <c r="AB30" i="88" s="1"/>
  <c r="V13" i="83"/>
  <c r="W13" i="80"/>
  <c r="Z15" i="81"/>
  <c r="AB25" i="82" a="1"/>
  <c r="AB25" i="82" s="1"/>
  <c r="W13" i="83"/>
  <c r="Y29" i="83"/>
  <c r="AB26" i="84" a="1"/>
  <c r="AB26" i="84" s="1"/>
  <c r="AA29" i="84"/>
  <c r="X31" i="85"/>
  <c r="V26" i="86"/>
  <c r="S27" i="89"/>
  <c r="AA22" i="90"/>
  <c r="AA15" i="81"/>
  <c r="Z29" i="83"/>
  <c r="AB29" i="84" a="1"/>
  <c r="AB29" i="84" s="1"/>
  <c r="AA31" i="85"/>
  <c r="X17" i="86"/>
  <c r="W26" i="86"/>
  <c r="U18" i="87"/>
  <c r="S17" i="88"/>
  <c r="W17" i="89"/>
  <c r="W27" i="89"/>
  <c r="AB22" i="90" a="1"/>
  <c r="AB22" i="90" s="1"/>
  <c r="Y30" i="80"/>
  <c r="Z28" i="82"/>
  <c r="AA29" i="83"/>
  <c r="AB25" i="85" a="1"/>
  <c r="AB25" i="85" s="1"/>
  <c r="AB31" i="85" a="1"/>
  <c r="AB31" i="85" s="1"/>
  <c r="S24" i="86"/>
  <c r="Y26" i="86"/>
  <c r="W17" i="88"/>
  <c r="W13" i="89"/>
  <c r="X17" i="89"/>
  <c r="Z27" i="89"/>
  <c r="S27" i="81"/>
  <c r="S27" i="83"/>
  <c r="U24" i="86"/>
  <c r="S28" i="88"/>
  <c r="V24" i="89"/>
  <c r="X27" i="83"/>
  <c r="V24" i="86"/>
  <c r="U19" i="87"/>
  <c r="U28" i="88"/>
  <c r="Z24" i="89"/>
  <c r="V28" i="88"/>
  <c r="AA24" i="89"/>
  <c r="U13" i="81"/>
  <c r="X27" i="81"/>
  <c r="V13" i="81"/>
  <c r="U22" i="82"/>
  <c r="AA27" i="83"/>
  <c r="V30" i="84"/>
  <c r="AA24" i="86"/>
  <c r="AB28" i="87" a="1"/>
  <c r="AB28" i="87" s="1"/>
  <c r="W28" i="88"/>
  <c r="X13" i="81"/>
  <c r="U29" i="82"/>
  <c r="AB27" i="83" a="1"/>
  <c r="AB27" i="83" s="1"/>
  <c r="AB24" i="84" a="1"/>
  <c r="AB24" i="84" s="1"/>
  <c r="W29" i="85"/>
  <c r="U27" i="86"/>
  <c r="S30" i="86"/>
  <c r="S18" i="88"/>
  <c r="S31" i="89"/>
  <c r="S13" i="90"/>
  <c r="AB28" i="90" a="1"/>
  <c r="AB28" i="90" s="1"/>
  <c r="Y13" i="81"/>
  <c r="V29" i="82"/>
  <c r="X30" i="83"/>
  <c r="X29" i="85"/>
  <c r="V27" i="86"/>
  <c r="U30" i="86"/>
  <c r="X15" i="89"/>
  <c r="X31" i="89"/>
  <c r="S27" i="82"/>
  <c r="W29" i="82"/>
  <c r="Z30" i="83"/>
  <c r="X28" i="84"/>
  <c r="Y29" i="85"/>
  <c r="W27" i="86"/>
  <c r="U18" i="88"/>
  <c r="AA22" i="89"/>
  <c r="Y31" i="89"/>
  <c r="U13" i="90"/>
  <c r="U27" i="82"/>
  <c r="AB30" i="83" a="1"/>
  <c r="AB30" i="83" s="1"/>
  <c r="Y28" i="84"/>
  <c r="X27" i="86"/>
  <c r="V18" i="88"/>
  <c r="AB18" i="88" s="1" a="1"/>
  <c r="AB18" i="88" s="1"/>
  <c r="Z25" i="89"/>
  <c r="AA31" i="89"/>
  <c r="V13" i="90"/>
  <c r="AB25" i="81" a="1"/>
  <c r="AB25" i="81" s="1"/>
  <c r="Y28" i="81"/>
  <c r="V27" i="82"/>
  <c r="Z28" i="84"/>
  <c r="U31" i="84"/>
  <c r="S27" i="85"/>
  <c r="U25" i="86"/>
  <c r="Y27" i="86"/>
  <c r="U29" i="87"/>
  <c r="X18" i="88"/>
  <c r="S29" i="88"/>
  <c r="AB25" i="89" a="1"/>
  <c r="AB25" i="89" s="1"/>
  <c r="AB31" i="89" a="1"/>
  <c r="AB31" i="89" s="1"/>
  <c r="W13" i="90"/>
  <c r="AB28" i="80" a="1"/>
  <c r="AB28" i="80" s="1"/>
  <c r="AA13" i="81"/>
  <c r="S22" i="81"/>
  <c r="Z28" i="81"/>
  <c r="AA15" i="82"/>
  <c r="W27" i="82"/>
  <c r="W28" i="83"/>
  <c r="AA25" i="84"/>
  <c r="V31" i="84"/>
  <c r="AB50" i="84" a="1"/>
  <c r="AB50" i="84" s="1"/>
  <c r="U27" i="85"/>
  <c r="V25" i="86"/>
  <c r="Z27" i="86"/>
  <c r="V29" i="87"/>
  <c r="W16" i="88"/>
  <c r="Y18" i="88"/>
  <c r="V22" i="88"/>
  <c r="U29" i="88"/>
  <c r="X13" i="90"/>
  <c r="W22" i="81"/>
  <c r="AB31" i="81" a="1"/>
  <c r="AB31" i="81" s="1"/>
  <c r="X28" i="83"/>
  <c r="Y14" i="84"/>
  <c r="AB25" i="84" a="1"/>
  <c r="AB25" i="84" s="1"/>
  <c r="Z31" i="84"/>
  <c r="W27" i="85"/>
  <c r="U19" i="86"/>
  <c r="X23" i="86"/>
  <c r="W25" i="86"/>
  <c r="AA27" i="86"/>
  <c r="V31" i="86"/>
  <c r="W29" i="87"/>
  <c r="X16" i="88"/>
  <c r="Z18" i="88"/>
  <c r="V29" i="88"/>
  <c r="Z13" i="90"/>
  <c r="AB21" i="89" a="1"/>
  <c r="AB21" i="89" s="1"/>
  <c r="V20" i="84"/>
  <c r="Y20" i="88"/>
  <c r="Z20" i="84"/>
  <c r="Y20" i="90"/>
  <c r="V21" i="83"/>
  <c r="AB20" i="90" a="1"/>
  <c r="AB20" i="90" s="1"/>
  <c r="AB20" i="87" a="1"/>
  <c r="AB20" i="87" s="1"/>
  <c r="W21" i="80"/>
  <c r="AA21" i="83"/>
  <c r="AB20" i="85" a="1"/>
  <c r="AB20" i="85" s="1"/>
  <c r="V20" i="90"/>
  <c r="AB21" i="87" a="1"/>
  <c r="AB21" i="87" s="1"/>
  <c r="AA20" i="90"/>
  <c r="Z20" i="85"/>
  <c r="AA20" i="85"/>
  <c r="Y21" i="81"/>
  <c r="AA21" i="85"/>
  <c r="U20" i="89"/>
  <c r="W20" i="89"/>
  <c r="AB20" i="88" a="1"/>
  <c r="AB20" i="88" s="1"/>
  <c r="X20" i="89"/>
  <c r="Y20" i="89"/>
  <c r="X20" i="84"/>
  <c r="Z20" i="89"/>
  <c r="AA19" i="86"/>
  <c r="V19" i="87"/>
  <c r="Y15" i="89"/>
  <c r="X13" i="82"/>
  <c r="Z13" i="85"/>
  <c r="V17" i="85"/>
  <c r="Y17" i="86"/>
  <c r="Z20" i="86"/>
  <c r="AA14" i="87"/>
  <c r="Y19" i="87"/>
  <c r="AA15" i="89"/>
  <c r="Z14" i="83"/>
  <c r="Z21" i="80"/>
  <c r="AA21" i="80"/>
  <c r="Y13" i="82"/>
  <c r="U20" i="84"/>
  <c r="Z17" i="86"/>
  <c r="Z19" i="87"/>
  <c r="R15" i="88"/>
  <c r="Z13" i="82"/>
  <c r="V21" i="82"/>
  <c r="U20" i="85"/>
  <c r="AA17" i="86"/>
  <c r="W18" i="87"/>
  <c r="AA19" i="87"/>
  <c r="W13" i="82"/>
  <c r="R19" i="80"/>
  <c r="V14" i="82"/>
  <c r="W18" i="82"/>
  <c r="Y21" i="82"/>
  <c r="W20" i="84"/>
  <c r="V20" i="85"/>
  <c r="U19" i="80"/>
  <c r="Z21" i="82"/>
  <c r="W18" i="85"/>
  <c r="W20" i="85"/>
  <c r="AB21" i="86" a="1"/>
  <c r="AB21" i="86" s="1"/>
  <c r="V13" i="89"/>
  <c r="U16" i="90"/>
  <c r="V19" i="80"/>
  <c r="AA21" i="82"/>
  <c r="Y20" i="84"/>
  <c r="X20" i="85"/>
  <c r="R13" i="82"/>
  <c r="U16" i="80"/>
  <c r="Y19" i="80"/>
  <c r="U14" i="84"/>
  <c r="Y20" i="85"/>
  <c r="R18" i="87"/>
  <c r="AB21" i="88" a="1"/>
  <c r="AB21" i="88" s="1"/>
  <c r="X13" i="89"/>
  <c r="U20" i="90"/>
  <c r="Z15" i="82"/>
  <c r="W18" i="84"/>
  <c r="V17" i="90"/>
  <c r="X19" i="85"/>
  <c r="X19" i="87"/>
  <c r="Z15" i="89"/>
  <c r="V21" i="90"/>
  <c r="W18" i="90"/>
  <c r="X21" i="81"/>
  <c r="AA21" i="81"/>
  <c r="U20" i="82"/>
  <c r="W19" i="86"/>
  <c r="V17" i="87"/>
  <c r="R19" i="87"/>
  <c r="X19" i="88"/>
  <c r="R15" i="89"/>
  <c r="AA20" i="89"/>
  <c r="V20" i="82"/>
  <c r="U16" i="85"/>
  <c r="R17" i="86"/>
  <c r="X19" i="86"/>
  <c r="X21" i="80"/>
  <c r="U13" i="82"/>
  <c r="W20" i="82"/>
  <c r="V17" i="86"/>
  <c r="Y19" i="86"/>
  <c r="V15" i="88"/>
  <c r="Y18" i="89"/>
  <c r="Z21" i="81"/>
  <c r="X19" i="80"/>
  <c r="Y21" i="80"/>
  <c r="U21" i="82"/>
  <c r="Z19" i="86"/>
  <c r="Z18" i="89"/>
  <c r="V29" i="80"/>
  <c r="U16" i="81"/>
  <c r="W21" i="81"/>
  <c r="W29" i="81"/>
  <c r="AA31" i="81"/>
  <c r="S20" i="82"/>
  <c r="S29" i="82"/>
  <c r="Z21" i="83"/>
  <c r="X14" i="84"/>
  <c r="V26" i="84"/>
  <c r="W28" i="84"/>
  <c r="AA14" i="85"/>
  <c r="Y22" i="85"/>
  <c r="Y25" i="85"/>
  <c r="V29" i="85"/>
  <c r="V16" i="86"/>
  <c r="W22" i="86"/>
  <c r="U31" i="86"/>
  <c r="U25" i="87"/>
  <c r="S29" i="87"/>
  <c r="W20" i="88"/>
  <c r="S26" i="88"/>
  <c r="S31" i="88"/>
  <c r="U13" i="89"/>
  <c r="X18" i="89"/>
  <c r="Y25" i="89"/>
  <c r="AA28" i="90"/>
  <c r="Y30" i="90"/>
  <c r="X29" i="82"/>
  <c r="X13" i="83"/>
  <c r="U21" i="84"/>
  <c r="W30" i="84"/>
  <c r="Z29" i="85"/>
  <c r="Z16" i="86"/>
  <c r="AA22" i="86"/>
  <c r="X29" i="87"/>
  <c r="X17" i="88"/>
  <c r="U24" i="88"/>
  <c r="W29" i="88"/>
  <c r="Y13" i="89"/>
  <c r="V16" i="89"/>
  <c r="AA31" i="82"/>
  <c r="U18" i="80"/>
  <c r="U20" i="80"/>
  <c r="AB22" i="80" a="1"/>
  <c r="AB22" i="80" s="1"/>
  <c r="AA29" i="80"/>
  <c r="U20" i="81"/>
  <c r="Y27" i="81"/>
  <c r="Y20" i="82"/>
  <c r="X22" i="82"/>
  <c r="Y29" i="82"/>
  <c r="AB31" i="82" a="1"/>
  <c r="AB31" i="82" s="1"/>
  <c r="Y13" i="83"/>
  <c r="U20" i="83"/>
  <c r="AA28" i="83"/>
  <c r="V21" i="84"/>
  <c r="AB28" i="84" a="1"/>
  <c r="AB28" i="84" s="1"/>
  <c r="X30" i="84"/>
  <c r="AA29" i="85"/>
  <c r="AA16" i="86"/>
  <c r="V18" i="86"/>
  <c r="Y29" i="87"/>
  <c r="Y17" i="88"/>
  <c r="V24" i="88"/>
  <c r="X29" i="88"/>
  <c r="Z13" i="89"/>
  <c r="W16" i="89"/>
  <c r="Y14" i="90"/>
  <c r="S20" i="80"/>
  <c r="S20" i="81"/>
  <c r="V20" i="80"/>
  <c r="AB27" i="80" a="1"/>
  <c r="AB27" i="80" s="1"/>
  <c r="AB29" i="80" a="1"/>
  <c r="AB29" i="80" s="1"/>
  <c r="V20" i="81"/>
  <c r="Z27" i="81"/>
  <c r="Y22" i="82"/>
  <c r="Z29" i="82"/>
  <c r="Z13" i="83"/>
  <c r="V20" i="83"/>
  <c r="AB28" i="83" a="1"/>
  <c r="AB28" i="83" s="1"/>
  <c r="S13" i="84"/>
  <c r="W21" i="84"/>
  <c r="Y30" i="84"/>
  <c r="S15" i="85"/>
  <c r="S26" i="85"/>
  <c r="S28" i="85"/>
  <c r="AB29" i="85" a="1"/>
  <c r="AB29" i="85" s="1"/>
  <c r="W18" i="86"/>
  <c r="X20" i="86"/>
  <c r="X24" i="86"/>
  <c r="S20" i="87"/>
  <c r="Z29" i="87"/>
  <c r="Z17" i="88"/>
  <c r="S19" i="88"/>
  <c r="W24" i="88"/>
  <c r="S27" i="88"/>
  <c r="Y29" i="88"/>
  <c r="X16" i="89"/>
  <c r="V28" i="89"/>
  <c r="Z14" i="90"/>
  <c r="U19" i="90"/>
  <c r="W21" i="90"/>
  <c r="S27" i="90"/>
  <c r="S29" i="90"/>
  <c r="Z29" i="80"/>
  <c r="W22" i="82"/>
  <c r="Y14" i="80"/>
  <c r="W20" i="80"/>
  <c r="V14" i="81"/>
  <c r="W20" i="81"/>
  <c r="AA27" i="81"/>
  <c r="W14" i="82"/>
  <c r="Z22" i="82"/>
  <c r="S26" i="82"/>
  <c r="S28" i="82"/>
  <c r="AA29" i="82"/>
  <c r="AA13" i="83"/>
  <c r="W20" i="83"/>
  <c r="S22" i="83"/>
  <c r="X21" i="84"/>
  <c r="Z30" i="84"/>
  <c r="S13" i="85"/>
  <c r="X26" i="85"/>
  <c r="V28" i="85"/>
  <c r="S15" i="86"/>
  <c r="X18" i="86"/>
  <c r="AA20" i="86"/>
  <c r="Y24" i="86"/>
  <c r="U13" i="87"/>
  <c r="Y18" i="87"/>
  <c r="U20" i="87"/>
  <c r="AA29" i="87"/>
  <c r="AA17" i="88"/>
  <c r="U27" i="88"/>
  <c r="Z29" i="88"/>
  <c r="S26" i="89"/>
  <c r="W28" i="89"/>
  <c r="AA14" i="90"/>
  <c r="X21" i="90"/>
  <c r="U27" i="90"/>
  <c r="U29" i="90"/>
  <c r="X20" i="82"/>
  <c r="AA28" i="84"/>
  <c r="Z14" i="80"/>
  <c r="S18" i="80"/>
  <c r="X20" i="80"/>
  <c r="W14" i="81"/>
  <c r="X20" i="81"/>
  <c r="AB27" i="81" a="1"/>
  <c r="AB27" i="81" s="1"/>
  <c r="X14" i="82"/>
  <c r="AA22" i="82"/>
  <c r="AA26" i="82"/>
  <c r="U28" i="82"/>
  <c r="X20" i="83"/>
  <c r="AA22" i="83"/>
  <c r="AB26" i="83" a="1"/>
  <c r="AB26" i="83" s="1"/>
  <c r="U13" i="84"/>
  <c r="Y21" i="84"/>
  <c r="U27" i="84"/>
  <c r="AA30" i="84"/>
  <c r="U13" i="85"/>
  <c r="X15" i="85"/>
  <c r="S21" i="85"/>
  <c r="U23" i="85"/>
  <c r="AA26" i="85"/>
  <c r="W28" i="85"/>
  <c r="Y18" i="86"/>
  <c r="AB20" i="86" a="1"/>
  <c r="AB20" i="86" s="1"/>
  <c r="Z24" i="86"/>
  <c r="S29" i="86"/>
  <c r="V32" i="86"/>
  <c r="V13" i="87"/>
  <c r="Z18" i="87"/>
  <c r="V20" i="87"/>
  <c r="U23" i="87"/>
  <c r="U19" i="88"/>
  <c r="V27" i="88"/>
  <c r="AA29" i="88"/>
  <c r="X26" i="89"/>
  <c r="Y28" i="89"/>
  <c r="Y21" i="90"/>
  <c r="V27" i="90"/>
  <c r="V29" i="90"/>
  <c r="AB31" i="90" a="1"/>
  <c r="AB31" i="90" s="1"/>
  <c r="AA14" i="80"/>
  <c r="Y20" i="80"/>
  <c r="X14" i="81"/>
  <c r="Y20" i="81"/>
  <c r="Y14" i="82"/>
  <c r="AB26" i="82" a="1"/>
  <c r="AB26" i="82" s="1"/>
  <c r="V28" i="82"/>
  <c r="Y20" i="83"/>
  <c r="AB22" i="83" a="1"/>
  <c r="AB22" i="83" s="1"/>
  <c r="V13" i="84"/>
  <c r="Z21" i="84"/>
  <c r="Y27" i="84"/>
  <c r="AB30" i="84" a="1"/>
  <c r="AB30" i="84" s="1"/>
  <c r="V13" i="85"/>
  <c r="AA15" i="85"/>
  <c r="V21" i="85"/>
  <c r="AB26" i="85" a="1"/>
  <c r="AB26" i="85" s="1"/>
  <c r="X28" i="85"/>
  <c r="U15" i="86"/>
  <c r="Z18" i="86"/>
  <c r="S23" i="86"/>
  <c r="Y32" i="86"/>
  <c r="W13" i="87"/>
  <c r="W20" i="87"/>
  <c r="V23" i="87"/>
  <c r="V19" i="88"/>
  <c r="Y19" i="89"/>
  <c r="Y26" i="89"/>
  <c r="Z28" i="89"/>
  <c r="Z21" i="90"/>
  <c r="W27" i="90"/>
  <c r="W29" i="90"/>
  <c r="AB29" i="81" a="1"/>
  <c r="AB29" i="81" s="1"/>
  <c r="Z20" i="80"/>
  <c r="Y14" i="81"/>
  <c r="Z20" i="81"/>
  <c r="Z14" i="82"/>
  <c r="W28" i="82"/>
  <c r="Z20" i="83"/>
  <c r="W13" i="84"/>
  <c r="V15" i="84"/>
  <c r="AA21" i="84"/>
  <c r="Z27" i="84"/>
  <c r="S29" i="84"/>
  <c r="W13" i="85"/>
  <c r="Y21" i="85"/>
  <c r="Y28" i="85"/>
  <c r="V15" i="86"/>
  <c r="AA18" i="86"/>
  <c r="U23" i="86"/>
  <c r="Z32" i="86"/>
  <c r="X13" i="87"/>
  <c r="V16" i="87"/>
  <c r="X20" i="87"/>
  <c r="W23" i="87"/>
  <c r="W19" i="88"/>
  <c r="S22" i="88"/>
  <c r="Z19" i="89"/>
  <c r="U24" i="89"/>
  <c r="AA26" i="89"/>
  <c r="AA28" i="89"/>
  <c r="S19" i="90"/>
  <c r="AA21" i="90"/>
  <c r="X27" i="90"/>
  <c r="X29" i="90"/>
  <c r="AA20" i="80"/>
  <c r="AA14" i="81"/>
  <c r="AA20" i="81"/>
  <c r="X22" i="81"/>
  <c r="X30" i="81"/>
  <c r="AA14" i="82"/>
  <c r="W21" i="82"/>
  <c r="X28" i="82"/>
  <c r="AA20" i="83"/>
  <c r="U29" i="83"/>
  <c r="X13" i="84"/>
  <c r="Z15" i="84"/>
  <c r="AB21" i="84" a="1"/>
  <c r="AB21" i="84" s="1"/>
  <c r="AA27" i="84"/>
  <c r="U29" i="84"/>
  <c r="X13" i="85"/>
  <c r="Y19" i="85"/>
  <c r="Z21" i="85"/>
  <c r="Z28" i="85"/>
  <c r="W15" i="86"/>
  <c r="S17" i="86"/>
  <c r="V23" i="86"/>
  <c r="S27" i="86"/>
  <c r="AA32" i="86"/>
  <c r="Y13" i="87"/>
  <c r="Y20" i="87"/>
  <c r="S16" i="88"/>
  <c r="Y19" i="88"/>
  <c r="U22" i="88"/>
  <c r="AA19" i="89"/>
  <c r="AB26" i="89" a="1"/>
  <c r="AB26" i="89" s="1"/>
  <c r="AB28" i="89" a="1"/>
  <c r="AB28" i="89" s="1"/>
  <c r="AB21" i="90" a="1"/>
  <c r="AB21" i="90" s="1"/>
  <c r="Y27" i="90"/>
  <c r="Y29" i="90"/>
  <c r="AB24" i="81" a="1"/>
  <c r="AB24" i="81" s="1"/>
  <c r="AA28" i="80"/>
  <c r="Z30" i="80"/>
  <c r="X21" i="82"/>
  <c r="Y28" i="82"/>
  <c r="X14" i="83"/>
  <c r="V29" i="83"/>
  <c r="AA15" i="84"/>
  <c r="AB27" i="84" a="1"/>
  <c r="AB27" i="84" s="1"/>
  <c r="Y13" i="85"/>
  <c r="AB21" i="85" a="1"/>
  <c r="AB21" i="85" s="1"/>
  <c r="AA28" i="85"/>
  <c r="AB32" i="86" a="1"/>
  <c r="AB32" i="86" s="1"/>
  <c r="Z13" i="87"/>
  <c r="Z20" i="87"/>
  <c r="Z19" i="88"/>
  <c r="Z27" i="90"/>
  <c r="Z29" i="90"/>
  <c r="AB28" i="85" a="1"/>
  <c r="AB28" i="85" s="1"/>
  <c r="AA13" i="87"/>
  <c r="AA20" i="87"/>
  <c r="AA19" i="88"/>
  <c r="AA27" i="90"/>
  <c r="AA29" i="90"/>
  <c r="AA28" i="82"/>
  <c r="S21" i="81"/>
  <c r="W21" i="83"/>
  <c r="S28" i="84"/>
  <c r="S22" i="85"/>
  <c r="S22" i="86"/>
  <c r="V23" i="88"/>
  <c r="S29" i="80"/>
  <c r="U21" i="81"/>
  <c r="X21" i="83"/>
  <c r="V14" i="84"/>
  <c r="U28" i="84"/>
  <c r="W22" i="85"/>
  <c r="S29" i="85"/>
  <c r="U14" i="86"/>
  <c r="U22" i="86"/>
  <c r="Z14" i="87"/>
  <c r="W19" i="87"/>
  <c r="AB19" i="87" s="1" a="1"/>
  <c r="AB19" i="87" s="1"/>
  <c r="Y21" i="87"/>
  <c r="W23" i="88"/>
  <c r="V20" i="89"/>
  <c r="S25" i="89"/>
  <c r="X27" i="89"/>
  <c r="X29" i="89"/>
  <c r="Y13" i="90"/>
  <c r="W20" i="90"/>
  <c r="V21" i="81"/>
  <c r="Z31" i="81"/>
  <c r="Y21" i="83"/>
  <c r="W14" i="84"/>
  <c r="X22" i="85"/>
  <c r="S25" i="85"/>
  <c r="U16" i="86"/>
  <c r="AB16" i="86" s="1" a="1"/>
  <c r="AB16" i="86" s="1"/>
  <c r="V22" i="86"/>
  <c r="S31" i="86"/>
  <c r="AA21" i="87"/>
  <c r="S25" i="87"/>
  <c r="V20" i="88"/>
  <c r="X23" i="88"/>
  <c r="S18" i="89"/>
  <c r="U25" i="89"/>
  <c r="Z28" i="90"/>
  <c r="X30" i="90"/>
  <c r="U44" i="86"/>
  <c r="U32" i="86"/>
  <c r="X32" i="86"/>
  <c r="AA38" i="86"/>
  <c r="X34" i="86"/>
  <c r="Y34" i="86"/>
  <c r="AB38" i="86" a="1"/>
  <c r="AB38" i="86" s="1"/>
  <c r="Z34" i="86"/>
  <c r="U56" i="86"/>
  <c r="AA34" i="86"/>
  <c r="V56" i="86"/>
  <c r="X56" i="86"/>
  <c r="Y56" i="86"/>
  <c r="Z56" i="86"/>
  <c r="AA56" i="86"/>
  <c r="X41" i="86"/>
  <c r="Y41" i="86"/>
  <c r="Z41" i="86"/>
  <c r="W50" i="86"/>
  <c r="W41" i="86"/>
  <c r="U34" i="86"/>
  <c r="AA41" i="86"/>
  <c r="V34" i="86"/>
  <c r="S45" i="85"/>
  <c r="X45" i="85"/>
  <c r="W53" i="84"/>
  <c r="V53" i="84"/>
  <c r="U53" i="84"/>
  <c r="Z50" i="84"/>
  <c r="X53" i="84"/>
  <c r="AA50" i="84"/>
  <c r="Y53" i="84"/>
  <c r="AA55" i="84"/>
  <c r="AB55" i="84" a="1"/>
  <c r="AB55" i="84" s="1"/>
  <c r="AA45" i="85"/>
  <c r="AA55" i="85"/>
  <c r="AA40" i="85"/>
  <c r="AB52" i="85" a="1"/>
  <c r="AB52" i="85" s="1"/>
  <c r="Z52" i="86"/>
  <c r="AA52" i="86"/>
  <c r="U46" i="86"/>
  <c r="Y52" i="86"/>
  <c r="W32" i="86"/>
  <c r="W34" i="86"/>
  <c r="Y50" i="86"/>
  <c r="W56" i="86"/>
  <c r="X39" i="86"/>
  <c r="X57" i="86"/>
  <c r="Y33" i="86"/>
  <c r="S35" i="86"/>
  <c r="S55" i="86"/>
  <c r="Z33" i="86"/>
  <c r="U52" i="86"/>
  <c r="AB41" i="86" a="1"/>
  <c r="AB41" i="86" s="1"/>
  <c r="U49" i="86"/>
  <c r="V52" i="86"/>
  <c r="W39" i="86"/>
  <c r="X52" i="86"/>
  <c r="U52" i="87"/>
  <c r="V52" i="87"/>
  <c r="AB52" i="87" a="1"/>
  <c r="AB52" i="87" s="1"/>
  <c r="X57" i="90"/>
  <c r="Z57" i="90"/>
  <c r="S37" i="90"/>
  <c r="AB43" i="90" a="1"/>
  <c r="AB43" i="90" s="1"/>
  <c r="AA47" i="90"/>
  <c r="Z43" i="90"/>
  <c r="Z47" i="90"/>
  <c r="AB40" i="90" a="1"/>
  <c r="AB40" i="90" s="1"/>
  <c r="S52" i="90"/>
  <c r="U52" i="90"/>
  <c r="V52" i="90"/>
  <c r="X52" i="90"/>
  <c r="Z52" i="90"/>
  <c r="AA52" i="90"/>
  <c r="Y53" i="90"/>
  <c r="Z53" i="90"/>
  <c r="AB53" i="90" a="1"/>
  <c r="AB53" i="90" s="1"/>
  <c r="U53" i="90"/>
  <c r="S38" i="90"/>
  <c r="V38" i="90"/>
  <c r="AB38" i="90" a="1"/>
  <c r="AB38" i="90" s="1"/>
  <c r="S53" i="90"/>
  <c r="U48" i="90"/>
  <c r="X49" i="90"/>
  <c r="X36" i="90"/>
  <c r="Y49" i="90"/>
  <c r="U33" i="90"/>
  <c r="Y36" i="90"/>
  <c r="Z49" i="90"/>
  <c r="X54" i="90"/>
  <c r="V33" i="90"/>
  <c r="Z36" i="90"/>
  <c r="AA49" i="90"/>
  <c r="AB54" i="90" a="1"/>
  <c r="AB54" i="90" s="1"/>
  <c r="X33" i="90"/>
  <c r="AA36" i="90"/>
  <c r="AB49" i="90" a="1"/>
  <c r="AB49" i="90" s="1"/>
  <c r="AF16" i="90"/>
  <c r="Z33" i="90"/>
  <c r="AB36" i="90" a="1"/>
  <c r="AB36" i="90" s="1"/>
  <c r="V43" i="90"/>
  <c r="AA33" i="90"/>
  <c r="AB33" i="90" a="1"/>
  <c r="AB33" i="90" s="1"/>
  <c r="AA44" i="90"/>
  <c r="V53" i="90"/>
  <c r="AB44" i="90" a="1"/>
  <c r="AB44" i="90" s="1"/>
  <c r="W53" i="90"/>
  <c r="X53" i="90"/>
  <c r="U37" i="90"/>
  <c r="U42" i="90"/>
  <c r="W48" i="90"/>
  <c r="AA57" i="90"/>
  <c r="V37" i="90"/>
  <c r="V42" i="90"/>
  <c r="X48" i="90"/>
  <c r="AB57" i="90" a="1"/>
  <c r="AB57" i="90" s="1"/>
  <c r="AB50" i="90" a="1"/>
  <c r="AB50" i="90" s="1"/>
  <c r="W37" i="90"/>
  <c r="X42" i="90"/>
  <c r="Y48" i="90"/>
  <c r="V48" i="90"/>
  <c r="AB35" i="90" a="1"/>
  <c r="AB35" i="90" s="1"/>
  <c r="X37" i="90"/>
  <c r="Z42" i="90"/>
  <c r="Z48" i="90"/>
  <c r="S42" i="90"/>
  <c r="Y37" i="90"/>
  <c r="AA42" i="90"/>
  <c r="X44" i="90"/>
  <c r="S47" i="90"/>
  <c r="AB48" i="90" a="1"/>
  <c r="AB48" i="90" s="1"/>
  <c r="S55" i="90"/>
  <c r="Z37" i="90"/>
  <c r="AB42" i="90" a="1"/>
  <c r="AB42" i="90" s="1"/>
  <c r="Y44" i="90"/>
  <c r="U47" i="90"/>
  <c r="AB55" i="90" a="1"/>
  <c r="AB55" i="90" s="1"/>
  <c r="S33" i="90"/>
  <c r="AB37" i="90" a="1"/>
  <c r="AB37" i="90" s="1"/>
  <c r="Z44" i="90"/>
  <c r="V47" i="90"/>
  <c r="X47" i="90"/>
  <c r="AB47" i="90" a="1"/>
  <c r="AB47" i="90" s="1"/>
  <c r="S43" i="90"/>
  <c r="U38" i="90"/>
  <c r="U43" i="90"/>
  <c r="X38" i="90"/>
  <c r="W43" i="90"/>
  <c r="AB52" i="90" a="1"/>
  <c r="AB52" i="90" s="1"/>
  <c r="Y54" i="90"/>
  <c r="S57" i="90"/>
  <c r="AB45" i="90" a="1"/>
  <c r="AB45" i="90" s="1"/>
  <c r="Z38" i="90"/>
  <c r="X43" i="90"/>
  <c r="S48" i="90"/>
  <c r="Z54" i="90"/>
  <c r="U57" i="90"/>
  <c r="AA38" i="90"/>
  <c r="Y43" i="90"/>
  <c r="AA54" i="90"/>
  <c r="V57" i="90"/>
  <c r="W17" i="90"/>
  <c r="X16" i="90"/>
  <c r="Y17" i="90"/>
  <c r="Z18" i="90"/>
  <c r="AA19" i="90"/>
  <c r="W23" i="90"/>
  <c r="V24" i="90"/>
  <c r="U25" i="90"/>
  <c r="X32" i="90"/>
  <c r="X34" i="90"/>
  <c r="X39" i="90"/>
  <c r="X41" i="90"/>
  <c r="X46" i="90"/>
  <c r="X51" i="90"/>
  <c r="X56" i="90"/>
  <c r="V41" i="90"/>
  <c r="V46" i="90"/>
  <c r="X17" i="90"/>
  <c r="U24" i="90"/>
  <c r="S40" i="90"/>
  <c r="S45" i="90"/>
  <c r="W46" i="90"/>
  <c r="U15" i="90"/>
  <c r="Y16" i="90"/>
  <c r="Z17" i="90"/>
  <c r="AA18" i="90"/>
  <c r="X23" i="90"/>
  <c r="W24" i="90"/>
  <c r="V25" i="90"/>
  <c r="U26" i="90"/>
  <c r="S28" i="90"/>
  <c r="U31" i="90"/>
  <c r="Y32" i="90"/>
  <c r="Y34" i="90"/>
  <c r="U35" i="90"/>
  <c r="Y39" i="90"/>
  <c r="U40" i="90"/>
  <c r="Y41" i="90"/>
  <c r="U45" i="90"/>
  <c r="Y46" i="90"/>
  <c r="U50" i="90"/>
  <c r="Y51" i="90"/>
  <c r="U55" i="90"/>
  <c r="Y56" i="90"/>
  <c r="Y19" i="90"/>
  <c r="S25" i="90"/>
  <c r="S15" i="90"/>
  <c r="V23" i="90"/>
  <c r="V15" i="90"/>
  <c r="Z16" i="90"/>
  <c r="AA17" i="90"/>
  <c r="Y23" i="90"/>
  <c r="X24" i="90"/>
  <c r="W25" i="90"/>
  <c r="V26" i="90"/>
  <c r="V31" i="90"/>
  <c r="Z32" i="90"/>
  <c r="Z34" i="90"/>
  <c r="V35" i="90"/>
  <c r="Z39" i="90"/>
  <c r="V40" i="90"/>
  <c r="Z41" i="90"/>
  <c r="V45" i="90"/>
  <c r="Z46" i="90"/>
  <c r="V50" i="90"/>
  <c r="Z51" i="90"/>
  <c r="V55" i="90"/>
  <c r="Z56" i="90"/>
  <c r="V51" i="90"/>
  <c r="W34" i="90"/>
  <c r="W41" i="90"/>
  <c r="W56" i="90"/>
  <c r="S14" i="90"/>
  <c r="W15" i="90"/>
  <c r="AA16" i="90"/>
  <c r="Z23" i="90"/>
  <c r="Y24" i="90"/>
  <c r="X25" i="90"/>
  <c r="W26" i="90"/>
  <c r="U28" i="90"/>
  <c r="S30" i="90"/>
  <c r="W31" i="90"/>
  <c r="AA32" i="90"/>
  <c r="AA34" i="90"/>
  <c r="W35" i="90"/>
  <c r="S36" i="90"/>
  <c r="AA39" i="90"/>
  <c r="W40" i="90"/>
  <c r="AA41" i="90"/>
  <c r="S44" i="90"/>
  <c r="W45" i="90"/>
  <c r="AA46" i="90"/>
  <c r="S49" i="90"/>
  <c r="W50" i="90"/>
  <c r="AA51" i="90"/>
  <c r="S54" i="90"/>
  <c r="W55" i="90"/>
  <c r="AA56" i="90"/>
  <c r="S35" i="90"/>
  <c r="S50" i="90"/>
  <c r="X15" i="90"/>
  <c r="S21" i="90"/>
  <c r="AA23" i="90"/>
  <c r="Z24" i="90"/>
  <c r="Y25" i="90"/>
  <c r="X26" i="90"/>
  <c r="V28" i="90"/>
  <c r="X31" i="90"/>
  <c r="AB32" i="90" a="1"/>
  <c r="AB32" i="90" s="1"/>
  <c r="AB34" i="90" a="1"/>
  <c r="AB34" i="90" s="1"/>
  <c r="X35" i="90"/>
  <c r="AB39" i="90" a="1"/>
  <c r="AB39" i="90" s="1"/>
  <c r="X40" i="90"/>
  <c r="AB41" i="90" a="1"/>
  <c r="AB41" i="90" s="1"/>
  <c r="X45" i="90"/>
  <c r="AB46" i="90" a="1"/>
  <c r="AB46" i="90" s="1"/>
  <c r="X50" i="90"/>
  <c r="AB51" i="90" a="1"/>
  <c r="AB51" i="90" s="1"/>
  <c r="X55" i="90"/>
  <c r="AB56" i="90" a="1"/>
  <c r="AB56" i="90" s="1"/>
  <c r="V16" i="90"/>
  <c r="U23" i="90"/>
  <c r="W16" i="90"/>
  <c r="Y18" i="90"/>
  <c r="W32" i="90"/>
  <c r="W39" i="90"/>
  <c r="U14" i="90"/>
  <c r="Y15" i="90"/>
  <c r="AF17" i="90"/>
  <c r="AB23" i="90" a="1"/>
  <c r="AB23" i="90" s="1"/>
  <c r="AA24" i="90"/>
  <c r="Z25" i="90"/>
  <c r="Y26" i="90"/>
  <c r="W28" i="90"/>
  <c r="U30" i="90"/>
  <c r="Y31" i="90"/>
  <c r="Y35" i="90"/>
  <c r="U36" i="90"/>
  <c r="Y40" i="90"/>
  <c r="U44" i="90"/>
  <c r="Y45" i="90"/>
  <c r="U49" i="90"/>
  <c r="Y50" i="90"/>
  <c r="U54" i="90"/>
  <c r="Y55" i="90"/>
  <c r="V56" i="90"/>
  <c r="Z19" i="90"/>
  <c r="S26" i="90"/>
  <c r="S31" i="90"/>
  <c r="V14" i="90"/>
  <c r="Z15" i="90"/>
  <c r="U21" i="90"/>
  <c r="AB24" i="90" a="1"/>
  <c r="AB24" i="90" s="1"/>
  <c r="AA25" i="90"/>
  <c r="Z26" i="90"/>
  <c r="X28" i="90"/>
  <c r="V30" i="90"/>
  <c r="Z31" i="90"/>
  <c r="Z35" i="90"/>
  <c r="V36" i="90"/>
  <c r="Z40" i="90"/>
  <c r="V44" i="90"/>
  <c r="Z45" i="90"/>
  <c r="V49" i="90"/>
  <c r="Z50" i="90"/>
  <c r="V54" i="90"/>
  <c r="Z55" i="90"/>
  <c r="X18" i="90"/>
  <c r="V32" i="90"/>
  <c r="V34" i="90"/>
  <c r="V39" i="90"/>
  <c r="W51" i="90"/>
  <c r="AD6" i="90"/>
  <c r="S18" i="90"/>
  <c r="S16" i="90"/>
  <c r="U18" i="90"/>
  <c r="V19" i="90"/>
  <c r="Z20" i="90"/>
  <c r="S32" i="90"/>
  <c r="W33" i="90"/>
  <c r="S34" i="90"/>
  <c r="W38" i="90"/>
  <c r="S39" i="90"/>
  <c r="S41" i="90"/>
  <c r="W42" i="90"/>
  <c r="S46" i="90"/>
  <c r="W47" i="90"/>
  <c r="S51" i="90"/>
  <c r="W52" i="90"/>
  <c r="S56" i="90"/>
  <c r="W57" i="90"/>
  <c r="S17" i="90"/>
  <c r="U17" i="90"/>
  <c r="V18" i="90"/>
  <c r="W19" i="90"/>
  <c r="S40" i="89"/>
  <c r="X40" i="89"/>
  <c r="Y40" i="89"/>
  <c r="AA40" i="89"/>
  <c r="Y45" i="89"/>
  <c r="U57" i="89"/>
  <c r="AA45" i="89"/>
  <c r="V57" i="89"/>
  <c r="Z57" i="89"/>
  <c r="AA42" i="89"/>
  <c r="AB42" i="89" a="1"/>
  <c r="AB42" i="89" s="1"/>
  <c r="S52" i="89"/>
  <c r="AA52" i="89"/>
  <c r="AB52" i="89" a="1"/>
  <c r="AB52" i="89" s="1"/>
  <c r="Z52" i="89"/>
  <c r="AA33" i="89"/>
  <c r="X35" i="89"/>
  <c r="U47" i="89"/>
  <c r="Y35" i="89"/>
  <c r="V47" i="89"/>
  <c r="X50" i="89"/>
  <c r="AA35" i="89"/>
  <c r="Z47" i="89"/>
  <c r="X41" i="89"/>
  <c r="AA47" i="89"/>
  <c r="S43" i="89"/>
  <c r="S33" i="89"/>
  <c r="U33" i="89"/>
  <c r="U42" i="89"/>
  <c r="V33" i="89"/>
  <c r="V42" i="89"/>
  <c r="S45" i="89"/>
  <c r="Z33" i="89"/>
  <c r="Z42" i="89"/>
  <c r="V56" i="89"/>
  <c r="X56" i="89"/>
  <c r="U38" i="89"/>
  <c r="W43" i="89"/>
  <c r="S38" i="89"/>
  <c r="AA38" i="89"/>
  <c r="V41" i="89"/>
  <c r="S50" i="89"/>
  <c r="Y53" i="89"/>
  <c r="W56" i="89"/>
  <c r="U43" i="89"/>
  <c r="S35" i="89"/>
  <c r="AB38" i="89" a="1"/>
  <c r="AB38" i="89" s="1"/>
  <c r="W41" i="89"/>
  <c r="S47" i="89"/>
  <c r="Z53" i="89"/>
  <c r="X52" i="87"/>
  <c r="AA52" i="87"/>
  <c r="V43" i="89"/>
  <c r="Y50" i="89"/>
  <c r="S55" i="89"/>
  <c r="AA57" i="89"/>
  <c r="V34" i="89"/>
  <c r="S48" i="89"/>
  <c r="AA50" i="89"/>
  <c r="AB57" i="89" a="1"/>
  <c r="AB57" i="89" s="1"/>
  <c r="V32" i="89"/>
  <c r="W34" i="89"/>
  <c r="S37" i="89"/>
  <c r="X43" i="89"/>
  <c r="U48" i="89"/>
  <c r="X55" i="89"/>
  <c r="W32" i="89"/>
  <c r="X34" i="89"/>
  <c r="U37" i="89"/>
  <c r="V39" i="89"/>
  <c r="Y43" i="89"/>
  <c r="V46" i="89"/>
  <c r="V48" i="89"/>
  <c r="Y55" i="89"/>
  <c r="X32" i="89"/>
  <c r="V37" i="89"/>
  <c r="W39" i="89"/>
  <c r="Z43" i="89"/>
  <c r="W46" i="89"/>
  <c r="W48" i="89"/>
  <c r="S53" i="89"/>
  <c r="AA55" i="89"/>
  <c r="AB32" i="89" a="1"/>
  <c r="AB32" i="89" s="1"/>
  <c r="W37" i="89"/>
  <c r="X39" i="89"/>
  <c r="X46" i="89"/>
  <c r="X48" i="89"/>
  <c r="U53" i="89"/>
  <c r="X37" i="89"/>
  <c r="Y48" i="89"/>
  <c r="V51" i="89"/>
  <c r="V53" i="89"/>
  <c r="Y37" i="89"/>
  <c r="S42" i="89"/>
  <c r="Z48" i="89"/>
  <c r="W51" i="89"/>
  <c r="W53" i="89"/>
  <c r="Z37" i="89"/>
  <c r="X51" i="89"/>
  <c r="X53" i="89"/>
  <c r="V38" i="89"/>
  <c r="U52" i="89"/>
  <c r="AB33" i="89" a="1"/>
  <c r="AB33" i="89" s="1"/>
  <c r="Z38" i="89"/>
  <c r="X45" i="89"/>
  <c r="AB47" i="89" a="1"/>
  <c r="AB47" i="89" s="1"/>
  <c r="V52" i="89"/>
  <c r="S57" i="89"/>
  <c r="AF16" i="89"/>
  <c r="AF17" i="89"/>
  <c r="U15" i="89"/>
  <c r="Y16" i="89"/>
  <c r="Z17" i="89"/>
  <c r="AA18" i="89"/>
  <c r="X23" i="89"/>
  <c r="W24" i="89"/>
  <c r="V25" i="89"/>
  <c r="U26" i="89"/>
  <c r="S28" i="89"/>
  <c r="U31" i="89"/>
  <c r="Y32" i="89"/>
  <c r="Y34" i="89"/>
  <c r="U35" i="89"/>
  <c r="Y39" i="89"/>
  <c r="U40" i="89"/>
  <c r="Y41" i="89"/>
  <c r="U45" i="89"/>
  <c r="Y46" i="89"/>
  <c r="U50" i="89"/>
  <c r="Y51" i="89"/>
  <c r="U55" i="89"/>
  <c r="Y56" i="89"/>
  <c r="V15" i="89"/>
  <c r="Z16" i="89"/>
  <c r="AA17" i="89"/>
  <c r="U22" i="89"/>
  <c r="Y23" i="89"/>
  <c r="X24" i="89"/>
  <c r="W25" i="89"/>
  <c r="V26" i="89"/>
  <c r="U27" i="89"/>
  <c r="S29" i="89"/>
  <c r="V31" i="89"/>
  <c r="Z32" i="89"/>
  <c r="Z34" i="89"/>
  <c r="V35" i="89"/>
  <c r="Z39" i="89"/>
  <c r="V40" i="89"/>
  <c r="Z41" i="89"/>
  <c r="V45" i="89"/>
  <c r="Z46" i="89"/>
  <c r="V50" i="89"/>
  <c r="Z51" i="89"/>
  <c r="V55" i="89"/>
  <c r="Z56" i="89"/>
  <c r="S14" i="89"/>
  <c r="W15" i="89"/>
  <c r="AA16" i="89"/>
  <c r="V22" i="89"/>
  <c r="Z23" i="89"/>
  <c r="Y24" i="89"/>
  <c r="X25" i="89"/>
  <c r="W26" i="89"/>
  <c r="V27" i="89"/>
  <c r="U28" i="89"/>
  <c r="S30" i="89"/>
  <c r="W31" i="89"/>
  <c r="AA32" i="89"/>
  <c r="AA34" i="89"/>
  <c r="W35" i="89"/>
  <c r="S36" i="89"/>
  <c r="AA39" i="89"/>
  <c r="W40" i="89"/>
  <c r="AA41" i="89"/>
  <c r="S44" i="89"/>
  <c r="W45" i="89"/>
  <c r="AA46" i="89"/>
  <c r="S49" i="89"/>
  <c r="W50" i="89"/>
  <c r="AA51" i="89"/>
  <c r="S54" i="89"/>
  <c r="W55" i="89"/>
  <c r="AA56" i="89"/>
  <c r="S21" i="89"/>
  <c r="AA23" i="89"/>
  <c r="AB34" i="89" a="1"/>
  <c r="AB34" i="89" s="1"/>
  <c r="AB39" i="89" a="1"/>
  <c r="AB39" i="89" s="1"/>
  <c r="AB41" i="89" a="1"/>
  <c r="AB41" i="89" s="1"/>
  <c r="AB46" i="89" a="1"/>
  <c r="AB46" i="89" s="1"/>
  <c r="AB51" i="89" a="1"/>
  <c r="AB51" i="89" s="1"/>
  <c r="AB56" i="89" a="1"/>
  <c r="AB56" i="89" s="1"/>
  <c r="U14" i="89"/>
  <c r="U30" i="89"/>
  <c r="U36" i="89"/>
  <c r="U44" i="89"/>
  <c r="U49" i="89"/>
  <c r="U54" i="89"/>
  <c r="V14" i="89"/>
  <c r="U21" i="89"/>
  <c r="AB24" i="89" a="1"/>
  <c r="AB24" i="89" s="1"/>
  <c r="V30" i="89"/>
  <c r="Z35" i="89"/>
  <c r="V36" i="89"/>
  <c r="Z40" i="89"/>
  <c r="V44" i="89"/>
  <c r="Z45" i="89"/>
  <c r="V49" i="89"/>
  <c r="Z50" i="89"/>
  <c r="V54" i="89"/>
  <c r="Z55" i="89"/>
  <c r="V21" i="89"/>
  <c r="W30" i="89"/>
  <c r="W36" i="89"/>
  <c r="W44" i="89"/>
  <c r="W49" i="89"/>
  <c r="W54" i="89"/>
  <c r="W14" i="89"/>
  <c r="X14" i="89"/>
  <c r="W21" i="89"/>
  <c r="X30" i="89"/>
  <c r="X36" i="89"/>
  <c r="X44" i="89"/>
  <c r="X49" i="89"/>
  <c r="X54" i="89"/>
  <c r="Y14" i="89"/>
  <c r="X21" i="89"/>
  <c r="Y30" i="89"/>
  <c r="Y36" i="89"/>
  <c r="Y44" i="89"/>
  <c r="Y49" i="89"/>
  <c r="Y54" i="89"/>
  <c r="Z14" i="89"/>
  <c r="Y21" i="89"/>
  <c r="Z30" i="89"/>
  <c r="Z36" i="89"/>
  <c r="Z44" i="89"/>
  <c r="Z49" i="89"/>
  <c r="Z54" i="89"/>
  <c r="AA14" i="89"/>
  <c r="Z21" i="89"/>
  <c r="AA30" i="89"/>
  <c r="AA36" i="89"/>
  <c r="AA44" i="89"/>
  <c r="AA49" i="89"/>
  <c r="AA54" i="89"/>
  <c r="S19" i="89"/>
  <c r="AA21" i="89"/>
  <c r="S17" i="89"/>
  <c r="U19" i="89"/>
  <c r="AA13" i="89"/>
  <c r="S16" i="89"/>
  <c r="U18" i="89"/>
  <c r="V19" i="89"/>
  <c r="S32" i="89"/>
  <c r="W33" i="89"/>
  <c r="S34" i="89"/>
  <c r="AA37" i="89"/>
  <c r="W38" i="89"/>
  <c r="S39" i="89"/>
  <c r="S41" i="89"/>
  <c r="W42" i="89"/>
  <c r="AA43" i="89"/>
  <c r="S46" i="89"/>
  <c r="W47" i="89"/>
  <c r="AA48" i="89"/>
  <c r="S51" i="89"/>
  <c r="W52" i="89"/>
  <c r="AA53" i="89"/>
  <c r="S56" i="89"/>
  <c r="W57" i="89"/>
  <c r="U17" i="89"/>
  <c r="V18" i="89"/>
  <c r="W19" i="89"/>
  <c r="X33" i="89"/>
  <c r="X38" i="89"/>
  <c r="X42" i="89"/>
  <c r="X47" i="89"/>
  <c r="X52" i="89"/>
  <c r="X57" i="89"/>
  <c r="X34" i="88"/>
  <c r="AB34" i="88" a="1"/>
  <c r="AB34" i="88" s="1"/>
  <c r="U47" i="87"/>
  <c r="V47" i="87"/>
  <c r="W47" i="87"/>
  <c r="AA47" i="87"/>
  <c r="S52" i="87"/>
  <c r="V39" i="87"/>
  <c r="AB43" i="87" a="1"/>
  <c r="AB43" i="87" s="1"/>
  <c r="S47" i="87"/>
  <c r="U40" i="88"/>
  <c r="S34" i="88"/>
  <c r="V34" i="88"/>
  <c r="W34" i="88"/>
  <c r="Z32" i="88"/>
  <c r="AA32" i="88"/>
  <c r="V38" i="88"/>
  <c r="AB32" i="88" a="1"/>
  <c r="AB32" i="88" s="1"/>
  <c r="W38" i="88"/>
  <c r="AA38" i="88"/>
  <c r="AB38" i="88" a="1"/>
  <c r="AB38" i="88" s="1"/>
  <c r="S54" i="88"/>
  <c r="AA54" i="88"/>
  <c r="Z38" i="88"/>
  <c r="V42" i="88"/>
  <c r="AB54" i="88" a="1"/>
  <c r="AB54" i="88" s="1"/>
  <c r="Z42" i="88"/>
  <c r="W32" i="88"/>
  <c r="X32" i="88"/>
  <c r="Y34" i="88"/>
  <c r="Y32" i="88"/>
  <c r="S38" i="88"/>
  <c r="W51" i="88"/>
  <c r="AB36" i="88" a="1"/>
  <c r="AB36" i="88" s="1"/>
  <c r="W42" i="88"/>
  <c r="U45" i="88"/>
  <c r="Z48" i="88"/>
  <c r="X51" i="88"/>
  <c r="Y51" i="88"/>
  <c r="AA42" i="88"/>
  <c r="Z51" i="88"/>
  <c r="V47" i="88"/>
  <c r="AB42" i="88" a="1"/>
  <c r="AB42" i="88" s="1"/>
  <c r="AA51" i="88"/>
  <c r="AB44" i="88" a="1"/>
  <c r="AB44" i="88" s="1"/>
  <c r="AB51" i="88" a="1"/>
  <c r="AB51" i="88" s="1"/>
  <c r="AB49" i="88" a="1"/>
  <c r="AB49" i="88" s="1"/>
  <c r="S47" i="88"/>
  <c r="W47" i="88"/>
  <c r="S35" i="88"/>
  <c r="Z47" i="88"/>
  <c r="Z53" i="88"/>
  <c r="X56" i="88"/>
  <c r="AA47" i="88"/>
  <c r="Y56" i="88"/>
  <c r="Z56" i="88"/>
  <c r="S51" i="88"/>
  <c r="AA56" i="88"/>
  <c r="W56" i="88"/>
  <c r="S45" i="88"/>
  <c r="V51" i="88"/>
  <c r="AB56" i="88" a="1"/>
  <c r="AB56" i="88" s="1"/>
  <c r="W57" i="87"/>
  <c r="X57" i="87"/>
  <c r="Z52" i="87"/>
  <c r="S39" i="88"/>
  <c r="V41" i="88"/>
  <c r="AB39" i="88" a="1"/>
  <c r="AB39" i="88" s="1"/>
  <c r="AA41" i="88"/>
  <c r="W46" i="88"/>
  <c r="AB52" i="88" a="1"/>
  <c r="AB52" i="88" s="1"/>
  <c r="U55" i="88"/>
  <c r="V57" i="88"/>
  <c r="V39" i="88"/>
  <c r="V33" i="88"/>
  <c r="AB41" i="88" a="1"/>
  <c r="AB41" i="88" s="1"/>
  <c r="X46" i="88"/>
  <c r="W57" i="88"/>
  <c r="W33" i="88"/>
  <c r="S44" i="88"/>
  <c r="Y46" i="88"/>
  <c r="Z57" i="88"/>
  <c r="S52" i="88"/>
  <c r="Z33" i="88"/>
  <c r="AA44" i="88"/>
  <c r="Z46" i="88"/>
  <c r="AA57" i="88"/>
  <c r="AA33" i="88"/>
  <c r="AA46" i="88"/>
  <c r="AB57" i="88" a="1"/>
  <c r="AB57" i="88" s="1"/>
  <c r="W39" i="88"/>
  <c r="AB33" i="88" a="1"/>
  <c r="AB33" i="88" s="1"/>
  <c r="AB46" i="88" a="1"/>
  <c r="AB46" i="88" s="1"/>
  <c r="S32" i="88"/>
  <c r="U35" i="88"/>
  <c r="S40" i="88"/>
  <c r="S42" i="88"/>
  <c r="S49" i="88"/>
  <c r="S56" i="88"/>
  <c r="S41" i="88"/>
  <c r="V32" i="88"/>
  <c r="AA49" i="88"/>
  <c r="V56" i="88"/>
  <c r="Z34" i="88"/>
  <c r="X39" i="88"/>
  <c r="W41" i="88"/>
  <c r="AB47" i="88" a="1"/>
  <c r="AB47" i="88" s="1"/>
  <c r="U50" i="88"/>
  <c r="V52" i="88"/>
  <c r="AA34" i="88"/>
  <c r="Y39" i="88"/>
  <c r="X41" i="88"/>
  <c r="Z43" i="88"/>
  <c r="W52" i="88"/>
  <c r="Z39" i="88"/>
  <c r="Y41" i="88"/>
  <c r="S46" i="88"/>
  <c r="Z52" i="88"/>
  <c r="S55" i="88"/>
  <c r="S57" i="88"/>
  <c r="S50" i="88"/>
  <c r="S33" i="88"/>
  <c r="AA39" i="88"/>
  <c r="Z41" i="88"/>
  <c r="V46" i="88"/>
  <c r="AA52" i="88"/>
  <c r="AF16" i="88"/>
  <c r="AF17" i="88"/>
  <c r="V16" i="88"/>
  <c r="U23" i="88"/>
  <c r="R14" i="88"/>
  <c r="Y23" i="88"/>
  <c r="X24" i="88"/>
  <c r="V26" i="88"/>
  <c r="V31" i="88"/>
  <c r="V35" i="88"/>
  <c r="V40" i="88"/>
  <c r="V45" i="88"/>
  <c r="V50" i="88"/>
  <c r="V55" i="88"/>
  <c r="S14" i="88"/>
  <c r="W15" i="88"/>
  <c r="AA16" i="88"/>
  <c r="Z23" i="88"/>
  <c r="Y24" i="88"/>
  <c r="W26" i="88"/>
  <c r="S30" i="88"/>
  <c r="W31" i="88"/>
  <c r="W35" i="88"/>
  <c r="S36" i="88"/>
  <c r="W40" i="88"/>
  <c r="W45" i="88"/>
  <c r="W50" i="88"/>
  <c r="W55" i="88"/>
  <c r="X15" i="88"/>
  <c r="S21" i="88"/>
  <c r="W22" i="88"/>
  <c r="AA23" i="88"/>
  <c r="Z24" i="88"/>
  <c r="Y25" i="88"/>
  <c r="X26" i="88"/>
  <c r="W27" i="88"/>
  <c r="X31" i="88"/>
  <c r="X35" i="88"/>
  <c r="X40" i="88"/>
  <c r="X45" i="88"/>
  <c r="X50" i="88"/>
  <c r="X55" i="88"/>
  <c r="U14" i="88"/>
  <c r="Y15" i="88"/>
  <c r="X22" i="88"/>
  <c r="AB23" i="88" a="1"/>
  <c r="AB23" i="88" s="1"/>
  <c r="AA24" i="88"/>
  <c r="Z25" i="88"/>
  <c r="Y26" i="88"/>
  <c r="X27" i="88"/>
  <c r="U30" i="88"/>
  <c r="Y31" i="88"/>
  <c r="Y35" i="88"/>
  <c r="U36" i="88"/>
  <c r="Y40" i="88"/>
  <c r="U44" i="88"/>
  <c r="Y45" i="88"/>
  <c r="U49" i="88"/>
  <c r="Y50" i="88"/>
  <c r="U54" i="88"/>
  <c r="Y55" i="88"/>
  <c r="V14" i="88"/>
  <c r="Z15" i="88"/>
  <c r="U21" i="88"/>
  <c r="Y22" i="88"/>
  <c r="AB24" i="88" a="1"/>
  <c r="AB24" i="88" s="1"/>
  <c r="AA25" i="88"/>
  <c r="Z26" i="88"/>
  <c r="Y27" i="88"/>
  <c r="X28" i="88"/>
  <c r="V30" i="88"/>
  <c r="Z31" i="88"/>
  <c r="Z35" i="88"/>
  <c r="V36" i="88"/>
  <c r="Z40" i="88"/>
  <c r="V44" i="88"/>
  <c r="Z45" i="88"/>
  <c r="V49" i="88"/>
  <c r="Z50" i="88"/>
  <c r="V54" i="88"/>
  <c r="Z55" i="88"/>
  <c r="S13" i="88"/>
  <c r="W14" i="88"/>
  <c r="AA15" i="88"/>
  <c r="V21" i="88"/>
  <c r="Z22" i="88"/>
  <c r="AA26" i="88"/>
  <c r="Z27" i="88"/>
  <c r="Y28" i="88"/>
  <c r="W30" i="88"/>
  <c r="AA31" i="88"/>
  <c r="AA35" i="88"/>
  <c r="W36" i="88"/>
  <c r="S37" i="88"/>
  <c r="AA40" i="88"/>
  <c r="S43" i="88"/>
  <c r="W44" i="88"/>
  <c r="AA45" i="88"/>
  <c r="S48" i="88"/>
  <c r="W49" i="88"/>
  <c r="AA50" i="88"/>
  <c r="S53" i="88"/>
  <c r="W54" i="88"/>
  <c r="AA55" i="88"/>
  <c r="X14" i="88"/>
  <c r="S20" i="88"/>
  <c r="W21" i="88"/>
  <c r="AA22" i="88"/>
  <c r="AA27" i="88"/>
  <c r="Z28" i="88"/>
  <c r="X30" i="88"/>
  <c r="X36" i="88"/>
  <c r="X44" i="88"/>
  <c r="X49" i="88"/>
  <c r="X54" i="88"/>
  <c r="U13" i="88"/>
  <c r="Y14" i="88"/>
  <c r="X21" i="88"/>
  <c r="AA28" i="88"/>
  <c r="Y30" i="88"/>
  <c r="Y36" i="88"/>
  <c r="U37" i="88"/>
  <c r="U43" i="88"/>
  <c r="Y44" i="88"/>
  <c r="U48" i="88"/>
  <c r="Y49" i="88"/>
  <c r="U53" i="88"/>
  <c r="Y54" i="88"/>
  <c r="V13" i="88"/>
  <c r="U20" i="88"/>
  <c r="Y21" i="88"/>
  <c r="Z36" i="88"/>
  <c r="V37" i="88"/>
  <c r="V43" i="88"/>
  <c r="V48" i="88"/>
  <c r="V53" i="88"/>
  <c r="W13" i="88"/>
  <c r="AA14" i="88"/>
  <c r="Z21" i="88"/>
  <c r="W37" i="88"/>
  <c r="W43" i="88"/>
  <c r="W48" i="88"/>
  <c r="W53" i="88"/>
  <c r="X13" i="88"/>
  <c r="AA21" i="88"/>
  <c r="X37" i="88"/>
  <c r="X43" i="88"/>
  <c r="X48" i="88"/>
  <c r="X53" i="88"/>
  <c r="Y13" i="88"/>
  <c r="X20" i="88"/>
  <c r="U33" i="88"/>
  <c r="Y37" i="88"/>
  <c r="U38" i="88"/>
  <c r="U42" i="88"/>
  <c r="Y43" i="88"/>
  <c r="U47" i="88"/>
  <c r="Y48" i="88"/>
  <c r="U52" i="88"/>
  <c r="Y53" i="88"/>
  <c r="U57" i="88"/>
  <c r="Z13" i="88"/>
  <c r="Z37" i="88"/>
  <c r="AA13" i="88"/>
  <c r="Z20" i="88"/>
  <c r="AA37" i="88"/>
  <c r="AA43" i="88"/>
  <c r="AA48" i="88"/>
  <c r="AA53" i="88"/>
  <c r="AA20" i="88"/>
  <c r="X33" i="88"/>
  <c r="X38" i="88"/>
  <c r="X42" i="88"/>
  <c r="X47" i="88"/>
  <c r="X52" i="88"/>
  <c r="X57" i="88"/>
  <c r="V42" i="87"/>
  <c r="U33" i="87"/>
  <c r="W42" i="87"/>
  <c r="V33" i="87"/>
  <c r="X42" i="87"/>
  <c r="X33" i="87"/>
  <c r="Z42" i="87"/>
  <c r="Z33" i="87"/>
  <c r="AA42" i="87"/>
  <c r="U42" i="87"/>
  <c r="AA33" i="87"/>
  <c r="AB53" i="87" a="1"/>
  <c r="AB53" i="87" s="1"/>
  <c r="S33" i="87"/>
  <c r="AB33" i="87" a="1"/>
  <c r="AB33" i="87" s="1"/>
  <c r="V38" i="87"/>
  <c r="V56" i="87"/>
  <c r="X47" i="87"/>
  <c r="Y53" i="87"/>
  <c r="U38" i="87"/>
  <c r="Z53" i="87"/>
  <c r="X53" i="87"/>
  <c r="S42" i="87"/>
  <c r="AB47" i="87" a="1"/>
  <c r="AB47" i="87" s="1"/>
  <c r="AA53" i="87"/>
  <c r="W38" i="87"/>
  <c r="Z57" i="87"/>
  <c r="X38" i="87"/>
  <c r="U43" i="87"/>
  <c r="AA57" i="87"/>
  <c r="Z38" i="87"/>
  <c r="V41" i="87"/>
  <c r="V43" i="87"/>
  <c r="AB57" i="87" a="1"/>
  <c r="AB57" i="87" s="1"/>
  <c r="U37" i="87"/>
  <c r="AA38" i="87"/>
  <c r="W43" i="87"/>
  <c r="U48" i="87"/>
  <c r="V37" i="87"/>
  <c r="AB38" i="87" a="1"/>
  <c r="AB38" i="87" s="1"/>
  <c r="X43" i="87"/>
  <c r="V46" i="87"/>
  <c r="V48" i="87"/>
  <c r="W37" i="87"/>
  <c r="Y43" i="87"/>
  <c r="W48" i="87"/>
  <c r="U53" i="87"/>
  <c r="V32" i="87"/>
  <c r="V34" i="87"/>
  <c r="X37" i="87"/>
  <c r="Z43" i="87"/>
  <c r="X48" i="87"/>
  <c r="V51" i="87"/>
  <c r="V53" i="87"/>
  <c r="Y37" i="87"/>
  <c r="AA43" i="87"/>
  <c r="Y48" i="87"/>
  <c r="W53" i="87"/>
  <c r="Z37" i="87"/>
  <c r="Z48" i="87"/>
  <c r="AA37" i="87"/>
  <c r="AA48" i="87"/>
  <c r="AB37" i="87" a="1"/>
  <c r="AB37" i="87" s="1"/>
  <c r="AB48" i="87" a="1"/>
  <c r="AB48" i="87" s="1"/>
  <c r="S57" i="87"/>
  <c r="W33" i="87"/>
  <c r="S38" i="87"/>
  <c r="AB42" i="87" a="1"/>
  <c r="AB42" i="87" s="1"/>
  <c r="Z47" i="87"/>
  <c r="W52" i="87"/>
  <c r="U57" i="87"/>
  <c r="AB36" i="87" a="1"/>
  <c r="AB36" i="87" s="1"/>
  <c r="V57" i="87"/>
  <c r="AF16" i="87"/>
  <c r="S40" i="87"/>
  <c r="W46" i="87"/>
  <c r="S55" i="87"/>
  <c r="U15" i="87"/>
  <c r="Y16" i="87"/>
  <c r="Z17" i="87"/>
  <c r="AA18" i="87"/>
  <c r="X23" i="87"/>
  <c r="W24" i="87"/>
  <c r="V25" i="87"/>
  <c r="U26" i="87"/>
  <c r="U31" i="87"/>
  <c r="Y32" i="87"/>
  <c r="Y34" i="87"/>
  <c r="U35" i="87"/>
  <c r="Y39" i="87"/>
  <c r="U40" i="87"/>
  <c r="Y41" i="87"/>
  <c r="U45" i="87"/>
  <c r="Y46" i="87"/>
  <c r="U50" i="87"/>
  <c r="Y51" i="87"/>
  <c r="U55" i="87"/>
  <c r="Y56" i="87"/>
  <c r="U24" i="87"/>
  <c r="W34" i="87"/>
  <c r="W39" i="87"/>
  <c r="X16" i="87"/>
  <c r="X32" i="87"/>
  <c r="X34" i="87"/>
  <c r="X41" i="87"/>
  <c r="V15" i="87"/>
  <c r="Z16" i="87"/>
  <c r="AA17" i="87"/>
  <c r="AB18" i="87" a="1"/>
  <c r="AB18" i="87" s="1"/>
  <c r="U22" i="87"/>
  <c r="Y23" i="87"/>
  <c r="X24" i="87"/>
  <c r="W25" i="87"/>
  <c r="V26" i="87"/>
  <c r="U27" i="87"/>
  <c r="V31" i="87"/>
  <c r="Z32" i="87"/>
  <c r="Z34" i="87"/>
  <c r="V35" i="87"/>
  <c r="Z39" i="87"/>
  <c r="V40" i="87"/>
  <c r="Z41" i="87"/>
  <c r="V45" i="87"/>
  <c r="Z46" i="87"/>
  <c r="V50" i="87"/>
  <c r="Z51" i="87"/>
  <c r="V55" i="87"/>
  <c r="Z56" i="87"/>
  <c r="S26" i="87"/>
  <c r="S27" i="87"/>
  <c r="X56" i="87"/>
  <c r="S14" i="87"/>
  <c r="W15" i="87"/>
  <c r="AA16" i="87"/>
  <c r="V22" i="87"/>
  <c r="Z23" i="87"/>
  <c r="Y24" i="87"/>
  <c r="X25" i="87"/>
  <c r="W26" i="87"/>
  <c r="V27" i="87"/>
  <c r="U28" i="87"/>
  <c r="S30" i="87"/>
  <c r="W31" i="87"/>
  <c r="AA32" i="87"/>
  <c r="AA34" i="87"/>
  <c r="W35" i="87"/>
  <c r="S36" i="87"/>
  <c r="AA39" i="87"/>
  <c r="W40" i="87"/>
  <c r="AA41" i="87"/>
  <c r="S44" i="87"/>
  <c r="W45" i="87"/>
  <c r="AA46" i="87"/>
  <c r="S49" i="87"/>
  <c r="W50" i="87"/>
  <c r="AA51" i="87"/>
  <c r="S54" i="87"/>
  <c r="W55" i="87"/>
  <c r="AA56" i="87"/>
  <c r="W16" i="87"/>
  <c r="X15" i="87"/>
  <c r="S21" i="87"/>
  <c r="W22" i="87"/>
  <c r="AA23" i="87"/>
  <c r="Z24" i="87"/>
  <c r="Y25" i="87"/>
  <c r="X26" i="87"/>
  <c r="W27" i="87"/>
  <c r="V28" i="87"/>
  <c r="X31" i="87"/>
  <c r="AB32" i="87" a="1"/>
  <c r="AB32" i="87" s="1"/>
  <c r="AB34" i="87" a="1"/>
  <c r="AB34" i="87" s="1"/>
  <c r="X35" i="87"/>
  <c r="AB39" i="87" a="1"/>
  <c r="AB39" i="87" s="1"/>
  <c r="X40" i="87"/>
  <c r="AB41" i="87" a="1"/>
  <c r="AB41" i="87" s="1"/>
  <c r="X45" i="87"/>
  <c r="AB46" i="87" a="1"/>
  <c r="AB46" i="87" s="1"/>
  <c r="X50" i="87"/>
  <c r="AB51" i="87" a="1"/>
  <c r="AB51" i="87" s="1"/>
  <c r="X55" i="87"/>
  <c r="AB56" i="87" a="1"/>
  <c r="AB56" i="87" s="1"/>
  <c r="S15" i="87"/>
  <c r="S31" i="87"/>
  <c r="W51" i="87"/>
  <c r="V24" i="87"/>
  <c r="U14" i="87"/>
  <c r="Y15" i="87"/>
  <c r="AF17" i="87"/>
  <c r="X22" i="87"/>
  <c r="AB23" i="87" a="1"/>
  <c r="AB23" i="87" s="1"/>
  <c r="AA24" i="87"/>
  <c r="Z25" i="87"/>
  <c r="Y26" i="87"/>
  <c r="X27" i="87"/>
  <c r="W28" i="87"/>
  <c r="U30" i="87"/>
  <c r="Y31" i="87"/>
  <c r="Y35" i="87"/>
  <c r="U36" i="87"/>
  <c r="Y40" i="87"/>
  <c r="U44" i="87"/>
  <c r="Y45" i="87"/>
  <c r="U49" i="87"/>
  <c r="Y50" i="87"/>
  <c r="U54" i="87"/>
  <c r="Y55" i="87"/>
  <c r="W32" i="87"/>
  <c r="S45" i="87"/>
  <c r="W56" i="87"/>
  <c r="Y17" i="87"/>
  <c r="X46" i="87"/>
  <c r="V14" i="87"/>
  <c r="Z15" i="87"/>
  <c r="U21" i="87"/>
  <c r="Y22" i="87"/>
  <c r="AB24" i="87" a="1"/>
  <c r="AB24" i="87" s="1"/>
  <c r="AA25" i="87"/>
  <c r="Z26" i="87"/>
  <c r="Y27" i="87"/>
  <c r="X28" i="87"/>
  <c r="V30" i="87"/>
  <c r="Z31" i="87"/>
  <c r="Z35" i="87"/>
  <c r="V36" i="87"/>
  <c r="Z40" i="87"/>
  <c r="V44" i="87"/>
  <c r="Z45" i="87"/>
  <c r="V49" i="87"/>
  <c r="Z50" i="87"/>
  <c r="V54" i="87"/>
  <c r="Z55" i="87"/>
  <c r="S35" i="87"/>
  <c r="S22" i="87"/>
  <c r="AD6" i="87"/>
  <c r="W14" i="87"/>
  <c r="AA15" i="87"/>
  <c r="V21" i="87"/>
  <c r="Z22" i="87"/>
  <c r="AA26" i="87"/>
  <c r="Z27" i="87"/>
  <c r="Y28" i="87"/>
  <c r="W30" i="87"/>
  <c r="AA31" i="87"/>
  <c r="AA35" i="87"/>
  <c r="W36" i="87"/>
  <c r="AA40" i="87"/>
  <c r="W44" i="87"/>
  <c r="AA45" i="87"/>
  <c r="W49" i="87"/>
  <c r="AA50" i="87"/>
  <c r="W54" i="87"/>
  <c r="AA55" i="87"/>
  <c r="X17" i="87"/>
  <c r="W41" i="87"/>
  <c r="S50" i="87"/>
  <c r="X39" i="87"/>
  <c r="X51" i="87"/>
  <c r="X14" i="87"/>
  <c r="W21" i="87"/>
  <c r="AA22" i="87"/>
  <c r="AA27" i="87"/>
  <c r="X30" i="87"/>
  <c r="X36" i="87"/>
  <c r="X44" i="87"/>
  <c r="X49" i="87"/>
  <c r="X54" i="87"/>
  <c r="Y14" i="87"/>
  <c r="X21" i="87"/>
  <c r="Y30" i="87"/>
  <c r="Y36" i="87"/>
  <c r="Y44" i="87"/>
  <c r="Y49" i="87"/>
  <c r="Y54" i="87"/>
  <c r="Z30" i="87"/>
  <c r="Z36" i="87"/>
  <c r="Z44" i="87"/>
  <c r="Z49" i="87"/>
  <c r="Z54" i="87"/>
  <c r="Z21" i="87"/>
  <c r="AA44" i="87"/>
  <c r="AA49" i="87"/>
  <c r="AA54" i="87"/>
  <c r="S16" i="87"/>
  <c r="U17" i="87"/>
  <c r="S32" i="87"/>
  <c r="S34" i="87"/>
  <c r="S39" i="87"/>
  <c r="S41" i="87"/>
  <c r="S46" i="87"/>
  <c r="S51" i="87"/>
  <c r="S56" i="87"/>
  <c r="AB47" i="86" a="1"/>
  <c r="AB47" i="86" s="1"/>
  <c r="U35" i="86"/>
  <c r="V46" i="86"/>
  <c r="U55" i="86"/>
  <c r="V35" i="86"/>
  <c r="W46" i="86"/>
  <c r="V55" i="86"/>
  <c r="W35" i="86"/>
  <c r="X46" i="86"/>
  <c r="Y35" i="86"/>
  <c r="U41" i="86"/>
  <c r="Y46" i="86"/>
  <c r="V41" i="86"/>
  <c r="Z46" i="86"/>
  <c r="S40" i="86"/>
  <c r="W51" i="86"/>
  <c r="U40" i="86"/>
  <c r="X51" i="86"/>
  <c r="V40" i="86"/>
  <c r="Y42" i="86"/>
  <c r="AB56" i="86" a="1"/>
  <c r="AB56" i="86" s="1"/>
  <c r="W40" i="86"/>
  <c r="Z42" i="86"/>
  <c r="Y57" i="86"/>
  <c r="AA33" i="86"/>
  <c r="Y39" i="86"/>
  <c r="AA42" i="86"/>
  <c r="V45" i="86"/>
  <c r="Y51" i="86"/>
  <c r="Z57" i="86"/>
  <c r="AB33" i="86" a="1"/>
  <c r="AB33" i="86" s="1"/>
  <c r="Z39" i="86"/>
  <c r="AB42" i="86" a="1"/>
  <c r="AB42" i="86" s="1"/>
  <c r="W45" i="86"/>
  <c r="Z51" i="86"/>
  <c r="AA57" i="86"/>
  <c r="U45" i="86"/>
  <c r="AA39" i="86"/>
  <c r="Y45" i="86"/>
  <c r="U47" i="86"/>
  <c r="AA51" i="86"/>
  <c r="AB57" i="86" a="1"/>
  <c r="AB57" i="86" s="1"/>
  <c r="U38" i="86"/>
  <c r="AB39" i="86" a="1"/>
  <c r="AB39" i="86" s="1"/>
  <c r="V47" i="86"/>
  <c r="AB51" i="86" a="1"/>
  <c r="AB51" i="86" s="1"/>
  <c r="V38" i="86"/>
  <c r="X47" i="86"/>
  <c r="S50" i="86"/>
  <c r="S54" i="86"/>
  <c r="X38" i="86"/>
  <c r="Y47" i="86"/>
  <c r="U54" i="86"/>
  <c r="Y38" i="86"/>
  <c r="Z47" i="86"/>
  <c r="U50" i="86"/>
  <c r="Z38" i="86"/>
  <c r="AA47" i="86"/>
  <c r="V50" i="86"/>
  <c r="S36" i="86"/>
  <c r="U36" i="86"/>
  <c r="U33" i="86"/>
  <c r="AB34" i="86" a="1"/>
  <c r="AB34" i="86" s="1"/>
  <c r="Y40" i="86"/>
  <c r="U42" i="86"/>
  <c r="AA46" i="86"/>
  <c r="AB52" i="86" a="1"/>
  <c r="AB52" i="86" s="1"/>
  <c r="W55" i="86"/>
  <c r="V33" i="86"/>
  <c r="U39" i="86"/>
  <c r="V42" i="86"/>
  <c r="AB46" i="86" a="1"/>
  <c r="AB46" i="86" s="1"/>
  <c r="U51" i="86"/>
  <c r="Y55" i="86"/>
  <c r="U57" i="86"/>
  <c r="X33" i="86"/>
  <c r="V39" i="86"/>
  <c r="X42" i="86"/>
  <c r="S45" i="86"/>
  <c r="S49" i="86"/>
  <c r="V51" i="86"/>
  <c r="V57" i="86"/>
  <c r="AF17" i="86"/>
  <c r="AF16" i="86"/>
  <c r="S25" i="86"/>
  <c r="R14" i="86"/>
  <c r="X25" i="86"/>
  <c r="U28" i="86"/>
  <c r="X15" i="86"/>
  <c r="S21" i="86"/>
  <c r="Y25" i="86"/>
  <c r="X26" i="86"/>
  <c r="V28" i="86"/>
  <c r="U29" i="86"/>
  <c r="X31" i="86"/>
  <c r="X35" i="86"/>
  <c r="X40" i="86"/>
  <c r="X45" i="86"/>
  <c r="X50" i="86"/>
  <c r="X55" i="86"/>
  <c r="V14" i="86"/>
  <c r="Z15" i="86"/>
  <c r="U21" i="86"/>
  <c r="AA25" i="86"/>
  <c r="Z26" i="86"/>
  <c r="X28" i="86"/>
  <c r="W29" i="86"/>
  <c r="V30" i="86"/>
  <c r="Z31" i="86"/>
  <c r="Z35" i="86"/>
  <c r="V36" i="86"/>
  <c r="Z40" i="86"/>
  <c r="V44" i="86"/>
  <c r="Z45" i="86"/>
  <c r="V49" i="86"/>
  <c r="Z50" i="86"/>
  <c r="V54" i="86"/>
  <c r="Z55" i="86"/>
  <c r="S13" i="86"/>
  <c r="W14" i="86"/>
  <c r="AA15" i="86"/>
  <c r="V21" i="86"/>
  <c r="AB25" i="86" a="1"/>
  <c r="AB25" i="86" s="1"/>
  <c r="AA26" i="86"/>
  <c r="Y28" i="86"/>
  <c r="X29" i="86"/>
  <c r="W30" i="86"/>
  <c r="AA31" i="86"/>
  <c r="AA35" i="86"/>
  <c r="W36" i="86"/>
  <c r="S37" i="86"/>
  <c r="AA40" i="86"/>
  <c r="S43" i="86"/>
  <c r="W44" i="86"/>
  <c r="AA45" i="86"/>
  <c r="S48" i="86"/>
  <c r="W49" i="86"/>
  <c r="AA50" i="86"/>
  <c r="S53" i="86"/>
  <c r="W54" i="86"/>
  <c r="AA55" i="86"/>
  <c r="W28" i="86"/>
  <c r="X14" i="86"/>
  <c r="S20" i="86"/>
  <c r="W21" i="86"/>
  <c r="Z28" i="86"/>
  <c r="Y29" i="86"/>
  <c r="X30" i="86"/>
  <c r="X36" i="86"/>
  <c r="X44" i="86"/>
  <c r="X49" i="86"/>
  <c r="X54" i="86"/>
  <c r="U13" i="86"/>
  <c r="Y14" i="86"/>
  <c r="X21" i="86"/>
  <c r="AA28" i="86"/>
  <c r="Z29" i="86"/>
  <c r="Y30" i="86"/>
  <c r="Y36" i="86"/>
  <c r="U37" i="86"/>
  <c r="U43" i="86"/>
  <c r="Y44" i="86"/>
  <c r="U48" i="86"/>
  <c r="Y49" i="86"/>
  <c r="U53" i="86"/>
  <c r="Y54" i="86"/>
  <c r="V13" i="86"/>
  <c r="Z14" i="86"/>
  <c r="U20" i="86"/>
  <c r="Y21" i="86"/>
  <c r="AA29" i="86"/>
  <c r="Z30" i="86"/>
  <c r="Z36" i="86"/>
  <c r="V37" i="86"/>
  <c r="V43" i="86"/>
  <c r="Z44" i="86"/>
  <c r="V48" i="86"/>
  <c r="Z49" i="86"/>
  <c r="V53" i="86"/>
  <c r="Z54" i="86"/>
  <c r="W13" i="86"/>
  <c r="AA14" i="86"/>
  <c r="V20" i="86"/>
  <c r="Z21" i="86"/>
  <c r="AB29" i="86" a="1"/>
  <c r="AB29" i="86" s="1"/>
  <c r="AA30" i="86"/>
  <c r="S33" i="86"/>
  <c r="AA36" i="86"/>
  <c r="W37" i="86"/>
  <c r="S38" i="86"/>
  <c r="S42" i="86"/>
  <c r="W43" i="86"/>
  <c r="AA44" i="86"/>
  <c r="S47" i="86"/>
  <c r="W48" i="86"/>
  <c r="AA49" i="86"/>
  <c r="S52" i="86"/>
  <c r="W53" i="86"/>
  <c r="AA54" i="86"/>
  <c r="S57" i="86"/>
  <c r="X13" i="86"/>
  <c r="S19" i="86"/>
  <c r="W20" i="86"/>
  <c r="AA21" i="86"/>
  <c r="X37" i="86"/>
  <c r="X43" i="86"/>
  <c r="X48" i="86"/>
  <c r="X53" i="86"/>
  <c r="Y43" i="86"/>
  <c r="Y48" i="86"/>
  <c r="Y53" i="86"/>
  <c r="Y13" i="86"/>
  <c r="Z13" i="86"/>
  <c r="Y20" i="86"/>
  <c r="Z37" i="86"/>
  <c r="Z43" i="86"/>
  <c r="Z48" i="86"/>
  <c r="Z53" i="86"/>
  <c r="Y37" i="86"/>
  <c r="AA37" i="86"/>
  <c r="AA43" i="86"/>
  <c r="AA48" i="86"/>
  <c r="AA53" i="86"/>
  <c r="W43" i="85"/>
  <c r="X43" i="85"/>
  <c r="X40" i="85"/>
  <c r="Z43" i="85"/>
  <c r="Y43" i="85"/>
  <c r="AA33" i="85"/>
  <c r="AB33" i="85" a="1"/>
  <c r="AB33" i="85" s="1"/>
  <c r="V41" i="85"/>
  <c r="U52" i="85"/>
  <c r="V52" i="85"/>
  <c r="Z38" i="85"/>
  <c r="Z52" i="85"/>
  <c r="AA52" i="85"/>
  <c r="U53" i="85"/>
  <c r="V48" i="85"/>
  <c r="W53" i="85"/>
  <c r="U48" i="85"/>
  <c r="W48" i="85"/>
  <c r="X53" i="85"/>
  <c r="U57" i="85"/>
  <c r="X48" i="85"/>
  <c r="V53" i="85"/>
  <c r="S33" i="85"/>
  <c r="Y48" i="85"/>
  <c r="AA50" i="85"/>
  <c r="U33" i="85"/>
  <c r="Z48" i="85"/>
  <c r="S48" i="85"/>
  <c r="V33" i="85"/>
  <c r="S40" i="85"/>
  <c r="U43" i="85"/>
  <c r="Z33" i="85"/>
  <c r="V43" i="85"/>
  <c r="S52" i="85"/>
  <c r="AA38" i="85"/>
  <c r="AB41" i="85" a="1"/>
  <c r="AB41" i="85" s="1"/>
  <c r="AB38" i="85" a="1"/>
  <c r="AB38" i="85" s="1"/>
  <c r="X50" i="85"/>
  <c r="S53" i="85"/>
  <c r="Z37" i="85"/>
  <c r="AA42" i="85"/>
  <c r="V47" i="85"/>
  <c r="X35" i="85"/>
  <c r="AB42" i="85" a="1"/>
  <c r="AB42" i="85" s="1"/>
  <c r="Z47" i="85"/>
  <c r="V57" i="85"/>
  <c r="AA35" i="85"/>
  <c r="AA47" i="85"/>
  <c r="Z57" i="85"/>
  <c r="AB35" i="85" a="1"/>
  <c r="AB35" i="85" s="1"/>
  <c r="AB47" i="85" a="1"/>
  <c r="AB47" i="85" s="1"/>
  <c r="AA57" i="85"/>
  <c r="AB57" i="85" a="1"/>
  <c r="AB57" i="85" s="1"/>
  <c r="S38" i="85"/>
  <c r="U38" i="85"/>
  <c r="S50" i="85"/>
  <c r="V38" i="85"/>
  <c r="S43" i="85"/>
  <c r="S55" i="85"/>
  <c r="V46" i="85"/>
  <c r="V34" i="85"/>
  <c r="AB46" i="85" a="1"/>
  <c r="AB46" i="85" s="1"/>
  <c r="S37" i="85"/>
  <c r="V51" i="85"/>
  <c r="V56" i="85"/>
  <c r="U37" i="85"/>
  <c r="V39" i="85"/>
  <c r="S42" i="85"/>
  <c r="AB51" i="85" a="1"/>
  <c r="AB51" i="85" s="1"/>
  <c r="V37" i="85"/>
  <c r="Y53" i="85"/>
  <c r="W37" i="85"/>
  <c r="U42" i="85"/>
  <c r="Z53" i="85"/>
  <c r="V32" i="85"/>
  <c r="X37" i="85"/>
  <c r="V42" i="85"/>
  <c r="S47" i="85"/>
  <c r="S35" i="85"/>
  <c r="Y37" i="85"/>
  <c r="Z42" i="85"/>
  <c r="U47" i="85"/>
  <c r="S57" i="85"/>
  <c r="AF16" i="85"/>
  <c r="AF17" i="85"/>
  <c r="V16" i="85"/>
  <c r="W17" i="85"/>
  <c r="Z19" i="85"/>
  <c r="X16" i="85"/>
  <c r="Y17" i="85"/>
  <c r="Z18" i="85"/>
  <c r="AA19" i="85"/>
  <c r="W23" i="85"/>
  <c r="V24" i="85"/>
  <c r="U25" i="85"/>
  <c r="X32" i="85"/>
  <c r="X34" i="85"/>
  <c r="X39" i="85"/>
  <c r="X41" i="85"/>
  <c r="X46" i="85"/>
  <c r="X51" i="85"/>
  <c r="X56" i="85"/>
  <c r="X17" i="85"/>
  <c r="U15" i="85"/>
  <c r="Y16" i="85"/>
  <c r="Z17" i="85"/>
  <c r="AA18" i="85"/>
  <c r="X23" i="85"/>
  <c r="W24" i="85"/>
  <c r="V25" i="85"/>
  <c r="U26" i="85"/>
  <c r="U31" i="85"/>
  <c r="Y32" i="85"/>
  <c r="Y34" i="85"/>
  <c r="U35" i="85"/>
  <c r="Y39" i="85"/>
  <c r="U40" i="85"/>
  <c r="Y41" i="85"/>
  <c r="U45" i="85"/>
  <c r="Y46" i="85"/>
  <c r="U50" i="85"/>
  <c r="Y51" i="85"/>
  <c r="U55" i="85"/>
  <c r="Y56" i="85"/>
  <c r="W16" i="85"/>
  <c r="W32" i="85"/>
  <c r="W39" i="85"/>
  <c r="W41" i="85"/>
  <c r="W56" i="85"/>
  <c r="V15" i="85"/>
  <c r="Z16" i="85"/>
  <c r="AA17" i="85"/>
  <c r="U22" i="85"/>
  <c r="Y23" i="85"/>
  <c r="X24" i="85"/>
  <c r="W25" i="85"/>
  <c r="V26" i="85"/>
  <c r="V31" i="85"/>
  <c r="Z32" i="85"/>
  <c r="Z34" i="85"/>
  <c r="V35" i="85"/>
  <c r="Z39" i="85"/>
  <c r="V40" i="85"/>
  <c r="Z41" i="85"/>
  <c r="V45" i="85"/>
  <c r="Z46" i="85"/>
  <c r="V50" i="85"/>
  <c r="Z51" i="85"/>
  <c r="V55" i="85"/>
  <c r="Z56" i="85"/>
  <c r="V23" i="85"/>
  <c r="W34" i="85"/>
  <c r="W46" i="85"/>
  <c r="W51" i="85"/>
  <c r="S14" i="85"/>
  <c r="W15" i="85"/>
  <c r="AA16" i="85"/>
  <c r="Z23" i="85"/>
  <c r="Y24" i="85"/>
  <c r="X25" i="85"/>
  <c r="W26" i="85"/>
  <c r="S30" i="85"/>
  <c r="W31" i="85"/>
  <c r="AA32" i="85"/>
  <c r="AA34" i="85"/>
  <c r="W35" i="85"/>
  <c r="S36" i="85"/>
  <c r="AA39" i="85"/>
  <c r="W40" i="85"/>
  <c r="AA41" i="85"/>
  <c r="S44" i="85"/>
  <c r="W45" i="85"/>
  <c r="AA46" i="85"/>
  <c r="S49" i="85"/>
  <c r="W50" i="85"/>
  <c r="AA51" i="85"/>
  <c r="S54" i="85"/>
  <c r="W55" i="85"/>
  <c r="AA56" i="85"/>
  <c r="X55" i="85"/>
  <c r="AB56" i="85" a="1"/>
  <c r="AB56" i="85" s="1"/>
  <c r="U14" i="85"/>
  <c r="Y15" i="85"/>
  <c r="AB23" i="85" a="1"/>
  <c r="AB23" i="85" s="1"/>
  <c r="AA24" i="85"/>
  <c r="Z25" i="85"/>
  <c r="Y26" i="85"/>
  <c r="U30" i="85"/>
  <c r="Y31" i="85"/>
  <c r="Y35" i="85"/>
  <c r="U36" i="85"/>
  <c r="Y40" i="85"/>
  <c r="U44" i="85"/>
  <c r="Y45" i="85"/>
  <c r="U49" i="85"/>
  <c r="Y50" i="85"/>
  <c r="U54" i="85"/>
  <c r="Y55" i="85"/>
  <c r="AA23" i="85"/>
  <c r="AB32" i="85" a="1"/>
  <c r="AB32" i="85" s="1"/>
  <c r="AB34" i="85" a="1"/>
  <c r="AB34" i="85" s="1"/>
  <c r="AB39" i="85" a="1"/>
  <c r="AB39" i="85" s="1"/>
  <c r="V14" i="85"/>
  <c r="U21" i="85"/>
  <c r="AB24" i="85" a="1"/>
  <c r="AB24" i="85" s="1"/>
  <c r="V30" i="85"/>
  <c r="V36" i="85"/>
  <c r="Z40" i="85"/>
  <c r="V44" i="85"/>
  <c r="Z45" i="85"/>
  <c r="V49" i="85"/>
  <c r="Z50" i="85"/>
  <c r="V54" i="85"/>
  <c r="Z55" i="85"/>
  <c r="W30" i="85"/>
  <c r="W44" i="85"/>
  <c r="W49" i="85"/>
  <c r="W54" i="85"/>
  <c r="W14" i="85"/>
  <c r="W36" i="85"/>
  <c r="X14" i="85"/>
  <c r="W21" i="85"/>
  <c r="X30" i="85"/>
  <c r="X36" i="85"/>
  <c r="X44" i="85"/>
  <c r="X49" i="85"/>
  <c r="X54" i="85"/>
  <c r="Y14" i="85"/>
  <c r="X21" i="85"/>
  <c r="Y30" i="85"/>
  <c r="Y36" i="85"/>
  <c r="Y44" i="85"/>
  <c r="Y49" i="85"/>
  <c r="Y54" i="85"/>
  <c r="Z30" i="85"/>
  <c r="Z36" i="85"/>
  <c r="Z44" i="85"/>
  <c r="Z49" i="85"/>
  <c r="Z54" i="85"/>
  <c r="AA36" i="85"/>
  <c r="AA44" i="85"/>
  <c r="AA49" i="85"/>
  <c r="AA54" i="85"/>
  <c r="S19" i="85"/>
  <c r="S17" i="85"/>
  <c r="U19" i="85"/>
  <c r="AA13" i="85"/>
  <c r="S16" i="85"/>
  <c r="U18" i="85"/>
  <c r="V19" i="85"/>
  <c r="S32" i="85"/>
  <c r="W33" i="85"/>
  <c r="S34" i="85"/>
  <c r="AA37" i="85"/>
  <c r="W38" i="85"/>
  <c r="S39" i="85"/>
  <c r="S41" i="85"/>
  <c r="W42" i="85"/>
  <c r="AA43" i="85"/>
  <c r="S46" i="85"/>
  <c r="W47" i="85"/>
  <c r="AA48" i="85"/>
  <c r="S51" i="85"/>
  <c r="W52" i="85"/>
  <c r="AA53" i="85"/>
  <c r="S56" i="85"/>
  <c r="W57" i="85"/>
  <c r="U17" i="85"/>
  <c r="V18" i="85"/>
  <c r="W19" i="85"/>
  <c r="X33" i="85"/>
  <c r="X38" i="85"/>
  <c r="X42" i="85"/>
  <c r="X47" i="85"/>
  <c r="X52" i="85"/>
  <c r="X57" i="85"/>
  <c r="W36" i="84"/>
  <c r="AA36" i="84"/>
  <c r="AA44" i="84"/>
  <c r="AB36" i="84" a="1"/>
  <c r="AB36" i="84" s="1"/>
  <c r="V44" i="84"/>
  <c r="W44" i="84"/>
  <c r="X44" i="84"/>
  <c r="Y44" i="84"/>
  <c r="Z44" i="84"/>
  <c r="V48" i="84"/>
  <c r="Y48" i="84"/>
  <c r="Z45" i="84"/>
  <c r="AA45" i="84"/>
  <c r="S52" i="84"/>
  <c r="X36" i="84"/>
  <c r="Y36" i="84"/>
  <c r="V55" i="84"/>
  <c r="U48" i="84"/>
  <c r="Z36" i="84"/>
  <c r="Z55" i="84"/>
  <c r="S48" i="84"/>
  <c r="X37" i="83"/>
  <c r="AD6" i="82"/>
  <c r="S47" i="82"/>
  <c r="AB35" i="84" a="1"/>
  <c r="AB35" i="84" s="1"/>
  <c r="X54" i="84"/>
  <c r="U37" i="84"/>
  <c r="Z40" i="84"/>
  <c r="V43" i="84"/>
  <c r="Y54" i="84"/>
  <c r="AB49" i="84" a="1"/>
  <c r="AB49" i="84" s="1"/>
  <c r="V37" i="84"/>
  <c r="AA40" i="84"/>
  <c r="W43" i="84"/>
  <c r="Z54" i="84"/>
  <c r="W37" i="84"/>
  <c r="AB40" i="84" a="1"/>
  <c r="AB40" i="84" s="1"/>
  <c r="X43" i="84"/>
  <c r="V45" i="84"/>
  <c r="AA54" i="84"/>
  <c r="U43" i="84"/>
  <c r="X37" i="84"/>
  <c r="Y43" i="84"/>
  <c r="AB54" i="84" a="1"/>
  <c r="AB54" i="84" s="1"/>
  <c r="S57" i="84"/>
  <c r="Y37" i="84"/>
  <c r="V40" i="84"/>
  <c r="AB45" i="84" a="1"/>
  <c r="AB45" i="84" s="1"/>
  <c r="W48" i="84"/>
  <c r="S53" i="84"/>
  <c r="V36" i="84"/>
  <c r="X48" i="84"/>
  <c r="V50" i="84"/>
  <c r="V49" i="84"/>
  <c r="W49" i="84"/>
  <c r="U35" i="84"/>
  <c r="AB44" i="84" a="1"/>
  <c r="AB44" i="84" s="1"/>
  <c r="S47" i="84"/>
  <c r="X49" i="84"/>
  <c r="V35" i="84"/>
  <c r="Y49" i="84"/>
  <c r="Z35" i="84"/>
  <c r="S43" i="84"/>
  <c r="Z49" i="84"/>
  <c r="V54" i="84"/>
  <c r="AA35" i="84"/>
  <c r="S37" i="84"/>
  <c r="AA49" i="84"/>
  <c r="W54" i="84"/>
  <c r="X18" i="84"/>
  <c r="S25" i="84"/>
  <c r="V32" i="84"/>
  <c r="Z33" i="84"/>
  <c r="V34" i="84"/>
  <c r="Z38" i="84"/>
  <c r="V39" i="84"/>
  <c r="V41" i="84"/>
  <c r="Z42" i="84"/>
  <c r="V46" i="84"/>
  <c r="Z47" i="84"/>
  <c r="V51" i="84"/>
  <c r="V56" i="84"/>
  <c r="Z57" i="84"/>
  <c r="S15" i="84"/>
  <c r="W16" i="84"/>
  <c r="X17" i="84"/>
  <c r="Y18" i="84"/>
  <c r="Z19" i="84"/>
  <c r="V23" i="84"/>
  <c r="U24" i="84"/>
  <c r="S26" i="84"/>
  <c r="S31" i="84"/>
  <c r="W32" i="84"/>
  <c r="AA33" i="84"/>
  <c r="W34" i="84"/>
  <c r="S35" i="84"/>
  <c r="AA38" i="84"/>
  <c r="W39" i="84"/>
  <c r="S40" i="84"/>
  <c r="W41" i="84"/>
  <c r="AA42" i="84"/>
  <c r="S45" i="84"/>
  <c r="W46" i="84"/>
  <c r="AA47" i="84"/>
  <c r="S50" i="84"/>
  <c r="W51" i="84"/>
  <c r="AA52" i="84"/>
  <c r="S55" i="84"/>
  <c r="W56" i="84"/>
  <c r="AA57" i="84"/>
  <c r="Z52" i="84"/>
  <c r="X16" i="84"/>
  <c r="Y17" i="84"/>
  <c r="Z18" i="84"/>
  <c r="AA19" i="84"/>
  <c r="S22" i="84"/>
  <c r="W23" i="84"/>
  <c r="V24" i="84"/>
  <c r="U25" i="84"/>
  <c r="S27" i="84"/>
  <c r="X32" i="84"/>
  <c r="AB33" i="84" a="1"/>
  <c r="AB33" i="84" s="1"/>
  <c r="X34" i="84"/>
  <c r="AB38" i="84" a="1"/>
  <c r="AB38" i="84" s="1"/>
  <c r="X39" i="84"/>
  <c r="X41" i="84"/>
  <c r="AB42" i="84" a="1"/>
  <c r="AB42" i="84" s="1"/>
  <c r="X46" i="84"/>
  <c r="AB47" i="84" a="1"/>
  <c r="AB47" i="84" s="1"/>
  <c r="X51" i="84"/>
  <c r="AB52" i="84" a="1"/>
  <c r="AB52" i="84" s="1"/>
  <c r="X56" i="84"/>
  <c r="AB57" i="84" a="1"/>
  <c r="AB57" i="84" s="1"/>
  <c r="S18" i="84"/>
  <c r="U33" i="84"/>
  <c r="W17" i="84"/>
  <c r="Y19" i="84"/>
  <c r="U23" i="84"/>
  <c r="U15" i="84"/>
  <c r="Y16" i="84"/>
  <c r="Z17" i="84"/>
  <c r="AA18" i="84"/>
  <c r="X23" i="84"/>
  <c r="W24" i="84"/>
  <c r="V25" i="84"/>
  <c r="U26" i="84"/>
  <c r="Y32" i="84"/>
  <c r="Y34" i="84"/>
  <c r="Y39" i="84"/>
  <c r="U40" i="84"/>
  <c r="Y41" i="84"/>
  <c r="U45" i="84"/>
  <c r="Y46" i="84"/>
  <c r="U50" i="84"/>
  <c r="Y51" i="84"/>
  <c r="U55" i="84"/>
  <c r="Y56" i="84"/>
  <c r="Z41" i="84"/>
  <c r="Z51" i="84"/>
  <c r="Z56" i="84"/>
  <c r="S42" i="84"/>
  <c r="X24" i="84"/>
  <c r="Z32" i="84"/>
  <c r="Z34" i="84"/>
  <c r="Z39" i="84"/>
  <c r="S14" i="84"/>
  <c r="W15" i="84"/>
  <c r="AA16" i="84"/>
  <c r="V22" i="84"/>
  <c r="Z23" i="84"/>
  <c r="Y24" i="84"/>
  <c r="X25" i="84"/>
  <c r="W26" i="84"/>
  <c r="V27" i="84"/>
  <c r="S30" i="84"/>
  <c r="W31" i="84"/>
  <c r="AA32" i="84"/>
  <c r="AA34" i="84"/>
  <c r="W35" i="84"/>
  <c r="S36" i="84"/>
  <c r="AA39" i="84"/>
  <c r="W40" i="84"/>
  <c r="AA41" i="84"/>
  <c r="S44" i="84"/>
  <c r="W45" i="84"/>
  <c r="AA46" i="84"/>
  <c r="S49" i="84"/>
  <c r="W50" i="84"/>
  <c r="AA51" i="84"/>
  <c r="S54" i="84"/>
  <c r="W55" i="84"/>
  <c r="AA56" i="84"/>
  <c r="S33" i="84"/>
  <c r="S38" i="84"/>
  <c r="U52" i="84"/>
  <c r="AA17" i="84"/>
  <c r="Y23" i="84"/>
  <c r="W25" i="84"/>
  <c r="X15" i="84"/>
  <c r="W22" i="84"/>
  <c r="AA23" i="84"/>
  <c r="Z24" i="84"/>
  <c r="Y25" i="84"/>
  <c r="X26" i="84"/>
  <c r="W27" i="84"/>
  <c r="X31" i="84"/>
  <c r="AB32" i="84" a="1"/>
  <c r="AB32" i="84" s="1"/>
  <c r="AB34" i="84" a="1"/>
  <c r="AB34" i="84" s="1"/>
  <c r="X35" i="84"/>
  <c r="AB39" i="84" a="1"/>
  <c r="AB39" i="84" s="1"/>
  <c r="X40" i="84"/>
  <c r="AB41" i="84" a="1"/>
  <c r="AB41" i="84" s="1"/>
  <c r="X45" i="84"/>
  <c r="AB46" i="84" a="1"/>
  <c r="AB46" i="84" s="1"/>
  <c r="X50" i="84"/>
  <c r="AB51" i="84" a="1"/>
  <c r="AB51" i="84" s="1"/>
  <c r="X55" i="84"/>
  <c r="AB56" i="84" a="1"/>
  <c r="AB56" i="84" s="1"/>
  <c r="S19" i="84"/>
  <c r="V16" i="84"/>
  <c r="Z16" i="84"/>
  <c r="Z46" i="84"/>
  <c r="AF17" i="84"/>
  <c r="AB23" i="84" a="1"/>
  <c r="AB23" i="84" s="1"/>
  <c r="AA24" i="84"/>
  <c r="AF16" i="84"/>
  <c r="Z13" i="84"/>
  <c r="S17" i="84"/>
  <c r="U19" i="84"/>
  <c r="V33" i="84"/>
  <c r="Z37" i="84"/>
  <c r="V38" i="84"/>
  <c r="V42" i="84"/>
  <c r="Z43" i="84"/>
  <c r="V47" i="84"/>
  <c r="Z48" i="84"/>
  <c r="V52" i="84"/>
  <c r="Z53" i="84"/>
  <c r="V57" i="84"/>
  <c r="U38" i="84"/>
  <c r="U42" i="84"/>
  <c r="AA37" i="84"/>
  <c r="W38" i="84"/>
  <c r="S39" i="84"/>
  <c r="S41" i="84"/>
  <c r="W42" i="84"/>
  <c r="AA43" i="84"/>
  <c r="W47" i="84"/>
  <c r="AA48" i="84"/>
  <c r="S51" i="84"/>
  <c r="W52" i="84"/>
  <c r="AA53" i="84"/>
  <c r="S56" i="84"/>
  <c r="W57" i="84"/>
  <c r="U57" i="84"/>
  <c r="AA13" i="84"/>
  <c r="S16" i="84"/>
  <c r="V19" i="84"/>
  <c r="S32" i="84"/>
  <c r="W33" i="84"/>
  <c r="S34" i="84"/>
  <c r="U17" i="84"/>
  <c r="V18" i="84"/>
  <c r="W19" i="84"/>
  <c r="AA20" i="84"/>
  <c r="X33" i="84"/>
  <c r="X38" i="84"/>
  <c r="X42" i="84"/>
  <c r="X47" i="84"/>
  <c r="X52" i="84"/>
  <c r="X57" i="84"/>
  <c r="U47" i="84"/>
  <c r="U18" i="84"/>
  <c r="S46" i="84"/>
  <c r="V33" i="83"/>
  <c r="U33" i="83"/>
  <c r="Z33" i="83"/>
  <c r="U43" i="83"/>
  <c r="AA33" i="83"/>
  <c r="V43" i="83"/>
  <c r="AB33" i="83" a="1"/>
  <c r="AB33" i="83" s="1"/>
  <c r="W43" i="83"/>
  <c r="X43" i="83"/>
  <c r="U37" i="83"/>
  <c r="Y43" i="83"/>
  <c r="V37" i="83"/>
  <c r="Z43" i="83"/>
  <c r="W37" i="83"/>
  <c r="Z52" i="83"/>
  <c r="AA52" i="83"/>
  <c r="AB52" i="83" a="1"/>
  <c r="AB52" i="83" s="1"/>
  <c r="S33" i="83"/>
  <c r="AB55" i="82" a="1"/>
  <c r="AB55" i="82" s="1"/>
  <c r="AB35" i="82" a="1"/>
  <c r="AB35" i="82" s="1"/>
  <c r="S57" i="82"/>
  <c r="X53" i="83"/>
  <c r="V42" i="83"/>
  <c r="V57" i="83"/>
  <c r="Z42" i="83"/>
  <c r="V47" i="83"/>
  <c r="AB47" i="83" a="1"/>
  <c r="AB47" i="83" s="1"/>
  <c r="AA42" i="83"/>
  <c r="S42" i="83"/>
  <c r="U47" i="83"/>
  <c r="U42" i="83"/>
  <c r="Y53" i="83"/>
  <c r="AB45" i="83" a="1"/>
  <c r="AB45" i="83" s="1"/>
  <c r="Z53" i="83"/>
  <c r="Y48" i="83"/>
  <c r="S47" i="83"/>
  <c r="W53" i="83"/>
  <c r="Z44" i="82"/>
  <c r="AA35" i="82"/>
  <c r="Y44" i="82"/>
  <c r="Y36" i="82"/>
  <c r="AB44" i="82" a="1"/>
  <c r="AB44" i="82" s="1"/>
  <c r="AA44" i="82"/>
  <c r="X37" i="81"/>
  <c r="U37" i="81"/>
  <c r="W37" i="81"/>
  <c r="Z47" i="80"/>
  <c r="Z35" i="81"/>
  <c r="X46" i="81"/>
  <c r="W43" i="81"/>
  <c r="X43" i="81"/>
  <c r="Y43" i="81"/>
  <c r="AB43" i="81" a="1"/>
  <c r="AB43" i="81" s="1"/>
  <c r="AB40" i="81" a="1"/>
  <c r="AB40" i="81" s="1"/>
  <c r="Y37" i="81"/>
  <c r="S53" i="81"/>
  <c r="U57" i="82"/>
  <c r="V57" i="82"/>
  <c r="S48" i="82"/>
  <c r="AA42" i="82"/>
  <c r="S45" i="82"/>
  <c r="AB35" i="83" a="1"/>
  <c r="AB35" i="83" s="1"/>
  <c r="Z54" i="83"/>
  <c r="U57" i="83"/>
  <c r="AB54" i="83" a="1"/>
  <c r="AB54" i="83" s="1"/>
  <c r="AB57" i="83" a="1"/>
  <c r="AB57" i="83" s="1"/>
  <c r="AB40" i="83" a="1"/>
  <c r="AB40" i="83" s="1"/>
  <c r="X36" i="83"/>
  <c r="S38" i="83"/>
  <c r="Z36" i="83"/>
  <c r="U38" i="83"/>
  <c r="AB50" i="83" a="1"/>
  <c r="AB50" i="83" s="1"/>
  <c r="AB36" i="83" a="1"/>
  <c r="AB36" i="83" s="1"/>
  <c r="V38" i="83"/>
  <c r="U48" i="83"/>
  <c r="Z57" i="83"/>
  <c r="Z38" i="83"/>
  <c r="V48" i="83"/>
  <c r="AB55" i="83" a="1"/>
  <c r="AB55" i="83" s="1"/>
  <c r="AA38" i="83"/>
  <c r="W48" i="83"/>
  <c r="U53" i="83"/>
  <c r="AA57" i="83"/>
  <c r="AB38" i="83" a="1"/>
  <c r="AB38" i="83" s="1"/>
  <c r="X48" i="83"/>
  <c r="V53" i="83"/>
  <c r="Z48" i="83"/>
  <c r="AB44" i="83" a="1"/>
  <c r="AB44" i="83" s="1"/>
  <c r="Y37" i="83"/>
  <c r="AB42" i="83" a="1"/>
  <c r="AB42" i="83" s="1"/>
  <c r="Z47" i="83"/>
  <c r="Z49" i="83"/>
  <c r="U52" i="83"/>
  <c r="X44" i="83"/>
  <c r="Z44" i="83"/>
  <c r="X49" i="83"/>
  <c r="S52" i="83"/>
  <c r="Z37" i="83"/>
  <c r="AA47" i="83"/>
  <c r="AB49" i="83" a="1"/>
  <c r="AB49" i="83" s="1"/>
  <c r="V52" i="83"/>
  <c r="X54" i="83"/>
  <c r="S57" i="83"/>
  <c r="V32" i="83"/>
  <c r="V39" i="83"/>
  <c r="V51" i="83"/>
  <c r="S31" i="83"/>
  <c r="S35" i="83"/>
  <c r="W39" i="83"/>
  <c r="S45" i="83"/>
  <c r="X16" i="83"/>
  <c r="Y17" i="83"/>
  <c r="Z18" i="83"/>
  <c r="AA19" i="83"/>
  <c r="W23" i="83"/>
  <c r="V24" i="83"/>
  <c r="U25" i="83"/>
  <c r="X32" i="83"/>
  <c r="X34" i="83"/>
  <c r="X39" i="83"/>
  <c r="X41" i="83"/>
  <c r="X46" i="83"/>
  <c r="X51" i="83"/>
  <c r="X56" i="83"/>
  <c r="V16" i="83"/>
  <c r="V41" i="83"/>
  <c r="V46" i="83"/>
  <c r="W16" i="83"/>
  <c r="U24" i="83"/>
  <c r="S40" i="83"/>
  <c r="W46" i="83"/>
  <c r="W56" i="83"/>
  <c r="U15" i="83"/>
  <c r="Y16" i="83"/>
  <c r="Z17" i="83"/>
  <c r="AA18" i="83"/>
  <c r="X23" i="83"/>
  <c r="W24" i="83"/>
  <c r="V25" i="83"/>
  <c r="U26" i="83"/>
  <c r="S28" i="83"/>
  <c r="U31" i="83"/>
  <c r="Y32" i="83"/>
  <c r="Y34" i="83"/>
  <c r="U35" i="83"/>
  <c r="Y39" i="83"/>
  <c r="U40" i="83"/>
  <c r="Y41" i="83"/>
  <c r="U45" i="83"/>
  <c r="Y46" i="83"/>
  <c r="U50" i="83"/>
  <c r="Y51" i="83"/>
  <c r="U55" i="83"/>
  <c r="Y56" i="83"/>
  <c r="V15" i="83"/>
  <c r="Z16" i="83"/>
  <c r="AA17" i="83"/>
  <c r="U22" i="83"/>
  <c r="Y23" i="83"/>
  <c r="X24" i="83"/>
  <c r="W25" i="83"/>
  <c r="V26" i="83"/>
  <c r="U27" i="83"/>
  <c r="S29" i="83"/>
  <c r="V31" i="83"/>
  <c r="Z32" i="83"/>
  <c r="Z34" i="83"/>
  <c r="V35" i="83"/>
  <c r="Z39" i="83"/>
  <c r="V40" i="83"/>
  <c r="Z41" i="83"/>
  <c r="V45" i="83"/>
  <c r="Z46" i="83"/>
  <c r="V50" i="83"/>
  <c r="Z51" i="83"/>
  <c r="V55" i="83"/>
  <c r="Z56" i="83"/>
  <c r="Y19" i="83"/>
  <c r="V56" i="83"/>
  <c r="Z19" i="83"/>
  <c r="V23" i="83"/>
  <c r="W32" i="83"/>
  <c r="S50" i="83"/>
  <c r="S14" i="83"/>
  <c r="W15" i="83"/>
  <c r="AA16" i="83"/>
  <c r="V22" i="83"/>
  <c r="Z23" i="83"/>
  <c r="Y24" i="83"/>
  <c r="X25" i="83"/>
  <c r="W26" i="83"/>
  <c r="V27" i="83"/>
  <c r="U28" i="83"/>
  <c r="S30" i="83"/>
  <c r="W31" i="83"/>
  <c r="AA32" i="83"/>
  <c r="AA34" i="83"/>
  <c r="W35" i="83"/>
  <c r="S36" i="83"/>
  <c r="AA39" i="83"/>
  <c r="W40" i="83"/>
  <c r="AA41" i="83"/>
  <c r="S44" i="83"/>
  <c r="W45" i="83"/>
  <c r="AA46" i="83"/>
  <c r="S49" i="83"/>
  <c r="W50" i="83"/>
  <c r="AA51" i="83"/>
  <c r="S54" i="83"/>
  <c r="W55" i="83"/>
  <c r="AA56" i="83"/>
  <c r="W17" i="83"/>
  <c r="V34" i="83"/>
  <c r="S15" i="83"/>
  <c r="W34" i="83"/>
  <c r="W51" i="83"/>
  <c r="X15" i="83"/>
  <c r="S21" i="83"/>
  <c r="AB21" i="83" s="1" a="1"/>
  <c r="AB21" i="83" s="1"/>
  <c r="W22" i="83"/>
  <c r="AA23" i="83"/>
  <c r="Z24" i="83"/>
  <c r="Y25" i="83"/>
  <c r="X26" i="83"/>
  <c r="W27" i="83"/>
  <c r="V28" i="83"/>
  <c r="X31" i="83"/>
  <c r="AB32" i="83" a="1"/>
  <c r="AB32" i="83" s="1"/>
  <c r="AB34" i="83" a="1"/>
  <c r="AB34" i="83" s="1"/>
  <c r="X35" i="83"/>
  <c r="AB39" i="83" a="1"/>
  <c r="AB39" i="83" s="1"/>
  <c r="X40" i="83"/>
  <c r="AB41" i="83" a="1"/>
  <c r="AB41" i="83" s="1"/>
  <c r="X45" i="83"/>
  <c r="AB46" i="83" a="1"/>
  <c r="AB46" i="83" s="1"/>
  <c r="X50" i="83"/>
  <c r="AB51" i="83" a="1"/>
  <c r="AB51" i="83" s="1"/>
  <c r="X55" i="83"/>
  <c r="AB56" i="83" a="1"/>
  <c r="AB56" i="83" s="1"/>
  <c r="X18" i="83"/>
  <c r="S26" i="83"/>
  <c r="S55" i="83"/>
  <c r="U14" i="83"/>
  <c r="Y15" i="83"/>
  <c r="AF17" i="83"/>
  <c r="X22" i="83"/>
  <c r="AB23" i="83" a="1"/>
  <c r="AB23" i="83" s="1"/>
  <c r="AA24" i="83"/>
  <c r="Z25" i="83"/>
  <c r="Y26" i="83"/>
  <c r="U30" i="83"/>
  <c r="Y31" i="83"/>
  <c r="Y35" i="83"/>
  <c r="U36" i="83"/>
  <c r="Y40" i="83"/>
  <c r="U44" i="83"/>
  <c r="Y45" i="83"/>
  <c r="U49" i="83"/>
  <c r="Y50" i="83"/>
  <c r="U54" i="83"/>
  <c r="Y55" i="83"/>
  <c r="X17" i="83"/>
  <c r="V14" i="83"/>
  <c r="Z15" i="83"/>
  <c r="AF16" i="83"/>
  <c r="U21" i="83"/>
  <c r="Y22" i="83"/>
  <c r="AB24" i="83" a="1"/>
  <c r="AB24" i="83" s="1"/>
  <c r="AA25" i="83"/>
  <c r="Z26" i="83"/>
  <c r="V30" i="83"/>
  <c r="Z31" i="83"/>
  <c r="Z35" i="83"/>
  <c r="V36" i="83"/>
  <c r="Z40" i="83"/>
  <c r="V44" i="83"/>
  <c r="Z45" i="83"/>
  <c r="V49" i="83"/>
  <c r="Z50" i="83"/>
  <c r="V54" i="83"/>
  <c r="Z55" i="83"/>
  <c r="Y18" i="83"/>
  <c r="W41" i="83"/>
  <c r="AD6" i="83"/>
  <c r="W14" i="83"/>
  <c r="W30" i="83"/>
  <c r="W36" i="83"/>
  <c r="S37" i="83"/>
  <c r="S43" i="83"/>
  <c r="W44" i="83"/>
  <c r="S48" i="83"/>
  <c r="W49" i="83"/>
  <c r="S53" i="83"/>
  <c r="W54" i="83"/>
  <c r="Y14" i="83"/>
  <c r="Y30" i="83"/>
  <c r="Y36" i="83"/>
  <c r="Y44" i="83"/>
  <c r="Y49" i="83"/>
  <c r="Y54" i="83"/>
  <c r="R19" i="83"/>
  <c r="S18" i="83"/>
  <c r="S17" i="83"/>
  <c r="U19" i="83"/>
  <c r="S16" i="83"/>
  <c r="U18" i="83"/>
  <c r="V19" i="83"/>
  <c r="S32" i="83"/>
  <c r="W33" i="83"/>
  <c r="S34" i="83"/>
  <c r="AA37" i="83"/>
  <c r="W38" i="83"/>
  <c r="S39" i="83"/>
  <c r="S41" i="83"/>
  <c r="W42" i="83"/>
  <c r="AA43" i="83"/>
  <c r="S46" i="83"/>
  <c r="W47" i="83"/>
  <c r="AA48" i="83"/>
  <c r="S51" i="83"/>
  <c r="W52" i="83"/>
  <c r="AA53" i="83"/>
  <c r="S56" i="83"/>
  <c r="W57" i="83"/>
  <c r="U17" i="83"/>
  <c r="V18" i="83"/>
  <c r="W19" i="83"/>
  <c r="X33" i="83"/>
  <c r="X38" i="83"/>
  <c r="X42" i="83"/>
  <c r="X47" i="83"/>
  <c r="X52" i="83"/>
  <c r="X57" i="83"/>
  <c r="Z37" i="82"/>
  <c r="V47" i="82"/>
  <c r="Y37" i="82"/>
  <c r="Z47" i="82"/>
  <c r="AA47" i="82"/>
  <c r="Y54" i="82"/>
  <c r="AA52" i="82"/>
  <c r="AA40" i="82"/>
  <c r="U47" i="82"/>
  <c r="S38" i="82"/>
  <c r="Z54" i="82"/>
  <c r="U38" i="82"/>
  <c r="V38" i="82"/>
  <c r="V37" i="82"/>
  <c r="X49" i="82"/>
  <c r="U37" i="82"/>
  <c r="V43" i="82"/>
  <c r="W49" i="82"/>
  <c r="W37" i="82"/>
  <c r="S40" i="82"/>
  <c r="Y49" i="82"/>
  <c r="X37" i="82"/>
  <c r="Z49" i="82"/>
  <c r="AB35" i="81" a="1"/>
  <c r="AB35" i="81" s="1"/>
  <c r="V49" i="81"/>
  <c r="W49" i="81"/>
  <c r="S43" i="81"/>
  <c r="U46" i="81"/>
  <c r="X49" i="81"/>
  <c r="V46" i="81"/>
  <c r="AA49" i="81"/>
  <c r="AA35" i="81"/>
  <c r="U43" i="81"/>
  <c r="W46" i="81"/>
  <c r="AB49" i="81" a="1"/>
  <c r="AB49" i="81" s="1"/>
  <c r="Z37" i="81"/>
  <c r="AB37" i="81" a="1"/>
  <c r="AB37" i="81" s="1"/>
  <c r="AA50" i="81"/>
  <c r="AB51" i="81" a="1"/>
  <c r="AB51" i="81" s="1"/>
  <c r="Z36" i="82"/>
  <c r="AA45" i="82"/>
  <c r="AB45" i="82" a="1"/>
  <c r="AB45" i="82" s="1"/>
  <c r="Z38" i="82"/>
  <c r="Z43" i="82"/>
  <c r="U48" i="82"/>
  <c r="AA57" i="82"/>
  <c r="AA33" i="82"/>
  <c r="AA36" i="82"/>
  <c r="AB54" i="82" a="1"/>
  <c r="AB54" i="82" s="1"/>
  <c r="AA38" i="82"/>
  <c r="V48" i="82"/>
  <c r="W43" i="82"/>
  <c r="Z57" i="82"/>
  <c r="W48" i="82"/>
  <c r="AA50" i="82"/>
  <c r="S53" i="82"/>
  <c r="X43" i="82"/>
  <c r="Y43" i="82"/>
  <c r="S42" i="82"/>
  <c r="X48" i="82"/>
  <c r="AB50" i="82" a="1"/>
  <c r="AB50" i="82" s="1"/>
  <c r="AA54" i="82"/>
  <c r="AB36" i="82" a="1"/>
  <c r="AB36" i="82" s="1"/>
  <c r="U42" i="82"/>
  <c r="Y48" i="82"/>
  <c r="U53" i="82"/>
  <c r="S37" i="82"/>
  <c r="V42" i="82"/>
  <c r="W44" i="82"/>
  <c r="Z48" i="82"/>
  <c r="V53" i="82"/>
  <c r="S35" i="82"/>
  <c r="Z42" i="82"/>
  <c r="X44" i="82"/>
  <c r="W53" i="82"/>
  <c r="AA55" i="82"/>
  <c r="X53" i="82"/>
  <c r="Y53" i="82"/>
  <c r="Z53" i="82"/>
  <c r="U33" i="82"/>
  <c r="S43" i="82"/>
  <c r="U52" i="82"/>
  <c r="V33" i="82"/>
  <c r="W36" i="82"/>
  <c r="AB40" i="82" a="1"/>
  <c r="AB40" i="82" s="1"/>
  <c r="AA49" i="82"/>
  <c r="V52" i="82"/>
  <c r="W54" i="82"/>
  <c r="S33" i="82"/>
  <c r="S52" i="82"/>
  <c r="Z33" i="82"/>
  <c r="X36" i="82"/>
  <c r="U43" i="82"/>
  <c r="AB49" i="82" a="1"/>
  <c r="AB49" i="82" s="1"/>
  <c r="Z52" i="82"/>
  <c r="X54" i="82"/>
  <c r="AF16" i="82"/>
  <c r="S19" i="82"/>
  <c r="S18" i="82"/>
  <c r="V41" i="82"/>
  <c r="Y18" i="82"/>
  <c r="W46" i="82"/>
  <c r="S50" i="82"/>
  <c r="W51" i="82"/>
  <c r="S55" i="82"/>
  <c r="W56" i="82"/>
  <c r="X16" i="82"/>
  <c r="Y17" i="82"/>
  <c r="Z18" i="82"/>
  <c r="AA19" i="82"/>
  <c r="W23" i="82"/>
  <c r="V24" i="82"/>
  <c r="U25" i="82"/>
  <c r="X32" i="82"/>
  <c r="AB33" i="82" a="1"/>
  <c r="AB33" i="82" s="1"/>
  <c r="X34" i="82"/>
  <c r="AB38" i="82" a="1"/>
  <c r="AB38" i="82" s="1"/>
  <c r="X39" i="82"/>
  <c r="X41" i="82"/>
  <c r="AB42" i="82" a="1"/>
  <c r="AB42" i="82" s="1"/>
  <c r="X46" i="82"/>
  <c r="AB47" i="82" a="1"/>
  <c r="AB47" i="82" s="1"/>
  <c r="X51" i="82"/>
  <c r="AB52" i="82" a="1"/>
  <c r="AB52" i="82" s="1"/>
  <c r="X56" i="82"/>
  <c r="AB57" i="82" a="1"/>
  <c r="AB57" i="82" s="1"/>
  <c r="Y39" i="82"/>
  <c r="U40" i="82"/>
  <c r="Y41" i="82"/>
  <c r="U45" i="82"/>
  <c r="Y46" i="82"/>
  <c r="U50" i="82"/>
  <c r="Y51" i="82"/>
  <c r="U55" i="82"/>
  <c r="Y56" i="82"/>
  <c r="Y19" i="82"/>
  <c r="S25" i="82"/>
  <c r="V39" i="82"/>
  <c r="V46" i="82"/>
  <c r="V56" i="82"/>
  <c r="V15" i="82"/>
  <c r="Z16" i="82"/>
  <c r="AA17" i="82"/>
  <c r="Y23" i="82"/>
  <c r="X24" i="82"/>
  <c r="W25" i="82"/>
  <c r="V26" i="82"/>
  <c r="V31" i="82"/>
  <c r="Z32" i="82"/>
  <c r="Z34" i="82"/>
  <c r="V35" i="82"/>
  <c r="Z39" i="82"/>
  <c r="V40" i="82"/>
  <c r="Z41" i="82"/>
  <c r="V45" i="82"/>
  <c r="Z46" i="82"/>
  <c r="V50" i="82"/>
  <c r="Z51" i="82"/>
  <c r="V55" i="82"/>
  <c r="Z56" i="82"/>
  <c r="X18" i="82"/>
  <c r="V51" i="82"/>
  <c r="X17" i="82"/>
  <c r="V23" i="82"/>
  <c r="W34" i="82"/>
  <c r="W39" i="82"/>
  <c r="W24" i="82"/>
  <c r="U35" i="82"/>
  <c r="S14" i="82"/>
  <c r="W15" i="82"/>
  <c r="AA16" i="82"/>
  <c r="Z23" i="82"/>
  <c r="Y24" i="82"/>
  <c r="X25" i="82"/>
  <c r="W26" i="82"/>
  <c r="S30" i="82"/>
  <c r="W31" i="82"/>
  <c r="AA32" i="82"/>
  <c r="AA34" i="82"/>
  <c r="W35" i="82"/>
  <c r="S36" i="82"/>
  <c r="AA39" i="82"/>
  <c r="W40" i="82"/>
  <c r="AA41" i="82"/>
  <c r="S44" i="82"/>
  <c r="W45" i="82"/>
  <c r="AA46" i="82"/>
  <c r="S49" i="82"/>
  <c r="W50" i="82"/>
  <c r="AA51" i="82"/>
  <c r="S54" i="82"/>
  <c r="W55" i="82"/>
  <c r="AA56" i="82"/>
  <c r="V16" i="82"/>
  <c r="U23" i="82"/>
  <c r="W16" i="82"/>
  <c r="W41" i="82"/>
  <c r="Z17" i="82"/>
  <c r="V25" i="82"/>
  <c r="X15" i="82"/>
  <c r="S21" i="82"/>
  <c r="AB21" i="82" s="1" a="1"/>
  <c r="AB21" i="82" s="1"/>
  <c r="AA23" i="82"/>
  <c r="Z24" i="82"/>
  <c r="Y25" i="82"/>
  <c r="X26" i="82"/>
  <c r="X31" i="82"/>
  <c r="AB32" i="82" a="1"/>
  <c r="AB32" i="82" s="1"/>
  <c r="AB34" i="82" a="1"/>
  <c r="AB34" i="82" s="1"/>
  <c r="X35" i="82"/>
  <c r="AB39" i="82" a="1"/>
  <c r="AB39" i="82" s="1"/>
  <c r="X40" i="82"/>
  <c r="AB41" i="82" a="1"/>
  <c r="AB41" i="82" s="1"/>
  <c r="X45" i="82"/>
  <c r="AB46" i="82" a="1"/>
  <c r="AB46" i="82" s="1"/>
  <c r="X50" i="82"/>
  <c r="AB51" i="82" a="1"/>
  <c r="AB51" i="82" s="1"/>
  <c r="X55" i="82"/>
  <c r="AB56" i="82" a="1"/>
  <c r="AB56" i="82" s="1"/>
  <c r="Z19" i="82"/>
  <c r="U14" i="82"/>
  <c r="Y15" i="82"/>
  <c r="AF17" i="82"/>
  <c r="AB23" i="82" a="1"/>
  <c r="AB23" i="82" s="1"/>
  <c r="AA24" i="82"/>
  <c r="Z25" i="82"/>
  <c r="Y26" i="82"/>
  <c r="U30" i="82"/>
  <c r="Y31" i="82"/>
  <c r="Y35" i="82"/>
  <c r="U36" i="82"/>
  <c r="Y40" i="82"/>
  <c r="U44" i="82"/>
  <c r="Y45" i="82"/>
  <c r="U49" i="82"/>
  <c r="Y50" i="82"/>
  <c r="U54" i="82"/>
  <c r="Y55" i="82"/>
  <c r="W17" i="82"/>
  <c r="V32" i="82"/>
  <c r="V34" i="82"/>
  <c r="U24" i="82"/>
  <c r="W32" i="82"/>
  <c r="U15" i="82"/>
  <c r="Y16" i="82"/>
  <c r="AA18" i="82"/>
  <c r="X23" i="82"/>
  <c r="U26" i="82"/>
  <c r="U31" i="82"/>
  <c r="Y32" i="82"/>
  <c r="Y34" i="82"/>
  <c r="AB24" i="82" a="1"/>
  <c r="AB24" i="82" s="1"/>
  <c r="U19" i="82"/>
  <c r="AA13" i="82"/>
  <c r="S16" i="82"/>
  <c r="U18" i="82"/>
  <c r="V19" i="82"/>
  <c r="Z20" i="82"/>
  <c r="S32" i="82"/>
  <c r="W33" i="82"/>
  <c r="S34" i="82"/>
  <c r="AA37" i="82"/>
  <c r="W38" i="82"/>
  <c r="S39" i="82"/>
  <c r="S41" i="82"/>
  <c r="W42" i="82"/>
  <c r="AA43" i="82"/>
  <c r="S46" i="82"/>
  <c r="W47" i="82"/>
  <c r="AA48" i="82"/>
  <c r="S51" i="82"/>
  <c r="W52" i="82"/>
  <c r="AA53" i="82"/>
  <c r="S56" i="82"/>
  <c r="W57" i="82"/>
  <c r="U17" i="82"/>
  <c r="V18" i="82"/>
  <c r="W19" i="82"/>
  <c r="AA20" i="82"/>
  <c r="X33" i="82"/>
  <c r="X38" i="82"/>
  <c r="X42" i="82"/>
  <c r="X47" i="82"/>
  <c r="X52" i="82"/>
  <c r="X57" i="82"/>
  <c r="S17" i="82"/>
  <c r="Y36" i="81"/>
  <c r="AA36" i="81"/>
  <c r="AB36" i="81" a="1"/>
  <c r="AB36" i="81" s="1"/>
  <c r="U53" i="81"/>
  <c r="X39" i="81"/>
  <c r="X53" i="81"/>
  <c r="Z45" i="81"/>
  <c r="X51" i="81"/>
  <c r="Y53" i="81"/>
  <c r="AA45" i="81"/>
  <c r="Y51" i="81"/>
  <c r="Z53" i="81"/>
  <c r="AB45" i="81" a="1"/>
  <c r="AB45" i="81" s="1"/>
  <c r="Z51" i="81"/>
  <c r="AB53" i="81" a="1"/>
  <c r="AB53" i="81" s="1"/>
  <c r="W53" i="81"/>
  <c r="S37" i="81"/>
  <c r="AA51" i="81"/>
  <c r="V32" i="81"/>
  <c r="W32" i="81"/>
  <c r="W44" i="81"/>
  <c r="V36" i="81"/>
  <c r="X44" i="81"/>
  <c r="V44" i="81"/>
  <c r="W36" i="81"/>
  <c r="AA44" i="81"/>
  <c r="X36" i="81"/>
  <c r="AB44" i="81" a="1"/>
  <c r="AB44" i="81" s="1"/>
  <c r="X32" i="81"/>
  <c r="Y32" i="81"/>
  <c r="Z48" i="81"/>
  <c r="AB32" i="81" a="1"/>
  <c r="AB32" i="81" s="1"/>
  <c r="Y46" i="81"/>
  <c r="AB48" i="81" a="1"/>
  <c r="AB48" i="81" s="1"/>
  <c r="W48" i="81"/>
  <c r="X48" i="81"/>
  <c r="AA41" i="81"/>
  <c r="AB54" i="81" a="1"/>
  <c r="AB54" i="81" s="1"/>
  <c r="Y39" i="81"/>
  <c r="Z46" i="81"/>
  <c r="AA46" i="81"/>
  <c r="U51" i="81"/>
  <c r="Z55" i="81"/>
  <c r="AB56" i="81" a="1"/>
  <c r="AB56" i="81" s="1"/>
  <c r="Z40" i="81"/>
  <c r="AB46" i="81" a="1"/>
  <c r="AB46" i="81" s="1"/>
  <c r="V51" i="81"/>
  <c r="AA55" i="81"/>
  <c r="AB41" i="81" a="1"/>
  <c r="AB41" i="81" s="1"/>
  <c r="AB50" i="81" a="1"/>
  <c r="AB50" i="81" s="1"/>
  <c r="Y48" i="81"/>
  <c r="AA40" i="81"/>
  <c r="W51" i="81"/>
  <c r="AB55" i="81" a="1"/>
  <c r="AB55" i="81" s="1"/>
  <c r="V34" i="81"/>
  <c r="U41" i="81"/>
  <c r="X34" i="81"/>
  <c r="W41" i="81"/>
  <c r="V54" i="81"/>
  <c r="X56" i="81"/>
  <c r="Y34" i="81"/>
  <c r="X41" i="81"/>
  <c r="Z43" i="81"/>
  <c r="S48" i="81"/>
  <c r="W54" i="81"/>
  <c r="Y56" i="81"/>
  <c r="W34" i="81"/>
  <c r="Z56" i="81"/>
  <c r="U34" i="81"/>
  <c r="U56" i="81"/>
  <c r="V56" i="81"/>
  <c r="V41" i="81"/>
  <c r="W56" i="81"/>
  <c r="AB34" i="81" a="1"/>
  <c r="AB34" i="81" s="1"/>
  <c r="U39" i="81"/>
  <c r="Y41" i="81"/>
  <c r="X54" i="81"/>
  <c r="U32" i="81"/>
  <c r="V39" i="81"/>
  <c r="Z41" i="81"/>
  <c r="U48" i="81"/>
  <c r="Z50" i="81"/>
  <c r="AA54" i="81"/>
  <c r="AA56" i="81"/>
  <c r="AF16" i="81"/>
  <c r="S38" i="81"/>
  <c r="U33" i="81"/>
  <c r="U17" i="81"/>
  <c r="W17" i="81"/>
  <c r="X18" i="81"/>
  <c r="U23" i="81"/>
  <c r="S25" i="81"/>
  <c r="Z33" i="81"/>
  <c r="Z38" i="81"/>
  <c r="Z42" i="81"/>
  <c r="Z47" i="81"/>
  <c r="Z52" i="81"/>
  <c r="Z57" i="81"/>
  <c r="S15" i="81"/>
  <c r="W16" i="81"/>
  <c r="X17" i="81"/>
  <c r="Y18" i="81"/>
  <c r="Z19" i="81"/>
  <c r="V23" i="81"/>
  <c r="U24" i="81"/>
  <c r="S26" i="81"/>
  <c r="S31" i="81"/>
  <c r="AA33" i="81"/>
  <c r="S35" i="81"/>
  <c r="AA38" i="81"/>
  <c r="W39" i="81"/>
  <c r="S40" i="81"/>
  <c r="AA42" i="81"/>
  <c r="S45" i="81"/>
  <c r="AA47" i="81"/>
  <c r="S50" i="81"/>
  <c r="AA52" i="81"/>
  <c r="S55" i="81"/>
  <c r="AA57" i="81"/>
  <c r="X33" i="81"/>
  <c r="AB52" i="81" a="1"/>
  <c r="AB52" i="81" s="1"/>
  <c r="U52" i="81"/>
  <c r="Y19" i="81"/>
  <c r="X16" i="81"/>
  <c r="AA19" i="81"/>
  <c r="W23" i="81"/>
  <c r="Z17" i="81"/>
  <c r="AA18" i="81"/>
  <c r="W24" i="81"/>
  <c r="V25" i="81"/>
  <c r="U26" i="81"/>
  <c r="S28" i="81"/>
  <c r="U31" i="81"/>
  <c r="U35" i="81"/>
  <c r="U40" i="81"/>
  <c r="U45" i="81"/>
  <c r="U50" i="81"/>
  <c r="U55" i="81"/>
  <c r="U38" i="81"/>
  <c r="U47" i="81"/>
  <c r="W19" i="81"/>
  <c r="S23" i="81"/>
  <c r="AB38" i="81" a="1"/>
  <c r="AB38" i="81" s="1"/>
  <c r="AB42" i="81" a="1"/>
  <c r="AB42" i="81" s="1"/>
  <c r="AB47" i="81" a="1"/>
  <c r="AB47" i="81" s="1"/>
  <c r="Y16" i="81"/>
  <c r="X23" i="81"/>
  <c r="V15" i="81"/>
  <c r="Z16" i="81"/>
  <c r="AA17" i="81"/>
  <c r="U22" i="81"/>
  <c r="Y23" i="81"/>
  <c r="X24" i="81"/>
  <c r="W25" i="81"/>
  <c r="V26" i="81"/>
  <c r="U27" i="81"/>
  <c r="S29" i="81"/>
  <c r="V31" i="81"/>
  <c r="Z32" i="81"/>
  <c r="Z34" i="81"/>
  <c r="V35" i="81"/>
  <c r="Z39" i="81"/>
  <c r="V40" i="81"/>
  <c r="V45" i="81"/>
  <c r="V50" i="81"/>
  <c r="V55" i="81"/>
  <c r="Z18" i="81"/>
  <c r="V24" i="81"/>
  <c r="U25" i="81"/>
  <c r="AB33" i="81" a="1"/>
  <c r="AB33" i="81" s="1"/>
  <c r="S14" i="81"/>
  <c r="W15" i="81"/>
  <c r="Z23" i="81"/>
  <c r="Y24" i="81"/>
  <c r="X25" i="81"/>
  <c r="W26" i="81"/>
  <c r="U28" i="81"/>
  <c r="S30" i="81"/>
  <c r="W31" i="81"/>
  <c r="AA32" i="81"/>
  <c r="AA34" i="81"/>
  <c r="W35" i="81"/>
  <c r="S36" i="81"/>
  <c r="AA39" i="81"/>
  <c r="W40" i="81"/>
  <c r="S44" i="81"/>
  <c r="W45" i="81"/>
  <c r="S49" i="81"/>
  <c r="W50" i="81"/>
  <c r="S54" i="81"/>
  <c r="W55" i="81"/>
  <c r="V18" i="81"/>
  <c r="V16" i="81"/>
  <c r="Y17" i="81"/>
  <c r="AB57" i="81" a="1"/>
  <c r="AB57" i="81" s="1"/>
  <c r="U15" i="81"/>
  <c r="X15" i="81"/>
  <c r="AA23" i="81"/>
  <c r="Z24" i="81"/>
  <c r="Y25" i="81"/>
  <c r="X26" i="81"/>
  <c r="V28" i="81"/>
  <c r="U29" i="81"/>
  <c r="X31" i="81"/>
  <c r="X35" i="81"/>
  <c r="AB39" i="81" a="1"/>
  <c r="AB39" i="81" s="1"/>
  <c r="X40" i="81"/>
  <c r="X45" i="81"/>
  <c r="X50" i="81"/>
  <c r="X55" i="81"/>
  <c r="U14" i="81"/>
  <c r="AF17" i="81"/>
  <c r="AA24" i="81"/>
  <c r="W28" i="81"/>
  <c r="V29" i="81"/>
  <c r="U30" i="81"/>
  <c r="U36" i="81"/>
  <c r="U44" i="81"/>
  <c r="U49" i="81"/>
  <c r="U54" i="81"/>
  <c r="AA28" i="81"/>
  <c r="Y44" i="81"/>
  <c r="Y49" i="81"/>
  <c r="Y54" i="81"/>
  <c r="V37" i="81"/>
  <c r="V43" i="81"/>
  <c r="V48" i="81"/>
  <c r="V53" i="81"/>
  <c r="S42" i="81"/>
  <c r="S47" i="81"/>
  <c r="S52" i="81"/>
  <c r="S57" i="81"/>
  <c r="S19" i="81"/>
  <c r="S18" i="81"/>
  <c r="U42" i="81"/>
  <c r="U57" i="81"/>
  <c r="R16" i="81"/>
  <c r="S17" i="81"/>
  <c r="U19" i="81"/>
  <c r="V33" i="81"/>
  <c r="V38" i="81"/>
  <c r="V42" i="81"/>
  <c r="V47" i="81"/>
  <c r="V52" i="81"/>
  <c r="V57" i="81"/>
  <c r="U18" i="81"/>
  <c r="V19" i="81"/>
  <c r="W33" i="81"/>
  <c r="W38" i="81"/>
  <c r="W42" i="81"/>
  <c r="W47" i="81"/>
  <c r="W52" i="81"/>
  <c r="W57" i="81"/>
  <c r="X52" i="81"/>
  <c r="S33" i="81"/>
  <c r="X38" i="81"/>
  <c r="X42" i="81"/>
  <c r="X47" i="81"/>
  <c r="X57" i="81"/>
  <c r="U47" i="80"/>
  <c r="AA47" i="80"/>
  <c r="V52" i="80"/>
  <c r="U42" i="80"/>
  <c r="V42" i="80"/>
  <c r="W37" i="80"/>
  <c r="S42" i="80"/>
  <c r="W52" i="80"/>
  <c r="W42" i="80"/>
  <c r="Y49" i="80"/>
  <c r="Z49" i="80"/>
  <c r="AB42" i="80" a="1"/>
  <c r="AB42" i="80" s="1"/>
  <c r="AA42" i="80"/>
  <c r="Z48" i="80"/>
  <c r="S52" i="80"/>
  <c r="V47" i="80"/>
  <c r="U37" i="80"/>
  <c r="U48" i="80"/>
  <c r="W47" i="80"/>
  <c r="U33" i="80"/>
  <c r="AA49" i="80"/>
  <c r="V33" i="80"/>
  <c r="V37" i="80"/>
  <c r="AB49" i="80" a="1"/>
  <c r="AB49" i="80" s="1"/>
  <c r="Y44" i="80"/>
  <c r="Y37" i="80"/>
  <c r="Z44" i="80"/>
  <c r="Z37" i="80"/>
  <c r="AA44" i="80"/>
  <c r="AB47" i="80" a="1"/>
  <c r="AB47" i="80" s="1"/>
  <c r="Y53" i="80"/>
  <c r="W33" i="80"/>
  <c r="X37" i="80"/>
  <c r="Z53" i="80"/>
  <c r="S33" i="80"/>
  <c r="AA37" i="80"/>
  <c r="AB44" i="80" a="1"/>
  <c r="AB44" i="80" s="1"/>
  <c r="AA53" i="80"/>
  <c r="Z42" i="80"/>
  <c r="V48" i="80"/>
  <c r="U52" i="80"/>
  <c r="Z43" i="80"/>
  <c r="AB57" i="80" a="1"/>
  <c r="AB57" i="80" s="1"/>
  <c r="AA38" i="80"/>
  <c r="AB38" i="80" a="1"/>
  <c r="AB38" i="80" s="1"/>
  <c r="AA43" i="80"/>
  <c r="W48" i="80"/>
  <c r="W38" i="80"/>
  <c r="W43" i="80"/>
  <c r="W57" i="80"/>
  <c r="Z38" i="80"/>
  <c r="Y43" i="80"/>
  <c r="AA57" i="80"/>
  <c r="X48" i="80"/>
  <c r="Y48" i="80"/>
  <c r="U53" i="80"/>
  <c r="AB54" i="80" a="1"/>
  <c r="AB54" i="80" s="1"/>
  <c r="X43" i="80"/>
  <c r="Z57" i="80"/>
  <c r="V53" i="80"/>
  <c r="S47" i="80"/>
  <c r="AA48" i="80"/>
  <c r="W53" i="80"/>
  <c r="X53" i="80"/>
  <c r="Y36" i="80"/>
  <c r="Z36" i="80"/>
  <c r="S38" i="80"/>
  <c r="S57" i="80"/>
  <c r="Z33" i="80"/>
  <c r="AA36" i="80"/>
  <c r="Z52" i="80"/>
  <c r="Y54" i="80"/>
  <c r="AA33" i="80"/>
  <c r="AB36" i="80" a="1"/>
  <c r="AB36" i="80" s="1"/>
  <c r="U38" i="80"/>
  <c r="U43" i="80"/>
  <c r="AA52" i="80"/>
  <c r="Z54" i="80"/>
  <c r="U57" i="80"/>
  <c r="AB33" i="80" a="1"/>
  <c r="AB33" i="80" s="1"/>
  <c r="V38" i="80"/>
  <c r="V43" i="80"/>
  <c r="AB52" i="80" a="1"/>
  <c r="AB52" i="80" s="1"/>
  <c r="AA54" i="80"/>
  <c r="V57" i="80"/>
  <c r="AF16" i="80"/>
  <c r="U23" i="80"/>
  <c r="V41" i="80"/>
  <c r="S31" i="80"/>
  <c r="W34" i="80"/>
  <c r="W39" i="80"/>
  <c r="S40" i="80"/>
  <c r="W41" i="80"/>
  <c r="S45" i="80"/>
  <c r="W46" i="80"/>
  <c r="S50" i="80"/>
  <c r="W51" i="80"/>
  <c r="S55" i="80"/>
  <c r="W56" i="80"/>
  <c r="X16" i="80"/>
  <c r="Y17" i="80"/>
  <c r="Z18" i="80"/>
  <c r="S22" i="80"/>
  <c r="W23" i="80"/>
  <c r="V24" i="80"/>
  <c r="U25" i="80"/>
  <c r="S27" i="80"/>
  <c r="X32" i="80"/>
  <c r="X34" i="80"/>
  <c r="X39" i="80"/>
  <c r="X41" i="80"/>
  <c r="X46" i="80"/>
  <c r="X51" i="80"/>
  <c r="X56" i="80"/>
  <c r="W17" i="80"/>
  <c r="V39" i="80"/>
  <c r="V46" i="80"/>
  <c r="V56" i="80"/>
  <c r="W16" i="80"/>
  <c r="W32" i="80"/>
  <c r="AA18" i="80"/>
  <c r="U26" i="80"/>
  <c r="Y39" i="80"/>
  <c r="U45" i="80"/>
  <c r="Y51" i="80"/>
  <c r="AA17" i="80"/>
  <c r="U22" i="80"/>
  <c r="V40" i="80"/>
  <c r="Z46" i="80"/>
  <c r="V50" i="80"/>
  <c r="Z51" i="80"/>
  <c r="Z56" i="80"/>
  <c r="S14" i="80"/>
  <c r="W15" i="80"/>
  <c r="AA16" i="80"/>
  <c r="V22" i="80"/>
  <c r="Z23" i="80"/>
  <c r="Y24" i="80"/>
  <c r="W26" i="80"/>
  <c r="V27" i="80"/>
  <c r="U28" i="80"/>
  <c r="S30" i="80"/>
  <c r="W31" i="80"/>
  <c r="AA32" i="80"/>
  <c r="AA34" i="80"/>
  <c r="W35" i="80"/>
  <c r="S36" i="80"/>
  <c r="AA39" i="80"/>
  <c r="W40" i="80"/>
  <c r="AA41" i="80"/>
  <c r="S44" i="80"/>
  <c r="W45" i="80"/>
  <c r="AA46" i="80"/>
  <c r="S49" i="80"/>
  <c r="W50" i="80"/>
  <c r="AA51" i="80"/>
  <c r="S54" i="80"/>
  <c r="W55" i="80"/>
  <c r="AA56" i="80"/>
  <c r="Z7" i="80"/>
  <c r="Y18" i="80"/>
  <c r="Z17" i="80"/>
  <c r="V25" i="80"/>
  <c r="Y46" i="80"/>
  <c r="Z16" i="80"/>
  <c r="X24" i="80"/>
  <c r="X25" i="80"/>
  <c r="X15" i="80"/>
  <c r="S21" i="80"/>
  <c r="W22" i="80"/>
  <c r="AA23" i="80"/>
  <c r="Z24" i="80"/>
  <c r="Y25" i="80"/>
  <c r="X26" i="80"/>
  <c r="W27" i="80"/>
  <c r="V28" i="80"/>
  <c r="X31" i="80"/>
  <c r="AB32" i="80" a="1"/>
  <c r="AB32" i="80" s="1"/>
  <c r="AB34" i="80" a="1"/>
  <c r="AB34" i="80" s="1"/>
  <c r="X35" i="80"/>
  <c r="AB39" i="80" a="1"/>
  <c r="AB39" i="80" s="1"/>
  <c r="X40" i="80"/>
  <c r="AB41" i="80" a="1"/>
  <c r="AB41" i="80" s="1"/>
  <c r="X45" i="80"/>
  <c r="AB46" i="80" a="1"/>
  <c r="AB46" i="80" s="1"/>
  <c r="X50" i="80"/>
  <c r="AB51" i="80" a="1"/>
  <c r="AB51" i="80" s="1"/>
  <c r="X55" i="80"/>
  <c r="AB56" i="80" a="1"/>
  <c r="AB56" i="80" s="1"/>
  <c r="R18" i="80"/>
  <c r="S17" i="80"/>
  <c r="V32" i="80"/>
  <c r="U24" i="80"/>
  <c r="S26" i="80"/>
  <c r="S35" i="80"/>
  <c r="X23" i="80"/>
  <c r="Y41" i="80"/>
  <c r="V15" i="80"/>
  <c r="W25" i="80"/>
  <c r="U27" i="80"/>
  <c r="V35" i="80"/>
  <c r="AF17" i="80"/>
  <c r="X22" i="80"/>
  <c r="AB23" i="80" a="1"/>
  <c r="AB23" i="80" s="1"/>
  <c r="AA24" i="80"/>
  <c r="Z25" i="80"/>
  <c r="Y26" i="80"/>
  <c r="X27" i="80"/>
  <c r="W28" i="80"/>
  <c r="U30" i="80"/>
  <c r="Y31" i="80"/>
  <c r="Y35" i="80"/>
  <c r="U36" i="80"/>
  <c r="Y40" i="80"/>
  <c r="U44" i="80"/>
  <c r="Y45" i="80"/>
  <c r="U49" i="80"/>
  <c r="Y50" i="80"/>
  <c r="U54" i="80"/>
  <c r="Y55" i="80"/>
  <c r="V16" i="80"/>
  <c r="S25" i="80"/>
  <c r="S15" i="80"/>
  <c r="X17" i="80"/>
  <c r="U31" i="80"/>
  <c r="Y34" i="80"/>
  <c r="U55" i="80"/>
  <c r="Y23" i="80"/>
  <c r="V26" i="80"/>
  <c r="V31" i="80"/>
  <c r="Z32" i="80"/>
  <c r="Z34" i="80"/>
  <c r="V55" i="80"/>
  <c r="U14" i="80"/>
  <c r="V14" i="80"/>
  <c r="Z15" i="80"/>
  <c r="U21" i="80"/>
  <c r="Y22" i="80"/>
  <c r="AB24" i="80" a="1"/>
  <c r="AB24" i="80" s="1"/>
  <c r="AA25" i="80"/>
  <c r="Y27" i="80"/>
  <c r="X28" i="80"/>
  <c r="V30" i="80"/>
  <c r="Z31" i="80"/>
  <c r="Z35" i="80"/>
  <c r="V36" i="80"/>
  <c r="Z40" i="80"/>
  <c r="V44" i="80"/>
  <c r="Z45" i="80"/>
  <c r="V49" i="80"/>
  <c r="Z50" i="80"/>
  <c r="V54" i="80"/>
  <c r="Z55" i="80"/>
  <c r="V34" i="80"/>
  <c r="V23" i="80"/>
  <c r="Y16" i="80"/>
  <c r="Y56" i="80"/>
  <c r="Z39" i="80"/>
  <c r="Z41" i="80"/>
  <c r="V45" i="80"/>
  <c r="Y15" i="80"/>
  <c r="Z26" i="80"/>
  <c r="S13" i="80"/>
  <c r="W14" i="80"/>
  <c r="AA15" i="80"/>
  <c r="V21" i="80"/>
  <c r="Z22" i="80"/>
  <c r="AA26" i="80"/>
  <c r="Z27" i="80"/>
  <c r="Y28" i="80"/>
  <c r="W30" i="80"/>
  <c r="AA31" i="80"/>
  <c r="AA35" i="80"/>
  <c r="W36" i="80"/>
  <c r="S37" i="80"/>
  <c r="AA40" i="80"/>
  <c r="S43" i="80"/>
  <c r="W44" i="80"/>
  <c r="AA45" i="80"/>
  <c r="S48" i="80"/>
  <c r="W49" i="80"/>
  <c r="AA50" i="80"/>
  <c r="S53" i="80"/>
  <c r="W54" i="80"/>
  <c r="AA55" i="80"/>
  <c r="X18" i="80"/>
  <c r="V51" i="80"/>
  <c r="U15" i="80"/>
  <c r="W24" i="80"/>
  <c r="Y32" i="80"/>
  <c r="U35" i="80"/>
  <c r="U40" i="80"/>
  <c r="U50" i="80"/>
  <c r="S34" i="80"/>
  <c r="S39" i="80"/>
  <c r="U17" i="80"/>
  <c r="V18" i="80"/>
  <c r="X33" i="80"/>
  <c r="X38" i="80"/>
  <c r="X42" i="80"/>
  <c r="X47" i="80"/>
  <c r="X52" i="80"/>
  <c r="X57" i="80"/>
  <c r="S16" i="80"/>
  <c r="S32" i="80"/>
  <c r="S41" i="80"/>
  <c r="S46" i="80"/>
  <c r="S51" i="80"/>
  <c r="S56" i="80"/>
  <c r="AG33" i="81" l="1"/>
  <c r="AH23" i="80"/>
  <c r="AH23" i="84"/>
  <c r="AH23" i="81"/>
  <c r="AH23" i="82"/>
  <c r="AH23" i="83"/>
  <c r="AB13" i="80" a="1"/>
  <c r="AB13" i="80" s="1"/>
  <c r="AB20" i="84" a="1"/>
  <c r="AB20" i="84" s="1"/>
  <c r="AB20" i="83" a="1"/>
  <c r="AB20" i="83" s="1"/>
  <c r="AB19" i="83" a="1"/>
  <c r="AB19" i="83" s="1"/>
  <c r="AB20" i="82" a="1"/>
  <c r="AB20" i="82" s="1"/>
  <c r="AB21" i="81" a="1"/>
  <c r="AB21" i="81" s="1"/>
  <c r="AB20" i="81" a="1"/>
  <c r="AB20" i="81" s="1"/>
  <c r="AB13" i="81" a="1"/>
  <c r="AB13" i="81" s="1"/>
  <c r="AB19" i="81" a="1"/>
  <c r="AB19" i="81" s="1"/>
  <c r="AB21" i="80" a="1"/>
  <c r="AB21" i="80" s="1"/>
  <c r="AB19" i="80" a="1"/>
  <c r="AB19" i="80" s="1"/>
  <c r="AB20" i="80" a="1"/>
  <c r="AB20" i="80" s="1"/>
  <c r="AB16" i="88" a="1"/>
  <c r="AB16" i="88" s="1"/>
  <c r="AB19" i="89" a="1"/>
  <c r="AB19" i="89" s="1"/>
  <c r="AB19" i="90" a="1"/>
  <c r="AB19" i="90" s="1"/>
  <c r="AB19" i="82" a="1"/>
  <c r="AB19" i="82" s="1"/>
  <c r="AB19" i="84" a="1"/>
  <c r="AB19" i="84" s="1"/>
  <c r="AB19" i="85" a="1"/>
  <c r="AB19" i="85" s="1"/>
  <c r="AB19" i="86" a="1"/>
  <c r="AB19" i="86" s="1"/>
  <c r="AB19" i="88" a="1"/>
  <c r="AB19" i="88" s="1"/>
  <c r="AB13" i="90" a="1"/>
  <c r="AB13" i="90" s="1"/>
  <c r="AB16" i="87" a="1"/>
  <c r="AB16" i="87" s="1"/>
  <c r="AB14" i="84" a="1"/>
  <c r="AB14" i="84" s="1"/>
  <c r="AB13" i="82" a="1"/>
  <c r="AB13" i="82" s="1"/>
  <c r="AB14" i="81" a="1"/>
  <c r="AB14" i="81" s="1"/>
  <c r="AB13" i="83" a="1"/>
  <c r="AB13" i="83" s="1"/>
  <c r="AB17" i="86" a="1"/>
  <c r="AB17" i="86" s="1"/>
  <c r="AB18" i="86" a="1"/>
  <c r="AB18" i="86" s="1"/>
  <c r="AB17" i="84" a="1"/>
  <c r="AB17" i="84" s="1"/>
  <c r="AB17" i="88" a="1"/>
  <c r="AB17" i="88" s="1"/>
  <c r="AB16" i="81" a="1"/>
  <c r="AB16" i="81" s="1"/>
  <c r="AB18" i="84" a="1"/>
  <c r="AB18" i="84" s="1"/>
  <c r="AB18" i="82" a="1"/>
  <c r="AB18" i="82" s="1"/>
  <c r="AB16" i="82" a="1"/>
  <c r="AB16" i="82" s="1"/>
  <c r="AB13" i="87" a="1"/>
  <c r="AB13" i="87" s="1"/>
  <c r="AB17" i="89" a="1"/>
  <c r="AB17" i="89" s="1"/>
  <c r="AB14" i="82" a="1"/>
  <c r="AB14" i="82" s="1"/>
  <c r="AB17" i="82" a="1"/>
  <c r="AB17" i="82" s="1"/>
  <c r="AB13" i="88" a="1"/>
  <c r="AB13" i="88" s="1"/>
  <c r="AB18" i="85" a="1"/>
  <c r="AB18" i="85" s="1"/>
  <c r="AB18" i="80" a="1"/>
  <c r="AB18" i="80" s="1"/>
  <c r="AB17" i="80" a="1"/>
  <c r="AB17" i="80" s="1"/>
  <c r="AB16" i="85" a="1"/>
  <c r="AB16" i="85" s="1"/>
  <c r="AB15" i="87" a="1"/>
  <c r="AB15" i="87" s="1"/>
  <c r="AB13" i="85" a="1"/>
  <c r="AB13" i="85" s="1"/>
  <c r="AB15" i="86" a="1"/>
  <c r="AB15" i="86" s="1"/>
  <c r="AB17" i="81" a="1"/>
  <c r="AB17" i="81" s="1"/>
  <c r="AB17" i="85" a="1"/>
  <c r="AB17" i="85" s="1"/>
  <c r="AB15" i="88" a="1"/>
  <c r="AB15" i="88" s="1"/>
  <c r="AB14" i="88" a="1"/>
  <c r="AB14" i="88" s="1"/>
  <c r="AB16" i="90" a="1"/>
  <c r="AB16" i="90" s="1"/>
  <c r="AB18" i="90" a="1"/>
  <c r="AB18" i="90" s="1"/>
  <c r="AB17" i="90" a="1"/>
  <c r="AB17" i="90" s="1"/>
  <c r="AB14" i="89" a="1"/>
  <c r="AB14" i="89" s="1"/>
  <c r="AB14" i="86" a="1"/>
  <c r="AB14" i="86" s="1"/>
  <c r="AB16" i="80" a="1"/>
  <c r="AB16" i="80" s="1"/>
  <c r="AB15" i="80" a="1"/>
  <c r="AB15" i="80" s="1"/>
  <c r="AB18" i="89" a="1"/>
  <c r="AB18" i="89" s="1"/>
  <c r="AB18" i="83" a="1"/>
  <c r="AB18" i="83" s="1"/>
  <c r="AB16" i="89" a="1"/>
  <c r="AB16" i="89" s="1"/>
  <c r="AB15" i="89" a="1"/>
  <c r="AB15" i="89" s="1"/>
  <c r="AF18" i="90"/>
  <c r="AJ33" i="90" s="1"/>
  <c r="AM34" i="90"/>
  <c r="AI24" i="90"/>
  <c r="AJ24" i="90" s="1"/>
  <c r="AG23" i="90"/>
  <c r="AG26" i="90"/>
  <c r="AH26" i="90" s="1"/>
  <c r="AI29" i="90"/>
  <c r="AJ29" i="90" s="1"/>
  <c r="AI28" i="90"/>
  <c r="AJ28" i="90" s="1"/>
  <c r="AG34" i="90"/>
  <c r="AG27" i="90"/>
  <c r="AH27" i="90" s="1"/>
  <c r="AG25" i="90"/>
  <c r="AB15" i="90" a="1"/>
  <c r="AB15" i="90" s="1"/>
  <c r="AI23" i="90"/>
  <c r="AJ23" i="90" s="1"/>
  <c r="AK36" i="90"/>
  <c r="AG35" i="90"/>
  <c r="AI27" i="90"/>
  <c r="AJ27" i="90" s="1"/>
  <c r="AI26" i="90"/>
  <c r="AJ26" i="90" s="1"/>
  <c r="AI36" i="90"/>
  <c r="AI38" i="90"/>
  <c r="AI37" i="90"/>
  <c r="AM35" i="90"/>
  <c r="AM37" i="90"/>
  <c r="AG38" i="90"/>
  <c r="AM36" i="90"/>
  <c r="AG24" i="90"/>
  <c r="AG37" i="90"/>
  <c r="AK37" i="90"/>
  <c r="AG39" i="90"/>
  <c r="AK34" i="90"/>
  <c r="AH23" i="90"/>
  <c r="AM38" i="90"/>
  <c r="AK38" i="90"/>
  <c r="AI33" i="90"/>
  <c r="AI39" i="90"/>
  <c r="AG36" i="90"/>
  <c r="AI34" i="90"/>
  <c r="AG33" i="90"/>
  <c r="AM33" i="90"/>
  <c r="AK39" i="90"/>
  <c r="AI25" i="90"/>
  <c r="AJ25" i="90" s="1"/>
  <c r="AK35" i="90"/>
  <c r="AB14" i="90" a="1"/>
  <c r="AB14" i="90" s="1"/>
  <c r="AK33" i="90"/>
  <c r="AM39" i="90"/>
  <c r="AG29" i="90"/>
  <c r="AI35" i="90"/>
  <c r="AG28" i="90"/>
  <c r="AI25" i="89"/>
  <c r="AJ25" i="89" s="1"/>
  <c r="AK37" i="89"/>
  <c r="AM37" i="89"/>
  <c r="AF18" i="89"/>
  <c r="AI27" i="89"/>
  <c r="AJ27" i="89" s="1"/>
  <c r="AK36" i="89"/>
  <c r="AG25" i="89"/>
  <c r="AH25" i="89" s="1"/>
  <c r="AI35" i="89"/>
  <c r="AK33" i="89"/>
  <c r="AI38" i="89"/>
  <c r="AG33" i="89"/>
  <c r="AI29" i="89"/>
  <c r="AJ29" i="89" s="1"/>
  <c r="AG29" i="89"/>
  <c r="AM39" i="89"/>
  <c r="AK39" i="89"/>
  <c r="AI39" i="89"/>
  <c r="AG39" i="89"/>
  <c r="AH23" i="89"/>
  <c r="AI28" i="89"/>
  <c r="AJ28" i="89" s="1"/>
  <c r="AG24" i="89"/>
  <c r="AG36" i="89"/>
  <c r="AK35" i="89"/>
  <c r="AI37" i="89"/>
  <c r="AI23" i="89"/>
  <c r="AJ23" i="89" s="1"/>
  <c r="AG35" i="89"/>
  <c r="AK34" i="89"/>
  <c r="AM38" i="89"/>
  <c r="AG37" i="89"/>
  <c r="AM34" i="89"/>
  <c r="AG27" i="89"/>
  <c r="AI34" i="89"/>
  <c r="AK38" i="89"/>
  <c r="AM33" i="89"/>
  <c r="AG28" i="89"/>
  <c r="AG23" i="89"/>
  <c r="AG34" i="89"/>
  <c r="AI33" i="89"/>
  <c r="AM35" i="89"/>
  <c r="AI36" i="89"/>
  <c r="AI26" i="89"/>
  <c r="AJ26" i="89" s="1"/>
  <c r="AG26" i="89"/>
  <c r="AM36" i="89"/>
  <c r="AB13" i="89" a="1"/>
  <c r="AB13" i="89" s="1"/>
  <c r="AI24" i="89"/>
  <c r="AJ24" i="89" s="1"/>
  <c r="AG38" i="89"/>
  <c r="AF18" i="88"/>
  <c r="AI37" i="88"/>
  <c r="AI27" i="88"/>
  <c r="AJ27" i="88" s="1"/>
  <c r="AG27" i="88"/>
  <c r="AM37" i="88"/>
  <c r="AK37" i="88"/>
  <c r="AG37" i="88"/>
  <c r="AM34" i="88"/>
  <c r="AI24" i="88"/>
  <c r="AJ24" i="88" s="1"/>
  <c r="AK34" i="88"/>
  <c r="AG24" i="88"/>
  <c r="AI34" i="88"/>
  <c r="AG34" i="88"/>
  <c r="AI29" i="88"/>
  <c r="AJ29" i="88" s="1"/>
  <c r="AG29" i="88"/>
  <c r="AM39" i="88"/>
  <c r="AK39" i="88"/>
  <c r="AI39" i="88"/>
  <c r="AG39" i="88"/>
  <c r="AI36" i="88"/>
  <c r="AG36" i="88"/>
  <c r="AI26" i="88"/>
  <c r="AJ26" i="88" s="1"/>
  <c r="AG26" i="88"/>
  <c r="AM36" i="88"/>
  <c r="AK36" i="88"/>
  <c r="AI28" i="88"/>
  <c r="AJ28" i="88" s="1"/>
  <c r="AG28" i="88"/>
  <c r="AM38" i="88"/>
  <c r="AK38" i="88"/>
  <c r="AI38" i="88"/>
  <c r="AG38" i="88"/>
  <c r="AM35" i="88"/>
  <c r="AK35" i="88"/>
  <c r="AI35" i="88"/>
  <c r="AI25" i="88"/>
  <c r="AJ25" i="88" s="1"/>
  <c r="AG35" i="88"/>
  <c r="AG25" i="88"/>
  <c r="AI23" i="88"/>
  <c r="AJ23" i="88" s="1"/>
  <c r="AH23" i="88"/>
  <c r="AM33" i="88"/>
  <c r="AG23" i="88"/>
  <c r="AK33" i="88"/>
  <c r="AI33" i="88"/>
  <c r="AG33" i="88"/>
  <c r="AM35" i="87"/>
  <c r="AM36" i="87"/>
  <c r="AI39" i="87"/>
  <c r="AI29" i="87"/>
  <c r="AJ29" i="87" s="1"/>
  <c r="AI28" i="87"/>
  <c r="AJ28" i="87" s="1"/>
  <c r="AF18" i="87"/>
  <c r="AI36" i="87"/>
  <c r="AK37" i="87"/>
  <c r="AI33" i="87"/>
  <c r="AG33" i="87"/>
  <c r="AI34" i="87"/>
  <c r="AK34" i="87"/>
  <c r="AM33" i="87"/>
  <c r="AM38" i="87"/>
  <c r="AG23" i="87"/>
  <c r="AG36" i="87"/>
  <c r="AG28" i="87"/>
  <c r="AI38" i="87"/>
  <c r="AI26" i="87"/>
  <c r="AJ26" i="87" s="1"/>
  <c r="AG39" i="87"/>
  <c r="AM37" i="87"/>
  <c r="AK39" i="87"/>
  <c r="AM34" i="87"/>
  <c r="AK38" i="87"/>
  <c r="AG38" i="87"/>
  <c r="AM39" i="87"/>
  <c r="AG29" i="87"/>
  <c r="AG24" i="87"/>
  <c r="AG34" i="87"/>
  <c r="AI23" i="87"/>
  <c r="AJ23" i="87" s="1"/>
  <c r="AB17" i="87" a="1"/>
  <c r="AB17" i="87" s="1"/>
  <c r="AK36" i="87"/>
  <c r="AG26" i="87"/>
  <c r="AI27" i="87"/>
  <c r="AJ27" i="87" s="1"/>
  <c r="AG27" i="87"/>
  <c r="AG37" i="87"/>
  <c r="AH23" i="87"/>
  <c r="AK33" i="87"/>
  <c r="AI24" i="87"/>
  <c r="AJ24" i="87" s="1"/>
  <c r="AK35" i="87"/>
  <c r="AI35" i="87"/>
  <c r="AI25" i="87"/>
  <c r="AJ25" i="87" s="1"/>
  <c r="AG35" i="87"/>
  <c r="AG25" i="87"/>
  <c r="AB14" i="87" a="1"/>
  <c r="AB14" i="87" s="1"/>
  <c r="AI37" i="87"/>
  <c r="AI29" i="86"/>
  <c r="AJ29" i="86" s="1"/>
  <c r="AG29" i="86"/>
  <c r="AH29" i="86" s="1"/>
  <c r="AF18" i="86"/>
  <c r="AM34" i="86"/>
  <c r="AI24" i="86"/>
  <c r="AJ24" i="86" s="1"/>
  <c r="AK34" i="86"/>
  <c r="AG24" i="86"/>
  <c r="AI34" i="86"/>
  <c r="AG34" i="86"/>
  <c r="AI36" i="86"/>
  <c r="AI26" i="86"/>
  <c r="AJ26" i="86" s="1"/>
  <c r="AG36" i="86"/>
  <c r="AG26" i="86"/>
  <c r="AM36" i="86"/>
  <c r="AK36" i="86"/>
  <c r="AM35" i="86"/>
  <c r="AK35" i="86"/>
  <c r="AI35" i="86"/>
  <c r="AI25" i="86"/>
  <c r="AJ25" i="86" s="1"/>
  <c r="AG35" i="86"/>
  <c r="AG25" i="86"/>
  <c r="AG39" i="86"/>
  <c r="AB13" i="86" a="1"/>
  <c r="AB13" i="86" s="1"/>
  <c r="AI39" i="86"/>
  <c r="AK39" i="86"/>
  <c r="AM39" i="86"/>
  <c r="AI28" i="86"/>
  <c r="AJ28" i="86" s="1"/>
  <c r="AG28" i="86"/>
  <c r="AM38" i="86"/>
  <c r="AG38" i="86"/>
  <c r="AK38" i="86"/>
  <c r="AI38" i="86"/>
  <c r="AI23" i="86"/>
  <c r="AJ23" i="86" s="1"/>
  <c r="AH23" i="86"/>
  <c r="AM33" i="86"/>
  <c r="AG23" i="86"/>
  <c r="AG33" i="86"/>
  <c r="AK33" i="86"/>
  <c r="AI33" i="86"/>
  <c r="AI27" i="86"/>
  <c r="AJ27" i="86" s="1"/>
  <c r="AG27" i="86"/>
  <c r="AI37" i="86"/>
  <c r="AK37" i="86"/>
  <c r="AM37" i="86"/>
  <c r="AG37" i="86"/>
  <c r="AG33" i="85"/>
  <c r="AG23" i="85"/>
  <c r="AG27" i="85"/>
  <c r="AH27" i="85" s="1"/>
  <c r="AG37" i="85"/>
  <c r="AK33" i="85"/>
  <c r="AG25" i="85"/>
  <c r="AH25" i="85" s="1"/>
  <c r="AI25" i="85"/>
  <c r="AJ25" i="85" s="1"/>
  <c r="AI28" i="85"/>
  <c r="AJ28" i="85" s="1"/>
  <c r="AI35" i="85"/>
  <c r="AK36" i="85"/>
  <c r="AK34" i="85"/>
  <c r="AK35" i="85"/>
  <c r="AM38" i="85"/>
  <c r="AG34" i="85"/>
  <c r="AM34" i="85"/>
  <c r="AG26" i="85"/>
  <c r="AI26" i="85"/>
  <c r="AJ26" i="85" s="1"/>
  <c r="AI38" i="85"/>
  <c r="AI36" i="85"/>
  <c r="AM37" i="85"/>
  <c r="AI37" i="85"/>
  <c r="AB15" i="85" a="1"/>
  <c r="AB15" i="85" s="1"/>
  <c r="AM35" i="85"/>
  <c r="AG24" i="85"/>
  <c r="AM36" i="85"/>
  <c r="AI27" i="85"/>
  <c r="AJ27" i="85" s="1"/>
  <c r="AH23" i="85"/>
  <c r="AG28" i="85"/>
  <c r="AB14" i="85" a="1"/>
  <c r="AB14" i="85" s="1"/>
  <c r="AI23" i="85"/>
  <c r="AJ23" i="85" s="1"/>
  <c r="AI33" i="85"/>
  <c r="AI24" i="85"/>
  <c r="AJ24" i="85" s="1"/>
  <c r="AI29" i="85"/>
  <c r="AJ29" i="85" s="1"/>
  <c r="AG29" i="85"/>
  <c r="AM39" i="85"/>
  <c r="AK39" i="85"/>
  <c r="AI39" i="85"/>
  <c r="AG39" i="85"/>
  <c r="AG38" i="85"/>
  <c r="AF18" i="85"/>
  <c r="AG36" i="85"/>
  <c r="AG35" i="85"/>
  <c r="AI34" i="85"/>
  <c r="AK38" i="85"/>
  <c r="AK37" i="85"/>
  <c r="AM33" i="85"/>
  <c r="AK35" i="84"/>
  <c r="AI33" i="84"/>
  <c r="AG26" i="84"/>
  <c r="AH26" i="84" s="1"/>
  <c r="AG24" i="84"/>
  <c r="AH24" i="84" s="1"/>
  <c r="AI36" i="84"/>
  <c r="AG37" i="84"/>
  <c r="AG33" i="84"/>
  <c r="AG36" i="84"/>
  <c r="AM35" i="84"/>
  <c r="AI35" i="84"/>
  <c r="AG23" i="84"/>
  <c r="AK36" i="84"/>
  <c r="AI29" i="84"/>
  <c r="AJ29" i="84" s="1"/>
  <c r="AG29" i="84"/>
  <c r="AH29" i="84" s="1"/>
  <c r="AM39" i="84"/>
  <c r="AK39" i="84"/>
  <c r="AI39" i="84"/>
  <c r="AG39" i="84"/>
  <c r="AG34" i="84"/>
  <c r="AF18" i="84"/>
  <c r="AM37" i="84"/>
  <c r="AK33" i="84"/>
  <c r="AK37" i="84"/>
  <c r="AI37" i="84"/>
  <c r="AI26" i="84"/>
  <c r="AJ26" i="84" s="1"/>
  <c r="AM36" i="84"/>
  <c r="AI25" i="84"/>
  <c r="AJ25" i="84" s="1"/>
  <c r="AB15" i="84" a="1"/>
  <c r="AB15" i="84" s="1"/>
  <c r="AI23" i="84"/>
  <c r="AJ23" i="84" s="1"/>
  <c r="AI27" i="84"/>
  <c r="AJ27" i="84" s="1"/>
  <c r="AI24" i="84"/>
  <c r="AJ24" i="84" s="1"/>
  <c r="AB13" i="84" a="1"/>
  <c r="AB13" i="84" s="1"/>
  <c r="AG35" i="84"/>
  <c r="AI28" i="84"/>
  <c r="AJ28" i="84" s="1"/>
  <c r="AG28" i="84"/>
  <c r="AH28" i="84" s="1"/>
  <c r="AM38" i="84"/>
  <c r="AK38" i="84"/>
  <c r="AI38" i="84"/>
  <c r="AG38" i="84"/>
  <c r="AG27" i="84"/>
  <c r="AH27" i="84" s="1"/>
  <c r="AK34" i="84"/>
  <c r="AB16" i="84" a="1"/>
  <c r="AB16" i="84" s="1"/>
  <c r="AI34" i="84"/>
  <c r="AG25" i="84"/>
  <c r="AH25" i="84" s="1"/>
  <c r="AM34" i="84"/>
  <c r="AM33" i="84"/>
  <c r="AG34" i="83"/>
  <c r="AK37" i="83"/>
  <c r="AI26" i="83"/>
  <c r="AJ26" i="83" s="1"/>
  <c r="AG37" i="83"/>
  <c r="AM38" i="83"/>
  <c r="AM34" i="83"/>
  <c r="AG29" i="83"/>
  <c r="AH29" i="83" s="1"/>
  <c r="AI38" i="83"/>
  <c r="AG24" i="83"/>
  <c r="AH24" i="83" s="1"/>
  <c r="AI37" i="83"/>
  <c r="AI24" i="83"/>
  <c r="AJ24" i="83" s="1"/>
  <c r="AI34" i="83"/>
  <c r="AG27" i="83"/>
  <c r="AH27" i="83" s="1"/>
  <c r="AK35" i="83"/>
  <c r="AG33" i="83"/>
  <c r="AM37" i="83"/>
  <c r="AI25" i="83"/>
  <c r="AJ25" i="83" s="1"/>
  <c r="AG25" i="83"/>
  <c r="AH25" i="83" s="1"/>
  <c r="AI35" i="83"/>
  <c r="AI33" i="83"/>
  <c r="AG26" i="83"/>
  <c r="AH26" i="83" s="1"/>
  <c r="AK36" i="83"/>
  <c r="AB16" i="83" a="1"/>
  <c r="AB16" i="83" s="1"/>
  <c r="AI29" i="83"/>
  <c r="AJ29" i="83" s="1"/>
  <c r="AI36" i="83"/>
  <c r="AG39" i="83"/>
  <c r="AI23" i="83"/>
  <c r="AJ23" i="83" s="1"/>
  <c r="AM33" i="83"/>
  <c r="AG23" i="83"/>
  <c r="AI27" i="83"/>
  <c r="AJ27" i="83" s="1"/>
  <c r="AI28" i="83"/>
  <c r="AJ28" i="83" s="1"/>
  <c r="AM35" i="83"/>
  <c r="AG35" i="83"/>
  <c r="AK38" i="83"/>
  <c r="AI39" i="83"/>
  <c r="AM36" i="83"/>
  <c r="AG36" i="83"/>
  <c r="AK34" i="83"/>
  <c r="AK39" i="83"/>
  <c r="AB17" i="83" a="1"/>
  <c r="AB17" i="83" s="1"/>
  <c r="AG38" i="83"/>
  <c r="AM39" i="83"/>
  <c r="AK33" i="83"/>
  <c r="AB14" i="83" a="1"/>
  <c r="AB14" i="83" s="1"/>
  <c r="AB15" i="83" a="1"/>
  <c r="AB15" i="83" s="1"/>
  <c r="AG28" i="83"/>
  <c r="AH28" i="83" s="1"/>
  <c r="AF18" i="83"/>
  <c r="AK34" i="82"/>
  <c r="AI33" i="81"/>
  <c r="AI25" i="82"/>
  <c r="AJ25" i="82" s="1"/>
  <c r="AG34" i="82"/>
  <c r="AM34" i="82"/>
  <c r="AM35" i="82"/>
  <c r="AI33" i="82"/>
  <c r="AK38" i="82"/>
  <c r="AK37" i="82"/>
  <c r="AM36" i="82"/>
  <c r="AG37" i="82"/>
  <c r="AG25" i="82"/>
  <c r="AH25" i="82" s="1"/>
  <c r="AI26" i="82"/>
  <c r="AJ26" i="82" s="1"/>
  <c r="AG27" i="82"/>
  <c r="AH27" i="82" s="1"/>
  <c r="AG38" i="82"/>
  <c r="AB15" i="82" a="1"/>
  <c r="AB15" i="82" s="1"/>
  <c r="AI24" i="82"/>
  <c r="AJ24" i="82" s="1"/>
  <c r="AG26" i="82"/>
  <c r="AH26" i="82" s="1"/>
  <c r="AI23" i="82"/>
  <c r="AJ23" i="82" s="1"/>
  <c r="AG35" i="82"/>
  <c r="AM38" i="82"/>
  <c r="AK33" i="82"/>
  <c r="AG33" i="82"/>
  <c r="AI38" i="82"/>
  <c r="AG28" i="82"/>
  <c r="AH28" i="82" s="1"/>
  <c r="AM37" i="82"/>
  <c r="AG24" i="82"/>
  <c r="AH24" i="82" s="1"/>
  <c r="AK35" i="82"/>
  <c r="AG29" i="82"/>
  <c r="AH29" i="82" s="1"/>
  <c r="AM39" i="82"/>
  <c r="AI39" i="82"/>
  <c r="AI29" i="82"/>
  <c r="AJ29" i="82" s="1"/>
  <c r="AG39" i="82"/>
  <c r="AK39" i="82"/>
  <c r="AI34" i="82"/>
  <c r="AG36" i="82"/>
  <c r="AI35" i="82"/>
  <c r="AI28" i="82"/>
  <c r="AJ28" i="82" s="1"/>
  <c r="AG23" i="82"/>
  <c r="AM33" i="82"/>
  <c r="AI27" i="82"/>
  <c r="AJ27" i="82" s="1"/>
  <c r="AI37" i="82"/>
  <c r="AK36" i="82"/>
  <c r="AF18" i="82"/>
  <c r="AH34" i="82" s="1"/>
  <c r="AI36" i="82"/>
  <c r="AI29" i="81"/>
  <c r="AJ29" i="81" s="1"/>
  <c r="AG28" i="81"/>
  <c r="AH28" i="81" s="1"/>
  <c r="AG27" i="81"/>
  <c r="AH27" i="81" s="1"/>
  <c r="AG34" i="81"/>
  <c r="AI28" i="81"/>
  <c r="AJ28" i="81" s="1"/>
  <c r="AI24" i="81"/>
  <c r="AJ24" i="81" s="1"/>
  <c r="AI27" i="81"/>
  <c r="AJ27" i="81" s="1"/>
  <c r="AG36" i="81"/>
  <c r="AM37" i="81"/>
  <c r="AG29" i="81"/>
  <c r="AH29" i="81" s="1"/>
  <c r="AI23" i="81"/>
  <c r="AJ23" i="81" s="1"/>
  <c r="AB18" i="81" a="1"/>
  <c r="AB18" i="81" s="1"/>
  <c r="AM38" i="81"/>
  <c r="AM35" i="81"/>
  <c r="AM36" i="81"/>
  <c r="AK37" i="81"/>
  <c r="AG25" i="81"/>
  <c r="AH25" i="81" s="1"/>
  <c r="AB15" i="81" a="1"/>
  <c r="AB15" i="81" s="1"/>
  <c r="AG38" i="81"/>
  <c r="AM34" i="81"/>
  <c r="AK39" i="81"/>
  <c r="AK35" i="81"/>
  <c r="AI25" i="81"/>
  <c r="AJ25" i="81" s="1"/>
  <c r="AG24" i="81"/>
  <c r="AH24" i="81" s="1"/>
  <c r="AI37" i="81"/>
  <c r="AG37" i="81"/>
  <c r="AG26" i="81"/>
  <c r="AH26" i="81" s="1"/>
  <c r="AK34" i="81"/>
  <c r="AK38" i="81"/>
  <c r="AI34" i="81"/>
  <c r="AK36" i="81"/>
  <c r="AG39" i="81"/>
  <c r="AI36" i="81"/>
  <c r="AM39" i="81"/>
  <c r="AM33" i="81"/>
  <c r="AG23" i="81"/>
  <c r="AK33" i="81"/>
  <c r="AI39" i="81"/>
  <c r="AI38" i="81"/>
  <c r="AF18" i="81"/>
  <c r="AI35" i="81"/>
  <c r="AG35" i="81"/>
  <c r="AI26" i="81"/>
  <c r="AJ26" i="81" s="1"/>
  <c r="AF18" i="80"/>
  <c r="AI36" i="80"/>
  <c r="AI34" i="80"/>
  <c r="AG29" i="80"/>
  <c r="AH29" i="80" s="1"/>
  <c r="AM33" i="80"/>
  <c r="AM34" i="80"/>
  <c r="AI25" i="80"/>
  <c r="AJ25" i="80" s="1"/>
  <c r="AK38" i="80"/>
  <c r="AI28" i="80"/>
  <c r="AJ28" i="80" s="1"/>
  <c r="AI27" i="80"/>
  <c r="AJ27" i="80" s="1"/>
  <c r="AG33" i="80"/>
  <c r="AG23" i="80"/>
  <c r="AI33" i="80"/>
  <c r="AM37" i="80"/>
  <c r="AG27" i="80"/>
  <c r="AH27" i="80" s="1"/>
  <c r="AM36" i="80"/>
  <c r="AG38" i="80"/>
  <c r="AM39" i="80"/>
  <c r="AG39" i="80"/>
  <c r="AK33" i="80"/>
  <c r="AK36" i="80"/>
  <c r="AG25" i="80"/>
  <c r="AH25" i="80" s="1"/>
  <c r="AG35" i="80"/>
  <c r="AK34" i="80"/>
  <c r="AI24" i="80"/>
  <c r="AJ24" i="80" s="1"/>
  <c r="AG26" i="80"/>
  <c r="AH26" i="80" s="1"/>
  <c r="AK39" i="80"/>
  <c r="AI35" i="80"/>
  <c r="AI29" i="80"/>
  <c r="AJ29" i="80" s="1"/>
  <c r="AG28" i="80"/>
  <c r="AH28" i="80" s="1"/>
  <c r="AB14" i="80" a="1"/>
  <c r="AB14" i="80" s="1"/>
  <c r="AG37" i="80"/>
  <c r="AM35" i="80"/>
  <c r="AK35" i="80"/>
  <c r="AK37" i="80"/>
  <c r="AG36" i="80"/>
  <c r="AG24" i="80"/>
  <c r="AH24" i="80" s="1"/>
  <c r="AI26" i="80"/>
  <c r="AJ26" i="80" s="1"/>
  <c r="AI38" i="80"/>
  <c r="AI39" i="80"/>
  <c r="AM38" i="80"/>
  <c r="AI23" i="80"/>
  <c r="AJ23" i="80" s="1"/>
  <c r="AI37" i="80"/>
  <c r="AG34" i="80"/>
  <c r="F515" i="4"/>
  <c r="F514" i="4"/>
  <c r="F513" i="4"/>
  <c r="F512" i="4"/>
  <c r="F511" i="4"/>
  <c r="F510" i="4"/>
  <c r="F509" i="4"/>
  <c r="F508" i="4"/>
  <c r="F507" i="4"/>
  <c r="F506" i="4"/>
  <c r="F505" i="4"/>
  <c r="F504" i="4"/>
  <c r="F503" i="4"/>
  <c r="F502" i="4"/>
  <c r="F501" i="4"/>
  <c r="F500" i="4"/>
  <c r="F499" i="4"/>
  <c r="F498" i="4"/>
  <c r="F497" i="4"/>
  <c r="F496" i="4"/>
  <c r="F495" i="4"/>
  <c r="F494" i="4"/>
  <c r="F493" i="4"/>
  <c r="F492" i="4"/>
  <c r="F491" i="4"/>
  <c r="F490" i="4"/>
  <c r="F489" i="4"/>
  <c r="F488" i="4"/>
  <c r="F487" i="4"/>
  <c r="F486" i="4"/>
  <c r="F485" i="4"/>
  <c r="F484" i="4"/>
  <c r="F483" i="4"/>
  <c r="F482" i="4"/>
  <c r="F481" i="4"/>
  <c r="F480" i="4"/>
  <c r="F479" i="4"/>
  <c r="F478" i="4"/>
  <c r="F477" i="4"/>
  <c r="F476" i="4"/>
  <c r="F475" i="4"/>
  <c r="F474" i="4"/>
  <c r="F473" i="4"/>
  <c r="F472" i="4"/>
  <c r="F471" i="4"/>
  <c r="F470" i="4"/>
  <c r="F469" i="4"/>
  <c r="F468" i="4"/>
  <c r="F467" i="4"/>
  <c r="F466" i="4"/>
  <c r="F465" i="4"/>
  <c r="F464" i="4"/>
  <c r="F463" i="4"/>
  <c r="F462" i="4"/>
  <c r="F461" i="4"/>
  <c r="F460" i="4"/>
  <c r="F459" i="4"/>
  <c r="F458" i="4"/>
  <c r="F457" i="4"/>
  <c r="F456" i="4"/>
  <c r="F455" i="4"/>
  <c r="F454" i="4"/>
  <c r="F453" i="4"/>
  <c r="F452" i="4"/>
  <c r="F451" i="4"/>
  <c r="F450" i="4"/>
  <c r="F449" i="4"/>
  <c r="F448" i="4"/>
  <c r="F447" i="4"/>
  <c r="F446" i="4"/>
  <c r="F445" i="4"/>
  <c r="F444" i="4"/>
  <c r="F443" i="4"/>
  <c r="F442" i="4"/>
  <c r="F441" i="4"/>
  <c r="F440" i="4"/>
  <c r="F439" i="4"/>
  <c r="F438" i="4"/>
  <c r="F437" i="4"/>
  <c r="F436" i="4"/>
  <c r="F435" i="4"/>
  <c r="F434" i="4"/>
  <c r="F433" i="4"/>
  <c r="F432" i="4"/>
  <c r="F431" i="4"/>
  <c r="F430" i="4"/>
  <c r="F429" i="4"/>
  <c r="F428" i="4"/>
  <c r="F427" i="4"/>
  <c r="F426" i="4"/>
  <c r="F425" i="4"/>
  <c r="F424" i="4"/>
  <c r="F423" i="4"/>
  <c r="F422" i="4"/>
  <c r="F421" i="4"/>
  <c r="F420" i="4"/>
  <c r="F419" i="4"/>
  <c r="F418" i="4"/>
  <c r="F417" i="4"/>
  <c r="F416" i="4"/>
  <c r="F415" i="4"/>
  <c r="F414" i="4"/>
  <c r="F413" i="4"/>
  <c r="F412" i="4"/>
  <c r="F411" i="4"/>
  <c r="F410" i="4"/>
  <c r="F409" i="4"/>
  <c r="F408" i="4"/>
  <c r="F407" i="4"/>
  <c r="F406" i="4"/>
  <c r="F405" i="4"/>
  <c r="F404" i="4"/>
  <c r="F403" i="4"/>
  <c r="F402" i="4"/>
  <c r="F401" i="4"/>
  <c r="F400" i="4"/>
  <c r="F399" i="4"/>
  <c r="F398" i="4"/>
  <c r="F397" i="4"/>
  <c r="F396" i="4"/>
  <c r="F395" i="4"/>
  <c r="F394" i="4"/>
  <c r="F393" i="4"/>
  <c r="F392" i="4"/>
  <c r="F391" i="4"/>
  <c r="F390" i="4"/>
  <c r="F389" i="4"/>
  <c r="F388" i="4"/>
  <c r="F387" i="4"/>
  <c r="F386" i="4"/>
  <c r="F385" i="4"/>
  <c r="F384" i="4"/>
  <c r="F383" i="4"/>
  <c r="F382" i="4"/>
  <c r="F381" i="4"/>
  <c r="F380" i="4"/>
  <c r="F379" i="4"/>
  <c r="F378" i="4"/>
  <c r="F377" i="4"/>
  <c r="F376" i="4"/>
  <c r="F375" i="4"/>
  <c r="F374" i="4"/>
  <c r="F373" i="4"/>
  <c r="F372" i="4"/>
  <c r="F371" i="4"/>
  <c r="F370" i="4"/>
  <c r="F369" i="4"/>
  <c r="F368" i="4"/>
  <c r="F367" i="4"/>
  <c r="F366" i="4"/>
  <c r="F365" i="4"/>
  <c r="F364" i="4"/>
  <c r="F363" i="4"/>
  <c r="F362" i="4"/>
  <c r="F361" i="4"/>
  <c r="F360" i="4"/>
  <c r="F359" i="4"/>
  <c r="F358" i="4"/>
  <c r="F357" i="4"/>
  <c r="F356" i="4"/>
  <c r="F355" i="4"/>
  <c r="F354" i="4"/>
  <c r="F353" i="4"/>
  <c r="F352" i="4"/>
  <c r="F351" i="4"/>
  <c r="F350" i="4"/>
  <c r="F349" i="4"/>
  <c r="F348" i="4"/>
  <c r="F347" i="4"/>
  <c r="F346" i="4"/>
  <c r="F345" i="4"/>
  <c r="F344" i="4"/>
  <c r="F343" i="4"/>
  <c r="F342" i="4"/>
  <c r="F341" i="4"/>
  <c r="F340" i="4"/>
  <c r="F339" i="4"/>
  <c r="F338" i="4"/>
  <c r="F337" i="4"/>
  <c r="F336" i="4"/>
  <c r="F335" i="4"/>
  <c r="F334" i="4"/>
  <c r="F333" i="4"/>
  <c r="F332" i="4"/>
  <c r="F331" i="4"/>
  <c r="F330" i="4"/>
  <c r="F329" i="4"/>
  <c r="F328" i="4"/>
  <c r="F327" i="4"/>
  <c r="F326" i="4"/>
  <c r="F325" i="4"/>
  <c r="F324" i="4"/>
  <c r="F323" i="4"/>
  <c r="F322" i="4"/>
  <c r="F321" i="4"/>
  <c r="F320" i="4"/>
  <c r="F319" i="4"/>
  <c r="F318" i="4"/>
  <c r="F317" i="4"/>
  <c r="F316" i="4"/>
  <c r="F315" i="4"/>
  <c r="F314" i="4"/>
  <c r="F313" i="4"/>
  <c r="F312" i="4"/>
  <c r="F311" i="4"/>
  <c r="F310" i="4"/>
  <c r="F309" i="4"/>
  <c r="F308" i="4"/>
  <c r="F307" i="4"/>
  <c r="F306" i="4"/>
  <c r="F305" i="4"/>
  <c r="F304" i="4"/>
  <c r="F303" i="4"/>
  <c r="F302" i="4"/>
  <c r="F301" i="4"/>
  <c r="F300" i="4"/>
  <c r="F299" i="4"/>
  <c r="F298" i="4"/>
  <c r="F297" i="4"/>
  <c r="F296" i="4"/>
  <c r="F295" i="4"/>
  <c r="F294" i="4"/>
  <c r="F293" i="4"/>
  <c r="F292" i="4"/>
  <c r="F291" i="4"/>
  <c r="F290" i="4"/>
  <c r="F289" i="4"/>
  <c r="F288" i="4"/>
  <c r="F287" i="4"/>
  <c r="F286" i="4"/>
  <c r="F285" i="4"/>
  <c r="F284" i="4"/>
  <c r="F283" i="4"/>
  <c r="F282" i="4"/>
  <c r="F281" i="4"/>
  <c r="F280" i="4"/>
  <c r="F279" i="4"/>
  <c r="F278" i="4"/>
  <c r="F277" i="4"/>
  <c r="F276" i="4"/>
  <c r="F275" i="4"/>
  <c r="F274" i="4"/>
  <c r="F273" i="4"/>
  <c r="F272" i="4"/>
  <c r="F271" i="4"/>
  <c r="F270" i="4"/>
  <c r="F269" i="4"/>
  <c r="F268" i="4"/>
  <c r="F267" i="4"/>
  <c r="F266" i="4"/>
  <c r="F265" i="4"/>
  <c r="F264" i="4"/>
  <c r="F263" i="4"/>
  <c r="F262" i="4"/>
  <c r="F261" i="4"/>
  <c r="F260" i="4"/>
  <c r="F259" i="4"/>
  <c r="F258" i="4"/>
  <c r="F257" i="4"/>
  <c r="F256" i="4"/>
  <c r="F255" i="4"/>
  <c r="F254" i="4"/>
  <c r="F253" i="4"/>
  <c r="F252" i="4"/>
  <c r="F251" i="4"/>
  <c r="F250" i="4"/>
  <c r="F249" i="4"/>
  <c r="F248" i="4"/>
  <c r="F247" i="4"/>
  <c r="F246" i="4"/>
  <c r="F245" i="4"/>
  <c r="F244" i="4"/>
  <c r="F243" i="4"/>
  <c r="F242" i="4"/>
  <c r="F241" i="4"/>
  <c r="F240" i="4"/>
  <c r="F239" i="4"/>
  <c r="F238" i="4"/>
  <c r="F237" i="4"/>
  <c r="F236" i="4"/>
  <c r="F235" i="4"/>
  <c r="F234" i="4"/>
  <c r="F233" i="4"/>
  <c r="F232" i="4"/>
  <c r="F231" i="4"/>
  <c r="F230" i="4"/>
  <c r="F229" i="4"/>
  <c r="F228" i="4"/>
  <c r="F227" i="4"/>
  <c r="F226" i="4"/>
  <c r="F225" i="4"/>
  <c r="F224" i="4"/>
  <c r="F223" i="4"/>
  <c r="F222" i="4"/>
  <c r="F221" i="4"/>
  <c r="F220" i="4"/>
  <c r="F219" i="4"/>
  <c r="F218" i="4"/>
  <c r="F217" i="4"/>
  <c r="F216" i="4"/>
  <c r="F215" i="4"/>
  <c r="F214" i="4"/>
  <c r="F213" i="4"/>
  <c r="F212" i="4"/>
  <c r="F211" i="4"/>
  <c r="F210" i="4"/>
  <c r="F209" i="4"/>
  <c r="F208" i="4"/>
  <c r="F207" i="4"/>
  <c r="F206" i="4"/>
  <c r="F205" i="4"/>
  <c r="F204" i="4"/>
  <c r="F203" i="4"/>
  <c r="F202" i="4"/>
  <c r="F201" i="4"/>
  <c r="F200" i="4"/>
  <c r="F199" i="4"/>
  <c r="F198" i="4"/>
  <c r="F197" i="4"/>
  <c r="F196" i="4"/>
  <c r="F195" i="4"/>
  <c r="F194" i="4"/>
  <c r="F193" i="4"/>
  <c r="F192" i="4"/>
  <c r="F191" i="4"/>
  <c r="F190" i="4"/>
  <c r="F189" i="4"/>
  <c r="F188" i="4"/>
  <c r="F187" i="4"/>
  <c r="F186" i="4"/>
  <c r="F185" i="4"/>
  <c r="F184" i="4"/>
  <c r="F183" i="4"/>
  <c r="F182" i="4"/>
  <c r="F181" i="4"/>
  <c r="F180" i="4"/>
  <c r="F179" i="4"/>
  <c r="F178" i="4"/>
  <c r="F177" i="4"/>
  <c r="F176" i="4"/>
  <c r="F175" i="4"/>
  <c r="F174" i="4"/>
  <c r="F173" i="4"/>
  <c r="F172" i="4"/>
  <c r="F171" i="4"/>
  <c r="F170" i="4"/>
  <c r="F169" i="4"/>
  <c r="F168" i="4"/>
  <c r="F167" i="4"/>
  <c r="F166" i="4"/>
  <c r="F165" i="4"/>
  <c r="F164" i="4"/>
  <c r="F163" i="4"/>
  <c r="F162" i="4"/>
  <c r="F161" i="4"/>
  <c r="F160" i="4"/>
  <c r="F159" i="4"/>
  <c r="F158" i="4"/>
  <c r="F157" i="4"/>
  <c r="F156" i="4"/>
  <c r="F155" i="4"/>
  <c r="F154" i="4"/>
  <c r="F153" i="4"/>
  <c r="F152" i="4"/>
  <c r="F151" i="4"/>
  <c r="F150" i="4"/>
  <c r="F149" i="4"/>
  <c r="F148" i="4"/>
  <c r="F147" i="4"/>
  <c r="F146" i="4"/>
  <c r="F145" i="4"/>
  <c r="F144" i="4"/>
  <c r="F143" i="4"/>
  <c r="F142" i="4"/>
  <c r="F141" i="4"/>
  <c r="F140" i="4"/>
  <c r="F139" i="4"/>
  <c r="F138" i="4"/>
  <c r="F137" i="4"/>
  <c r="F136" i="4"/>
  <c r="F135" i="4"/>
  <c r="F134" i="4"/>
  <c r="F133" i="4"/>
  <c r="F132" i="4"/>
  <c r="F131" i="4"/>
  <c r="F130" i="4"/>
  <c r="F129" i="4"/>
  <c r="F128" i="4"/>
  <c r="F127" i="4"/>
  <c r="F126" i="4"/>
  <c r="F125" i="4"/>
  <c r="F124" i="4"/>
  <c r="F123" i="4"/>
  <c r="F122" i="4"/>
  <c r="F121" i="4"/>
  <c r="F120" i="4"/>
  <c r="F119" i="4"/>
  <c r="F118" i="4"/>
  <c r="F117" i="4"/>
  <c r="F116" i="4"/>
  <c r="F115" i="4"/>
  <c r="F114" i="4"/>
  <c r="F113" i="4"/>
  <c r="F112" i="4"/>
  <c r="F111" i="4"/>
  <c r="F110" i="4"/>
  <c r="F109" i="4"/>
  <c r="F108" i="4"/>
  <c r="F107" i="4"/>
  <c r="F106" i="4"/>
  <c r="F105" i="4"/>
  <c r="F104" i="4"/>
  <c r="F103" i="4"/>
  <c r="F102" i="4"/>
  <c r="F101" i="4"/>
  <c r="F100" i="4"/>
  <c r="F99" i="4"/>
  <c r="F98" i="4"/>
  <c r="F97" i="4"/>
  <c r="F96" i="4"/>
  <c r="F95" i="4"/>
  <c r="F94" i="4"/>
  <c r="F93" i="4"/>
  <c r="F92" i="4"/>
  <c r="F91" i="4"/>
  <c r="F90" i="4"/>
  <c r="F89" i="4"/>
  <c r="F88" i="4"/>
  <c r="F87" i="4"/>
  <c r="F86" i="4"/>
  <c r="F85" i="4"/>
  <c r="F84" i="4"/>
  <c r="F83" i="4"/>
  <c r="F82" i="4"/>
  <c r="F81" i="4"/>
  <c r="F80" i="4"/>
  <c r="F79" i="4"/>
  <c r="F78" i="4"/>
  <c r="F77" i="4"/>
  <c r="F76" i="4"/>
  <c r="F75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2" i="4"/>
  <c r="AH36" i="82" l="1"/>
  <c r="AJ36" i="82"/>
  <c r="AH35" i="90"/>
  <c r="AH34" i="90"/>
  <c r="AJ34" i="90"/>
  <c r="AH36" i="90"/>
  <c r="AJ36" i="90"/>
  <c r="AJ33" i="82"/>
  <c r="AL33" i="82"/>
  <c r="AH37" i="82"/>
  <c r="AL39" i="87"/>
  <c r="AH33" i="87"/>
  <c r="AL34" i="87"/>
  <c r="AL33" i="87"/>
  <c r="AJ35" i="87"/>
  <c r="AN39" i="87"/>
  <c r="AH39" i="87"/>
  <c r="AH36" i="87"/>
  <c r="AL38" i="87"/>
  <c r="AL37" i="87"/>
  <c r="AL36" i="87"/>
  <c r="AL35" i="87"/>
  <c r="AN38" i="87"/>
  <c r="AH38" i="87"/>
  <c r="AH34" i="87"/>
  <c r="AJ36" i="87"/>
  <c r="AJ34" i="87"/>
  <c r="AN37" i="87"/>
  <c r="AN36" i="87"/>
  <c r="AN35" i="87"/>
  <c r="AN34" i="87"/>
  <c r="AH35" i="87"/>
  <c r="AN33" i="87"/>
  <c r="AJ39" i="87"/>
  <c r="AJ38" i="87"/>
  <c r="AJ37" i="87"/>
  <c r="AJ33" i="87"/>
  <c r="AH37" i="87"/>
  <c r="AN39" i="90"/>
  <c r="AN37" i="90"/>
  <c r="AN33" i="90"/>
  <c r="AL34" i="90"/>
  <c r="AL33" i="90"/>
  <c r="AN38" i="90"/>
  <c r="AN36" i="90"/>
  <c r="AN35" i="90"/>
  <c r="AL35" i="90"/>
  <c r="AN34" i="90"/>
  <c r="AL39" i="90"/>
  <c r="AL38" i="90"/>
  <c r="AL37" i="90"/>
  <c r="AL36" i="90"/>
  <c r="AJ39" i="90"/>
  <c r="AJ38" i="90"/>
  <c r="AH39" i="90"/>
  <c r="AJ35" i="90"/>
  <c r="AJ34" i="86"/>
  <c r="AH38" i="86"/>
  <c r="AN34" i="86"/>
  <c r="AH35" i="86"/>
  <c r="AL35" i="86"/>
  <c r="AL34" i="86"/>
  <c r="AN39" i="86"/>
  <c r="AJ33" i="86"/>
  <c r="AN38" i="86"/>
  <c r="AH39" i="86"/>
  <c r="AN35" i="86"/>
  <c r="AL33" i="86"/>
  <c r="AJ37" i="86"/>
  <c r="AN37" i="86"/>
  <c r="AN36" i="86"/>
  <c r="AH37" i="86"/>
  <c r="AH36" i="86"/>
  <c r="AL36" i="86"/>
  <c r="AN33" i="86"/>
  <c r="AH34" i="86"/>
  <c r="AL39" i="86"/>
  <c r="AH33" i="86"/>
  <c r="AL38" i="86"/>
  <c r="AL37" i="86"/>
  <c r="AJ39" i="86"/>
  <c r="AJ38" i="86"/>
  <c r="AJ36" i="86"/>
  <c r="AJ35" i="86"/>
  <c r="AH37" i="90"/>
  <c r="AN36" i="89"/>
  <c r="AH37" i="89"/>
  <c r="AN33" i="89"/>
  <c r="AL39" i="89"/>
  <c r="AL38" i="89"/>
  <c r="AL37" i="89"/>
  <c r="AJ36" i="89"/>
  <c r="AN38" i="89"/>
  <c r="AH38" i="89"/>
  <c r="AN35" i="89"/>
  <c r="AH36" i="89"/>
  <c r="AN34" i="89"/>
  <c r="AH35" i="89"/>
  <c r="AH34" i="89"/>
  <c r="AJ37" i="89"/>
  <c r="AJ35" i="89"/>
  <c r="AH33" i="89"/>
  <c r="AJ33" i="89"/>
  <c r="AH39" i="89"/>
  <c r="AL36" i="89"/>
  <c r="AL35" i="89"/>
  <c r="AL34" i="89"/>
  <c r="AL33" i="89"/>
  <c r="AJ39" i="89"/>
  <c r="AJ38" i="89"/>
  <c r="AJ34" i="89"/>
  <c r="AN39" i="89"/>
  <c r="AN37" i="89"/>
  <c r="AH33" i="82"/>
  <c r="AL35" i="85"/>
  <c r="AJ37" i="85"/>
  <c r="AJ36" i="85"/>
  <c r="AN37" i="85"/>
  <c r="AH37" i="85"/>
  <c r="AH36" i="85"/>
  <c r="AH34" i="85"/>
  <c r="AL38" i="85"/>
  <c r="AL34" i="85"/>
  <c r="AL33" i="85"/>
  <c r="AN38" i="85"/>
  <c r="AH35" i="85"/>
  <c r="AN33" i="85"/>
  <c r="AJ39" i="85"/>
  <c r="AJ38" i="85"/>
  <c r="AH39" i="85"/>
  <c r="AH33" i="85"/>
  <c r="AL37" i="85"/>
  <c r="AL36" i="85"/>
  <c r="AJ35" i="85"/>
  <c r="AJ34" i="85"/>
  <c r="AN39" i="85"/>
  <c r="AJ33" i="85"/>
  <c r="AH38" i="85"/>
  <c r="AN36" i="85"/>
  <c r="AN35" i="85"/>
  <c r="AN34" i="85"/>
  <c r="AL39" i="85"/>
  <c r="AJ37" i="90"/>
  <c r="AJ38" i="82"/>
  <c r="AJ37" i="82"/>
  <c r="AH33" i="90"/>
  <c r="AH38" i="82"/>
  <c r="AJ38" i="83"/>
  <c r="AN39" i="83"/>
  <c r="AN38" i="83"/>
  <c r="AH39" i="83"/>
  <c r="AN33" i="83"/>
  <c r="AL39" i="83"/>
  <c r="AL33" i="83"/>
  <c r="AJ39" i="83"/>
  <c r="AJ37" i="83"/>
  <c r="AJ36" i="83"/>
  <c r="AN34" i="83"/>
  <c r="AL37" i="83"/>
  <c r="AL36" i="83"/>
  <c r="AJ35" i="83"/>
  <c r="AJ34" i="83"/>
  <c r="AJ33" i="83"/>
  <c r="AH34" i="83"/>
  <c r="AN37" i="83"/>
  <c r="AH38" i="83"/>
  <c r="AN36" i="83"/>
  <c r="AH37" i="83"/>
  <c r="AN35" i="83"/>
  <c r="AH36" i="83"/>
  <c r="AH35" i="83"/>
  <c r="AH33" i="83"/>
  <c r="AL38" i="83"/>
  <c r="AL35" i="83"/>
  <c r="AL34" i="83"/>
  <c r="AJ39" i="82"/>
  <c r="AN36" i="84"/>
  <c r="AH37" i="84"/>
  <c r="AN33" i="84"/>
  <c r="AL39" i="84"/>
  <c r="AL37" i="84"/>
  <c r="AL33" i="84"/>
  <c r="AJ39" i="84"/>
  <c r="AJ38" i="84"/>
  <c r="AJ33" i="84"/>
  <c r="AN38" i="84"/>
  <c r="AH39" i="84"/>
  <c r="AN35" i="84"/>
  <c r="AH36" i="84"/>
  <c r="AN34" i="84"/>
  <c r="AH35" i="84"/>
  <c r="AH33" i="84"/>
  <c r="AN39" i="84"/>
  <c r="AH34" i="84"/>
  <c r="AL38" i="84"/>
  <c r="AL36" i="84"/>
  <c r="AL35" i="84"/>
  <c r="AL34" i="84"/>
  <c r="AJ37" i="84"/>
  <c r="AJ36" i="84"/>
  <c r="AJ35" i="84"/>
  <c r="AJ34" i="84"/>
  <c r="AN37" i="84"/>
  <c r="AH38" i="84"/>
  <c r="AJ38" i="88"/>
  <c r="AH39" i="88"/>
  <c r="AH35" i="88"/>
  <c r="AH34" i="88"/>
  <c r="AL39" i="88"/>
  <c r="AH33" i="88"/>
  <c r="AL36" i="88"/>
  <c r="AJ37" i="88"/>
  <c r="AJ36" i="88"/>
  <c r="AJ35" i="88"/>
  <c r="AN39" i="88"/>
  <c r="AN34" i="88"/>
  <c r="AL34" i="88"/>
  <c r="AJ34" i="88"/>
  <c r="AJ33" i="88"/>
  <c r="AN38" i="88"/>
  <c r="AN33" i="88"/>
  <c r="AL35" i="88"/>
  <c r="AJ39" i="88"/>
  <c r="AN37" i="88"/>
  <c r="AH38" i="88"/>
  <c r="AN36" i="88"/>
  <c r="AH37" i="88"/>
  <c r="AN35" i="88"/>
  <c r="AH36" i="88"/>
  <c r="AL38" i="88"/>
  <c r="AL37" i="88"/>
  <c r="AL33" i="88"/>
  <c r="AH35" i="82"/>
  <c r="AH38" i="90"/>
  <c r="AH39" i="82"/>
  <c r="AJ34" i="82"/>
  <c r="AL39" i="82"/>
  <c r="AL38" i="82"/>
  <c r="AN38" i="82"/>
  <c r="AN36" i="82"/>
  <c r="AN33" i="82"/>
  <c r="AL37" i="82"/>
  <c r="AL36" i="82"/>
  <c r="AL35" i="82"/>
  <c r="AN39" i="82"/>
  <c r="AN37" i="82"/>
  <c r="AN35" i="82"/>
  <c r="AN34" i="82"/>
  <c r="AL34" i="82"/>
  <c r="AJ35" i="82"/>
  <c r="AN33" i="81"/>
  <c r="AH34" i="81"/>
  <c r="AL39" i="81"/>
  <c r="AH33" i="81"/>
  <c r="AL38" i="81"/>
  <c r="AJ39" i="81"/>
  <c r="AL37" i="81"/>
  <c r="AJ38" i="81"/>
  <c r="AJ37" i="81"/>
  <c r="AJ36" i="81"/>
  <c r="AJ35" i="81"/>
  <c r="AJ34" i="81"/>
  <c r="AN39" i="81"/>
  <c r="AJ33" i="81"/>
  <c r="AN38" i="81"/>
  <c r="AH39" i="81"/>
  <c r="AN37" i="81"/>
  <c r="AH38" i="81"/>
  <c r="AN36" i="81"/>
  <c r="AH37" i="81"/>
  <c r="AN35" i="81"/>
  <c r="AH36" i="81"/>
  <c r="AN34" i="81"/>
  <c r="AH35" i="81"/>
  <c r="AL36" i="81"/>
  <c r="AL35" i="81"/>
  <c r="AL34" i="81"/>
  <c r="AL33" i="81"/>
  <c r="AN33" i="80"/>
  <c r="AL39" i="80"/>
  <c r="AL36" i="80"/>
  <c r="AL35" i="80"/>
  <c r="AL34" i="80"/>
  <c r="AL33" i="80"/>
  <c r="AN39" i="80"/>
  <c r="AN37" i="80"/>
  <c r="AN36" i="80"/>
  <c r="AL38" i="80"/>
  <c r="AN38" i="80"/>
  <c r="AN34" i="80"/>
  <c r="AL37" i="80"/>
  <c r="AN35" i="80"/>
  <c r="AH35" i="80"/>
  <c r="AH34" i="80"/>
  <c r="AJ39" i="80"/>
  <c r="AJ37" i="80"/>
  <c r="AJ36" i="80"/>
  <c r="AJ34" i="80"/>
  <c r="AJ33" i="80"/>
  <c r="AH39" i="80"/>
  <c r="AH36" i="80"/>
  <c r="AJ38" i="80"/>
  <c r="AH33" i="80"/>
  <c r="AJ35" i="80"/>
  <c r="AH38" i="80"/>
  <c r="AH37" i="80"/>
  <c r="AG17" i="82"/>
  <c r="AI16" i="88"/>
  <c r="AG17" i="88"/>
  <c r="AG16" i="88"/>
  <c r="AG16" i="83"/>
  <c r="AI16" i="82"/>
  <c r="AG16" i="85"/>
  <c r="AI17" i="88"/>
  <c r="AG17" i="80"/>
  <c r="AI16" i="83"/>
  <c r="AI16" i="81"/>
  <c r="AI17" i="83"/>
  <c r="AG17" i="85"/>
  <c r="AH28" i="90"/>
  <c r="AC28" i="90"/>
  <c r="AC29" i="90"/>
  <c r="AH29" i="90"/>
  <c r="AH25" i="90"/>
  <c r="AC25" i="90"/>
  <c r="AH24" i="90"/>
  <c r="AC24" i="90"/>
  <c r="AG17" i="90"/>
  <c r="AI16" i="90"/>
  <c r="AI17" i="90"/>
  <c r="AG16" i="90"/>
  <c r="AC26" i="90"/>
  <c r="AC23" i="90"/>
  <c r="AC27" i="90"/>
  <c r="AH28" i="89"/>
  <c r="AC28" i="89"/>
  <c r="AH27" i="89"/>
  <c r="AC27" i="89"/>
  <c r="AH24" i="89"/>
  <c r="AC24" i="89"/>
  <c r="AI16" i="89"/>
  <c r="AI17" i="89"/>
  <c r="AG16" i="89"/>
  <c r="AG17" i="89"/>
  <c r="AH26" i="89"/>
  <c r="AC26" i="89"/>
  <c r="AH29" i="89"/>
  <c r="AC29" i="89"/>
  <c r="AC23" i="89"/>
  <c r="AC25" i="89"/>
  <c r="AH26" i="88"/>
  <c r="AC26" i="88"/>
  <c r="AC23" i="88"/>
  <c r="AH27" i="88"/>
  <c r="AC27" i="88"/>
  <c r="AH28" i="88"/>
  <c r="AC28" i="88"/>
  <c r="AH29" i="88"/>
  <c r="AC29" i="88"/>
  <c r="AH25" i="88"/>
  <c r="AC25" i="88"/>
  <c r="AH24" i="88"/>
  <c r="AC24" i="88"/>
  <c r="AH27" i="87"/>
  <c r="AC27" i="87"/>
  <c r="AH26" i="87"/>
  <c r="AC26" i="87"/>
  <c r="AH28" i="87"/>
  <c r="AC28" i="87"/>
  <c r="AC23" i="87"/>
  <c r="AG17" i="87"/>
  <c r="AI16" i="87"/>
  <c r="AI17" i="87"/>
  <c r="AG16" i="87"/>
  <c r="AH25" i="87"/>
  <c r="AC25" i="87"/>
  <c r="AH24" i="87"/>
  <c r="AC24" i="87"/>
  <c r="AH29" i="87"/>
  <c r="AC29" i="87"/>
  <c r="AC23" i="86"/>
  <c r="AH26" i="86"/>
  <c r="AC26" i="86"/>
  <c r="AI16" i="86"/>
  <c r="AI17" i="86"/>
  <c r="AG16" i="86"/>
  <c r="AG17" i="86"/>
  <c r="AH25" i="86"/>
  <c r="AC25" i="86"/>
  <c r="AH24" i="86"/>
  <c r="AC24" i="86"/>
  <c r="AH27" i="86"/>
  <c r="AC27" i="86"/>
  <c r="AH28" i="86"/>
  <c r="AC28" i="86"/>
  <c r="AC29" i="86"/>
  <c r="AC27" i="85"/>
  <c r="AH28" i="85"/>
  <c r="AC28" i="85"/>
  <c r="AH26" i="85"/>
  <c r="AC26" i="85"/>
  <c r="AC29" i="85"/>
  <c r="AH29" i="85"/>
  <c r="AC23" i="85"/>
  <c r="AC25" i="85"/>
  <c r="AH24" i="85"/>
  <c r="AC24" i="85"/>
  <c r="AI17" i="85"/>
  <c r="AI16" i="85"/>
  <c r="AC23" i="84"/>
  <c r="AC27" i="84"/>
  <c r="AC29" i="84"/>
  <c r="AC28" i="84"/>
  <c r="AC24" i="84"/>
  <c r="AC25" i="84"/>
  <c r="AG16" i="84"/>
  <c r="AG17" i="84"/>
  <c r="AI17" i="84"/>
  <c r="AI16" i="84"/>
  <c r="AC26" i="84"/>
  <c r="AC29" i="83"/>
  <c r="AG17" i="83"/>
  <c r="AC26" i="83"/>
  <c r="AC25" i="83"/>
  <c r="AC23" i="83"/>
  <c r="AC27" i="83"/>
  <c r="AC28" i="83"/>
  <c r="AC24" i="83"/>
  <c r="AC23" i="82"/>
  <c r="AC26" i="82"/>
  <c r="AG16" i="82"/>
  <c r="AI17" i="82"/>
  <c r="AC29" i="82"/>
  <c r="AC24" i="82"/>
  <c r="AC27" i="82"/>
  <c r="AC28" i="82"/>
  <c r="AC25" i="82"/>
  <c r="AC28" i="81"/>
  <c r="AC26" i="81"/>
  <c r="AC24" i="81"/>
  <c r="AG17" i="81"/>
  <c r="AC23" i="81"/>
  <c r="AI17" i="81"/>
  <c r="AC25" i="81"/>
  <c r="AC27" i="81"/>
  <c r="AG16" i="81"/>
  <c r="AC29" i="81"/>
  <c r="AC29" i="80"/>
  <c r="AC26" i="80"/>
  <c r="AC23" i="80"/>
  <c r="AC25" i="80"/>
  <c r="AG16" i="80"/>
  <c r="AI17" i="80"/>
  <c r="AI16" i="80"/>
  <c r="AC27" i="80"/>
  <c r="AC28" i="80"/>
  <c r="AC24" i="80"/>
  <c r="G41" i="4"/>
  <c r="G40" i="4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AG18" i="82" l="1"/>
  <c r="AI18" i="88"/>
  <c r="AG18" i="88"/>
  <c r="AG18" i="83"/>
  <c r="AI18" i="82"/>
  <c r="AG18" i="80"/>
  <c r="AI18" i="83"/>
  <c r="AG18" i="85"/>
  <c r="AI18" i="81"/>
  <c r="AG18" i="90"/>
  <c r="AI18" i="90"/>
  <c r="AG18" i="89"/>
  <c r="AI18" i="89"/>
  <c r="AG18" i="87"/>
  <c r="AI18" i="87"/>
  <c r="AI18" i="86"/>
  <c r="AI18" i="85"/>
  <c r="AG18" i="86"/>
  <c r="AI18" i="84"/>
  <c r="AI18" i="80"/>
  <c r="AG18" i="84"/>
  <c r="AG18" i="81"/>
  <c r="S13" i="25"/>
  <c r="S14" i="25"/>
  <c r="S15" i="25"/>
  <c r="S16" i="25"/>
  <c r="S17" i="25"/>
  <c r="S18" i="25"/>
  <c r="S19" i="25"/>
  <c r="S20" i="25"/>
  <c r="S21" i="25"/>
  <c r="S22" i="25"/>
  <c r="S23" i="25"/>
  <c r="S24" i="25"/>
  <c r="S25" i="25"/>
  <c r="S26" i="25"/>
  <c r="S27" i="25"/>
  <c r="S28" i="25"/>
  <c r="S29" i="25"/>
  <c r="S30" i="25"/>
  <c r="S31" i="25"/>
  <c r="S38" i="25"/>
  <c r="Y45" i="25"/>
  <c r="X45" i="25"/>
  <c r="V45" i="25"/>
  <c r="S45" i="25"/>
  <c r="AB45" i="25" a="1"/>
  <c r="AB45" i="25" s="1"/>
  <c r="U45" i="25"/>
  <c r="W45" i="25"/>
  <c r="Z45" i="25"/>
  <c r="AA45" i="25"/>
  <c r="S39" i="25"/>
  <c r="V42" i="25"/>
  <c r="U42" i="25"/>
  <c r="AB42" i="25" a="1"/>
  <c r="AB42" i="25" s="1"/>
  <c r="Y42" i="25"/>
  <c r="W42" i="25"/>
  <c r="S42" i="25"/>
  <c r="AA42" i="25"/>
  <c r="Z42" i="25"/>
  <c r="X42" i="25"/>
  <c r="Y47" i="25"/>
  <c r="U47" i="25"/>
  <c r="AA47" i="25"/>
  <c r="Z47" i="25"/>
  <c r="V47" i="25"/>
  <c r="AB47" i="25" a="1"/>
  <c r="AB47" i="25" s="1"/>
  <c r="W47" i="25"/>
  <c r="S47" i="25"/>
  <c r="X47" i="25"/>
  <c r="AB48" i="25" a="1"/>
  <c r="AB48" i="25" s="1"/>
  <c r="AA48" i="25"/>
  <c r="Z48" i="25"/>
  <c r="Y48" i="25"/>
  <c r="X48" i="25"/>
  <c r="W48" i="25"/>
  <c r="U48" i="25"/>
  <c r="V48" i="25"/>
  <c r="S48" i="25"/>
  <c r="Z49" i="25"/>
  <c r="Y49" i="25"/>
  <c r="AA49" i="25"/>
  <c r="W49" i="25"/>
  <c r="U49" i="25"/>
  <c r="AB49" i="25" a="1"/>
  <c r="AB49" i="25" s="1"/>
  <c r="X49" i="25"/>
  <c r="S49" i="25"/>
  <c r="V49" i="25"/>
  <c r="S40" i="25"/>
  <c r="W40" i="25"/>
  <c r="U40" i="25"/>
  <c r="V40" i="25"/>
  <c r="X40" i="25"/>
  <c r="Y40" i="25"/>
  <c r="AB40" i="25" a="1"/>
  <c r="AB40" i="25" s="1"/>
  <c r="AA40" i="25"/>
  <c r="Z40" i="25"/>
  <c r="Z43" i="25"/>
  <c r="X43" i="25"/>
  <c r="S43" i="25"/>
  <c r="AB43" i="25" a="1"/>
  <c r="AB43" i="25" s="1"/>
  <c r="W43" i="25"/>
  <c r="U43" i="25"/>
  <c r="AA43" i="25"/>
  <c r="V43" i="25"/>
  <c r="Y43" i="25"/>
  <c r="Z46" i="25"/>
  <c r="Y46" i="25"/>
  <c r="AB46" i="25" a="1"/>
  <c r="AB46" i="25" s="1"/>
  <c r="X46" i="25"/>
  <c r="AA46" i="25"/>
  <c r="W46" i="25"/>
  <c r="V46" i="25"/>
  <c r="U46" i="25"/>
  <c r="S46" i="25"/>
  <c r="AB50" i="25" a="1"/>
  <c r="AB50" i="25" s="1"/>
  <c r="AA50" i="25"/>
  <c r="S50" i="25"/>
  <c r="Z50" i="25"/>
  <c r="Y50" i="25"/>
  <c r="U50" i="25"/>
  <c r="X50" i="25"/>
  <c r="W50" i="25"/>
  <c r="V50" i="25"/>
  <c r="U51" i="25"/>
  <c r="S51" i="25"/>
  <c r="AA51" i="25"/>
  <c r="AB51" i="25" a="1"/>
  <c r="AB51" i="25" s="1"/>
  <c r="Z51" i="25"/>
  <c r="Y51" i="25"/>
  <c r="W51" i="25"/>
  <c r="V51" i="25"/>
  <c r="X51" i="25"/>
  <c r="S32" i="25"/>
  <c r="Y52" i="25"/>
  <c r="S52" i="25"/>
  <c r="U52" i="25"/>
  <c r="W52" i="25"/>
  <c r="AB52" i="25" a="1"/>
  <c r="AB52" i="25" s="1"/>
  <c r="V52" i="25"/>
  <c r="AA52" i="25"/>
  <c r="Z52" i="25"/>
  <c r="X52" i="25"/>
  <c r="S33" i="25"/>
  <c r="W53" i="25"/>
  <c r="AB53" i="25" a="1"/>
  <c r="AB53" i="25" s="1"/>
  <c r="V53" i="25"/>
  <c r="AA53" i="25"/>
  <c r="U53" i="25"/>
  <c r="S53" i="25"/>
  <c r="Z53" i="25"/>
  <c r="X53" i="25"/>
  <c r="Y53" i="25"/>
  <c r="X44" i="25"/>
  <c r="W44" i="25"/>
  <c r="V44" i="25"/>
  <c r="AA44" i="25"/>
  <c r="U44" i="25"/>
  <c r="S44" i="25"/>
  <c r="Z44" i="25"/>
  <c r="AB44" i="25" a="1"/>
  <c r="AB44" i="25" s="1"/>
  <c r="Y44" i="25"/>
  <c r="S34" i="25"/>
  <c r="AA54" i="25"/>
  <c r="U54" i="25"/>
  <c r="S54" i="25"/>
  <c r="AB54" i="25" a="1"/>
  <c r="AB54" i="25" s="1"/>
  <c r="Y54" i="25"/>
  <c r="X54" i="25"/>
  <c r="W54" i="25"/>
  <c r="V54" i="25"/>
  <c r="Z54" i="25"/>
  <c r="S36" i="25"/>
  <c r="Z56" i="25"/>
  <c r="AA56" i="25"/>
  <c r="X56" i="25"/>
  <c r="S56" i="25"/>
  <c r="Y56" i="25"/>
  <c r="W56" i="25"/>
  <c r="V56" i="25"/>
  <c r="AB56" i="25" a="1"/>
  <c r="AB56" i="25" s="1"/>
  <c r="U56" i="25"/>
  <c r="S41" i="25"/>
  <c r="X41" i="25"/>
  <c r="AB41" i="25" a="1"/>
  <c r="AB41" i="25" s="1"/>
  <c r="AA41" i="25"/>
  <c r="Z41" i="25"/>
  <c r="V41" i="25"/>
  <c r="Y41" i="25"/>
  <c r="U41" i="25"/>
  <c r="W41" i="25"/>
  <c r="S35" i="25"/>
  <c r="Y55" i="25"/>
  <c r="X55" i="25"/>
  <c r="W55" i="25"/>
  <c r="V55" i="25"/>
  <c r="U55" i="25"/>
  <c r="S55" i="25"/>
  <c r="AB55" i="25" a="1"/>
  <c r="AB55" i="25" s="1"/>
  <c r="AA55" i="25"/>
  <c r="Z55" i="25"/>
  <c r="S37" i="25"/>
  <c r="AB57" i="25" a="1"/>
  <c r="AB57" i="25" s="1"/>
  <c r="AA57" i="25"/>
  <c r="Z57" i="25"/>
  <c r="Y57" i="25"/>
  <c r="X57" i="25"/>
  <c r="W57" i="25"/>
  <c r="V57" i="25"/>
  <c r="U57" i="25"/>
  <c r="S57" i="25"/>
  <c r="C11" i="34" l="1"/>
  <c r="A1" i="3" l="1"/>
  <c r="C13" i="25"/>
  <c r="AD6" i="25"/>
  <c r="R13" i="25" l="1"/>
  <c r="AA13" i="25"/>
  <c r="Z13" i="25"/>
  <c r="Y13" i="25"/>
  <c r="X13" i="25"/>
  <c r="W13" i="25"/>
  <c r="V13" i="25"/>
  <c r="U13" i="25"/>
  <c r="Z7" i="25"/>
  <c r="G1" i="3"/>
  <c r="A1" i="25"/>
  <c r="BW3" i="79" a="1"/>
  <c r="AY3" i="79" a="1"/>
  <c r="CE3" i="79" a="1"/>
  <c r="CM3" i="79" a="1"/>
  <c r="BG3" i="79" a="1"/>
  <c r="BO3" i="79" a="1"/>
  <c r="DK11" i="79" l="1"/>
  <c r="DK10" i="79"/>
  <c r="DK9" i="79"/>
  <c r="DK8" i="79"/>
  <c r="DK7" i="79"/>
  <c r="DK6" i="79"/>
  <c r="DK5" i="79"/>
  <c r="DK4" i="79"/>
  <c r="DK3" i="79"/>
  <c r="DD10" i="79"/>
  <c r="DJ11" i="79"/>
  <c r="DJ10" i="79"/>
  <c r="DJ9" i="79"/>
  <c r="DJ8" i="79"/>
  <c r="DJ7" i="79"/>
  <c r="DJ6" i="79"/>
  <c r="DJ5" i="79"/>
  <c r="DJ4" i="79"/>
  <c r="DJ3" i="79"/>
  <c r="DD11" i="79"/>
  <c r="DD4" i="79"/>
  <c r="DI11" i="79"/>
  <c r="DI10" i="79"/>
  <c r="DI9" i="79"/>
  <c r="DI8" i="79"/>
  <c r="DI7" i="79"/>
  <c r="DI6" i="79"/>
  <c r="DI5" i="79"/>
  <c r="DI4" i="79"/>
  <c r="DI3" i="79"/>
  <c r="DD5" i="79"/>
  <c r="DH11" i="79"/>
  <c r="DH10" i="79"/>
  <c r="DH9" i="79"/>
  <c r="DH8" i="79"/>
  <c r="DH7" i="79"/>
  <c r="DH6" i="79"/>
  <c r="DH5" i="79"/>
  <c r="DH4" i="79"/>
  <c r="DH3" i="79"/>
  <c r="DD7" i="79"/>
  <c r="DG11" i="79"/>
  <c r="DG10" i="79"/>
  <c r="DG9" i="79"/>
  <c r="DG8" i="79"/>
  <c r="DG7" i="79"/>
  <c r="DG6" i="79"/>
  <c r="DG5" i="79"/>
  <c r="DG4" i="79"/>
  <c r="DG3" i="79"/>
  <c r="DD9" i="79"/>
  <c r="DF11" i="79"/>
  <c r="DF10" i="79"/>
  <c r="DF9" i="79"/>
  <c r="DF8" i="79"/>
  <c r="DF7" i="79"/>
  <c r="DF6" i="79"/>
  <c r="DF5" i="79"/>
  <c r="DF4" i="79"/>
  <c r="DF3" i="79"/>
  <c r="DD8" i="79"/>
  <c r="DE11" i="79"/>
  <c r="DE10" i="79"/>
  <c r="DE9" i="79"/>
  <c r="DE8" i="79"/>
  <c r="DE7" i="79"/>
  <c r="DE6" i="79"/>
  <c r="DE5" i="79"/>
  <c r="DE4" i="79"/>
  <c r="DE3" i="79"/>
  <c r="DD6" i="79"/>
  <c r="CE3" i="79"/>
  <c r="BW3" i="79"/>
  <c r="BG3" i="79"/>
  <c r="AY3" i="79"/>
  <c r="BO3" i="79"/>
  <c r="CM3" i="79"/>
  <c r="AB13" i="25" a="1"/>
  <c r="AB13" i="25" s="1"/>
  <c r="E12" i="50"/>
  <c r="E11" i="50"/>
  <c r="C11" i="50"/>
  <c r="E10" i="50"/>
  <c r="E9" i="50"/>
  <c r="S3" i="79" a="1"/>
  <c r="C12" i="37"/>
  <c r="C11" i="37"/>
  <c r="C9" i="37"/>
  <c r="AQ3" i="79" a="1"/>
  <c r="C10" i="37"/>
  <c r="C13" i="37"/>
  <c r="K3" i="79" a="1"/>
  <c r="AA3" i="79" a="1"/>
  <c r="AI3" i="79" a="1"/>
  <c r="C14" i="37"/>
  <c r="DD3" i="79" l="1"/>
  <c r="AQ3" i="79"/>
  <c r="AI3" i="79"/>
  <c r="AA3" i="79"/>
  <c r="S3" i="79"/>
  <c r="K3" i="79"/>
  <c r="C3" i="37"/>
  <c r="C5" i="37"/>
  <c r="C6" i="37"/>
  <c r="C4" i="37"/>
  <c r="C7" i="37"/>
  <c r="Z8" i="25" l="1"/>
  <c r="S7" i="25"/>
  <c r="D7" i="25"/>
  <c r="AF10" i="25" l="1"/>
  <c r="N68" i="25"/>
  <c r="O68" i="25" s="1"/>
  <c r="Z65" i="25" l="1"/>
  <c r="S65" i="25"/>
  <c r="K65" i="25"/>
  <c r="D65" i="25"/>
  <c r="Z64" i="25"/>
  <c r="S64" i="25"/>
  <c r="D64" i="25"/>
  <c r="Z60" i="25"/>
  <c r="S60" i="25"/>
  <c r="K60" i="25"/>
  <c r="Z59" i="25"/>
  <c r="K59" i="25"/>
  <c r="D57" i="25"/>
  <c r="T57" i="25" s="1"/>
  <c r="C57" i="25"/>
  <c r="R57" i="25" s="1"/>
  <c r="D56" i="25"/>
  <c r="T56" i="25" s="1"/>
  <c r="C56" i="25"/>
  <c r="R56" i="25" s="1"/>
  <c r="D55" i="25"/>
  <c r="T55" i="25" s="1"/>
  <c r="C55" i="25"/>
  <c r="R55" i="25" s="1"/>
  <c r="D54" i="25"/>
  <c r="T54" i="25" s="1"/>
  <c r="C54" i="25"/>
  <c r="R54" i="25" s="1"/>
  <c r="D53" i="25"/>
  <c r="T53" i="25" s="1"/>
  <c r="C53" i="25"/>
  <c r="R53" i="25" s="1"/>
  <c r="D52" i="25"/>
  <c r="T52" i="25" s="1"/>
  <c r="C52" i="25"/>
  <c r="R52" i="25" s="1"/>
  <c r="D51" i="25"/>
  <c r="T51" i="25" s="1"/>
  <c r="C51" i="25"/>
  <c r="R51" i="25" s="1"/>
  <c r="D50" i="25"/>
  <c r="T50" i="25" s="1"/>
  <c r="C50" i="25"/>
  <c r="R50" i="25" s="1"/>
  <c r="D49" i="25"/>
  <c r="T49" i="25" s="1"/>
  <c r="C49" i="25"/>
  <c r="R49" i="25" s="1"/>
  <c r="D48" i="25"/>
  <c r="T48" i="25" s="1"/>
  <c r="C48" i="25"/>
  <c r="R48" i="25" s="1"/>
  <c r="D47" i="25"/>
  <c r="T47" i="25" s="1"/>
  <c r="C47" i="25"/>
  <c r="R47" i="25" s="1"/>
  <c r="D46" i="25"/>
  <c r="T46" i="25" s="1"/>
  <c r="C46" i="25"/>
  <c r="R46" i="25" s="1"/>
  <c r="D45" i="25"/>
  <c r="T45" i="25" s="1"/>
  <c r="C45" i="25"/>
  <c r="R45" i="25" s="1"/>
  <c r="D44" i="25"/>
  <c r="T44" i="25" s="1"/>
  <c r="C44" i="25"/>
  <c r="R44" i="25" s="1"/>
  <c r="D43" i="25"/>
  <c r="T43" i="25" s="1"/>
  <c r="C43" i="25"/>
  <c r="R43" i="25" s="1"/>
  <c r="D42" i="25"/>
  <c r="T42" i="25" s="1"/>
  <c r="C42" i="25"/>
  <c r="R42" i="25" s="1"/>
  <c r="D41" i="25"/>
  <c r="T41" i="25" s="1"/>
  <c r="C41" i="25"/>
  <c r="R41" i="25" s="1"/>
  <c r="D40" i="25"/>
  <c r="T40" i="25" s="1"/>
  <c r="C40" i="25"/>
  <c r="R40" i="25" s="1"/>
  <c r="D39" i="25"/>
  <c r="T39" i="25" s="1"/>
  <c r="C39" i="25"/>
  <c r="D38" i="25"/>
  <c r="T38" i="25" s="1"/>
  <c r="C38" i="25"/>
  <c r="D37" i="25"/>
  <c r="T37" i="25" s="1"/>
  <c r="C37" i="25"/>
  <c r="D36" i="25"/>
  <c r="T36" i="25" s="1"/>
  <c r="C36" i="25"/>
  <c r="D35" i="25"/>
  <c r="T35" i="25" s="1"/>
  <c r="C35" i="25"/>
  <c r="D34" i="25"/>
  <c r="T34" i="25" s="1"/>
  <c r="C34" i="25"/>
  <c r="D33" i="25"/>
  <c r="T33" i="25" s="1"/>
  <c r="C33" i="25"/>
  <c r="D32" i="25"/>
  <c r="T32" i="25" s="1"/>
  <c r="C32" i="25"/>
  <c r="D31" i="25"/>
  <c r="T31" i="25" s="1"/>
  <c r="C31" i="25"/>
  <c r="D30" i="25"/>
  <c r="T30" i="25" s="1"/>
  <c r="C30" i="25"/>
  <c r="D29" i="25"/>
  <c r="T29" i="25" s="1"/>
  <c r="C29" i="25"/>
  <c r="D28" i="25"/>
  <c r="T28" i="25" s="1"/>
  <c r="C28" i="25"/>
  <c r="D27" i="25"/>
  <c r="T27" i="25" s="1"/>
  <c r="C27" i="25"/>
  <c r="D26" i="25"/>
  <c r="T26" i="25" s="1"/>
  <c r="C26" i="25"/>
  <c r="D25" i="25"/>
  <c r="T25" i="25" s="1"/>
  <c r="C25" i="25"/>
  <c r="D24" i="25"/>
  <c r="T24" i="25" s="1"/>
  <c r="C24" i="25"/>
  <c r="D23" i="25"/>
  <c r="T23" i="25" s="1"/>
  <c r="C23" i="25"/>
  <c r="D22" i="25"/>
  <c r="T22" i="25" s="1"/>
  <c r="C22" i="25"/>
  <c r="D21" i="25"/>
  <c r="T21" i="25" s="1"/>
  <c r="C21" i="25"/>
  <c r="D20" i="25"/>
  <c r="C20" i="25"/>
  <c r="D19" i="25"/>
  <c r="T19" i="25" s="1"/>
  <c r="C19" i="25"/>
  <c r="D18" i="25"/>
  <c r="T18" i="25" s="1"/>
  <c r="C18" i="25"/>
  <c r="D17" i="25"/>
  <c r="T17" i="25" s="1"/>
  <c r="C17" i="25"/>
  <c r="D16" i="25"/>
  <c r="T16" i="25" s="1"/>
  <c r="C16" i="25"/>
  <c r="D15" i="25"/>
  <c r="T15" i="25" s="1"/>
  <c r="C15" i="25"/>
  <c r="D14" i="25"/>
  <c r="T14" i="25" s="1"/>
  <c r="C14" i="25"/>
  <c r="D13" i="25"/>
  <c r="T13" i="25" s="1"/>
  <c r="AF12" i="25"/>
  <c r="AF11" i="25"/>
  <c r="AD11" i="25"/>
  <c r="AF9" i="25"/>
  <c r="A1" i="37"/>
  <c r="C20" i="37" s="1"/>
  <c r="D507" i="4"/>
  <c r="D506" i="4"/>
  <c r="D505" i="4"/>
  <c r="D504" i="4"/>
  <c r="D503" i="4"/>
  <c r="D502" i="4"/>
  <c r="D501" i="4"/>
  <c r="D500" i="4"/>
  <c r="D499" i="4"/>
  <c r="D498" i="4"/>
  <c r="D497" i="4"/>
  <c r="D496" i="4"/>
  <c r="D495" i="4"/>
  <c r="D494" i="4"/>
  <c r="D493" i="4"/>
  <c r="D492" i="4"/>
  <c r="D491" i="4"/>
  <c r="D490" i="4"/>
  <c r="D489" i="4"/>
  <c r="D515" i="4"/>
  <c r="D514" i="4"/>
  <c r="D513" i="4"/>
  <c r="D512" i="4"/>
  <c r="D511" i="4"/>
  <c r="D510" i="4"/>
  <c r="D509" i="4"/>
  <c r="D508" i="4"/>
  <c r="D488" i="4"/>
  <c r="D487" i="4"/>
  <c r="D486" i="4"/>
  <c r="D485" i="4"/>
  <c r="D484" i="4"/>
  <c r="D483" i="4"/>
  <c r="D478" i="4"/>
  <c r="D477" i="4"/>
  <c r="D476" i="4"/>
  <c r="D475" i="4"/>
  <c r="D474" i="4"/>
  <c r="D473" i="4"/>
  <c r="D472" i="4"/>
  <c r="D471" i="4"/>
  <c r="D470" i="4"/>
  <c r="D469" i="4"/>
  <c r="D468" i="4"/>
  <c r="D482" i="4"/>
  <c r="D481" i="4"/>
  <c r="D480" i="4"/>
  <c r="D479" i="4"/>
  <c r="D467" i="4"/>
  <c r="D466" i="4"/>
  <c r="D458" i="4"/>
  <c r="D457" i="4"/>
  <c r="D456" i="4"/>
  <c r="D455" i="4"/>
  <c r="D454" i="4"/>
  <c r="D453" i="4"/>
  <c r="D452" i="4"/>
  <c r="D451" i="4"/>
  <c r="D450" i="4"/>
  <c r="D465" i="4"/>
  <c r="D464" i="4"/>
  <c r="D463" i="4"/>
  <c r="D462" i="4"/>
  <c r="D461" i="4"/>
  <c r="D460" i="4"/>
  <c r="D459" i="4"/>
  <c r="D449" i="4"/>
  <c r="D448" i="4"/>
  <c r="D447" i="4"/>
  <c r="D442" i="4"/>
  <c r="D441" i="4"/>
  <c r="D440" i="4"/>
  <c r="D439" i="4"/>
  <c r="D446" i="4"/>
  <c r="D445" i="4"/>
  <c r="D444" i="4"/>
  <c r="D443" i="4"/>
  <c r="D438" i="4"/>
  <c r="D437" i="4"/>
  <c r="D436" i="4"/>
  <c r="D435" i="4"/>
  <c r="D434" i="4"/>
  <c r="D433" i="4"/>
  <c r="D432" i="4"/>
  <c r="D429" i="4"/>
  <c r="D428" i="4"/>
  <c r="D427" i="4"/>
  <c r="D431" i="4"/>
  <c r="D430" i="4"/>
  <c r="D426" i="4"/>
  <c r="D425" i="4"/>
  <c r="D424" i="4"/>
  <c r="D423" i="4"/>
  <c r="D422" i="4"/>
  <c r="D421" i="4"/>
  <c r="D420" i="4"/>
  <c r="D419" i="4"/>
  <c r="D418" i="4"/>
  <c r="D417" i="4"/>
  <c r="D416" i="4"/>
  <c r="D415" i="4"/>
  <c r="D413" i="4"/>
  <c r="D412" i="4"/>
  <c r="D411" i="4"/>
  <c r="D410" i="4"/>
  <c r="D409" i="4"/>
  <c r="D408" i="4"/>
  <c r="D407" i="4"/>
  <c r="D414" i="4"/>
  <c r="D406" i="4"/>
  <c r="D405" i="4"/>
  <c r="D404" i="4"/>
  <c r="D403" i="4"/>
  <c r="D402" i="4"/>
  <c r="D398" i="4"/>
  <c r="D397" i="4"/>
  <c r="D396" i="4"/>
  <c r="D395" i="4"/>
  <c r="D394" i="4"/>
  <c r="D393" i="4"/>
  <c r="D392" i="4"/>
  <c r="D391" i="4"/>
  <c r="D390" i="4"/>
  <c r="D389" i="4"/>
  <c r="D388" i="4"/>
  <c r="D387" i="4"/>
  <c r="D386" i="4"/>
  <c r="D401" i="4"/>
  <c r="D400" i="4"/>
  <c r="D399" i="4"/>
  <c r="D385" i="4"/>
  <c r="D384" i="4"/>
  <c r="D383" i="4"/>
  <c r="D382" i="4"/>
  <c r="D381" i="4"/>
  <c r="D380" i="4"/>
  <c r="D379" i="4"/>
  <c r="D378" i="4"/>
  <c r="D377" i="4"/>
  <c r="D376" i="4"/>
  <c r="D375" i="4"/>
  <c r="D374" i="4"/>
  <c r="D373" i="4"/>
  <c r="D372" i="4"/>
  <c r="D369" i="4"/>
  <c r="D368" i="4"/>
  <c r="D367" i="4"/>
  <c r="D366" i="4"/>
  <c r="D365" i="4"/>
  <c r="D371" i="4"/>
  <c r="D370" i="4"/>
  <c r="D364" i="4"/>
  <c r="D363" i="4"/>
  <c r="D362" i="4"/>
  <c r="D361" i="4"/>
  <c r="D360" i="4"/>
  <c r="D359" i="4"/>
  <c r="D358" i="4"/>
  <c r="D357" i="4"/>
  <c r="D356" i="4"/>
  <c r="D355" i="4"/>
  <c r="D354" i="4"/>
  <c r="D353" i="4"/>
  <c r="D352" i="4"/>
  <c r="D351" i="4"/>
  <c r="D350" i="4"/>
  <c r="D349" i="4"/>
  <c r="D348" i="4"/>
  <c r="D347" i="4"/>
  <c r="D346" i="4"/>
  <c r="D345" i="4"/>
  <c r="D344" i="4"/>
  <c r="D343" i="4"/>
  <c r="D342" i="4"/>
  <c r="D341" i="4"/>
  <c r="D340" i="4"/>
  <c r="D338" i="4"/>
  <c r="D337" i="4"/>
  <c r="D336" i="4"/>
  <c r="D335" i="4"/>
  <c r="D334" i="4"/>
  <c r="D339" i="4"/>
  <c r="D333" i="4"/>
  <c r="D332" i="4"/>
  <c r="D331" i="4"/>
  <c r="D330" i="4"/>
  <c r="D329" i="4"/>
  <c r="D328" i="4"/>
  <c r="D327" i="4"/>
  <c r="D325" i="4"/>
  <c r="D324" i="4"/>
  <c r="D323" i="4"/>
  <c r="D322" i="4"/>
  <c r="D326" i="4"/>
  <c r="D321" i="4"/>
  <c r="D320" i="4"/>
  <c r="D319" i="4"/>
  <c r="D318" i="4"/>
  <c r="D316" i="4"/>
  <c r="D315" i="4"/>
  <c r="D314" i="4"/>
  <c r="D313" i="4"/>
  <c r="D312" i="4"/>
  <c r="D311" i="4"/>
  <c r="D310" i="4"/>
  <c r="D309" i="4"/>
  <c r="D308" i="4"/>
  <c r="D307" i="4"/>
  <c r="D306" i="4"/>
  <c r="D305" i="4"/>
  <c r="D304" i="4"/>
  <c r="D303" i="4"/>
  <c r="D302" i="4"/>
  <c r="D301" i="4"/>
  <c r="D300" i="4"/>
  <c r="D317" i="4"/>
  <c r="D299" i="4"/>
  <c r="D298" i="4"/>
  <c r="D297" i="4"/>
  <c r="D296" i="4"/>
  <c r="D293" i="4"/>
  <c r="D292" i="4"/>
  <c r="D291" i="4"/>
  <c r="D290" i="4"/>
  <c r="D289" i="4"/>
  <c r="D288" i="4"/>
  <c r="D295" i="4"/>
  <c r="D294" i="4"/>
  <c r="D287" i="4"/>
  <c r="D286" i="4"/>
  <c r="D283" i="4"/>
  <c r="D285" i="4"/>
  <c r="D284" i="4"/>
  <c r="D281" i="4"/>
  <c r="D282" i="4"/>
  <c r="D280" i="4"/>
  <c r="D279" i="4"/>
  <c r="D278" i="4"/>
  <c r="D277" i="4"/>
  <c r="D276" i="4"/>
  <c r="D273" i="4"/>
  <c r="D272" i="4"/>
  <c r="D271" i="4"/>
  <c r="D270" i="4"/>
  <c r="D269" i="4"/>
  <c r="D275" i="4"/>
  <c r="D274" i="4"/>
  <c r="D268" i="4"/>
  <c r="D267" i="4"/>
  <c r="D266" i="4"/>
  <c r="D265" i="4"/>
  <c r="D262" i="4"/>
  <c r="D261" i="4"/>
  <c r="D260" i="4"/>
  <c r="D259" i="4"/>
  <c r="D258" i="4"/>
  <c r="D257" i="4"/>
  <c r="D256" i="4"/>
  <c r="D255" i="4"/>
  <c r="D254" i="4"/>
  <c r="D253" i="4"/>
  <c r="D252" i="4"/>
  <c r="D251" i="4"/>
  <c r="D250" i="4"/>
  <c r="D264" i="4"/>
  <c r="D263" i="4"/>
  <c r="D247" i="4"/>
  <c r="D246" i="4"/>
  <c r="D249" i="4"/>
  <c r="D248" i="4"/>
  <c r="D245" i="4"/>
  <c r="D244" i="4"/>
  <c r="D243" i="4"/>
  <c r="D242" i="4"/>
  <c r="D241" i="4"/>
  <c r="D240" i="4"/>
  <c r="D239" i="4"/>
  <c r="D238" i="4"/>
  <c r="D237" i="4"/>
  <c r="D236" i="4"/>
  <c r="D234" i="4"/>
  <c r="D233" i="4"/>
  <c r="D232" i="4"/>
  <c r="D235" i="4"/>
  <c r="D231" i="4"/>
  <c r="D227" i="4"/>
  <c r="D226" i="4"/>
  <c r="D225" i="4"/>
  <c r="D224" i="4"/>
  <c r="D223" i="4"/>
  <c r="D222" i="4"/>
  <c r="D230" i="4"/>
  <c r="D229" i="4"/>
  <c r="D228" i="4"/>
  <c r="D221" i="4"/>
  <c r="D217" i="4"/>
  <c r="D216" i="4"/>
  <c r="D215" i="4"/>
  <c r="D214" i="4"/>
  <c r="D213" i="4"/>
  <c r="D220" i="4"/>
  <c r="D219" i="4"/>
  <c r="D218" i="4"/>
  <c r="D212" i="4"/>
  <c r="D211" i="4"/>
  <c r="D210" i="4"/>
  <c r="D209" i="4"/>
  <c r="D208" i="4"/>
  <c r="D207" i="4"/>
  <c r="D203" i="4"/>
  <c r="D202" i="4"/>
  <c r="D201" i="4"/>
  <c r="D200" i="4"/>
  <c r="D206" i="4"/>
  <c r="D205" i="4"/>
  <c r="D204" i="4"/>
  <c r="D199" i="4"/>
  <c r="D198" i="4"/>
  <c r="D197" i="4"/>
  <c r="D196" i="4"/>
  <c r="D195" i="4"/>
  <c r="D194" i="4"/>
  <c r="D191" i="4"/>
  <c r="D190" i="4"/>
  <c r="D189" i="4"/>
  <c r="D188" i="4"/>
  <c r="D187" i="4"/>
  <c r="D186" i="4"/>
  <c r="D185" i="4"/>
  <c r="D184" i="4"/>
  <c r="D193" i="4"/>
  <c r="D192" i="4"/>
  <c r="D183" i="4"/>
  <c r="D182" i="4"/>
  <c r="D181" i="4"/>
  <c r="D180" i="4"/>
  <c r="D170" i="4"/>
  <c r="G30" i="4" s="1"/>
  <c r="D169" i="4"/>
  <c r="G29" i="4" s="1"/>
  <c r="D168" i="4"/>
  <c r="G28" i="4" s="1"/>
  <c r="D167" i="4"/>
  <c r="G27" i="4" s="1"/>
  <c r="D166" i="4"/>
  <c r="G26" i="4" s="1"/>
  <c r="D165" i="4"/>
  <c r="G25" i="4" s="1"/>
  <c r="D164" i="4"/>
  <c r="D163" i="4"/>
  <c r="D162" i="4"/>
  <c r="D161" i="4"/>
  <c r="D160" i="4"/>
  <c r="D159" i="4"/>
  <c r="D158" i="4"/>
  <c r="D157" i="4"/>
  <c r="D156" i="4"/>
  <c r="D155" i="4"/>
  <c r="D154" i="4"/>
  <c r="D153" i="4"/>
  <c r="D152" i="4"/>
  <c r="D151" i="4"/>
  <c r="D179" i="4"/>
  <c r="G39" i="4" s="1"/>
  <c r="D178" i="4"/>
  <c r="G38" i="4" s="1"/>
  <c r="D177" i="4"/>
  <c r="G37" i="4" s="1"/>
  <c r="D176" i="4"/>
  <c r="G36" i="4" s="1"/>
  <c r="D175" i="4"/>
  <c r="G35" i="4" s="1"/>
  <c r="D174" i="4"/>
  <c r="G34" i="4" s="1"/>
  <c r="D173" i="4"/>
  <c r="G33" i="4" s="1"/>
  <c r="D172" i="4"/>
  <c r="G32" i="4" s="1"/>
  <c r="D171" i="4"/>
  <c r="G31" i="4" s="1"/>
  <c r="D150" i="4"/>
  <c r="D149" i="4"/>
  <c r="D148" i="4"/>
  <c r="D147" i="4"/>
  <c r="D146" i="4"/>
  <c r="D145" i="4"/>
  <c r="G5" i="4" s="1"/>
  <c r="D144" i="4"/>
  <c r="D143" i="4"/>
  <c r="D142" i="4"/>
  <c r="D135" i="4"/>
  <c r="D134" i="4"/>
  <c r="D133" i="4"/>
  <c r="D132" i="4"/>
  <c r="D131" i="4"/>
  <c r="D130" i="4"/>
  <c r="D129" i="4"/>
  <c r="D128" i="4"/>
  <c r="D127" i="4"/>
  <c r="D126" i="4"/>
  <c r="D125" i="4"/>
  <c r="D124" i="4"/>
  <c r="D123" i="4"/>
  <c r="D122" i="4"/>
  <c r="D121" i="4"/>
  <c r="D141" i="4"/>
  <c r="D140" i="4"/>
  <c r="D139" i="4"/>
  <c r="D138" i="4"/>
  <c r="D137" i="4"/>
  <c r="D136" i="4"/>
  <c r="D120" i="4"/>
  <c r="D119" i="4"/>
  <c r="D118" i="4"/>
  <c r="D117" i="4"/>
  <c r="D116" i="4"/>
  <c r="D115" i="4"/>
  <c r="D114" i="4"/>
  <c r="D113" i="4"/>
  <c r="D112" i="4"/>
  <c r="D111" i="4"/>
  <c r="D110" i="4"/>
  <c r="D109" i="4"/>
  <c r="D108" i="4"/>
  <c r="D107" i="4"/>
  <c r="D97" i="4"/>
  <c r="D96" i="4"/>
  <c r="D95" i="4"/>
  <c r="D94" i="4"/>
  <c r="D93" i="4"/>
  <c r="D92" i="4"/>
  <c r="D91" i="4"/>
  <c r="D90" i="4"/>
  <c r="D106" i="4"/>
  <c r="D105" i="4"/>
  <c r="D104" i="4"/>
  <c r="D103" i="4"/>
  <c r="D102" i="4"/>
  <c r="D101" i="4"/>
  <c r="D100" i="4"/>
  <c r="D99" i="4"/>
  <c r="D98" i="4"/>
  <c r="D89" i="4"/>
  <c r="D88" i="4"/>
  <c r="D87" i="4"/>
  <c r="D86" i="4"/>
  <c r="D85" i="4"/>
  <c r="D84" i="4"/>
  <c r="D83" i="4"/>
  <c r="D82" i="4"/>
  <c r="D81" i="4"/>
  <c r="D80" i="4"/>
  <c r="D77" i="4"/>
  <c r="D76" i="4"/>
  <c r="D75" i="4"/>
  <c r="D74" i="4"/>
  <c r="D73" i="4"/>
  <c r="D72" i="4"/>
  <c r="D79" i="4"/>
  <c r="D78" i="4"/>
  <c r="D71" i="4"/>
  <c r="D70" i="4"/>
  <c r="D69" i="4"/>
  <c r="D67" i="4"/>
  <c r="D68" i="4"/>
  <c r="D66" i="4"/>
  <c r="D65" i="4"/>
  <c r="D64" i="4"/>
  <c r="D63" i="4"/>
  <c r="D62" i="4"/>
  <c r="D61" i="4"/>
  <c r="D60" i="4"/>
  <c r="D59" i="4"/>
  <c r="D58" i="4"/>
  <c r="D57" i="4"/>
  <c r="D55" i="4"/>
  <c r="D54" i="4"/>
  <c r="D56" i="4"/>
  <c r="D53" i="4"/>
  <c r="D52" i="4"/>
  <c r="D50" i="4"/>
  <c r="D49" i="4"/>
  <c r="D48" i="4"/>
  <c r="D47" i="4"/>
  <c r="D51" i="4"/>
  <c r="D46" i="4"/>
  <c r="D45" i="4"/>
  <c r="D44" i="4"/>
  <c r="D43" i="4"/>
  <c r="D42" i="4"/>
  <c r="D37" i="4"/>
  <c r="D36" i="4"/>
  <c r="D35" i="4"/>
  <c r="D34" i="4"/>
  <c r="D41" i="4"/>
  <c r="D40" i="4"/>
  <c r="D39" i="4"/>
  <c r="D38" i="4"/>
  <c r="D32" i="4"/>
  <c r="D33" i="4"/>
  <c r="D31" i="4"/>
  <c r="D30" i="4"/>
  <c r="D29" i="4"/>
  <c r="D28" i="4"/>
  <c r="D27" i="4"/>
  <c r="D26" i="4"/>
  <c r="D25" i="4"/>
  <c r="D19" i="4"/>
  <c r="D18" i="4"/>
  <c r="D17" i="4"/>
  <c r="D16" i="4"/>
  <c r="D24" i="4"/>
  <c r="D23" i="4"/>
  <c r="D22" i="4"/>
  <c r="D21" i="4"/>
  <c r="D20" i="4"/>
  <c r="D15" i="4"/>
  <c r="D14" i="4"/>
  <c r="S13" i="4"/>
  <c r="D13" i="4"/>
  <c r="S12" i="4"/>
  <c r="D12" i="4"/>
  <c r="S11" i="4"/>
  <c r="D11" i="4"/>
  <c r="S10" i="4"/>
  <c r="D10" i="4"/>
  <c r="S9" i="4"/>
  <c r="D9" i="4"/>
  <c r="W8" i="4"/>
  <c r="S8" i="4"/>
  <c r="D8" i="4"/>
  <c r="W7" i="4"/>
  <c r="S7" i="4"/>
  <c r="D7" i="4"/>
  <c r="W6" i="4"/>
  <c r="S6" i="4"/>
  <c r="D6" i="4"/>
  <c r="W5" i="4"/>
  <c r="S5" i="4"/>
  <c r="D5" i="4"/>
  <c r="W4" i="4"/>
  <c r="S4" i="4"/>
  <c r="D4" i="4"/>
  <c r="W3" i="4"/>
  <c r="S3" i="4"/>
  <c r="D3" i="4"/>
  <c r="W2" i="4"/>
  <c r="S2" i="4"/>
  <c r="D2" i="4"/>
  <c r="G7" i="4" l="1"/>
  <c r="G2" i="4"/>
  <c r="G10" i="4"/>
  <c r="G17" i="4"/>
  <c r="G3" i="4"/>
  <c r="G18" i="4"/>
  <c r="G4" i="4"/>
  <c r="G11" i="4"/>
  <c r="G19" i="4"/>
  <c r="G12" i="4"/>
  <c r="G20" i="4"/>
  <c r="G6" i="4"/>
  <c r="G13" i="4"/>
  <c r="G21" i="4"/>
  <c r="G14" i="4"/>
  <c r="G22" i="4"/>
  <c r="G8" i="4"/>
  <c r="G15" i="4"/>
  <c r="G23" i="4"/>
  <c r="G9" i="4"/>
  <c r="G16" i="4"/>
  <c r="G24" i="4"/>
  <c r="R36" i="25"/>
  <c r="AA36" i="25"/>
  <c r="U36" i="25"/>
  <c r="Y36" i="25"/>
  <c r="W36" i="25"/>
  <c r="AB36" i="25" a="1"/>
  <c r="AB36" i="25" s="1"/>
  <c r="V36" i="25"/>
  <c r="Z36" i="25"/>
  <c r="X36" i="25"/>
  <c r="R37" i="25"/>
  <c r="AA37" i="25"/>
  <c r="W37" i="25"/>
  <c r="V37" i="25"/>
  <c r="AB37" i="25" a="1"/>
  <c r="AB37" i="25" s="1"/>
  <c r="Z37" i="25"/>
  <c r="Y37" i="25"/>
  <c r="X37" i="25"/>
  <c r="U37" i="25"/>
  <c r="R38" i="25"/>
  <c r="V38" i="25"/>
  <c r="U38" i="25"/>
  <c r="W38" i="25"/>
  <c r="Z38" i="25"/>
  <c r="Y38" i="25"/>
  <c r="AA38" i="25"/>
  <c r="X38" i="25"/>
  <c r="AB38" i="25" a="1"/>
  <c r="AB38" i="25" s="1"/>
  <c r="R39" i="25"/>
  <c r="V39" i="25"/>
  <c r="AA39" i="25"/>
  <c r="Y39" i="25"/>
  <c r="Z39" i="25"/>
  <c r="X39" i="25"/>
  <c r="W39" i="25"/>
  <c r="U39" i="25"/>
  <c r="AB39" i="25" a="1"/>
  <c r="AB39" i="25" s="1"/>
  <c r="R35" i="25"/>
  <c r="X35" i="25"/>
  <c r="V35" i="25"/>
  <c r="U35" i="25"/>
  <c r="AB35" i="25" a="1"/>
  <c r="AB35" i="25" s="1"/>
  <c r="AA35" i="25"/>
  <c r="W35" i="25"/>
  <c r="Z35" i="25"/>
  <c r="Y35" i="25"/>
  <c r="R27" i="25"/>
  <c r="X27" i="25"/>
  <c r="AA27" i="25"/>
  <c r="W27" i="25"/>
  <c r="U27" i="25"/>
  <c r="V27" i="25"/>
  <c r="AB27" i="25" a="1"/>
  <c r="AB27" i="25" s="1"/>
  <c r="Z27" i="25"/>
  <c r="Y27" i="25"/>
  <c r="R29" i="25"/>
  <c r="V29" i="25"/>
  <c r="U29" i="25"/>
  <c r="W29" i="25"/>
  <c r="AB29" i="25" a="1"/>
  <c r="AB29" i="25" s="1"/>
  <c r="X29" i="25"/>
  <c r="Z29" i="25"/>
  <c r="AA29" i="25"/>
  <c r="Y29" i="25"/>
  <c r="R32" i="25"/>
  <c r="U32" i="25"/>
  <c r="X32" i="25"/>
  <c r="AB32" i="25" a="1"/>
  <c r="AB32" i="25" s="1"/>
  <c r="V32" i="25"/>
  <c r="Z32" i="25"/>
  <c r="AA32" i="25"/>
  <c r="Y32" i="25"/>
  <c r="W32" i="25"/>
  <c r="R30" i="25"/>
  <c r="Y30" i="25"/>
  <c r="X30" i="25"/>
  <c r="V30" i="25"/>
  <c r="U30" i="25"/>
  <c r="AA30" i="25"/>
  <c r="Z30" i="25"/>
  <c r="AB30" i="25" a="1"/>
  <c r="AB30" i="25" s="1"/>
  <c r="W30" i="25"/>
  <c r="R28" i="25"/>
  <c r="AB28" i="25" a="1"/>
  <c r="AB28" i="25" s="1"/>
  <c r="V28" i="25"/>
  <c r="U28" i="25"/>
  <c r="AA28" i="25"/>
  <c r="W28" i="25"/>
  <c r="Z28" i="25"/>
  <c r="X28" i="25"/>
  <c r="Y28" i="25"/>
  <c r="R31" i="25"/>
  <c r="AA31" i="25"/>
  <c r="AB31" i="25" a="1"/>
  <c r="AB31" i="25" s="1"/>
  <c r="Y31" i="25"/>
  <c r="W31" i="25"/>
  <c r="V31" i="25"/>
  <c r="U31" i="25"/>
  <c r="Z31" i="25"/>
  <c r="X31" i="25"/>
  <c r="R33" i="25"/>
  <c r="X33" i="25"/>
  <c r="W33" i="25"/>
  <c r="Z33" i="25"/>
  <c r="AA33" i="25"/>
  <c r="V33" i="25"/>
  <c r="AB33" i="25" a="1"/>
  <c r="AB33" i="25" s="1"/>
  <c r="U33" i="25"/>
  <c r="Y33" i="25"/>
  <c r="R34" i="25"/>
  <c r="Y34" i="25"/>
  <c r="AB34" i="25" a="1"/>
  <c r="AB34" i="25" s="1"/>
  <c r="V34" i="25"/>
  <c r="AA34" i="25"/>
  <c r="U34" i="25"/>
  <c r="W34" i="25"/>
  <c r="Z34" i="25"/>
  <c r="X34" i="25"/>
  <c r="R25" i="25"/>
  <c r="Y25" i="25"/>
  <c r="X25" i="25"/>
  <c r="AA25" i="25"/>
  <c r="AB25" i="25" a="1"/>
  <c r="AB25" i="25" s="1"/>
  <c r="W25" i="25"/>
  <c r="Z25" i="25"/>
  <c r="V25" i="25"/>
  <c r="U25" i="25"/>
  <c r="R26" i="25"/>
  <c r="AA26" i="25"/>
  <c r="Y26" i="25"/>
  <c r="Z26" i="25"/>
  <c r="V26" i="25"/>
  <c r="X26" i="25"/>
  <c r="W26" i="25"/>
  <c r="U26" i="25"/>
  <c r="AB26" i="25" a="1"/>
  <c r="AB26" i="25" s="1"/>
  <c r="R23" i="25"/>
  <c r="Y23" i="25"/>
  <c r="AB23" i="25" a="1"/>
  <c r="AB23" i="25" s="1"/>
  <c r="W23" i="25"/>
  <c r="Z23" i="25"/>
  <c r="X23" i="25"/>
  <c r="V23" i="25"/>
  <c r="U23" i="25"/>
  <c r="AA23" i="25"/>
  <c r="R24" i="25"/>
  <c r="W24" i="25"/>
  <c r="AB24" i="25" a="1"/>
  <c r="AB24" i="25" s="1"/>
  <c r="AA24" i="25"/>
  <c r="Y24" i="25"/>
  <c r="U24" i="25"/>
  <c r="Z24" i="25"/>
  <c r="X24" i="25"/>
  <c r="V24" i="25"/>
  <c r="R14" i="25"/>
  <c r="AA14" i="25"/>
  <c r="Z14" i="25"/>
  <c r="Y14" i="25"/>
  <c r="X14" i="25"/>
  <c r="W14" i="25"/>
  <c r="V14" i="25"/>
  <c r="U14" i="25"/>
  <c r="R15" i="25"/>
  <c r="AA15" i="25"/>
  <c r="Z15" i="25"/>
  <c r="Y15" i="25"/>
  <c r="X15" i="25"/>
  <c r="W15" i="25"/>
  <c r="V15" i="25"/>
  <c r="U15" i="25"/>
  <c r="R16" i="25"/>
  <c r="AA16" i="25"/>
  <c r="Z16" i="25"/>
  <c r="Y16" i="25"/>
  <c r="X16" i="25"/>
  <c r="W16" i="25"/>
  <c r="V16" i="25"/>
  <c r="U16" i="25"/>
  <c r="R17" i="25"/>
  <c r="AA17" i="25"/>
  <c r="Z17" i="25"/>
  <c r="Y17" i="25"/>
  <c r="X17" i="25"/>
  <c r="W17" i="25"/>
  <c r="V17" i="25"/>
  <c r="U17" i="25"/>
  <c r="R18" i="25"/>
  <c r="AA18" i="25"/>
  <c r="Z18" i="25"/>
  <c r="Y18" i="25"/>
  <c r="X18" i="25"/>
  <c r="W18" i="25"/>
  <c r="V18" i="25"/>
  <c r="U18" i="25"/>
  <c r="R19" i="25"/>
  <c r="AA19" i="25"/>
  <c r="Z19" i="25"/>
  <c r="Y19" i="25"/>
  <c r="X19" i="25"/>
  <c r="W19" i="25"/>
  <c r="V19" i="25"/>
  <c r="U19" i="25"/>
  <c r="AA20" i="25"/>
  <c r="Z20" i="25"/>
  <c r="Y20" i="25"/>
  <c r="X20" i="25"/>
  <c r="W20" i="25"/>
  <c r="V20" i="25"/>
  <c r="U20" i="25"/>
  <c r="R21" i="25"/>
  <c r="AA21" i="25"/>
  <c r="Z21" i="25"/>
  <c r="Y21" i="25"/>
  <c r="X21" i="25"/>
  <c r="W21" i="25"/>
  <c r="V21" i="25"/>
  <c r="U21" i="25"/>
  <c r="R22" i="25"/>
  <c r="AB22" i="25" a="1"/>
  <c r="AB22" i="25" s="1"/>
  <c r="AA22" i="25"/>
  <c r="Z22" i="25"/>
  <c r="Y22" i="25"/>
  <c r="X22" i="25"/>
  <c r="W22" i="25"/>
  <c r="V22" i="25"/>
  <c r="U22" i="25"/>
  <c r="G11" i="34"/>
  <c r="R20" i="25"/>
  <c r="T20" i="25"/>
  <c r="D14" i="37"/>
  <c r="D13" i="37"/>
  <c r="D12" i="37"/>
  <c r="D11" i="37"/>
  <c r="D10" i="37"/>
  <c r="D9" i="37"/>
  <c r="D7" i="37"/>
  <c r="D6" i="37"/>
  <c r="D5" i="37"/>
  <c r="D4" i="37"/>
  <c r="D3" i="37"/>
  <c r="S28" i="4" l="1" a="1"/>
  <c r="S28" i="4" s="1"/>
  <c r="Q33" i="4" a="1"/>
  <c r="Q33" i="4" s="1"/>
  <c r="AB21" i="25" a="1"/>
  <c r="AB21" i="25" s="1"/>
  <c r="AB20" i="25" a="1"/>
  <c r="AB20" i="25" s="1"/>
  <c r="AB19" i="25" a="1"/>
  <c r="AB19" i="25" s="1"/>
  <c r="D8" i="90"/>
  <c r="S8" i="90"/>
  <c r="AD12" i="90"/>
  <c r="S8" i="89"/>
  <c r="D8" i="89"/>
  <c r="AD12" i="89"/>
  <c r="S8" i="88"/>
  <c r="D8" i="88"/>
  <c r="AD12" i="88"/>
  <c r="D8" i="87"/>
  <c r="AD12" i="87"/>
  <c r="S8" i="87"/>
  <c r="S8" i="86"/>
  <c r="D8" i="86"/>
  <c r="AD12" i="86"/>
  <c r="S8" i="85"/>
  <c r="D8" i="85"/>
  <c r="AD12" i="85"/>
  <c r="D8" i="84"/>
  <c r="S8" i="84"/>
  <c r="AD12" i="84"/>
  <c r="S8" i="83"/>
  <c r="D8" i="83"/>
  <c r="AD12" i="83"/>
  <c r="S8" i="82"/>
  <c r="D8" i="82"/>
  <c r="AD12" i="82"/>
  <c r="S8" i="81"/>
  <c r="AD12" i="81"/>
  <c r="D8" i="81"/>
  <c r="D8" i="80"/>
  <c r="S8" i="80"/>
  <c r="AD12" i="80"/>
  <c r="AB14" i="25" a="1"/>
  <c r="AB14" i="25" s="1"/>
  <c r="AB18" i="25" a="1"/>
  <c r="AB18" i="25" s="1"/>
  <c r="AB16" i="25" a="1"/>
  <c r="AB16" i="25" s="1"/>
  <c r="AB17" i="25" a="1"/>
  <c r="AB17" i="25" s="1"/>
  <c r="AB15" i="25" a="1"/>
  <c r="AB15" i="25" s="1"/>
  <c r="C12" i="50"/>
  <c r="AF17" i="25"/>
  <c r="AF16" i="25"/>
  <c r="S8" i="25"/>
  <c r="AD12" i="25"/>
  <c r="D8" i="25"/>
  <c r="C11" i="91"/>
  <c r="C4" i="91"/>
  <c r="C13" i="91"/>
  <c r="C3" i="79" a="1"/>
  <c r="C14" i="91"/>
  <c r="C2" i="37"/>
  <c r="C9" i="91"/>
  <c r="C6" i="91"/>
  <c r="C12" i="91"/>
  <c r="C10" i="91"/>
  <c r="C7" i="91"/>
  <c r="C3" i="91"/>
  <c r="E16" i="50" a="1"/>
  <c r="C8" i="91"/>
  <c r="C5" i="91"/>
  <c r="DS11" i="79" l="1"/>
  <c r="DS10" i="79"/>
  <c r="DS9" i="79"/>
  <c r="DS8" i="79"/>
  <c r="DS7" i="79"/>
  <c r="DS6" i="79"/>
  <c r="DS5" i="79"/>
  <c r="DS4" i="79"/>
  <c r="DS3" i="79"/>
  <c r="DL8" i="79"/>
  <c r="DR11" i="79"/>
  <c r="DR10" i="79"/>
  <c r="DR9" i="79"/>
  <c r="DR8" i="79"/>
  <c r="DR7" i="79"/>
  <c r="DR6" i="79"/>
  <c r="DR5" i="79"/>
  <c r="DR4" i="79"/>
  <c r="DR3" i="79"/>
  <c r="DL9" i="79"/>
  <c r="DQ11" i="79"/>
  <c r="DQ10" i="79"/>
  <c r="DQ9" i="79"/>
  <c r="DQ8" i="79"/>
  <c r="DQ7" i="79"/>
  <c r="DQ6" i="79"/>
  <c r="DQ5" i="79"/>
  <c r="DQ4" i="79"/>
  <c r="DQ3" i="79"/>
  <c r="DL6" i="79"/>
  <c r="DP11" i="79"/>
  <c r="DP10" i="79"/>
  <c r="DP9" i="79"/>
  <c r="DP8" i="79"/>
  <c r="DP7" i="79"/>
  <c r="DP6" i="79"/>
  <c r="DP5" i="79"/>
  <c r="DP4" i="79"/>
  <c r="DP3" i="79"/>
  <c r="DL4" i="79"/>
  <c r="DO11" i="79"/>
  <c r="DO10" i="79"/>
  <c r="DO9" i="79"/>
  <c r="DO8" i="79"/>
  <c r="DO7" i="79"/>
  <c r="DO6" i="79"/>
  <c r="DO5" i="79"/>
  <c r="DO4" i="79"/>
  <c r="DO3" i="79"/>
  <c r="DL11" i="79"/>
  <c r="DN11" i="79"/>
  <c r="DN10" i="79"/>
  <c r="DN9" i="79"/>
  <c r="DN8" i="79"/>
  <c r="DN7" i="79"/>
  <c r="DN6" i="79"/>
  <c r="DN5" i="79"/>
  <c r="DN4" i="79"/>
  <c r="DN3" i="79"/>
  <c r="DL10" i="79"/>
  <c r="DL7" i="79"/>
  <c r="DM11" i="79"/>
  <c r="DM10" i="79"/>
  <c r="DM9" i="79"/>
  <c r="DM8" i="79"/>
  <c r="DM7" i="79"/>
  <c r="DM6" i="79"/>
  <c r="DM5" i="79"/>
  <c r="DM4" i="79"/>
  <c r="DM3" i="79"/>
  <c r="DL5" i="79"/>
  <c r="DC11" i="79"/>
  <c r="DC10" i="79"/>
  <c r="DC9" i="79"/>
  <c r="DC8" i="79"/>
  <c r="DC7" i="79"/>
  <c r="DC6" i="79"/>
  <c r="DC5" i="79"/>
  <c r="DC4" i="79"/>
  <c r="DC3" i="79"/>
  <c r="CW8" i="79"/>
  <c r="DB11" i="79"/>
  <c r="DB10" i="79"/>
  <c r="DB9" i="79"/>
  <c r="DB8" i="79"/>
  <c r="DB7" i="79"/>
  <c r="DB6" i="79"/>
  <c r="DB5" i="79"/>
  <c r="DB4" i="79"/>
  <c r="DB3" i="79"/>
  <c r="CW7" i="79"/>
  <c r="DA11" i="79"/>
  <c r="DA10" i="79"/>
  <c r="DA9" i="79"/>
  <c r="DA8" i="79"/>
  <c r="DA7" i="79"/>
  <c r="DA6" i="79"/>
  <c r="DA5" i="79"/>
  <c r="DA4" i="79"/>
  <c r="DA3" i="79"/>
  <c r="CW9" i="79"/>
  <c r="CZ11" i="79"/>
  <c r="CZ10" i="79"/>
  <c r="CZ9" i="79"/>
  <c r="CZ8" i="79"/>
  <c r="CZ7" i="79"/>
  <c r="CZ6" i="79"/>
  <c r="CZ5" i="79"/>
  <c r="CZ4" i="79"/>
  <c r="CZ3" i="79"/>
  <c r="CW5" i="79"/>
  <c r="CY11" i="79"/>
  <c r="CY10" i="79"/>
  <c r="CY9" i="79"/>
  <c r="CY8" i="79"/>
  <c r="CY7" i="79"/>
  <c r="CY6" i="79"/>
  <c r="CY5" i="79"/>
  <c r="CY4" i="79"/>
  <c r="CY3" i="79"/>
  <c r="CW11" i="79"/>
  <c r="CW4" i="79"/>
  <c r="CX11" i="79"/>
  <c r="CX10" i="79"/>
  <c r="CX9" i="79"/>
  <c r="CX8" i="79"/>
  <c r="CX7" i="79"/>
  <c r="CX6" i="79"/>
  <c r="CX5" i="79"/>
  <c r="CX4" i="79"/>
  <c r="CX3" i="79"/>
  <c r="CW6" i="79"/>
  <c r="CV11" i="79"/>
  <c r="CV10" i="79"/>
  <c r="CV9" i="79"/>
  <c r="CV8" i="79"/>
  <c r="CV7" i="79"/>
  <c r="CV6" i="79"/>
  <c r="CV5" i="79"/>
  <c r="CV4" i="79"/>
  <c r="CW10" i="79"/>
  <c r="CW3" i="79"/>
  <c r="E16" i="50"/>
  <c r="F10" i="91"/>
  <c r="D10" i="91"/>
  <c r="B10" i="91" s="1"/>
  <c r="E10" i="91"/>
  <c r="G10" i="91"/>
  <c r="H10" i="91"/>
  <c r="G7" i="91"/>
  <c r="E7" i="91"/>
  <c r="F7" i="91"/>
  <c r="D7" i="91"/>
  <c r="B7" i="91" s="1"/>
  <c r="H7" i="91"/>
  <c r="F13" i="91"/>
  <c r="E13" i="91"/>
  <c r="G13" i="91"/>
  <c r="H13" i="91"/>
  <c r="D13" i="91"/>
  <c r="B13" i="91" s="1"/>
  <c r="E6" i="91"/>
  <c r="F6" i="91"/>
  <c r="H6" i="91"/>
  <c r="G6" i="91"/>
  <c r="D6" i="91"/>
  <c r="B6" i="91" s="1"/>
  <c r="H3" i="91"/>
  <c r="G3" i="91"/>
  <c r="E3" i="91"/>
  <c r="F3" i="91"/>
  <c r="D3" i="91"/>
  <c r="F8" i="91"/>
  <c r="G8" i="91"/>
  <c r="H8" i="91"/>
  <c r="D8" i="91"/>
  <c r="B8" i="91" s="1"/>
  <c r="E8" i="91"/>
  <c r="H12" i="91"/>
  <c r="F12" i="91"/>
  <c r="G12" i="91"/>
  <c r="E12" i="91"/>
  <c r="D12" i="91"/>
  <c r="B12" i="91" s="1"/>
  <c r="H4" i="91"/>
  <c r="G4" i="91"/>
  <c r="F4" i="91"/>
  <c r="D4" i="91"/>
  <c r="B4" i="91" s="1"/>
  <c r="E4" i="91"/>
  <c r="E14" i="91"/>
  <c r="H14" i="91"/>
  <c r="G14" i="91"/>
  <c r="D14" i="91"/>
  <c r="B14" i="91" s="1"/>
  <c r="F14" i="91"/>
  <c r="F5" i="91"/>
  <c r="D5" i="91"/>
  <c r="B5" i="91" s="1"/>
  <c r="G5" i="91"/>
  <c r="E5" i="91"/>
  <c r="H5" i="91"/>
  <c r="H9" i="91"/>
  <c r="F9" i="91"/>
  <c r="E9" i="91"/>
  <c r="D9" i="91"/>
  <c r="B9" i="91" s="1"/>
  <c r="G9" i="91"/>
  <c r="C3" i="79"/>
  <c r="DL3" i="79" s="1"/>
  <c r="G11" i="91"/>
  <c r="D11" i="91"/>
  <c r="B11" i="91" s="1"/>
  <c r="H11" i="91"/>
  <c r="E11" i="91"/>
  <c r="F11" i="91"/>
  <c r="AF18" i="25"/>
  <c r="D2" i="37"/>
  <c r="AM38" i="25"/>
  <c r="AI29" i="25"/>
  <c r="AJ29" i="25" s="1"/>
  <c r="AM33" i="25"/>
  <c r="D18" i="34"/>
  <c r="AG24" i="25"/>
  <c r="AH24" i="25" s="1"/>
  <c r="AM35" i="25"/>
  <c r="AI36" i="25"/>
  <c r="AK37" i="25"/>
  <c r="AI23" i="25"/>
  <c r="AJ23" i="25" s="1"/>
  <c r="AM37" i="25"/>
  <c r="AI27" i="25"/>
  <c r="AJ27" i="25" s="1"/>
  <c r="AG37" i="25"/>
  <c r="AK36" i="25"/>
  <c r="AG39" i="25"/>
  <c r="AI28" i="25"/>
  <c r="AJ28" i="25" s="1"/>
  <c r="AI38" i="25"/>
  <c r="AK38" i="25"/>
  <c r="AM34" i="25"/>
  <c r="AM36" i="25"/>
  <c r="AG23" i="25"/>
  <c r="AH23" i="25" s="1"/>
  <c r="AI35" i="25"/>
  <c r="AK34" i="25"/>
  <c r="AK33" i="25"/>
  <c r="AK39" i="25"/>
  <c r="AG27" i="25"/>
  <c r="AH27" i="25" s="1"/>
  <c r="AI25" i="25"/>
  <c r="AJ25" i="25" s="1"/>
  <c r="AG25" i="25"/>
  <c r="AH25" i="25" s="1"/>
  <c r="AM39" i="25"/>
  <c r="AI26" i="25"/>
  <c r="AJ26" i="25" s="1"/>
  <c r="AG36" i="25"/>
  <c r="AK35" i="25"/>
  <c r="AG38" i="25"/>
  <c r="AG26" i="25"/>
  <c r="AH26" i="25" s="1"/>
  <c r="AI34" i="25"/>
  <c r="AI37" i="25"/>
  <c r="AI24" i="25"/>
  <c r="AJ24" i="25" s="1"/>
  <c r="AG28" i="25"/>
  <c r="AH28" i="25" s="1"/>
  <c r="AG29" i="25"/>
  <c r="AH29" i="25" s="1"/>
  <c r="AI33" i="25"/>
  <c r="AG33" i="25"/>
  <c r="AG34" i="25"/>
  <c r="AG35" i="25"/>
  <c r="AI39" i="25"/>
  <c r="MP3" i="93"/>
  <c r="GC3" i="93"/>
  <c r="BV3" i="93"/>
  <c r="FS3" i="93"/>
  <c r="DV3" i="93"/>
  <c r="BY3" i="93"/>
  <c r="NG3" i="93"/>
  <c r="DD3" i="93"/>
  <c r="MO3" i="93"/>
  <c r="V3" i="93"/>
  <c r="KP3" i="93"/>
  <c r="FN3" i="93"/>
  <c r="EU3" i="93"/>
  <c r="BX3" i="93"/>
  <c r="DP3" i="93"/>
  <c r="BW3" i="93"/>
  <c r="JN3" i="93"/>
  <c r="NK3" i="93"/>
  <c r="KF3" i="93"/>
  <c r="MB3" i="93"/>
  <c r="EV3" i="93"/>
  <c r="R3" i="93"/>
  <c r="IR3" i="93"/>
  <c r="MN3" i="93"/>
  <c r="FT3" i="93"/>
  <c r="JD3" i="93"/>
  <c r="EK3" i="93"/>
  <c r="AD3" i="93"/>
  <c r="EG3" i="93"/>
  <c r="GT3" i="93"/>
  <c r="FF3" i="93"/>
  <c r="GK3" i="93"/>
  <c r="FV3" i="93"/>
  <c r="LJ3" i="93"/>
  <c r="GF3" i="93"/>
  <c r="FD3" i="93"/>
  <c r="EP3" i="93"/>
  <c r="OB3" i="93"/>
  <c r="DJ3" i="93"/>
  <c r="JV3" i="93"/>
  <c r="LB3" i="93"/>
  <c r="NE3" i="93"/>
  <c r="CA3" i="93"/>
  <c r="FQ3" i="93"/>
  <c r="NV3" i="93"/>
  <c r="LP3" i="93"/>
  <c r="HX3" i="93"/>
  <c r="CY3" i="93"/>
  <c r="ES3" i="93"/>
  <c r="CG3" i="93"/>
  <c r="HH3" i="93"/>
  <c r="DS3" i="93"/>
  <c r="LF3" i="93"/>
  <c r="GI3" i="93"/>
  <c r="NU3" i="93"/>
  <c r="LW3" i="93"/>
  <c r="AJ3" i="93"/>
  <c r="LY3" i="93"/>
  <c r="DR3" i="93"/>
  <c r="EX3" i="93"/>
  <c r="LQ3" i="93"/>
  <c r="BE3" i="93"/>
  <c r="NC3" i="93"/>
  <c r="LL3" i="93"/>
  <c r="BZ3" i="93"/>
  <c r="M3" i="93"/>
  <c r="MV3" i="93"/>
  <c r="LR3" i="93"/>
  <c r="DY3" i="93"/>
  <c r="HV3" i="93"/>
  <c r="CF3" i="93"/>
  <c r="LV3" i="93"/>
  <c r="GS3" i="93"/>
  <c r="MZ3" i="93"/>
  <c r="CZ3" i="93"/>
  <c r="DL3" i="93"/>
  <c r="GJ3" i="93"/>
  <c r="GA3" i="93"/>
  <c r="GX3" i="93"/>
  <c r="AI3" i="93"/>
  <c r="LE3" i="93"/>
  <c r="KH3" i="93"/>
  <c r="CE3" i="93"/>
  <c r="HM3" i="93"/>
  <c r="CL3" i="93"/>
  <c r="KZ3" i="93"/>
  <c r="EQ3" i="93"/>
  <c r="CR3" i="93"/>
  <c r="IW3" i="93"/>
  <c r="DX3" i="93"/>
  <c r="GH3" i="93"/>
  <c r="HK3" i="93"/>
  <c r="AS3" i="93"/>
  <c r="P3" i="93"/>
  <c r="DG3" i="93"/>
  <c r="HR3" i="93"/>
  <c r="HJ3" i="93"/>
  <c r="KD3" i="93"/>
  <c r="GG3" i="93"/>
  <c r="HZ3" i="93"/>
  <c r="LT3" i="93"/>
  <c r="JP3" i="93"/>
  <c r="EN3" i="93"/>
  <c r="IE3" i="93"/>
  <c r="EC3" i="93"/>
  <c r="KV3" i="93"/>
  <c r="DO3" i="93"/>
  <c r="AQ3" i="93"/>
  <c r="AE3" i="93"/>
  <c r="HO3" i="93"/>
  <c r="KW3" i="93"/>
  <c r="JG3" i="93"/>
  <c r="MT3" i="93"/>
  <c r="EF3" i="93"/>
  <c r="S3" i="93"/>
  <c r="IH3" i="93"/>
  <c r="LM3" i="93"/>
  <c r="KT3" i="93"/>
  <c r="CX3" i="93"/>
  <c r="BL3" i="93"/>
  <c r="BU3" i="93"/>
  <c r="GE3" i="93"/>
  <c r="AX3" i="93"/>
  <c r="MI3" i="93"/>
  <c r="HT3" i="93"/>
  <c r="MY3" i="93"/>
  <c r="BI3" i="93"/>
  <c r="AG3" i="93"/>
  <c r="JS3" i="93"/>
  <c r="NN3" i="93"/>
  <c r="KK3" i="93"/>
  <c r="EI3" i="93"/>
  <c r="NS3" i="93"/>
  <c r="HG3" i="93"/>
  <c r="HI3" i="93"/>
  <c r="JU3" i="93"/>
  <c r="IB3" i="93"/>
  <c r="JM3" i="93"/>
  <c r="GD3" i="93"/>
  <c r="BF3" i="93"/>
  <c r="JY3" i="93"/>
  <c r="NX3" i="93"/>
  <c r="CO3" i="93"/>
  <c r="AK3" i="93"/>
  <c r="GB3" i="93"/>
  <c r="HB3" i="93"/>
  <c r="LS3" i="93"/>
  <c r="MU3" i="93"/>
  <c r="MA3" i="93"/>
  <c r="NT3" i="93"/>
  <c r="BJ3" i="93"/>
  <c r="N3" i="93"/>
  <c r="FU3" i="93"/>
  <c r="Y3" i="93"/>
  <c r="JF3" i="93"/>
  <c r="CN3" i="93"/>
  <c r="AZ3" i="93"/>
  <c r="NW3" i="93"/>
  <c r="MX3" i="93"/>
  <c r="KC3" i="93"/>
  <c r="KX3" i="93"/>
  <c r="MC3" i="93"/>
  <c r="FP3" i="93"/>
  <c r="DM3" i="93"/>
  <c r="NI3" i="93"/>
  <c r="CC3" i="93"/>
  <c r="JH3" i="93"/>
  <c r="BQ3" i="93"/>
  <c r="II3" i="93"/>
  <c r="NH3" i="93"/>
  <c r="DB3" i="93"/>
  <c r="U3" i="93"/>
  <c r="CS3" i="93"/>
  <c r="DF3" i="93"/>
  <c r="KQ3" i="93"/>
  <c r="GY3" i="93"/>
  <c r="ML3" i="93"/>
  <c r="BB3" i="93"/>
  <c r="FO3" i="93"/>
  <c r="KA3" i="93"/>
  <c r="AR3" i="93"/>
  <c r="JR3" i="93"/>
  <c r="NP3" i="93"/>
  <c r="MG3" i="93"/>
  <c r="IK3" i="93"/>
  <c r="AN3" i="93"/>
  <c r="FC3" i="93"/>
  <c r="AU3" i="93"/>
  <c r="JK3" i="93"/>
  <c r="HN3" i="93"/>
  <c r="FI3" i="93"/>
  <c r="BG3" i="93"/>
  <c r="IS3" i="93"/>
  <c r="IL3" i="93"/>
  <c r="NY3" i="93"/>
  <c r="CI3" i="93"/>
  <c r="EY3" i="93"/>
  <c r="AC3" i="93"/>
  <c r="CB3" i="93"/>
  <c r="GV3" i="93"/>
  <c r="JL3" i="93"/>
  <c r="EB3" i="93"/>
  <c r="FK3" i="93"/>
  <c r="CP3" i="93"/>
  <c r="EL3" i="93"/>
  <c r="JE3" i="93"/>
  <c r="GQ3" i="93"/>
  <c r="GN3" i="93"/>
  <c r="ND3" i="93"/>
  <c r="GZ3" i="93"/>
  <c r="X3" i="93"/>
  <c r="EW3" i="93"/>
  <c r="DA3" i="93"/>
  <c r="HY3" i="93"/>
  <c r="LC3" i="93"/>
  <c r="DQ3" i="93"/>
  <c r="CT3" i="93"/>
  <c r="CU3" i="93"/>
  <c r="GO3" i="93"/>
  <c r="O3" i="93"/>
  <c r="IF3" i="93"/>
  <c r="OC3" i="93"/>
  <c r="HA3" i="93"/>
  <c r="DE3" i="93"/>
  <c r="DZ3" i="93"/>
  <c r="Q3" i="93"/>
  <c r="JA3" i="93"/>
  <c r="KI3" i="93"/>
  <c r="BH3" i="93"/>
  <c r="JO3" i="93"/>
  <c r="FJ3" i="93"/>
  <c r="IZ3" i="93"/>
  <c r="IO3" i="93"/>
  <c r="FE3" i="93"/>
  <c r="GW3" i="93"/>
  <c r="NM3" i="93"/>
  <c r="KG3" i="93"/>
  <c r="LU3" i="93"/>
  <c r="T3" i="93"/>
  <c r="JC3" i="93"/>
  <c r="DI3" i="93"/>
  <c r="EJ3" i="93"/>
  <c r="DN3" i="93"/>
  <c r="BD3" i="93"/>
  <c r="MS3" i="93"/>
  <c r="AF3" i="93"/>
  <c r="GM3" i="93"/>
  <c r="JJ3" i="93"/>
  <c r="FX3" i="93"/>
  <c r="LZ3" i="93"/>
  <c r="JZ3" i="93"/>
  <c r="OA3" i="93"/>
  <c r="CK3" i="93"/>
  <c r="IA3" i="93"/>
  <c r="HU3" i="93"/>
  <c r="KE3" i="93"/>
  <c r="JI3" i="93"/>
  <c r="JT3" i="93"/>
  <c r="EO3" i="93"/>
  <c r="HF3" i="93"/>
  <c r="HE3" i="93"/>
  <c r="KL3" i="93"/>
  <c r="CM3" i="93"/>
  <c r="LG3" i="93"/>
  <c r="AL3" i="93"/>
  <c r="GL3" i="93"/>
  <c r="LH3" i="93"/>
  <c r="JW3" i="93"/>
  <c r="NQ3" i="93"/>
  <c r="JX3" i="93"/>
  <c r="DK3" i="93"/>
  <c r="ET3" i="93"/>
  <c r="NJ3" i="93"/>
  <c r="MW3" i="93"/>
  <c r="IN3" i="93"/>
  <c r="AB3" i="93"/>
  <c r="BO3" i="93"/>
  <c r="LI3" i="93"/>
  <c r="DW3" i="93"/>
  <c r="BP3" i="93"/>
  <c r="HQ3" i="93"/>
  <c r="BA3" i="93"/>
  <c r="IV3" i="93"/>
  <c r="AP3" i="93"/>
  <c r="EH3" i="93"/>
  <c r="GU3" i="93"/>
  <c r="HW3" i="93"/>
  <c r="W3" i="93"/>
  <c r="JB3" i="93"/>
  <c r="KM3" i="93"/>
  <c r="IQ3" i="93"/>
  <c r="IC3" i="93"/>
  <c r="AO3" i="93"/>
  <c r="NO3" i="93"/>
  <c r="LK3" i="93"/>
  <c r="NF3" i="93"/>
  <c r="AH3" i="93"/>
  <c r="KY3" i="93"/>
  <c r="ID3" i="93"/>
  <c r="CD3" i="93"/>
  <c r="IX3" i="93"/>
  <c r="ME3" i="93"/>
  <c r="IG3" i="93"/>
  <c r="BC3" i="93"/>
  <c r="LX3" i="93"/>
  <c r="IP3" i="93"/>
  <c r="AM3" i="93"/>
  <c r="BR3" i="93"/>
  <c r="IM3" i="93"/>
  <c r="K3" i="93"/>
  <c r="HC3" i="93"/>
  <c r="NZ3" i="93"/>
  <c r="FR3" i="93"/>
  <c r="CV3" i="93"/>
  <c r="MM3" i="93"/>
  <c r="KJ3" i="93"/>
  <c r="EM3" i="93"/>
  <c r="NA3" i="93"/>
  <c r="EA3" i="93"/>
  <c r="KS3" i="93"/>
  <c r="MJ3" i="93"/>
  <c r="AW3" i="93"/>
  <c r="EE3" i="93"/>
  <c r="DU3" i="93"/>
  <c r="FW3" i="93"/>
  <c r="MH3" i="93"/>
  <c r="AY3" i="93"/>
  <c r="LN3" i="93"/>
  <c r="OD3" i="93"/>
  <c r="FZ3" i="93"/>
  <c r="BK3" i="93"/>
  <c r="LD3" i="93"/>
  <c r="HL3" i="93"/>
  <c r="NB3" i="93"/>
  <c r="ED3" i="93"/>
  <c r="IJ3" i="93"/>
  <c r="IU3" i="93"/>
  <c r="DC3" i="93"/>
  <c r="L3" i="93"/>
  <c r="GR3" i="93"/>
  <c r="LO3" i="93"/>
  <c r="DH3" i="93"/>
  <c r="IY3" i="93"/>
  <c r="IT3" i="93"/>
  <c r="DT3" i="93"/>
  <c r="CQ3" i="93"/>
  <c r="FH3" i="93"/>
  <c r="FY3" i="93"/>
  <c r="KN3" i="93"/>
  <c r="AT3" i="93"/>
  <c r="CH3" i="93"/>
  <c r="CJ3" i="93"/>
  <c r="KB3" i="93"/>
  <c r="BM3" i="93"/>
  <c r="KO3" i="93"/>
  <c r="MQ3" i="93"/>
  <c r="AA3" i="93"/>
  <c r="HS3" i="93"/>
  <c r="CW3" i="93"/>
  <c r="AV3" i="93"/>
  <c r="HP3" i="93"/>
  <c r="NL3" i="93"/>
  <c r="FG3" i="93"/>
  <c r="ER3" i="93"/>
  <c r="GP3" i="93"/>
  <c r="KU3" i="93"/>
  <c r="BS3" i="93"/>
  <c r="NR3" i="93"/>
  <c r="MD3" i="93"/>
  <c r="LA3" i="93"/>
  <c r="BT3" i="93"/>
  <c r="FA3" i="93"/>
  <c r="EZ3" i="93"/>
  <c r="JQ3" i="93"/>
  <c r="FB3" i="93"/>
  <c r="MR3" i="93"/>
  <c r="KR3" i="93"/>
  <c r="BN3" i="93"/>
  <c r="FL3" i="93"/>
  <c r="MF3" i="93"/>
  <c r="MK3" i="93"/>
  <c r="Z3" i="93"/>
  <c r="HD3" i="93"/>
  <c r="FM3" i="93"/>
  <c r="AN33" i="25" l="1"/>
  <c r="AL39" i="25"/>
  <c r="AL38" i="25"/>
  <c r="AL37" i="25"/>
  <c r="AL36" i="25"/>
  <c r="AL35" i="25"/>
  <c r="AL34" i="25"/>
  <c r="AL33" i="25"/>
  <c r="AN35" i="25"/>
  <c r="AN39" i="25"/>
  <c r="AN38" i="25"/>
  <c r="AN37" i="25"/>
  <c r="AN36" i="25"/>
  <c r="AN34" i="25"/>
  <c r="AJ39" i="25"/>
  <c r="AJ38" i="25"/>
  <c r="AJ37" i="25"/>
  <c r="AJ36" i="25"/>
  <c r="AJ35" i="25"/>
  <c r="AJ34" i="25"/>
  <c r="AH39" i="25"/>
  <c r="AH38" i="25"/>
  <c r="AH37" i="25"/>
  <c r="AH36" i="25"/>
  <c r="AH35" i="25"/>
  <c r="AH34" i="25"/>
  <c r="AH33" i="25"/>
  <c r="AJ33" i="25"/>
  <c r="CV3" i="79"/>
  <c r="AO13" i="91"/>
  <c r="AO14" i="91"/>
  <c r="AO8" i="91"/>
  <c r="AO9" i="91"/>
  <c r="AO7" i="91"/>
  <c r="AO10" i="91"/>
  <c r="AO5" i="91"/>
  <c r="AO4" i="91"/>
  <c r="AO3" i="91"/>
  <c r="B3" i="91"/>
  <c r="AG17" i="25"/>
  <c r="G17" i="34"/>
  <c r="D19" i="34"/>
  <c r="D20" i="34"/>
  <c r="G18" i="34"/>
  <c r="D22" i="34"/>
  <c r="G20" i="34"/>
  <c r="G22" i="34"/>
  <c r="G21" i="34"/>
  <c r="D21" i="34"/>
  <c r="G19" i="34"/>
  <c r="AC28" i="25"/>
  <c r="AC27" i="25"/>
  <c r="AC26" i="25"/>
  <c r="AC24" i="25"/>
  <c r="AC29" i="25"/>
  <c r="AC23" i="25"/>
  <c r="AI17" i="25"/>
  <c r="AG16" i="25"/>
  <c r="AC25" i="25"/>
  <c r="D17" i="34"/>
  <c r="AI16" i="25"/>
  <c r="F33" i="50" a="1"/>
  <c r="F16" i="50" a="1"/>
  <c r="F23" i="50" a="1"/>
  <c r="H16" i="50" a="1"/>
  <c r="F33" i="50" l="1"/>
  <c r="F16" i="50"/>
  <c r="H16" i="50"/>
  <c r="F23" i="50"/>
  <c r="AO6" i="91"/>
  <c r="AO12" i="91"/>
  <c r="AO11" i="91"/>
  <c r="AG18" i="25"/>
  <c r="AI18" i="25"/>
  <c r="E18" i="97" s="1"/>
  <c r="E18" i="95" s="1"/>
  <c r="H18" i="50" l="1"/>
  <c r="F18" i="50" s="1"/>
  <c r="E18" i="50"/>
  <c r="K14" i="50" s="1" a="1"/>
  <c r="K14" i="50" s="1"/>
  <c r="PT3" i="93"/>
  <c r="PY3" i="93"/>
  <c r="QP3" i="93"/>
  <c r="QI3" i="93"/>
  <c r="QK3" i="93"/>
  <c r="QC3" i="93"/>
  <c r="QM3" i="93"/>
  <c r="QN3" i="93"/>
  <c r="PX3" i="93"/>
  <c r="PS3" i="93"/>
  <c r="QJ3" i="93"/>
  <c r="QG3" i="93"/>
  <c r="QF3" i="93"/>
  <c r="QH3" i="93"/>
  <c r="PV3" i="93"/>
  <c r="QO3" i="93"/>
  <c r="PW3" i="93"/>
  <c r="QL3" i="93"/>
  <c r="QA3" i="93"/>
  <c r="PU3" i="93"/>
  <c r="QD3" i="93"/>
  <c r="PZ3" i="93"/>
  <c r="QB3" i="93"/>
  <c r="QE3" i="93"/>
  <c r="EJ34" i="79" l="1"/>
  <c r="EK34" i="79" s="1"/>
  <c r="EL34" i="79"/>
  <c r="EM34" i="79" s="1"/>
  <c r="EJ33" i="79"/>
  <c r="EK33" i="79" s="1"/>
  <c r="EL33" i="79"/>
  <c r="EM33" i="79" s="1"/>
  <c r="EJ12" i="79"/>
  <c r="EL12" i="79"/>
  <c r="EL32" i="79"/>
  <c r="EM32" i="79" s="1"/>
  <c r="EJ32" i="79"/>
  <c r="EK32" i="79" s="1"/>
  <c r="EL13" i="79"/>
  <c r="EJ13" i="79"/>
  <c r="EL25" i="79"/>
  <c r="EM25" i="79" s="1"/>
  <c r="EP35" i="79"/>
  <c r="EQ35" i="79" s="1"/>
  <c r="EN35" i="79"/>
  <c r="EO35" i="79" s="1"/>
  <c r="EJ25" i="79"/>
  <c r="EK25" i="79" s="1"/>
  <c r="EJ31" i="79"/>
  <c r="EK31" i="79" s="1"/>
  <c r="EL31" i="79"/>
  <c r="EM31" i="79" s="1"/>
  <c r="EN34" i="79"/>
  <c r="EO34" i="79" s="1"/>
  <c r="EP34" i="79"/>
  <c r="EQ34" i="79" s="1"/>
  <c r="EL24" i="79"/>
  <c r="EM24" i="79" s="1"/>
  <c r="EJ24" i="79"/>
  <c r="EK24" i="79" s="1"/>
  <c r="EJ23" i="79"/>
  <c r="EK23" i="79" s="1"/>
  <c r="EL23" i="79"/>
  <c r="EM23" i="79" s="1"/>
  <c r="EN33" i="79"/>
  <c r="EO33" i="79" s="1"/>
  <c r="EP33" i="79"/>
  <c r="EQ33" i="79" s="1"/>
  <c r="EN32" i="79"/>
  <c r="EO32" i="79" s="1"/>
  <c r="EP32" i="79"/>
  <c r="EQ32" i="79" s="1"/>
  <c r="EL22" i="79"/>
  <c r="EM22" i="79" s="1"/>
  <c r="EJ22" i="79"/>
  <c r="EK22" i="79" s="1"/>
  <c r="EL35" i="79"/>
  <c r="EM35" i="79" s="1"/>
  <c r="EJ35" i="79"/>
  <c r="EK35" i="79" s="1"/>
  <c r="EP31" i="79"/>
  <c r="EQ31" i="79" s="1"/>
  <c r="EN31" i="79"/>
  <c r="EO31" i="79" s="1"/>
  <c r="EJ21" i="79"/>
  <c r="EK21" i="79" s="1"/>
  <c r="EL21" i="79"/>
  <c r="EM21" i="79" s="1"/>
  <c r="PE3" i="93"/>
  <c r="RF3" i="93"/>
  <c r="RN3" i="93"/>
  <c r="RA3" i="93"/>
  <c r="OM3" i="93"/>
  <c r="QR3" i="93"/>
  <c r="OL3" i="93"/>
  <c r="RC3" i="93"/>
  <c r="OU3" i="93"/>
  <c r="QZ3" i="93"/>
  <c r="OV3" i="93"/>
  <c r="OJ3" i="93"/>
  <c r="RJ3" i="93"/>
  <c r="PA3" i="93"/>
  <c r="PF3" i="93"/>
  <c r="RH3" i="93"/>
  <c r="EF3" i="79" a="1"/>
  <c r="OT3" i="93"/>
  <c r="PH3" i="93"/>
  <c r="QT3" i="93"/>
  <c r="RP3" i="93"/>
  <c r="RG3" i="93"/>
  <c r="PP3" i="93"/>
  <c r="OW3" i="93"/>
  <c r="RB3" i="93"/>
  <c r="QQ3" i="93"/>
  <c r="RI3" i="93"/>
  <c r="RE3" i="93"/>
  <c r="OH3" i="93"/>
  <c r="OZ3" i="93"/>
  <c r="PM3" i="93"/>
  <c r="PK3" i="93"/>
  <c r="PO3" i="93"/>
  <c r="PL3" i="93"/>
  <c r="RM3" i="93"/>
  <c r="OP3" i="93"/>
  <c r="OR3" i="93"/>
  <c r="OO3" i="93"/>
  <c r="RS3" i="93"/>
  <c r="QU3" i="93"/>
  <c r="PQ3" i="93"/>
  <c r="RK3" i="93"/>
  <c r="QW3" i="93"/>
  <c r="PR3" i="93"/>
  <c r="PJ3" i="93"/>
  <c r="PC3" i="93"/>
  <c r="PN3" i="93"/>
  <c r="OS3" i="93"/>
  <c r="QX3" i="93"/>
  <c r="RR3" i="93"/>
  <c r="OY3" i="93"/>
  <c r="ON3" i="93"/>
  <c r="RV3" i="93"/>
  <c r="OF3" i="93"/>
  <c r="QS3" i="93"/>
  <c r="OG3" i="93"/>
  <c r="RD3" i="93"/>
  <c r="PB3" i="93"/>
  <c r="OQ3" i="93"/>
  <c r="OX3" i="93"/>
  <c r="OK3" i="93"/>
  <c r="RQ3" i="93"/>
  <c r="QV3" i="93"/>
  <c r="RO3" i="93"/>
  <c r="OI3" i="93"/>
  <c r="RL3" i="93"/>
  <c r="OE3" i="93"/>
  <c r="PI3" i="93"/>
  <c r="RT3" i="93"/>
  <c r="RU3" i="93"/>
  <c r="PG3" i="93"/>
  <c r="QY3" i="93"/>
  <c r="PD3" i="93"/>
  <c r="EF3" i="79" l="1"/>
  <c r="EP30" i="79"/>
  <c r="EQ30" i="79" s="1"/>
  <c r="EL30" i="79"/>
  <c r="EM30" i="79" s="1"/>
  <c r="EN30" i="79"/>
  <c r="EO30" i="79" s="1"/>
  <c r="EJ30" i="79"/>
  <c r="EK30" i="79" s="1"/>
  <c r="EJ20" i="79"/>
  <c r="EK20" i="79" s="1"/>
  <c r="EL20" i="79"/>
  <c r="EM20" i="79" s="1"/>
  <c r="AO16" i="91"/>
  <c r="AO17" i="91"/>
  <c r="AO15" i="91"/>
  <c r="FB34" i="79"/>
  <c r="FC34" i="79" s="1"/>
  <c r="EZ34" i="79"/>
  <c r="FA34" i="79" s="1"/>
  <c r="EX24" i="79"/>
  <c r="EY24" i="79" s="1"/>
  <c r="EV24" i="79"/>
  <c r="EW24" i="79" s="1"/>
  <c r="DZ21" i="79"/>
  <c r="EA21" i="79" s="1"/>
  <c r="DX21" i="79"/>
  <c r="DY21" i="79" s="1"/>
  <c r="EB31" i="79"/>
  <c r="EC31" i="79" s="1"/>
  <c r="ED31" i="79"/>
  <c r="EE31" i="79" s="1"/>
  <c r="EZ32" i="79"/>
  <c r="FA32" i="79" s="1"/>
  <c r="FB32" i="79"/>
  <c r="FC32" i="79" s="1"/>
  <c r="EX22" i="79"/>
  <c r="EY22" i="79" s="1"/>
  <c r="EV22" i="79"/>
  <c r="EW22" i="79" s="1"/>
  <c r="DX34" i="79"/>
  <c r="DY34" i="79" s="1"/>
  <c r="DZ34" i="79"/>
  <c r="EA34" i="79" s="1"/>
  <c r="ED30" i="79"/>
  <c r="EE30" i="79" s="1"/>
  <c r="EB30" i="79"/>
  <c r="EC30" i="79" s="1"/>
  <c r="DZ20" i="79"/>
  <c r="EA20" i="79" s="1"/>
  <c r="DX20" i="79"/>
  <c r="DY20" i="79" s="1"/>
  <c r="DZ31" i="79"/>
  <c r="EA31" i="79" s="1"/>
  <c r="DX31" i="79"/>
  <c r="DY31" i="79" s="1"/>
  <c r="FB31" i="79"/>
  <c r="FC31" i="79" s="1"/>
  <c r="EV21" i="79"/>
  <c r="EW21" i="79" s="1"/>
  <c r="EZ31" i="79"/>
  <c r="FA31" i="79" s="1"/>
  <c r="EX21" i="79"/>
  <c r="EY21" i="79" s="1"/>
  <c r="DX32" i="79"/>
  <c r="DY32" i="79" s="1"/>
  <c r="DZ32" i="79"/>
  <c r="EA32" i="79" s="1"/>
  <c r="EV23" i="79"/>
  <c r="EW23" i="79" s="1"/>
  <c r="EX23" i="79"/>
  <c r="EY23" i="79" s="1"/>
  <c r="EZ33" i="79"/>
  <c r="FA33" i="79" s="1"/>
  <c r="FB33" i="79"/>
  <c r="FC33" i="79" s="1"/>
  <c r="EV13" i="79"/>
  <c r="EX13" i="79"/>
  <c r="EX31" i="79"/>
  <c r="EY31" i="79" s="1"/>
  <c r="EV31" i="79"/>
  <c r="EW31" i="79" s="1"/>
  <c r="ED35" i="79"/>
  <c r="EE35" i="79" s="1"/>
  <c r="EB35" i="79"/>
  <c r="EC35" i="79" s="1"/>
  <c r="DZ25" i="79"/>
  <c r="EA25" i="79" s="1"/>
  <c r="DX25" i="79"/>
  <c r="DY25" i="79" s="1"/>
  <c r="EL14" i="79"/>
  <c r="EV33" i="79"/>
  <c r="EW33" i="79" s="1"/>
  <c r="EX33" i="79"/>
  <c r="EY33" i="79" s="1"/>
  <c r="EV12" i="79"/>
  <c r="EX12" i="79"/>
  <c r="EX35" i="79"/>
  <c r="EY35" i="79" s="1"/>
  <c r="EV35" i="79"/>
  <c r="EW35" i="79" s="1"/>
  <c r="EJ14" i="79"/>
  <c r="EJ19" i="79"/>
  <c r="EK19" i="79" s="1"/>
  <c r="EL19" i="79"/>
  <c r="EM19" i="79" s="1"/>
  <c r="EP29" i="79"/>
  <c r="EQ29" i="79" s="1"/>
  <c r="EN29" i="79"/>
  <c r="EO29" i="79" s="1"/>
  <c r="DX23" i="79"/>
  <c r="DY23" i="79" s="1"/>
  <c r="DZ23" i="79"/>
  <c r="EA23" i="79" s="1"/>
  <c r="EB33" i="79"/>
  <c r="EC33" i="79" s="1"/>
  <c r="ED33" i="79"/>
  <c r="EE33" i="79" s="1"/>
  <c r="DX13" i="79"/>
  <c r="DZ13" i="79"/>
  <c r="ED34" i="79"/>
  <c r="EE34" i="79" s="1"/>
  <c r="DX24" i="79"/>
  <c r="DY24" i="79" s="1"/>
  <c r="DZ24" i="79"/>
  <c r="EA24" i="79" s="1"/>
  <c r="EB34" i="79"/>
  <c r="EC34" i="79" s="1"/>
  <c r="EX19" i="79"/>
  <c r="EY19" i="79" s="1"/>
  <c r="EV19" i="79"/>
  <c r="EW19" i="79" s="1"/>
  <c r="EZ29" i="79"/>
  <c r="FA29" i="79" s="1"/>
  <c r="FB29" i="79"/>
  <c r="FC29" i="79" s="1"/>
  <c r="DX29" i="79"/>
  <c r="DY29" i="79" s="1"/>
  <c r="DZ29" i="79"/>
  <c r="EA29" i="79" s="1"/>
  <c r="EB32" i="79"/>
  <c r="EC32" i="79" s="1"/>
  <c r="DX22" i="79"/>
  <c r="DY22" i="79" s="1"/>
  <c r="ED32" i="79"/>
  <c r="EE32" i="79" s="1"/>
  <c r="DZ22" i="79"/>
  <c r="EA22" i="79" s="1"/>
  <c r="FB35" i="79"/>
  <c r="FC35" i="79" s="1"/>
  <c r="EX25" i="79"/>
  <c r="EY25" i="79" s="1"/>
  <c r="EV25" i="79"/>
  <c r="EW25" i="79" s="1"/>
  <c r="EZ35" i="79"/>
  <c r="FA35" i="79" s="1"/>
  <c r="DZ33" i="79"/>
  <c r="EA33" i="79" s="1"/>
  <c r="DX33" i="79"/>
  <c r="DY33" i="79" s="1"/>
  <c r="DZ12" i="79"/>
  <c r="DX12" i="79"/>
  <c r="EV34" i="79"/>
  <c r="EW34" i="79" s="1"/>
  <c r="EX34" i="79"/>
  <c r="EY34" i="79" s="1"/>
  <c r="EZ30" i="79"/>
  <c r="FA30" i="79" s="1"/>
  <c r="FB30" i="79"/>
  <c r="FC30" i="79" s="1"/>
  <c r="EX20" i="79"/>
  <c r="EY20" i="79" s="1"/>
  <c r="EV20" i="79"/>
  <c r="EW20" i="79" s="1"/>
  <c r="DX30" i="79"/>
  <c r="DY30" i="79" s="1"/>
  <c r="DZ30" i="79"/>
  <c r="EA30" i="79" s="1"/>
  <c r="EB29" i="79"/>
  <c r="EC29" i="79" s="1"/>
  <c r="DZ19" i="79"/>
  <c r="EA19" i="79" s="1"/>
  <c r="ED29" i="79"/>
  <c r="EE29" i="79" s="1"/>
  <c r="DX19" i="79"/>
  <c r="DY19" i="79" s="1"/>
  <c r="EV29" i="79"/>
  <c r="EW29" i="79" s="1"/>
  <c r="EX29" i="79"/>
  <c r="EY29" i="79" s="1"/>
  <c r="EV32" i="79"/>
  <c r="EW32" i="79" s="1"/>
  <c r="EX32" i="79"/>
  <c r="EY32" i="79" s="1"/>
  <c r="DX35" i="79"/>
  <c r="DY35" i="79" s="1"/>
  <c r="DZ35" i="79"/>
  <c r="EA35" i="79" s="1"/>
  <c r="EX30" i="79"/>
  <c r="EY30" i="79" s="1"/>
  <c r="EV30" i="79"/>
  <c r="EW30" i="79" s="1"/>
  <c r="EJ29" i="79"/>
  <c r="EK29" i="79" s="1"/>
  <c r="EL29" i="79"/>
  <c r="EM29" i="79" s="1"/>
  <c r="A18" i="91" l="1"/>
  <c r="B3" i="93" s="1"/>
  <c r="F23" i="95" a="1"/>
  <c r="F16" i="95" a="1"/>
  <c r="DX14" i="79"/>
  <c r="F23" i="97" a="1"/>
  <c r="H16" i="95" a="1"/>
  <c r="DZ14" i="79"/>
  <c r="F33" i="97" a="1"/>
  <c r="EX14" i="79"/>
  <c r="H16" i="97" a="1"/>
  <c r="EV14" i="79"/>
  <c r="F16" i="97" a="1"/>
  <c r="F33" i="95" a="1"/>
  <c r="F23" i="95" l="1"/>
  <c r="H16" i="97"/>
  <c r="F33" i="95"/>
  <c r="F16" i="97"/>
  <c r="K14" i="97" s="1" a="1"/>
  <c r="K14" i="97" s="1"/>
  <c r="F33" i="97"/>
  <c r="H16" i="95"/>
  <c r="F23" i="97"/>
  <c r="F16" i="95"/>
  <c r="K14" i="95" s="1" a="1"/>
  <c r="K14" i="95" s="1"/>
  <c r="H18" i="95" l="1"/>
  <c r="F18" i="95"/>
  <c r="F18" i="97"/>
  <c r="H18" i="9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<sst xmlns="http://schemas.openxmlformats.org/spreadsheetml/2006/main" count="3583" uniqueCount="998">
  <si>
    <t>No</t>
  </si>
  <si>
    <t>Nama</t>
  </si>
  <si>
    <t>Bangun Pagi</t>
  </si>
  <si>
    <t>Taat Beribadah</t>
  </si>
  <si>
    <t>Berolahraga</t>
  </si>
  <si>
    <t>Makan Sehat Bergizi</t>
  </si>
  <si>
    <t>Gemar Belajar</t>
  </si>
  <si>
    <t>Aktif Bermasyarakat</t>
  </si>
  <si>
    <t>Tidur Cepat</t>
  </si>
  <si>
    <t>Catatan</t>
  </si>
  <si>
    <t>Catatan:</t>
  </si>
  <si>
    <t>Kategori Akhir</t>
  </si>
  <si>
    <t>NPSN</t>
  </si>
  <si>
    <t>:</t>
  </si>
  <si>
    <t>Kategori</t>
  </si>
  <si>
    <t>Mengetahui,</t>
  </si>
  <si>
    <t>Kepala Sekolah</t>
  </si>
  <si>
    <t>Bulan</t>
  </si>
  <si>
    <t>Pembiasaan</t>
  </si>
  <si>
    <t>PEMBIASAAN</t>
  </si>
  <si>
    <t>X</t>
  </si>
  <si>
    <t>Januari</t>
  </si>
  <si>
    <t>L</t>
  </si>
  <si>
    <t>P</t>
  </si>
  <si>
    <t>Jenis Kelamin (L/P)</t>
  </si>
  <si>
    <t>JenisKelamin</t>
  </si>
  <si>
    <t>Provinsi</t>
  </si>
  <si>
    <t>Kota/Kabupaten</t>
  </si>
  <si>
    <t>Aceh</t>
  </si>
  <si>
    <t>Bali</t>
  </si>
  <si>
    <t>Banten</t>
  </si>
  <si>
    <t>Bengkulu</t>
  </si>
  <si>
    <t>D.I. Yogyakarta</t>
  </si>
  <si>
    <t>D.K.I. Jakarta</t>
  </si>
  <si>
    <t>Gorontalo</t>
  </si>
  <si>
    <t>Jambi</t>
  </si>
  <si>
    <t>Jawa Barat</t>
  </si>
  <si>
    <t>Jawa Tengah</t>
  </si>
  <si>
    <t>Jawa Timur</t>
  </si>
  <si>
    <t>Kalimantan Barat</t>
  </si>
  <si>
    <t>Kalimantan Selatan</t>
  </si>
  <si>
    <t>Kalimantan Tengah</t>
  </si>
  <si>
    <t>Kalimantan Timur</t>
  </si>
  <si>
    <t>Kalimantan Utara</t>
  </si>
  <si>
    <t>Kepulauan Bangka Belitung</t>
  </si>
  <si>
    <t>Kepulauan Riau</t>
  </si>
  <si>
    <t>Lampung</t>
  </si>
  <si>
    <t>Maluku</t>
  </si>
  <si>
    <t>Maluku Utara</t>
  </si>
  <si>
    <t>Nusa Tenggara Barat</t>
  </si>
  <si>
    <t>Nusa Tenggara Timur</t>
  </si>
  <si>
    <t>Papua</t>
  </si>
  <si>
    <t>Papua Barat</t>
  </si>
  <si>
    <t>Papua Barat Daya</t>
  </si>
  <si>
    <t>Papua Pegunungan</t>
  </si>
  <si>
    <t>Papua Selatan</t>
  </si>
  <si>
    <t>Papua Tengah</t>
  </si>
  <si>
    <t>Riau</t>
  </si>
  <si>
    <t>Sulawesi Barat</t>
  </si>
  <si>
    <t>Sulawesi Selatan</t>
  </si>
  <si>
    <t>Sulawesi Tengah</t>
  </si>
  <si>
    <t>Sulawesi Tenggara</t>
  </si>
  <si>
    <t>Sulawesi Utara</t>
  </si>
  <si>
    <t>Sumatera Barat</t>
  </si>
  <si>
    <t>Sumatera Selatan</t>
  </si>
  <si>
    <t>Sumatera Utara</t>
  </si>
  <si>
    <t>provinsi</t>
  </si>
  <si>
    <t>kotaKabupaten</t>
  </si>
  <si>
    <t>Aceh Barat</t>
  </si>
  <si>
    <t>Aceh Barat Daya</t>
  </si>
  <si>
    <t>Aceh Besar</t>
  </si>
  <si>
    <t>Aceh Jaya</t>
  </si>
  <si>
    <t>Aceh Selatan</t>
  </si>
  <si>
    <t>Aceh Singkil</t>
  </si>
  <si>
    <t>Aceh Tamiang</t>
  </si>
  <si>
    <t>Aceh Tengah</t>
  </si>
  <si>
    <t>Aceh Tenggara</t>
  </si>
  <si>
    <t>Aceh Timur</t>
  </si>
  <si>
    <t>Aceh Utara</t>
  </si>
  <si>
    <t>Bener Meriah</t>
  </si>
  <si>
    <t>Bireuen</t>
  </si>
  <si>
    <t>Gayo Lues</t>
  </si>
  <si>
    <t>Kota Banda Aceh</t>
  </si>
  <si>
    <t>Kota Langsa</t>
  </si>
  <si>
    <t>Kota Lhokseumawe</t>
  </si>
  <si>
    <t>Kota Sabang</t>
  </si>
  <si>
    <t>Kota Subulussalam</t>
  </si>
  <si>
    <t>Nagan Raya</t>
  </si>
  <si>
    <t>Pidie</t>
  </si>
  <si>
    <t>Pidie Jaya</t>
  </si>
  <si>
    <t>Simeulue</t>
  </si>
  <si>
    <t>Badung</t>
  </si>
  <si>
    <t>Bangli</t>
  </si>
  <si>
    <t>Buleleng</t>
  </si>
  <si>
    <t>Gianyar</t>
  </si>
  <si>
    <t>Jembrana</t>
  </si>
  <si>
    <t>Karangasem</t>
  </si>
  <si>
    <t>Klungkung</t>
  </si>
  <si>
    <t>Kota Denpasar</t>
  </si>
  <si>
    <t>Tabanan</t>
  </si>
  <si>
    <t>Kota Cilegon</t>
  </si>
  <si>
    <t>Kota Serang</t>
  </si>
  <si>
    <t>Kota Tangerang</t>
  </si>
  <si>
    <t>Kota Tangerang Selatan</t>
  </si>
  <si>
    <t>Lebak</t>
  </si>
  <si>
    <t>Pandeglang</t>
  </si>
  <si>
    <t>Serang</t>
  </si>
  <si>
    <t>Tangerang</t>
  </si>
  <si>
    <t>Bengkulu Selatan</t>
  </si>
  <si>
    <t>Bengkulu Tengah</t>
  </si>
  <si>
    <t>Bengkulu Utara</t>
  </si>
  <si>
    <t>Kaur</t>
  </si>
  <si>
    <t>Kepahiang</t>
  </si>
  <si>
    <t>Kota Bengkulu</t>
  </si>
  <si>
    <t>Lebong</t>
  </si>
  <si>
    <t>Mukomuko</t>
  </si>
  <si>
    <t>Rejang Lebong</t>
  </si>
  <si>
    <t>Seluma</t>
  </si>
  <si>
    <t>Bantul</t>
  </si>
  <si>
    <t>Gunungkidul</t>
  </si>
  <si>
    <t>Kota Yogyakarta</t>
  </si>
  <si>
    <t>Kulon Progo</t>
  </si>
  <si>
    <t>Sleman</t>
  </si>
  <si>
    <t>Kepulauan Seribu</t>
  </si>
  <si>
    <t>Kota Jakarta Barat</t>
  </si>
  <si>
    <t>Kota Jakarta Pusat</t>
  </si>
  <si>
    <t>Kota Jakarta Selatan</t>
  </si>
  <si>
    <t>Kota Jakarta Timur</t>
  </si>
  <si>
    <t>Kota Jakarta Utara</t>
  </si>
  <si>
    <t>Boalemo</t>
  </si>
  <si>
    <t>Bone Bolango</t>
  </si>
  <si>
    <t>Gorontalo Utara</t>
  </si>
  <si>
    <t>Kota Gorontalo</t>
  </si>
  <si>
    <t>Pohuwato</t>
  </si>
  <si>
    <t>Batang Hari</t>
  </si>
  <si>
    <t>Bungo</t>
  </si>
  <si>
    <t>Kerinci</t>
  </si>
  <si>
    <t>Kota Jambi</t>
  </si>
  <si>
    <t>Kota Sungai Penuh</t>
  </si>
  <si>
    <t>Merangin</t>
  </si>
  <si>
    <t>Muaro Jambi</t>
  </si>
  <si>
    <t>Sarolangun</t>
  </si>
  <si>
    <t>Tanjung Jabung Barat</t>
  </si>
  <si>
    <t>Tanjung Jabung Timur</t>
  </si>
  <si>
    <t>Tebo</t>
  </si>
  <si>
    <t>Bandung</t>
  </si>
  <si>
    <t>Bandung Barat</t>
  </si>
  <si>
    <t>Bekasi</t>
  </si>
  <si>
    <t>Bogor</t>
  </si>
  <si>
    <t>Ciamis</t>
  </si>
  <si>
    <t>Cianjur</t>
  </si>
  <si>
    <t>Cirebon</t>
  </si>
  <si>
    <t>Garut</t>
  </si>
  <si>
    <t>Indramayu</t>
  </si>
  <si>
    <t>Karawang</t>
  </si>
  <si>
    <t>Kota Bandung</t>
  </si>
  <si>
    <t>Kota Banjar</t>
  </si>
  <si>
    <t>Kota Bekasi</t>
  </si>
  <si>
    <t>Kota Bogor</t>
  </si>
  <si>
    <t>Kota Cimahi</t>
  </si>
  <si>
    <t>Kota Cirebon</t>
  </si>
  <si>
    <t>Kota Depok</t>
  </si>
  <si>
    <t>Kota Sukabumi</t>
  </si>
  <si>
    <t>Kota Tasikmalaya</t>
  </si>
  <si>
    <t>Kuningan</t>
  </si>
  <si>
    <t>Majalengka</t>
  </si>
  <si>
    <t>Pangandaran</t>
  </si>
  <si>
    <t>Purwakarta</t>
  </si>
  <si>
    <t>Subang</t>
  </si>
  <si>
    <t>Sukabumi</t>
  </si>
  <si>
    <t>Sumedang</t>
  </si>
  <si>
    <t>Tasikmalaya</t>
  </si>
  <si>
    <t>Banjarnegara</t>
  </si>
  <si>
    <t>Banyumas</t>
  </si>
  <si>
    <t>Batang</t>
  </si>
  <si>
    <t>Blora</t>
  </si>
  <si>
    <t>Boyolali</t>
  </si>
  <si>
    <t>Brebes</t>
  </si>
  <si>
    <t>Cilacap</t>
  </si>
  <si>
    <t>Demak</t>
  </si>
  <si>
    <t>Grobogan</t>
  </si>
  <si>
    <t>Jepara</t>
  </si>
  <si>
    <t>Karanganyar</t>
  </si>
  <si>
    <t>Kebumen</t>
  </si>
  <si>
    <t>Kendal</t>
  </si>
  <si>
    <t>Klaten</t>
  </si>
  <si>
    <t>Kota Magelang</t>
  </si>
  <si>
    <t>Kota Pekalongan</t>
  </si>
  <si>
    <t>Kota Salatiga</t>
  </si>
  <si>
    <t>Kota Semarang</t>
  </si>
  <si>
    <t>Kota Surakarta</t>
  </si>
  <si>
    <t>Kota Tegal</t>
  </si>
  <si>
    <t>Kudus</t>
  </si>
  <si>
    <t>Magelang</t>
  </si>
  <si>
    <t>Pati</t>
  </si>
  <si>
    <t>Pekalongan</t>
  </si>
  <si>
    <t>Pemalang</t>
  </si>
  <si>
    <t>Purbalingga</t>
  </si>
  <si>
    <t>Purworejo</t>
  </si>
  <si>
    <t>Rembang</t>
  </si>
  <si>
    <t>Semarang</t>
  </si>
  <si>
    <t>Sragen</t>
  </si>
  <si>
    <t>Sukoharjo</t>
  </si>
  <si>
    <t>Tegal</t>
  </si>
  <si>
    <t>Temanggung</t>
  </si>
  <si>
    <t>Wonogiri</t>
  </si>
  <si>
    <t>Wonosobo</t>
  </si>
  <si>
    <t>Bangkalan</t>
  </si>
  <si>
    <t>Banyuwangi</t>
  </si>
  <si>
    <t>Blitar</t>
  </si>
  <si>
    <t>Bojonegoro</t>
  </si>
  <si>
    <t>Bondowoso</t>
  </si>
  <si>
    <t>Gresik</t>
  </si>
  <si>
    <t>Jember</t>
  </si>
  <si>
    <t>Jombang</t>
  </si>
  <si>
    <t>Kediri</t>
  </si>
  <si>
    <t>Kota Batu</t>
  </si>
  <si>
    <t>Kota Blitar</t>
  </si>
  <si>
    <t>Kota Kediri</t>
  </si>
  <si>
    <t>Kota Madiun</t>
  </si>
  <si>
    <t>Kota Malang</t>
  </si>
  <si>
    <t>Kota Mojokerto</t>
  </si>
  <si>
    <t>Kota Pasuruan</t>
  </si>
  <si>
    <t>Kota Probolinggo</t>
  </si>
  <si>
    <t>Kota Surabaya</t>
  </si>
  <si>
    <t>Lamongan</t>
  </si>
  <si>
    <t>Lumajang</t>
  </si>
  <si>
    <t>Madiun</t>
  </si>
  <si>
    <t>Magetan</t>
  </si>
  <si>
    <t>Malang</t>
  </si>
  <si>
    <t>Mojokerto</t>
  </si>
  <si>
    <t>Nganjuk</t>
  </si>
  <si>
    <t>Ngawi</t>
  </si>
  <si>
    <t>Pacitan</t>
  </si>
  <si>
    <t>Pamekasan</t>
  </si>
  <si>
    <t>Pasuruan</t>
  </si>
  <si>
    <t>Ponorogo</t>
  </si>
  <si>
    <t>Probolinggo</t>
  </si>
  <si>
    <t>Sampang</t>
  </si>
  <si>
    <t>Sidoarjo</t>
  </si>
  <si>
    <t>Situbondo</t>
  </si>
  <si>
    <t>Sumenep</t>
  </si>
  <si>
    <t>Trenggalek</t>
  </si>
  <si>
    <t>Tuban</t>
  </si>
  <si>
    <t>Tulungagung</t>
  </si>
  <si>
    <t>Bengkayang</t>
  </si>
  <si>
    <t>Kapuas Hulu</t>
  </si>
  <si>
    <t>Kayong Utara</t>
  </si>
  <si>
    <t>Ketapang</t>
  </si>
  <si>
    <t>Kota Pontianak</t>
  </si>
  <si>
    <t>Kota Singkawang</t>
  </si>
  <si>
    <t>Kubu Raya</t>
  </si>
  <si>
    <t>Landak</t>
  </si>
  <si>
    <t>Melawi</t>
  </si>
  <si>
    <t>Mempawah</t>
  </si>
  <si>
    <t>Sambas</t>
  </si>
  <si>
    <t>Sanggau</t>
  </si>
  <si>
    <t>Sekadau</t>
  </si>
  <si>
    <t>Sintang</t>
  </si>
  <si>
    <t>Balangan</t>
  </si>
  <si>
    <t>Banjar</t>
  </si>
  <si>
    <t>Barito Kuala</t>
  </si>
  <si>
    <t>Hulu Sungai Selatan</t>
  </si>
  <si>
    <t>Hulu Sungai Tengah</t>
  </si>
  <si>
    <t>Hulu Sungai Utara</t>
  </si>
  <si>
    <t>Kota Banjarbaru</t>
  </si>
  <si>
    <t>Kota Banjarmasin</t>
  </si>
  <si>
    <t>Kotabaru</t>
  </si>
  <si>
    <t>Tabalong</t>
  </si>
  <si>
    <t>Tanah Bumbu</t>
  </si>
  <si>
    <t>Tanah Laut</t>
  </si>
  <si>
    <t>Tapin</t>
  </si>
  <si>
    <t>Barito Selatan</t>
  </si>
  <si>
    <t>Barito Timur</t>
  </si>
  <si>
    <t>Barito Utara</t>
  </si>
  <si>
    <t>Gunung Mas</t>
  </si>
  <si>
    <t>Kapuas</t>
  </si>
  <si>
    <t>Katingan</t>
  </si>
  <si>
    <t>Kota Palangka Raya</t>
  </si>
  <si>
    <t>Kotawaringin Barat</t>
  </si>
  <si>
    <t>Kotawaringin Timur</t>
  </si>
  <si>
    <t>Lamandau</t>
  </si>
  <si>
    <t>Murung Raya</t>
  </si>
  <si>
    <t>Pulang Pisau</t>
  </si>
  <si>
    <t>Seruyan</t>
  </si>
  <si>
    <t>Sukamara</t>
  </si>
  <si>
    <t>Berau</t>
  </si>
  <si>
    <t>Kota Balikpapan</t>
  </si>
  <si>
    <t>Kota Bontang</t>
  </si>
  <si>
    <t>Kota Samarinda</t>
  </si>
  <si>
    <t>Kutai Barat</t>
  </si>
  <si>
    <t>Kutai Kartanegara</t>
  </si>
  <si>
    <t>Kutai Timur</t>
  </si>
  <si>
    <t>Mahakam Ulu</t>
  </si>
  <si>
    <t>Paser</t>
  </si>
  <si>
    <t>Penajam Paser Utara</t>
  </si>
  <si>
    <t>Bulungan</t>
  </si>
  <si>
    <t>Kota Tarakan</t>
  </si>
  <si>
    <t>Malinau</t>
  </si>
  <si>
    <t>Nunukan</t>
  </si>
  <si>
    <t>Tana Tidung</t>
  </si>
  <si>
    <t>Bangka</t>
  </si>
  <si>
    <t>Bangka Barat</t>
  </si>
  <si>
    <t>Bangka Selatan</t>
  </si>
  <si>
    <t>Bangka Tengah</t>
  </si>
  <si>
    <t>Belitung</t>
  </si>
  <si>
    <t>Belitung Timur</t>
  </si>
  <si>
    <t>Kota Pangkalpinang</t>
  </si>
  <si>
    <t>Bintan</t>
  </si>
  <si>
    <t>Karimun</t>
  </si>
  <si>
    <t>Kepulauan Anambas</t>
  </si>
  <si>
    <t>Kota Batam</t>
  </si>
  <si>
    <t>Kota Tanjungpinang</t>
  </si>
  <si>
    <t>Lingga</t>
  </si>
  <si>
    <t>Natuna</t>
  </si>
  <si>
    <t>Kota Bandar Lampung</t>
  </si>
  <si>
    <t>Kota Metro</t>
  </si>
  <si>
    <t>Lampung Barat</t>
  </si>
  <si>
    <t>Lampung Selatan</t>
  </si>
  <si>
    <t>Lampung Tengah</t>
  </si>
  <si>
    <t>Lampung Timur</t>
  </si>
  <si>
    <t>Lampung Utara</t>
  </si>
  <si>
    <t>Mesuji</t>
  </si>
  <si>
    <t>Pesawaran</t>
  </si>
  <si>
    <t>Pesisir Barat</t>
  </si>
  <si>
    <t>Pringsewu</t>
  </si>
  <si>
    <t>Tanggamus</t>
  </si>
  <si>
    <t>Tulang Bawang</t>
  </si>
  <si>
    <t>Tulang Bawang Barat</t>
  </si>
  <si>
    <t>Way Kanan</t>
  </si>
  <si>
    <t>Buru</t>
  </si>
  <si>
    <t>Buru Selatan</t>
  </si>
  <si>
    <t>Kepulauan Aru</t>
  </si>
  <si>
    <t>Kepulauan Tanimbar</t>
  </si>
  <si>
    <t>Kota Ambon</t>
  </si>
  <si>
    <t>Kota Tual</t>
  </si>
  <si>
    <t>Maluku Barat Daya</t>
  </si>
  <si>
    <t>Maluku Tengah</t>
  </si>
  <si>
    <t>Maluku Tenggara</t>
  </si>
  <si>
    <t>Seram Bagian Barat</t>
  </si>
  <si>
    <t>Seram Bagian Timur</t>
  </si>
  <si>
    <t>Halmahera Barat</t>
  </si>
  <si>
    <t>Halmahera Selatan</t>
  </si>
  <si>
    <t>Halmahera Tengah</t>
  </si>
  <si>
    <t>Halmahera Timur</t>
  </si>
  <si>
    <t>Halmahera Utara</t>
  </si>
  <si>
    <t>Pulau Morotai</t>
  </si>
  <si>
    <t>Kepulauan Sula</t>
  </si>
  <si>
    <t>Kota Ternate</t>
  </si>
  <si>
    <t>Kota Tidore Kepulauan</t>
  </si>
  <si>
    <t>Pulau Taliabu</t>
  </si>
  <si>
    <t>Bima</t>
  </si>
  <si>
    <t>Dompu</t>
  </si>
  <si>
    <t>Kota Bima</t>
  </si>
  <si>
    <t>Kota Mataram</t>
  </si>
  <si>
    <t>Lombok Barat</t>
  </si>
  <si>
    <t>Lombok Tengah</t>
  </si>
  <si>
    <t>Lombok Timur</t>
  </si>
  <si>
    <t>Lombok Utara</t>
  </si>
  <si>
    <t>Sumbawa</t>
  </si>
  <si>
    <t>Sumbawa Barat</t>
  </si>
  <si>
    <t>Alor</t>
  </si>
  <si>
    <t>Belu</t>
  </si>
  <si>
    <t>Ende</t>
  </si>
  <si>
    <t>Flores Timur</t>
  </si>
  <si>
    <t>Kota Kupang</t>
  </si>
  <si>
    <t>Kupang</t>
  </si>
  <si>
    <t>Lembata</t>
  </si>
  <si>
    <t>Malaka</t>
  </si>
  <si>
    <t>Manggarai</t>
  </si>
  <si>
    <t>Manggarai Barat</t>
  </si>
  <si>
    <t>Manggarai Timur</t>
  </si>
  <si>
    <t>Nagekeo</t>
  </si>
  <si>
    <t>Ngada</t>
  </si>
  <si>
    <t>Rote Ndao</t>
  </si>
  <si>
    <t>Sabu Raijua</t>
  </si>
  <si>
    <t>Sikka</t>
  </si>
  <si>
    <t>Sumba Barat</t>
  </si>
  <si>
    <t>Sumba Barat Daya</t>
  </si>
  <si>
    <t>Sumba Tengah</t>
  </si>
  <si>
    <t>Sumba Timur</t>
  </si>
  <si>
    <t>Timor Tengah Selatan</t>
  </si>
  <si>
    <t>Timor Tengah Utara</t>
  </si>
  <si>
    <t>Biak Numfor</t>
  </si>
  <si>
    <t>Jayapura</t>
  </si>
  <si>
    <t>Keerom</t>
  </si>
  <si>
    <t>Kepulauan Yapen</t>
  </si>
  <si>
    <t>Kota Jayapura</t>
  </si>
  <si>
    <t>Mamberamo Raya</t>
  </si>
  <si>
    <t>Sarmi</t>
  </si>
  <si>
    <t>Supiori</t>
  </si>
  <si>
    <t>Waropen</t>
  </si>
  <si>
    <t>Fakfak</t>
  </si>
  <si>
    <t>Kaimana</t>
  </si>
  <si>
    <t>Manokwari</t>
  </si>
  <si>
    <t>Manokwari Selatan</t>
  </si>
  <si>
    <t>Pegunungan Arfak</t>
  </si>
  <si>
    <t>Teluk Bintuni</t>
  </si>
  <si>
    <t>Teluk Wondama</t>
  </si>
  <si>
    <t>Kota Sorong</t>
  </si>
  <si>
    <t>Maybrat</t>
  </si>
  <si>
    <t>Raja Ampat</t>
  </si>
  <si>
    <t>Sorong</t>
  </si>
  <si>
    <t>Sorong Selatan</t>
  </si>
  <si>
    <t>Tambrauw</t>
  </si>
  <si>
    <t>Jayawijaya</t>
  </si>
  <si>
    <t>Lanny Jaya</t>
  </si>
  <si>
    <t>Mamberamo Tengah</t>
  </si>
  <si>
    <t>Nduga</t>
  </si>
  <si>
    <t>Pegunungan Bintang</t>
  </si>
  <si>
    <t>Tolikara</t>
  </si>
  <si>
    <t>Yahukimo</t>
  </si>
  <si>
    <t>Yalimo</t>
  </si>
  <si>
    <t>Asmat</t>
  </si>
  <si>
    <t>Boven Digoel</t>
  </si>
  <si>
    <t>Mappi</t>
  </si>
  <si>
    <t>Merauke</t>
  </si>
  <si>
    <t>Deiyai</t>
  </si>
  <si>
    <t>Dogiyai</t>
  </si>
  <si>
    <t>Intan Jaya</t>
  </si>
  <si>
    <t>Mimika</t>
  </si>
  <si>
    <t>Nabire</t>
  </si>
  <si>
    <t>Paniai</t>
  </si>
  <si>
    <t>Puncak</t>
  </si>
  <si>
    <t>Puncak Jaya</t>
  </si>
  <si>
    <t>Bengkalis</t>
  </si>
  <si>
    <t>Indragiri Hilir</t>
  </si>
  <si>
    <t>Indragiri Hulu</t>
  </si>
  <si>
    <t>Kampar</t>
  </si>
  <si>
    <t>Kepulauan Meranti</t>
  </si>
  <si>
    <t>Kota Dumai</t>
  </si>
  <si>
    <t>Kota Pekanbaru</t>
  </si>
  <si>
    <t>Kuantan Singingi</t>
  </si>
  <si>
    <t>Pelalawan</t>
  </si>
  <si>
    <t>Rokan Hilir</t>
  </si>
  <si>
    <t>Rokan Hulu</t>
  </si>
  <si>
    <t>Siak</t>
  </si>
  <si>
    <t>Majene</t>
  </si>
  <si>
    <t>Mamasa</t>
  </si>
  <si>
    <t>Mamuju</t>
  </si>
  <si>
    <t>Mamuju Tengah</t>
  </si>
  <si>
    <t>Pasangkayu</t>
  </si>
  <si>
    <t>Polewali Mandar</t>
  </si>
  <si>
    <t>Bantaeng</t>
  </si>
  <si>
    <t>Barru</t>
  </si>
  <si>
    <t>Bone</t>
  </si>
  <si>
    <t>Bulukumba</t>
  </si>
  <si>
    <t>Enrekang</t>
  </si>
  <si>
    <t>Gowa</t>
  </si>
  <si>
    <t>Jeneponto</t>
  </si>
  <si>
    <t>Kepulauan Selayar</t>
  </si>
  <si>
    <t>Kota Makassar</t>
  </si>
  <si>
    <t>Kota Palopo</t>
  </si>
  <si>
    <t>Kota Parepare</t>
  </si>
  <si>
    <t>Luwu</t>
  </si>
  <si>
    <t>Luwu Timur</t>
  </si>
  <si>
    <t>Luwu Utara</t>
  </si>
  <si>
    <t>Maros</t>
  </si>
  <si>
    <t>Pangkajene Kepulauan</t>
  </si>
  <si>
    <t>Pinrang</t>
  </si>
  <si>
    <t>Sidenreng Rappang</t>
  </si>
  <si>
    <t>Sinjai</t>
  </si>
  <si>
    <t>Soppeng</t>
  </si>
  <si>
    <t>Takalar</t>
  </si>
  <si>
    <t>Tana Toraja</t>
  </si>
  <si>
    <t>Toraja Utara</t>
  </si>
  <si>
    <t>Wajo</t>
  </si>
  <si>
    <t>Banggai</t>
  </si>
  <si>
    <t>Banggai Kepulauan</t>
  </si>
  <si>
    <t>Banggai Laut</t>
  </si>
  <si>
    <t>Buol</t>
  </si>
  <si>
    <t>Donggala</t>
  </si>
  <si>
    <t>Kota Palu</t>
  </si>
  <si>
    <t>Morowali</t>
  </si>
  <si>
    <t>Morowali Utara</t>
  </si>
  <si>
    <t>Parigi Moutong</t>
  </si>
  <si>
    <t>Poso</t>
  </si>
  <si>
    <t>Sigi</t>
  </si>
  <si>
    <t>Tojo Una-Una</t>
  </si>
  <si>
    <t>Tolitoli</t>
  </si>
  <si>
    <t>Bombana</t>
  </si>
  <si>
    <t>Buton</t>
  </si>
  <si>
    <t>Buton Selatan</t>
  </si>
  <si>
    <t>Buton Tengah</t>
  </si>
  <si>
    <t>Buton Utara</t>
  </si>
  <si>
    <t>Kolaka</t>
  </si>
  <si>
    <t>Kolaka Timur</t>
  </si>
  <si>
    <t>Kolaka Utara</t>
  </si>
  <si>
    <t>Konawe</t>
  </si>
  <si>
    <t>Konawe Kepulauan</t>
  </si>
  <si>
    <t>Konawe Selatan</t>
  </si>
  <si>
    <t>Konawe Utara</t>
  </si>
  <si>
    <t>Kota Baubau</t>
  </si>
  <si>
    <t>Kota Kendari</t>
  </si>
  <si>
    <t>Muna</t>
  </si>
  <si>
    <t>Muna Barat</t>
  </si>
  <si>
    <t>Wakatobi</t>
  </si>
  <si>
    <t>Bolaang Mongondow</t>
  </si>
  <si>
    <t>Bolaang Mongondow Selatan</t>
  </si>
  <si>
    <t>Bolaang Mongondow Timur</t>
  </si>
  <si>
    <t>Bolaang Mongondow Utara</t>
  </si>
  <si>
    <t>Kepulauan Sangihe</t>
  </si>
  <si>
    <t>Kepulauan Siau Tagulandang Biaro</t>
  </si>
  <si>
    <t>Kepulauan Talaud</t>
  </si>
  <si>
    <t>Kota Bitung</t>
  </si>
  <si>
    <t>Kota Kotamobagu</t>
  </si>
  <si>
    <t>Kota Manado</t>
  </si>
  <si>
    <t>Kota Tomohon</t>
  </si>
  <si>
    <t>Minahasa</t>
  </si>
  <si>
    <t>Minahasa Selatan</t>
  </si>
  <si>
    <t>Minahasa Tenggara</t>
  </si>
  <si>
    <t>Minahasa Utara</t>
  </si>
  <si>
    <t>Agam</t>
  </si>
  <si>
    <t>Dharmasraya</t>
  </si>
  <si>
    <t>Kepulauan Mentawai</t>
  </si>
  <si>
    <t>Kota Bukittinggi</t>
  </si>
  <si>
    <t>Kota Padang</t>
  </si>
  <si>
    <t>Kota Padang Panjang</t>
  </si>
  <si>
    <t>Kota Pariaman</t>
  </si>
  <si>
    <t>Kota Payakumbuh</t>
  </si>
  <si>
    <t>Kota Sawahlunto</t>
  </si>
  <si>
    <t>Kota Solok</t>
  </si>
  <si>
    <t>Lima Puluh Kota</t>
  </si>
  <si>
    <t>Padang Pariaman</t>
  </si>
  <si>
    <t>Pasaman</t>
  </si>
  <si>
    <t>Pasaman Barat</t>
  </si>
  <si>
    <t>Pesisir Selatan</t>
  </si>
  <si>
    <t>Sijunjung</t>
  </si>
  <si>
    <t>Solok</t>
  </si>
  <si>
    <t>Solok Selatan</t>
  </si>
  <si>
    <t>Tanah Datar</t>
  </si>
  <si>
    <t>Banyuasin</t>
  </si>
  <si>
    <t>Empat Lawang</t>
  </si>
  <si>
    <t>Kota Lubuklinggau</t>
  </si>
  <si>
    <t>Kota Pagar Alam</t>
  </si>
  <si>
    <t>Kota Palembang</t>
  </si>
  <si>
    <t>Kota Prabumulih</t>
  </si>
  <si>
    <t>Lahat</t>
  </si>
  <si>
    <t>Muara Enim</t>
  </si>
  <si>
    <t>Musi Banyuasin</t>
  </si>
  <si>
    <t>Musi Rawas</t>
  </si>
  <si>
    <t>Musi Rawas Utara</t>
  </si>
  <si>
    <t>Ogan Ilir</t>
  </si>
  <si>
    <t>Ogan Komering Ilir</t>
  </si>
  <si>
    <t>Ogan Komering Ulu</t>
  </si>
  <si>
    <t>Ogan Komering Ulu Selatan</t>
  </si>
  <si>
    <t>Ogan Komering Ulu Timur</t>
  </si>
  <si>
    <t>Penukal Abab Lematang Ilir</t>
  </si>
  <si>
    <t>Asahan</t>
  </si>
  <si>
    <t>Batu Bara</t>
  </si>
  <si>
    <t>Dairi</t>
  </si>
  <si>
    <t>Deli Serdang</t>
  </si>
  <si>
    <t>Humbang Hasundutan</t>
  </si>
  <si>
    <t>Karo</t>
  </si>
  <si>
    <t>Kota Binjai</t>
  </si>
  <si>
    <t>Kota Gunungsitoli</t>
  </si>
  <si>
    <t>Kota Medan</t>
  </si>
  <si>
    <t>Kota Padang Sidempuan</t>
  </si>
  <si>
    <t>Kota Pematangsiantar</t>
  </si>
  <si>
    <t>Kota Sibolga</t>
  </si>
  <si>
    <t>Kota Tanjungbalai</t>
  </si>
  <si>
    <t>Kota Tebing Tinggi</t>
  </si>
  <si>
    <t>Labuhanbatu</t>
  </si>
  <si>
    <t>Labuhanbatu Selatan</t>
  </si>
  <si>
    <t>Labuhanbatu Utara</t>
  </si>
  <si>
    <t>Langkat</t>
  </si>
  <si>
    <t>Mandailing Natal</t>
  </si>
  <si>
    <t>Nias</t>
  </si>
  <si>
    <t>Nias Barat</t>
  </si>
  <si>
    <t>Nias Selatan</t>
  </si>
  <si>
    <t>Nias Utara</t>
  </si>
  <si>
    <t>Padang Lawas</t>
  </si>
  <si>
    <t>Padang Lawas Utara</t>
  </si>
  <si>
    <t>Pakpak Bharat</t>
  </si>
  <si>
    <t>Samosir</t>
  </si>
  <si>
    <t>Serdang Bedagai</t>
  </si>
  <si>
    <t>Simalungun</t>
  </si>
  <si>
    <t>Tapanuli Selatan</t>
  </si>
  <si>
    <t>Tapanuli Tengah</t>
  </si>
  <si>
    <t>Tapanuli Utara</t>
  </si>
  <si>
    <t>Toba</t>
  </si>
  <si>
    <t>kotaKab2</t>
  </si>
  <si>
    <t>Februari</t>
  </si>
  <si>
    <t>Maret</t>
  </si>
  <si>
    <t>April</t>
  </si>
  <si>
    <t>Mei</t>
  </si>
  <si>
    <t>Juni</t>
  </si>
  <si>
    <t>Juli</t>
  </si>
  <si>
    <t>Agustus</t>
  </si>
  <si>
    <t>September</t>
  </si>
  <si>
    <t>Oktober</t>
  </si>
  <si>
    <t>November</t>
  </si>
  <si>
    <t>Desember</t>
  </si>
  <si>
    <t>Check</t>
  </si>
  <si>
    <t>v</t>
  </si>
  <si>
    <t>V</t>
  </si>
  <si>
    <t>Status</t>
  </si>
  <si>
    <t>Sudah Terbiasa</t>
  </si>
  <si>
    <t>Belum Terbiasa</t>
  </si>
  <si>
    <t>BangunPagi</t>
  </si>
  <si>
    <t>TaatBeribadah</t>
  </si>
  <si>
    <t>MakanSehatBergizi</t>
  </si>
  <si>
    <t>GemarBelajar</t>
  </si>
  <si>
    <t>AktifBermasyarakat</t>
  </si>
  <si>
    <t>TidurCepat</t>
  </si>
  <si>
    <t>PL</t>
  </si>
  <si>
    <t>Makan Sehat dan Bergizi</t>
  </si>
  <si>
    <t>Perempuan</t>
  </si>
  <si>
    <t>Laki-laki</t>
  </si>
  <si>
    <t>Pengisian tabel dengan memberikan kisaran 1 s.d. 31 sesuai jumlah hari dalam bulan</t>
  </si>
  <si>
    <t>Tingkat</t>
  </si>
  <si>
    <t>Rombel</t>
  </si>
  <si>
    <t>Jenjang</t>
  </si>
  <si>
    <t>PAUD</t>
  </si>
  <si>
    <t>SD</t>
  </si>
  <si>
    <t>SMP</t>
  </si>
  <si>
    <t>A</t>
  </si>
  <si>
    <t>B</t>
  </si>
  <si>
    <t>C</t>
  </si>
  <si>
    <t>E</t>
  </si>
  <si>
    <t>I</t>
  </si>
  <si>
    <t>II</t>
  </si>
  <si>
    <t>III</t>
  </si>
  <si>
    <t>IV</t>
  </si>
  <si>
    <t>VI</t>
  </si>
  <si>
    <t>VII</t>
  </si>
  <si>
    <t>VIII</t>
  </si>
  <si>
    <t>IX</t>
  </si>
  <si>
    <t>XI</t>
  </si>
  <si>
    <t>XII</t>
  </si>
  <si>
    <t>XIII</t>
  </si>
  <si>
    <t>SMA</t>
  </si>
  <si>
    <t>SMK</t>
  </si>
  <si>
    <t>SelectedProv</t>
  </si>
  <si>
    <t>uniqueProv</t>
  </si>
  <si>
    <t>uniqueJenjang</t>
  </si>
  <si>
    <t>selectedJenjang</t>
  </si>
  <si>
    <t>D</t>
  </si>
  <si>
    <t>F</t>
  </si>
  <si>
    <t>G</t>
  </si>
  <si>
    <t>H</t>
  </si>
  <si>
    <t>R</t>
  </si>
  <si>
    <t>N</t>
  </si>
  <si>
    <t>S</t>
  </si>
  <si>
    <t>M</t>
  </si>
  <si>
    <t>K</t>
  </si>
  <si>
    <t>U</t>
  </si>
  <si>
    <t>O</t>
  </si>
  <si>
    <t>J</t>
  </si>
  <si>
    <t>Q</t>
  </si>
  <si>
    <t>T</t>
  </si>
  <si>
    <t>Y</t>
  </si>
  <si>
    <t>W</t>
  </si>
  <si>
    <t>Z</t>
  </si>
  <si>
    <t>JanBangunPagi</t>
  </si>
  <si>
    <t>JanTaatBeribadah</t>
  </si>
  <si>
    <t>JanBerolahraga</t>
  </si>
  <si>
    <t>JanMakanSehatBergizi</t>
  </si>
  <si>
    <t>JanGemarBelajar</t>
  </si>
  <si>
    <t>JanAktifBermasyarakat</t>
  </si>
  <si>
    <t>JanTidurCepat</t>
  </si>
  <si>
    <t>JunTidurCepat</t>
  </si>
  <si>
    <t>JulTidurCepat</t>
  </si>
  <si>
    <t>FebBangunPagi</t>
  </si>
  <si>
    <t>FebTaatBeribadah</t>
  </si>
  <si>
    <t>FebBerolahraga</t>
  </si>
  <si>
    <t>FebMakanSehatBergizi</t>
  </si>
  <si>
    <t>FebGemarBelajar</t>
  </si>
  <si>
    <t>FebAktifBermasyarakat</t>
  </si>
  <si>
    <t>FebTidurCepat</t>
  </si>
  <si>
    <t>MarBangunPagi</t>
  </si>
  <si>
    <t>MarTaatBeribadah</t>
  </si>
  <si>
    <t>MarBerolahraga</t>
  </si>
  <si>
    <t>MarMakanSehatBergizi</t>
  </si>
  <si>
    <t>MarGemarBelajar</t>
  </si>
  <si>
    <t>MarAktifBermasyarakat</t>
  </si>
  <si>
    <t>MarTidurCepat</t>
  </si>
  <si>
    <t>AprBangunPagi</t>
  </si>
  <si>
    <t>AprTaatBeribadah</t>
  </si>
  <si>
    <t>AprBerolahraga</t>
  </si>
  <si>
    <t>AprMakanSehatBergizi</t>
  </si>
  <si>
    <t>AprGemarBelajar</t>
  </si>
  <si>
    <t>AprAktifBermasyarakat</t>
  </si>
  <si>
    <t>AprTidurCepat</t>
  </si>
  <si>
    <t>MeiBangunPagi</t>
  </si>
  <si>
    <t>MeiTaatBeribadah</t>
  </si>
  <si>
    <t>MeiBerolahraga</t>
  </si>
  <si>
    <t>MeiMakanSehatBergizi</t>
  </si>
  <si>
    <t>MeiGemarBelajar</t>
  </si>
  <si>
    <t>MeiAktifBermasyarakat</t>
  </si>
  <si>
    <t>MeiTidurCepat</t>
  </si>
  <si>
    <t>JunBangunPagi</t>
  </si>
  <si>
    <t>JunTaatBeribadah</t>
  </si>
  <si>
    <t>JunBerolahraga</t>
  </si>
  <si>
    <t>JunMakanSehatBergizi</t>
  </si>
  <si>
    <t>JunGemarBelajar</t>
  </si>
  <si>
    <t>JunAktifBermasyarakat</t>
  </si>
  <si>
    <t>JulBangunPagi</t>
  </si>
  <si>
    <t>JulTaatBeribadah</t>
  </si>
  <si>
    <t>JulBerolahraga</t>
  </si>
  <si>
    <t>JulMakanSehatBergizi</t>
  </si>
  <si>
    <t>JulGemarBelajar</t>
  </si>
  <si>
    <t>JulAktifBermasyarakat</t>
  </si>
  <si>
    <t>AguBangunPagi</t>
  </si>
  <si>
    <t>AguTaatBeribadah</t>
  </si>
  <si>
    <t>AguBerolahraga</t>
  </si>
  <si>
    <t>AguMakanSehatBergizi</t>
  </si>
  <si>
    <t>AguGemarBelajar</t>
  </si>
  <si>
    <t>AguAktifBermasyarakat</t>
  </si>
  <si>
    <t>AguTidurCepat</t>
  </si>
  <si>
    <t>SepBangunPagi</t>
  </si>
  <si>
    <t>SepTaatBeribadah</t>
  </si>
  <si>
    <t>SepBerolahraga</t>
  </si>
  <si>
    <t>SepMakanSehatBergizi</t>
  </si>
  <si>
    <t>SepGemarBelajar</t>
  </si>
  <si>
    <t>SepAktifBermasyarakat</t>
  </si>
  <si>
    <t>SepTidurCepat</t>
  </si>
  <si>
    <t>OktBangunPagi</t>
  </si>
  <si>
    <t>OktTaatBeribadah</t>
  </si>
  <si>
    <t>OktBerolahraga</t>
  </si>
  <si>
    <t>OktMakanSehatBergizi</t>
  </si>
  <si>
    <t>OktGemarBelajar</t>
  </si>
  <si>
    <t>OktAktifBermasyarakat</t>
  </si>
  <si>
    <t>OktTidurCepat</t>
  </si>
  <si>
    <t>NovBangunPagi</t>
  </si>
  <si>
    <t>NovTaatBeribadah</t>
  </si>
  <si>
    <t>NovBerolahraga</t>
  </si>
  <si>
    <t>NovMakanSehatBergizi</t>
  </si>
  <si>
    <t>NovGemarBelajar</t>
  </si>
  <si>
    <t>NovAktifBermasyarakat</t>
  </si>
  <si>
    <t>NovTidurCepat</t>
  </si>
  <si>
    <t>DesBangunPagi</t>
  </si>
  <si>
    <t>DesTaatBeribadah</t>
  </si>
  <si>
    <t>DesBerolahraga</t>
  </si>
  <si>
    <t>DesMakanSehatBergizi</t>
  </si>
  <si>
    <t>DesGemarBelajar</t>
  </si>
  <si>
    <t>DesAktifBermasyarakat</t>
  </si>
  <si>
    <t>DesTidurCepat</t>
  </si>
  <si>
    <t>NumbPembiasan</t>
  </si>
  <si>
    <t>1.1</t>
  </si>
  <si>
    <t>1.2</t>
  </si>
  <si>
    <t>1.3</t>
  </si>
  <si>
    <t>1.4</t>
  </si>
  <si>
    <t>1.5</t>
  </si>
  <si>
    <t>1.6</t>
  </si>
  <si>
    <t>1.7</t>
  </si>
  <si>
    <t>2.1</t>
  </si>
  <si>
    <t>2.2</t>
  </si>
  <si>
    <t>2.3</t>
  </si>
  <si>
    <t>2.4</t>
  </si>
  <si>
    <t>2.5</t>
  </si>
  <si>
    <t>2.6</t>
  </si>
  <si>
    <t>2.7</t>
  </si>
  <si>
    <t>Bul</t>
  </si>
  <si>
    <t>3.1</t>
  </si>
  <si>
    <t>3.2</t>
  </si>
  <si>
    <t>3.3</t>
  </si>
  <si>
    <t>3.4</t>
  </si>
  <si>
    <t>3.5</t>
  </si>
  <si>
    <t>3.6</t>
  </si>
  <si>
    <t>3.7</t>
  </si>
  <si>
    <t>4.1</t>
  </si>
  <si>
    <t>4.2</t>
  </si>
  <si>
    <t>4.3</t>
  </si>
  <si>
    <t>4.4</t>
  </si>
  <si>
    <t>4.5</t>
  </si>
  <si>
    <t>4.6</t>
  </si>
  <si>
    <t>4.7</t>
  </si>
  <si>
    <t>5.1</t>
  </si>
  <si>
    <t>5.2</t>
  </si>
  <si>
    <t>5.3</t>
  </si>
  <si>
    <t>5.4</t>
  </si>
  <si>
    <t>5.5</t>
  </si>
  <si>
    <t>5.6</t>
  </si>
  <si>
    <t>5.7</t>
  </si>
  <si>
    <t>6.1</t>
  </si>
  <si>
    <t>6.2</t>
  </si>
  <si>
    <t>6.3</t>
  </si>
  <si>
    <t>6.4</t>
  </si>
  <si>
    <t>6.5</t>
  </si>
  <si>
    <t>6.6</t>
  </si>
  <si>
    <t>6.7</t>
  </si>
  <si>
    <t>7.1</t>
  </si>
  <si>
    <t>7.2</t>
  </si>
  <si>
    <t>7.3</t>
  </si>
  <si>
    <t>7.4</t>
  </si>
  <si>
    <t>7.5</t>
  </si>
  <si>
    <t>7.6</t>
  </si>
  <si>
    <t>7.7</t>
  </si>
  <si>
    <t>8.1</t>
  </si>
  <si>
    <t>8.2</t>
  </si>
  <si>
    <t>8.3</t>
  </si>
  <si>
    <t>8.4</t>
  </si>
  <si>
    <t>8.5</t>
  </si>
  <si>
    <t>8.6</t>
  </si>
  <si>
    <t>8.7</t>
  </si>
  <si>
    <t>9.1</t>
  </si>
  <si>
    <t>9.2</t>
  </si>
  <si>
    <t>9.3</t>
  </si>
  <si>
    <t>9.4</t>
  </si>
  <si>
    <t>9.5</t>
  </si>
  <si>
    <t>9.6</t>
  </si>
  <si>
    <t>9.7</t>
  </si>
  <si>
    <t>10.1</t>
  </si>
  <si>
    <t>10.2</t>
  </si>
  <si>
    <t>10.3</t>
  </si>
  <si>
    <t>10.4</t>
  </si>
  <si>
    <t>10.5</t>
  </si>
  <si>
    <t>10.6</t>
  </si>
  <si>
    <t>10.7</t>
  </si>
  <si>
    <t>11.1</t>
  </si>
  <si>
    <t>11.2</t>
  </si>
  <si>
    <t>11.3</t>
  </si>
  <si>
    <t>11.4</t>
  </si>
  <si>
    <t>11.5</t>
  </si>
  <si>
    <t>11.6</t>
  </si>
  <si>
    <t>11.7</t>
  </si>
  <si>
    <t>12.1</t>
  </si>
  <si>
    <t>12.2</t>
  </si>
  <si>
    <t>12.3</t>
  </si>
  <si>
    <t>12.4</t>
  </si>
  <si>
    <t>12.5</t>
  </si>
  <si>
    <t>12.6</t>
  </si>
  <si>
    <t>12.7</t>
  </si>
  <si>
    <t>noBul</t>
  </si>
  <si>
    <t>no7</t>
  </si>
  <si>
    <t>7KAIH</t>
  </si>
  <si>
    <t>id7KAIH</t>
  </si>
  <si>
    <t>SudahTerbiasa</t>
  </si>
  <si>
    <t>BelumTerbiasa</t>
  </si>
  <si>
    <t>Laki-Laki</t>
  </si>
  <si>
    <t>Jenis Kelamin</t>
  </si>
  <si>
    <t>Total</t>
  </si>
  <si>
    <t>Jml Siswa</t>
  </si>
  <si>
    <t>Versi 1.0 AAS</t>
  </si>
  <si>
    <t>Nama Sekolah</t>
  </si>
  <si>
    <t>NIP</t>
  </si>
  <si>
    <t>Kepsek/Plt/UPT</t>
  </si>
  <si>
    <t>Plt. Kepala Sekolah</t>
  </si>
  <si>
    <t>Kepala UPT</t>
  </si>
  <si>
    <t>Semester</t>
  </si>
  <si>
    <t>Tahun Pelajaran</t>
  </si>
  <si>
    <t>Kelas / Rombel</t>
  </si>
  <si>
    <t>Murid</t>
  </si>
  <si>
    <t>Mengisi kelas dan rombel masing-masing kelas</t>
  </si>
  <si>
    <t>Mengisi identitas wali kelas dan NIP</t>
  </si>
  <si>
    <t>statusSiswa</t>
  </si>
  <si>
    <t>Aktif</t>
  </si>
  <si>
    <t>Pindah</t>
  </si>
  <si>
    <t>Berhenti</t>
  </si>
  <si>
    <t>Meninggal</t>
  </si>
  <si>
    <t>Agama</t>
  </si>
  <si>
    <t>Islam</t>
  </si>
  <si>
    <t>Kristen</t>
  </si>
  <si>
    <t>Katolik</t>
  </si>
  <si>
    <t>Hindu</t>
  </si>
  <si>
    <t>Konghucu</t>
  </si>
  <si>
    <t>Buddha</t>
  </si>
  <si>
    <t>Nama Siswa</t>
  </si>
  <si>
    <r>
      <rPr>
        <sz val="12"/>
        <color rgb="FFFF0000"/>
        <rFont val="Times New Roman"/>
        <family val="1"/>
      </rPr>
      <t>HALAMAN INI TIDAK PERLU DI CETAK</t>
    </r>
    <r>
      <rPr>
        <sz val="12"/>
        <color theme="1"/>
        <rFont val="Times New Roman"/>
        <family val="1"/>
      </rPr>
      <t xml:space="preserve"> </t>
    </r>
    <r>
      <rPr>
        <sz val="12"/>
        <color theme="0"/>
        <rFont val="Times New Roman"/>
        <family val="1"/>
      </rPr>
      <t>==========</t>
    </r>
  </si>
  <si>
    <t>Ganti tanggal pengesahan</t>
  </si>
  <si>
    <t>31 Juli 2025</t>
  </si>
  <si>
    <t>Nama Sekolah (NPSN)</t>
  </si>
  <si>
    <t>Kota/Kab, Provinsi</t>
  </si>
  <si>
    <t>Semester I</t>
  </si>
  <si>
    <t>Semester II</t>
  </si>
  <si>
    <t>Persentase</t>
  </si>
  <si>
    <t>Jumlah Siswa</t>
  </si>
  <si>
    <t>Kepercayaan</t>
  </si>
  <si>
    <t>Disabilitas</t>
  </si>
  <si>
    <t>Fisik</t>
  </si>
  <si>
    <t>Intelektual</t>
  </si>
  <si>
    <t>Mental</t>
  </si>
  <si>
    <t>Sensori</t>
  </si>
  <si>
    <t>Tidak</t>
  </si>
  <si>
    <t>Mengisi identitas siswa (nama, jenis kelamin, agama, dan disablitas (jika ada))</t>
  </si>
  <si>
    <t>Pada tiap bulan mengisi berupa angka dari jumlah ceklis melakukan kegiatan</t>
  </si>
  <si>
    <t>Pada tiap bulan, silakan memilih apakah siswa masih aktif atau tidak aktif</t>
  </si>
  <si>
    <t>PROFIL KELAS</t>
  </si>
  <si>
    <t>Nama Guru Wali Kelas</t>
  </si>
  <si>
    <t>Tahun Ajaran</t>
  </si>
  <si>
    <t>Isian berupa angka dari jumlah validasi melakukan kegiatan</t>
  </si>
  <si>
    <t>REKAPITULASI CATATAN HARIAN KELAS (RCHS)</t>
  </si>
  <si>
    <t>yearValid</t>
  </si>
  <si>
    <t>\b20\d{2}/20\d{2}\b</t>
  </si>
  <si>
    <t>Semester / Bulan</t>
  </si>
  <si>
    <t>selectedSiswa</t>
  </si>
  <si>
    <t>identifierSiswa</t>
  </si>
  <si>
    <t>columnPembiasa</t>
  </si>
  <si>
    <t>AA</t>
  </si>
  <si>
    <r>
      <rPr>
        <sz val="12"/>
        <color rgb="FFFF0000"/>
        <rFont val="Times New Roman"/>
        <family val="1"/>
      </rPr>
      <t>HALAMAN INI TIDAK PERLU DI CETAK</t>
    </r>
    <r>
      <rPr>
        <sz val="12"/>
        <color theme="0"/>
        <rFont val="Times New Roman"/>
        <family val="1"/>
      </rPr>
      <t xml:space="preserve"> ==========</t>
    </r>
  </si>
  <si>
    <t>Pertanyaan</t>
  </si>
  <si>
    <t>Microsoft Office 2013, 2016, 2019 dan 365</t>
  </si>
  <si>
    <t>Microsoft Office versi berapa yang digunakan pada Windows?</t>
  </si>
  <si>
    <t>Microsoft Office versi berapa yang digunakan pada macOS?</t>
  </si>
  <si>
    <t>Mac versi berapa yang mendukung Microsoft Office 2013?</t>
  </si>
  <si>
    <t>Windows versi berapa yang mendukung Microsoft Office 2013?</t>
  </si>
  <si>
    <t>macOS 10.15 Catalina - macOS terbaru</t>
  </si>
  <si>
    <t>Office for Mac 2016, 2019, 2021, dan 365</t>
  </si>
  <si>
    <t>Windows 7, 8/8.1, 10, dan 11</t>
  </si>
  <si>
    <t>Mengisi profil kelas dari pengisian nama hingga tahun pelajaran</t>
  </si>
  <si>
    <t>Bagaimana unblock security Excel?</t>
  </si>
  <si>
    <t>Apa yang dilakukan ketika terdapat tulisan Security Warning?</t>
  </si>
  <si>
    <t>Klik kiri pada "Enable Content"</t>
  </si>
  <si>
    <t>Bagaimana cara melakukan pengisian Catatan Harian Kelas ini?</t>
  </si>
  <si>
    <t xml:space="preserve">Klik pada sheet </t>
  </si>
  <si>
    <t>Panduan Pengisian 
Rekapitulasi Catatan Harian Kelas (RCHK)</t>
  </si>
  <si>
    <t>31 Januari 2025</t>
  </si>
  <si>
    <t>31 Desember 2025</t>
  </si>
  <si>
    <t>30 November 2025</t>
  </si>
  <si>
    <t>31 Oktober 2025</t>
  </si>
  <si>
    <t>31 Agustus 2025</t>
  </si>
  <si>
    <t>29 Februari 2025</t>
  </si>
  <si>
    <t>31 Maret 2025</t>
  </si>
  <si>
    <t>30 April 2025</t>
  </si>
  <si>
    <t>31 Mei 2025</t>
  </si>
  <si>
    <t>30 Juni 2025</t>
  </si>
  <si>
    <t>Daftar Tugas</t>
  </si>
  <si>
    <t>Profil Kelas</t>
  </si>
  <si>
    <t>Identitas Murid</t>
  </si>
  <si>
    <t>BP</t>
  </si>
  <si>
    <t>TB</t>
  </si>
  <si>
    <t>GB</t>
  </si>
  <si>
    <t>AB</t>
  </si>
  <si>
    <t>TC</t>
  </si>
  <si>
    <t>MSB</t>
  </si>
  <si>
    <t>Regional</t>
  </si>
  <si>
    <t>Link</t>
  </si>
  <si>
    <t>Nama Kepala Sekolah</t>
  </si>
  <si>
    <t>TahunAjaran</t>
  </si>
  <si>
    <t>2024/2025</t>
  </si>
  <si>
    <t>2025/2026</t>
  </si>
  <si>
    <t>2026/2027</t>
  </si>
  <si>
    <t>2027/2028</t>
  </si>
  <si>
    <t>2028/2029</t>
  </si>
  <si>
    <t>2029/2030</t>
  </si>
  <si>
    <t>2030/2031</t>
  </si>
  <si>
    <t>ROW</t>
  </si>
  <si>
    <t>Tahun</t>
  </si>
  <si>
    <t>Tahunan</t>
  </si>
  <si>
    <t>31 September 2025</t>
  </si>
  <si>
    <t>Semester1</t>
  </si>
  <si>
    <t>Semester2</t>
  </si>
  <si>
    <t>SemesterII</t>
  </si>
  <si>
    <t>SemesterI</t>
  </si>
  <si>
    <t>: SD CERDAS BERKARAKTER (12345678)</t>
  </si>
  <si>
    <t>: KAB. JOMBANG, PROVINSI JAWA TIMUR</t>
  </si>
  <si>
    <t>: AARON, S.KOM. (NIP.234567899876543211)</t>
  </si>
  <si>
    <t>Guru Wali Kelas I E</t>
  </si>
  <si>
    <t>: ALETHEIA, S.KOM.</t>
  </si>
  <si>
    <t>SEMESTER I</t>
  </si>
  <si>
    <t>SEMESTER II</t>
  </si>
  <si>
    <t>TAHUN</t>
  </si>
  <si>
    <t>LS-BP</t>
  </si>
  <si>
    <t>LB-BP</t>
  </si>
  <si>
    <t>PS-BP</t>
  </si>
  <si>
    <t>PB-BP</t>
  </si>
  <si>
    <t>LS-TB</t>
  </si>
  <si>
    <t>LB-TB</t>
  </si>
  <si>
    <t>PS-TB</t>
  </si>
  <si>
    <t>PB-TB</t>
  </si>
  <si>
    <t>LS-B</t>
  </si>
  <si>
    <t>LB-B</t>
  </si>
  <si>
    <t>PS-B</t>
  </si>
  <si>
    <t>PB-B</t>
  </si>
  <si>
    <t>LS-MSB</t>
  </si>
  <si>
    <t>LB-MSB</t>
  </si>
  <si>
    <t>PS-MSB</t>
  </si>
  <si>
    <t>PB-MSB</t>
  </si>
  <si>
    <t>LS-GB</t>
  </si>
  <si>
    <t>LB-GB</t>
  </si>
  <si>
    <t>PS-GB</t>
  </si>
  <si>
    <t>PB-GB</t>
  </si>
  <si>
    <t>LS-AB</t>
  </si>
  <si>
    <t>LB-AB</t>
  </si>
  <si>
    <t>PS-AB</t>
  </si>
  <si>
    <t>PB-AB</t>
  </si>
  <si>
    <t>LS-TC</t>
  </si>
  <si>
    <t>LB-TC</t>
  </si>
  <si>
    <t>PS-TC</t>
  </si>
  <si>
    <t>PB-TC</t>
  </si>
  <si>
    <t>LS-A</t>
  </si>
  <si>
    <t>LB-A</t>
  </si>
  <si>
    <t>PS-A</t>
  </si>
  <si>
    <t>PB-A</t>
  </si>
  <si>
    <t>CV</t>
  </si>
  <si>
    <t>Terbiasa</t>
  </si>
  <si>
    <t>Status Siswa</t>
  </si>
  <si>
    <r>
      <t xml:space="preserve">5.1. Klik kiri pada Excel .xlsm
5.2. Klik kanan-&gt;Properties atau Tekan Alt+Enter bersama
5.3. Bagian bawah terdapat Security dan check </t>
    </r>
    <r>
      <rPr>
        <b/>
        <u/>
        <sz val="11"/>
        <color theme="1"/>
        <rFont val="Calibri"/>
        <family val="2"/>
        <scheme val="minor"/>
      </rPr>
      <t xml:space="preserve">Unblock
</t>
    </r>
    <r>
      <rPr>
        <b/>
        <sz val="11"/>
        <color theme="1"/>
        <rFont val="Calibri"/>
        <family val="2"/>
        <scheme val="minor"/>
      </rPr>
      <t>5.4. Klik kiri pada tulisan Ok</t>
    </r>
  </si>
  <si>
    <t>DAFTAR NAMA SISWA KELAS</t>
  </si>
  <si>
    <t>Pilih Bulan</t>
  </si>
  <si>
    <t>Pilih Semester</t>
  </si>
  <si>
    <t>USED</t>
  </si>
  <si>
    <t>Belum terbiasa</t>
  </si>
  <si>
    <t>L/P</t>
  </si>
  <si>
    <t>HALAMAN INI DAPAT DI CETAK UNTUK PENGISIAN MANUAL==========</t>
  </si>
  <si>
    <t>COPY SEPANJANG WARNA KUNING KE RCHS OLEH OPERATOR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</si>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</sst>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rgb="FFFF0000"/>
      <name val="Times New Roman"/>
      <family val="1"/>
    </font>
    <font>
      <sz val="12"/>
      <name val="Times New Roman"/>
      <family val="1"/>
    </font>
    <font>
      <sz val="8"/>
      <name val="Calibri"/>
      <family val="2"/>
      <scheme val="minor"/>
    </font>
    <font>
      <b/>
      <i/>
      <sz val="12"/>
      <color theme="1"/>
      <name val="Times New Roman"/>
      <family val="1"/>
    </font>
    <font>
      <sz val="12"/>
      <color theme="0"/>
      <name val="Times New Roman"/>
      <family val="1"/>
    </font>
    <font>
      <sz val="11"/>
      <color theme="1"/>
      <name val="Tw Cen MT"/>
      <family val="2"/>
    </font>
    <font>
      <b/>
      <i/>
      <sz val="11"/>
      <color theme="1"/>
      <name val="Tw Cen MT"/>
      <family val="2"/>
    </font>
    <font>
      <sz val="20"/>
      <color theme="0"/>
      <name val="Tw Cen MT"/>
      <family val="2"/>
    </font>
    <font>
      <sz val="11"/>
      <name val="Tw Cen MT"/>
      <family val="2"/>
    </font>
    <font>
      <sz val="11"/>
      <color theme="0"/>
      <name val="Tw Cen MT"/>
      <family val="2"/>
    </font>
    <font>
      <b/>
      <sz val="12"/>
      <name val="Times New Roman"/>
      <family val="1"/>
    </font>
    <font>
      <sz val="11"/>
      <color theme="1"/>
      <name val="Times New Roman"/>
      <family val="1"/>
    </font>
    <font>
      <sz val="20"/>
      <color theme="0"/>
      <name val="Times New Roman"/>
      <family val="1"/>
    </font>
    <font>
      <b/>
      <u/>
      <sz val="12"/>
      <color theme="1"/>
      <name val="Times New Roman"/>
      <family val="1"/>
    </font>
    <font>
      <b/>
      <i/>
      <sz val="12"/>
      <color theme="0"/>
      <name val="Times New Roman"/>
      <family val="1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Tw Cen MT"/>
      <family val="2"/>
    </font>
    <font>
      <sz val="12"/>
      <color theme="1"/>
      <name val="Tw Cen MT"/>
      <family val="2"/>
    </font>
    <font>
      <u/>
      <sz val="12"/>
      <color theme="10"/>
      <name val="Tw Cen MT"/>
      <family val="2"/>
    </font>
    <font>
      <sz val="12"/>
      <color theme="0" tint="-0.249977111117893"/>
      <name val="Times New Roman"/>
      <family val="1"/>
    </font>
    <font>
      <b/>
      <sz val="11"/>
      <color theme="1"/>
      <name val="Calibri"/>
      <family val="2"/>
      <scheme val="minor"/>
    </font>
    <font>
      <sz val="1"/>
      <color theme="1"/>
      <name val="Times New Roman"/>
      <family val="1"/>
    </font>
    <font>
      <sz val="12"/>
      <color theme="0" tint="-0.14999847407452621"/>
      <name val="Times New Roman"/>
      <family val="1"/>
    </font>
    <font>
      <b/>
      <u/>
      <sz val="11"/>
      <color theme="1"/>
      <name val="Calibri"/>
      <family val="2"/>
      <scheme val="minor"/>
    </font>
    <font>
      <b/>
      <sz val="12"/>
      <color theme="0"/>
      <name val="Tw Cen MT"/>
      <family val="2"/>
    </font>
    <font>
      <sz val="11"/>
      <color theme="0"/>
      <name val="Calibri"/>
      <family val="2"/>
      <scheme val="minor"/>
    </font>
    <font>
      <b/>
      <sz val="8"/>
      <color theme="1"/>
      <name val="Times New Roman"/>
      <family val="1"/>
    </font>
    <font>
      <b/>
      <sz val="6"/>
      <color theme="1"/>
      <name val="Times New Roman"/>
      <family val="1"/>
    </font>
    <font>
      <sz val="11"/>
      <color rgb="FF32B196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32B196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ck">
        <color auto="1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BDA71"/>
      </left>
      <right/>
      <top style="thin">
        <color rgb="FFFBDA71"/>
      </top>
      <bottom style="thin">
        <color rgb="FFFBDA71"/>
      </bottom>
      <diagonal/>
    </border>
    <border>
      <left/>
      <right style="thin">
        <color rgb="FFFBDA71"/>
      </right>
      <top style="thin">
        <color rgb="FFFBDA71"/>
      </top>
      <bottom style="thin">
        <color rgb="FFFBDA71"/>
      </bottom>
      <diagonal/>
    </border>
    <border>
      <left/>
      <right style="thin">
        <color rgb="FF73DFF9"/>
      </right>
      <top style="thin">
        <color rgb="FF73DFF9"/>
      </top>
      <bottom style="thin">
        <color rgb="FF73DFF9"/>
      </bottom>
      <diagonal/>
    </border>
    <border>
      <left style="thin">
        <color rgb="FF73DFF9"/>
      </left>
      <right/>
      <top style="thin">
        <color rgb="FF73DFF9"/>
      </top>
      <bottom style="thin">
        <color rgb="FF73DFF9"/>
      </bottom>
      <diagonal/>
    </border>
    <border>
      <left/>
      <right style="thin">
        <color rgb="FF00B050"/>
      </right>
      <top/>
      <bottom/>
      <diagonal/>
    </border>
    <border>
      <left style="thin">
        <color theme="9" tint="0.39994506668294322"/>
      </left>
      <right/>
      <top style="thin">
        <color theme="9" tint="0.39994506668294322"/>
      </top>
      <bottom/>
      <diagonal/>
    </border>
    <border>
      <left/>
      <right/>
      <top style="thin">
        <color theme="9" tint="0.39994506668294322"/>
      </top>
      <bottom/>
      <diagonal/>
    </border>
    <border>
      <left/>
      <right style="thin">
        <color theme="9" tint="0.39994506668294322"/>
      </right>
      <top style="thin">
        <color theme="9" tint="0.39994506668294322"/>
      </top>
      <bottom/>
      <diagonal/>
    </border>
    <border>
      <left style="thin">
        <color theme="9" tint="0.39994506668294322"/>
      </left>
      <right/>
      <top/>
      <bottom style="thin">
        <color theme="9" tint="0.39994506668294322"/>
      </bottom>
      <diagonal/>
    </border>
    <border>
      <left/>
      <right/>
      <top/>
      <bottom style="thin">
        <color theme="9" tint="0.39994506668294322"/>
      </bottom>
      <diagonal/>
    </border>
    <border>
      <left/>
      <right style="thin">
        <color theme="9" tint="0.39994506668294322"/>
      </right>
      <top/>
      <bottom style="thin">
        <color theme="9" tint="0.39994506668294322"/>
      </bottom>
      <diagonal/>
    </border>
  </borders>
  <cellStyleXfs count="3">
    <xf numFmtId="0" fontId="0" fillId="0" borderId="0"/>
    <xf numFmtId="9" fontId="18" fillId="0" borderId="0" applyFont="0" applyFill="0" applyBorder="0" applyAlignment="0" applyProtection="0"/>
    <xf numFmtId="0" fontId="19" fillId="0" borderId="0" applyNumberFormat="0" applyFill="0" applyBorder="0" applyAlignment="0" applyProtection="0"/>
  </cellStyleXfs>
  <cellXfs count="176">
    <xf numFmtId="0" fontId="0" fillId="0" borderId="0" xfId="0"/>
    <xf numFmtId="0" fontId="0" fillId="0" borderId="0" xfId="0" applyProtection="1">
      <protection hidden="1"/>
    </xf>
    <xf numFmtId="9" fontId="0" fillId="0" borderId="0" xfId="1" applyFont="1" applyProtection="1">
      <protection hidden="1"/>
    </xf>
    <xf numFmtId="0" fontId="2" fillId="5" borderId="1" xfId="0" applyFont="1" applyFill="1" applyBorder="1" applyAlignment="1" applyProtection="1">
      <alignment horizontal="center" vertical="center"/>
      <protection hidden="1"/>
    </xf>
    <xf numFmtId="0" fontId="1" fillId="0" borderId="1" xfId="0" applyFont="1" applyBorder="1" applyProtection="1">
      <protection hidden="1"/>
    </xf>
    <xf numFmtId="0" fontId="4" fillId="0" borderId="1" xfId="0" applyFont="1" applyBorder="1" applyProtection="1">
      <protection hidden="1"/>
    </xf>
    <xf numFmtId="0" fontId="4" fillId="0" borderId="1" xfId="0" applyFont="1" applyBorder="1" applyAlignment="1" applyProtection="1">
      <alignment horizontal="center"/>
      <protection hidden="1"/>
    </xf>
    <xf numFmtId="0" fontId="1" fillId="0" borderId="0" xfId="0" applyFont="1" applyProtection="1">
      <protection hidden="1"/>
    </xf>
    <xf numFmtId="0" fontId="8" fillId="4" borderId="0" xfId="0" applyFont="1" applyFill="1" applyProtection="1">
      <protection hidden="1"/>
    </xf>
    <xf numFmtId="0" fontId="0" fillId="4" borderId="0" xfId="0" applyFill="1" applyProtection="1">
      <protection hidden="1"/>
    </xf>
    <xf numFmtId="0" fontId="1" fillId="5" borderId="1" xfId="0" applyFont="1" applyFill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1" fillId="0" borderId="5" xfId="0" applyFont="1" applyBorder="1" applyAlignment="1" applyProtection="1">
      <alignment horizontal="left"/>
      <protection hidden="1"/>
    </xf>
    <xf numFmtId="0" fontId="1" fillId="5" borderId="0" xfId="0" applyFont="1" applyFill="1" applyProtection="1">
      <protection hidden="1"/>
    </xf>
    <xf numFmtId="0" fontId="1" fillId="5" borderId="14" xfId="0" applyFont="1" applyFill="1" applyBorder="1" applyProtection="1">
      <protection hidden="1"/>
    </xf>
    <xf numFmtId="0" fontId="21" fillId="0" borderId="0" xfId="0" applyFont="1" applyProtection="1">
      <protection hidden="1"/>
    </xf>
    <xf numFmtId="0" fontId="9" fillId="0" borderId="0" xfId="0" applyFont="1" applyAlignment="1" applyProtection="1">
      <alignment horizontal="right"/>
      <protection hidden="1"/>
    </xf>
    <xf numFmtId="0" fontId="8" fillId="0" borderId="0" xfId="0" applyFont="1" applyProtection="1">
      <protection hidden="1"/>
    </xf>
    <xf numFmtId="0" fontId="11" fillId="2" borderId="1" xfId="0" applyFont="1" applyFill="1" applyBorder="1" applyAlignment="1" applyProtection="1">
      <alignment horizontal="center" vertical="center"/>
      <protection hidden="1"/>
    </xf>
    <xf numFmtId="0" fontId="11" fillId="2" borderId="1" xfId="0" applyFont="1" applyFill="1" applyBorder="1" applyAlignment="1" applyProtection="1">
      <alignment horizontal="center" vertical="center"/>
      <protection locked="0" hidden="1"/>
    </xf>
    <xf numFmtId="0" fontId="11" fillId="2" borderId="1" xfId="0" applyFont="1" applyFill="1" applyBorder="1" applyAlignment="1" applyProtection="1">
      <alignment horizontal="center"/>
      <protection hidden="1"/>
    </xf>
    <xf numFmtId="0" fontId="12" fillId="2" borderId="1" xfId="0" applyFont="1" applyFill="1" applyBorder="1" applyAlignment="1" applyProtection="1">
      <alignment horizontal="center" vertical="center"/>
      <protection locked="0" hidden="1"/>
    </xf>
    <xf numFmtId="0" fontId="11" fillId="5" borderId="0" xfId="0" applyFont="1" applyFill="1" applyProtection="1">
      <protection hidden="1"/>
    </xf>
    <xf numFmtId="0" fontId="11" fillId="5" borderId="0" xfId="0" applyFont="1" applyFill="1" applyAlignment="1" applyProtection="1">
      <alignment horizontal="center"/>
      <protection hidden="1"/>
    </xf>
    <xf numFmtId="0" fontId="11" fillId="5" borderId="0" xfId="0" applyFont="1" applyFill="1" applyAlignment="1" applyProtection="1">
      <alignment vertical="center"/>
      <protection hidden="1"/>
    </xf>
    <xf numFmtId="0" fontId="0" fillId="5" borderId="0" xfId="0" applyFill="1" applyProtection="1">
      <protection hidden="1"/>
    </xf>
    <xf numFmtId="0" fontId="26" fillId="2" borderId="0" xfId="0" applyFont="1" applyFill="1" applyProtection="1">
      <protection hidden="1"/>
    </xf>
    <xf numFmtId="0" fontId="14" fillId="4" borderId="0" xfId="0" applyFont="1" applyFill="1" applyProtection="1">
      <protection hidden="1"/>
    </xf>
    <xf numFmtId="0" fontId="13" fillId="5" borderId="1" xfId="0" applyFont="1" applyFill="1" applyBorder="1" applyAlignment="1" applyProtection="1">
      <alignment horizontal="center" vertical="center"/>
      <protection hidden="1"/>
    </xf>
    <xf numFmtId="0" fontId="13" fillId="5" borderId="1" xfId="0" applyFont="1" applyFill="1" applyBorder="1" applyAlignment="1" applyProtection="1">
      <alignment vertical="center"/>
      <protection hidden="1"/>
    </xf>
    <xf numFmtId="0" fontId="1" fillId="0" borderId="1" xfId="0" applyFont="1" applyBorder="1" applyProtection="1">
      <protection locked="0" hidden="1"/>
    </xf>
    <xf numFmtId="0" fontId="17" fillId="4" borderId="15" xfId="0" applyFont="1" applyFill="1" applyBorder="1" applyProtection="1">
      <protection hidden="1"/>
    </xf>
    <xf numFmtId="0" fontId="4" fillId="5" borderId="15" xfId="0" applyFont="1" applyFill="1" applyBorder="1" applyProtection="1">
      <protection locked="0" hidden="1"/>
    </xf>
    <xf numFmtId="0" fontId="7" fillId="5" borderId="0" xfId="0" applyFont="1" applyFill="1" applyProtection="1">
      <protection hidden="1"/>
    </xf>
    <xf numFmtId="0" fontId="1" fillId="5" borderId="8" xfId="0" applyFont="1" applyFill="1" applyBorder="1" applyProtection="1">
      <protection hidden="1"/>
    </xf>
    <xf numFmtId="0" fontId="2" fillId="5" borderId="3" xfId="0" applyFont="1" applyFill="1" applyBorder="1" applyAlignment="1" applyProtection="1">
      <alignment horizontal="center" vertical="center"/>
      <protection hidden="1"/>
    </xf>
    <xf numFmtId="0" fontId="2" fillId="5" borderId="3" xfId="0" applyFont="1" applyFill="1" applyBorder="1" applyAlignment="1" applyProtection="1">
      <alignment horizontal="center" vertical="center" wrapText="1"/>
      <protection hidden="1"/>
    </xf>
    <xf numFmtId="0" fontId="2" fillId="5" borderId="5" xfId="0" applyFont="1" applyFill="1" applyBorder="1" applyAlignment="1" applyProtection="1">
      <alignment horizontal="centerContinuous" vertical="center"/>
      <protection hidden="1"/>
    </xf>
    <xf numFmtId="0" fontId="2" fillId="5" borderId="6" xfId="0" applyFont="1" applyFill="1" applyBorder="1" applyAlignment="1" applyProtection="1">
      <alignment horizontal="centerContinuous" vertical="center"/>
      <protection hidden="1"/>
    </xf>
    <xf numFmtId="0" fontId="2" fillId="5" borderId="7" xfId="0" applyFont="1" applyFill="1" applyBorder="1" applyAlignment="1" applyProtection="1">
      <alignment horizontal="centerContinuous" vertical="center"/>
      <protection hidden="1"/>
    </xf>
    <xf numFmtId="0" fontId="2" fillId="5" borderId="1" xfId="0" applyFont="1" applyFill="1" applyBorder="1" applyAlignment="1" applyProtection="1">
      <alignment horizontal="centerContinuous" vertical="center" wrapText="1"/>
      <protection hidden="1"/>
    </xf>
    <xf numFmtId="0" fontId="1" fillId="5" borderId="1" xfId="0" applyFont="1" applyFill="1" applyBorder="1" applyProtection="1">
      <protection hidden="1"/>
    </xf>
    <xf numFmtId="0" fontId="1" fillId="5" borderId="1" xfId="0" applyFont="1" applyFill="1" applyBorder="1" applyAlignment="1" applyProtection="1">
      <alignment horizontal="centerContinuous" vertical="center"/>
      <protection hidden="1"/>
    </xf>
    <xf numFmtId="0" fontId="4" fillId="5" borderId="0" xfId="0" applyFont="1" applyFill="1" applyProtection="1">
      <protection hidden="1"/>
    </xf>
    <xf numFmtId="0" fontId="2" fillId="5" borderId="5" xfId="0" applyFont="1" applyFill="1" applyBorder="1" applyAlignment="1" applyProtection="1">
      <alignment horizontal="centerContinuous" vertical="center" wrapText="1"/>
      <protection hidden="1"/>
    </xf>
    <xf numFmtId="0" fontId="2" fillId="5" borderId="6" xfId="0" applyFont="1" applyFill="1" applyBorder="1" applyAlignment="1" applyProtection="1">
      <alignment horizontal="centerContinuous" vertical="center" wrapText="1"/>
      <protection hidden="1"/>
    </xf>
    <xf numFmtId="0" fontId="2" fillId="5" borderId="7" xfId="0" applyFont="1" applyFill="1" applyBorder="1" applyAlignment="1" applyProtection="1">
      <alignment horizontal="centerContinuous" vertical="center" wrapText="1"/>
      <protection hidden="1"/>
    </xf>
    <xf numFmtId="0" fontId="2" fillId="5" borderId="1" xfId="0" applyFont="1" applyFill="1" applyBorder="1" applyAlignment="1" applyProtection="1">
      <alignment horizontal="centerContinuous" vertical="center"/>
      <protection hidden="1"/>
    </xf>
    <xf numFmtId="0" fontId="2" fillId="5" borderId="12" xfId="0" applyFont="1" applyFill="1" applyBorder="1" applyAlignment="1" applyProtection="1">
      <alignment horizontal="centerContinuous" vertical="center"/>
      <protection hidden="1"/>
    </xf>
    <xf numFmtId="0" fontId="2" fillId="5" borderId="9" xfId="0" applyFont="1" applyFill="1" applyBorder="1" applyAlignment="1" applyProtection="1">
      <alignment horizontal="centerContinuous" vertical="center"/>
      <protection hidden="1"/>
    </xf>
    <xf numFmtId="9" fontId="1" fillId="5" borderId="1" xfId="1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 applyProtection="1">
      <alignment horizontal="center" vertical="center"/>
      <protection hidden="1"/>
    </xf>
    <xf numFmtId="9" fontId="1" fillId="10" borderId="1" xfId="1" applyFont="1" applyFill="1" applyBorder="1" applyAlignment="1" applyProtection="1">
      <alignment horizontal="center" vertical="center"/>
      <protection hidden="1"/>
    </xf>
    <xf numFmtId="0" fontId="1" fillId="8" borderId="1" xfId="0" applyFont="1" applyFill="1" applyBorder="1" applyAlignment="1" applyProtection="1">
      <alignment horizontal="center" vertical="center"/>
      <protection hidden="1"/>
    </xf>
    <xf numFmtId="9" fontId="1" fillId="8" borderId="1" xfId="1" applyFont="1" applyFill="1" applyBorder="1" applyAlignment="1" applyProtection="1">
      <alignment horizontal="center" vertical="center"/>
      <protection hidden="1"/>
    </xf>
    <xf numFmtId="0" fontId="1" fillId="11" borderId="1" xfId="0" applyFont="1" applyFill="1" applyBorder="1" applyAlignment="1" applyProtection="1">
      <alignment horizontal="center" vertical="center"/>
      <protection hidden="1"/>
    </xf>
    <xf numFmtId="9" fontId="1" fillId="11" borderId="1" xfId="1" applyFont="1" applyFill="1" applyBorder="1" applyAlignment="1" applyProtection="1">
      <alignment horizontal="center" vertical="center"/>
      <protection hidden="1"/>
    </xf>
    <xf numFmtId="0" fontId="1" fillId="9" borderId="1" xfId="0" applyFont="1" applyFill="1" applyBorder="1" applyAlignment="1" applyProtection="1">
      <alignment horizontal="center" vertical="center"/>
      <protection hidden="1"/>
    </xf>
    <xf numFmtId="9" fontId="1" fillId="9" borderId="1" xfId="1" applyFont="1" applyFill="1" applyBorder="1" applyAlignment="1" applyProtection="1">
      <alignment horizontal="center"/>
      <protection hidden="1"/>
    </xf>
    <xf numFmtId="9" fontId="1" fillId="8" borderId="1" xfId="1" applyFont="1" applyFill="1" applyBorder="1" applyAlignment="1" applyProtection="1">
      <alignment horizontal="center"/>
      <protection hidden="1"/>
    </xf>
    <xf numFmtId="0" fontId="24" fillId="5" borderId="0" xfId="0" applyFont="1" applyFill="1" applyProtection="1">
      <protection hidden="1"/>
    </xf>
    <xf numFmtId="0" fontId="0" fillId="0" borderId="0" xfId="0" quotePrefix="1" applyProtection="1">
      <protection hidden="1"/>
    </xf>
    <xf numFmtId="0" fontId="24" fillId="5" borderId="0" xfId="0" applyFont="1" applyFill="1" applyAlignment="1" applyProtection="1">
      <alignment wrapText="1"/>
      <protection hidden="1"/>
    </xf>
    <xf numFmtId="0" fontId="23" fillId="13" borderId="0" xfId="0" applyFont="1" applyFill="1" applyProtection="1">
      <protection hidden="1"/>
    </xf>
    <xf numFmtId="0" fontId="7" fillId="4" borderId="0" xfId="0" applyFont="1" applyFill="1" applyAlignment="1" applyProtection="1">
      <alignment vertical="center"/>
      <protection hidden="1"/>
    </xf>
    <xf numFmtId="0" fontId="7" fillId="4" borderId="0" xfId="0" applyFont="1" applyFill="1" applyProtection="1">
      <protection hidden="1"/>
    </xf>
    <xf numFmtId="0" fontId="1" fillId="4" borderId="0" xfId="0" applyFont="1" applyFill="1" applyAlignment="1" applyProtection="1">
      <alignment vertical="center"/>
      <protection hidden="1"/>
    </xf>
    <xf numFmtId="0" fontId="1" fillId="4" borderId="0" xfId="0" applyFont="1" applyFill="1" applyProtection="1">
      <protection hidden="1"/>
    </xf>
    <xf numFmtId="0" fontId="1" fillId="0" borderId="0" xfId="0" quotePrefix="1" applyFont="1" applyProtection="1">
      <protection hidden="1"/>
    </xf>
    <xf numFmtId="0" fontId="3" fillId="0" borderId="0" xfId="0" applyFont="1" applyAlignment="1" applyProtection="1">
      <alignment horizontal="left"/>
      <protection hidden="1"/>
    </xf>
    <xf numFmtId="0" fontId="7" fillId="0" borderId="0" xfId="0" applyFont="1" applyProtection="1">
      <protection hidden="1"/>
    </xf>
    <xf numFmtId="0" fontId="1" fillId="5" borderId="0" xfId="0" applyFont="1" applyFill="1" applyAlignment="1" applyProtection="1">
      <alignment horizontal="left" vertical="center"/>
      <protection hidden="1"/>
    </xf>
    <xf numFmtId="0" fontId="2" fillId="5" borderId="0" xfId="0" applyFont="1" applyFill="1" applyAlignment="1" applyProtection="1">
      <alignment horizontal="centerContinuous" vertical="center" wrapText="1"/>
      <protection hidden="1"/>
    </xf>
    <xf numFmtId="0" fontId="2" fillId="5" borderId="12" xfId="0" applyFont="1" applyFill="1" applyBorder="1" applyAlignment="1" applyProtection="1">
      <alignment horizontal="center" vertical="center"/>
      <protection hidden="1"/>
    </xf>
    <xf numFmtId="0" fontId="2" fillId="5" borderId="13" xfId="0" applyFont="1" applyFill="1" applyBorder="1" applyAlignment="1" applyProtection="1">
      <alignment horizontal="center" vertical="center"/>
      <protection hidden="1"/>
    </xf>
    <xf numFmtId="0" fontId="2" fillId="5" borderId="9" xfId="0" applyFont="1" applyFill="1" applyBorder="1" applyAlignment="1" applyProtection="1">
      <alignment horizontal="center" vertical="center"/>
      <protection hidden="1"/>
    </xf>
    <xf numFmtId="0" fontId="2" fillId="2" borderId="5" xfId="0" applyFont="1" applyFill="1" applyBorder="1" applyAlignment="1" applyProtection="1">
      <alignment horizontal="centerContinuous" vertical="center"/>
      <protection hidden="1"/>
    </xf>
    <xf numFmtId="0" fontId="2" fillId="2" borderId="6" xfId="0" applyFont="1" applyFill="1" applyBorder="1" applyAlignment="1" applyProtection="1">
      <alignment horizontal="centerContinuous" vertical="center"/>
      <protection hidden="1"/>
    </xf>
    <xf numFmtId="0" fontId="2" fillId="2" borderId="7" xfId="0" applyFont="1" applyFill="1" applyBorder="1" applyAlignment="1" applyProtection="1">
      <alignment horizontal="centerContinuous" vertical="center"/>
      <protection hidden="1"/>
    </xf>
    <xf numFmtId="0" fontId="2" fillId="5" borderId="2" xfId="0" applyFont="1" applyFill="1" applyBorder="1" applyAlignment="1" applyProtection="1">
      <alignment horizontal="center" vertical="center" wrapText="1"/>
      <protection hidden="1"/>
    </xf>
    <xf numFmtId="0" fontId="2" fillId="3" borderId="5" xfId="0" applyFont="1" applyFill="1" applyBorder="1" applyAlignment="1" applyProtection="1">
      <alignment horizontal="center"/>
      <protection hidden="1"/>
    </xf>
    <xf numFmtId="0" fontId="2" fillId="3" borderId="5" xfId="0" applyFont="1" applyFill="1" applyBorder="1" applyAlignment="1" applyProtection="1">
      <alignment horizontal="center" vertical="center"/>
      <protection hidden="1"/>
    </xf>
    <xf numFmtId="0" fontId="2" fillId="5" borderId="11" xfId="0" applyFont="1" applyFill="1" applyBorder="1" applyAlignment="1" applyProtection="1">
      <alignment horizontal="center" vertical="center"/>
      <protection hidden="1"/>
    </xf>
    <xf numFmtId="0" fontId="2" fillId="5" borderId="8" xfId="0" applyFont="1" applyFill="1" applyBorder="1" applyAlignment="1" applyProtection="1">
      <alignment horizontal="center" vertical="center"/>
      <protection hidden="1"/>
    </xf>
    <xf numFmtId="0" fontId="2" fillId="5" borderId="10" xfId="0" applyFont="1" applyFill="1" applyBorder="1" applyAlignment="1" applyProtection="1">
      <alignment horizontal="center" vertical="center"/>
      <protection hidden="1"/>
    </xf>
    <xf numFmtId="0" fontId="2" fillId="3" borderId="5" xfId="0" applyFont="1" applyFill="1" applyBorder="1" applyAlignment="1" applyProtection="1">
      <alignment horizontal="centerContinuous" vertical="center"/>
      <protection hidden="1"/>
    </xf>
    <xf numFmtId="0" fontId="2" fillId="3" borderId="6" xfId="0" applyFont="1" applyFill="1" applyBorder="1" applyAlignment="1" applyProtection="1">
      <alignment horizontal="centerContinuous" vertical="center"/>
      <protection hidden="1"/>
    </xf>
    <xf numFmtId="0" fontId="2" fillId="3" borderId="7" xfId="0" applyFont="1" applyFill="1" applyBorder="1" applyAlignment="1" applyProtection="1">
      <alignment horizontal="centerContinuous" vertical="center"/>
      <protection hidden="1"/>
    </xf>
    <xf numFmtId="0" fontId="6" fillId="2" borderId="5" xfId="0" applyFont="1" applyFill="1" applyBorder="1" applyAlignment="1" applyProtection="1">
      <alignment horizontal="centerContinuous" vertical="center" wrapText="1"/>
      <protection hidden="1"/>
    </xf>
    <xf numFmtId="0" fontId="6" fillId="2" borderId="6" xfId="0" applyFont="1" applyFill="1" applyBorder="1" applyAlignment="1" applyProtection="1">
      <alignment horizontal="centerContinuous" vertical="center" wrapText="1"/>
      <protection hidden="1"/>
    </xf>
    <xf numFmtId="0" fontId="6" fillId="2" borderId="7" xfId="0" applyFont="1" applyFill="1" applyBorder="1" applyAlignment="1" applyProtection="1">
      <alignment horizontal="centerContinuous" vertical="center" wrapText="1"/>
      <protection hidden="1"/>
    </xf>
    <xf numFmtId="0" fontId="2" fillId="5" borderId="3" xfId="0" applyFont="1" applyFill="1" applyBorder="1" applyAlignment="1" applyProtection="1">
      <alignment vertical="center"/>
      <protection hidden="1"/>
    </xf>
    <xf numFmtId="0" fontId="2" fillId="5" borderId="5" xfId="0" applyFont="1" applyFill="1" applyBorder="1" applyAlignment="1" applyProtection="1">
      <alignment horizontal="center" vertical="center"/>
      <protection hidden="1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1" fillId="0" borderId="5" xfId="0" applyFont="1" applyBorder="1" applyProtection="1">
      <protection hidden="1"/>
    </xf>
    <xf numFmtId="0" fontId="1" fillId="0" borderId="1" xfId="0" applyFont="1" applyBorder="1" applyAlignment="1" applyProtection="1">
      <alignment horizontal="center" vertical="center"/>
      <protection locked="0" hidden="1"/>
    </xf>
    <xf numFmtId="0" fontId="21" fillId="5" borderId="1" xfId="0" applyFont="1" applyFill="1" applyBorder="1" applyAlignment="1" applyProtection="1">
      <alignment horizontal="centerContinuous" vertical="center"/>
      <protection hidden="1"/>
    </xf>
    <xf numFmtId="0" fontId="1" fillId="5" borderId="1" xfId="0" applyFont="1" applyFill="1" applyBorder="1" applyAlignment="1" applyProtection="1">
      <alignment horizontal="center"/>
      <protection hidden="1"/>
    </xf>
    <xf numFmtId="0" fontId="2" fillId="5" borderId="1" xfId="0" applyFont="1" applyFill="1" applyBorder="1" applyAlignment="1" applyProtection="1">
      <alignment vertical="center"/>
      <protection hidden="1"/>
    </xf>
    <xf numFmtId="0" fontId="25" fillId="0" borderId="0" xfId="0" applyFont="1" applyProtection="1">
      <protection hidden="1"/>
    </xf>
    <xf numFmtId="49" fontId="4" fillId="5" borderId="15" xfId="0" applyNumberFormat="1" applyFont="1" applyFill="1" applyBorder="1" applyProtection="1">
      <protection locked="0" hidden="1"/>
    </xf>
    <xf numFmtId="0" fontId="16" fillId="5" borderId="0" xfId="0" applyFont="1" applyFill="1" applyProtection="1">
      <protection hidden="1"/>
    </xf>
    <xf numFmtId="0" fontId="1" fillId="5" borderId="0" xfId="0" applyFont="1" applyFill="1" applyAlignment="1" applyProtection="1">
      <alignment horizontal="right"/>
      <protection hidden="1"/>
    </xf>
    <xf numFmtId="0" fontId="24" fillId="5" borderId="0" xfId="0" applyFont="1" applyFill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20" fillId="12" borderId="1" xfId="0" applyFont="1" applyFill="1" applyBorder="1" applyAlignment="1" applyProtection="1">
      <alignment horizontal="left" vertical="center"/>
      <protection hidden="1"/>
    </xf>
    <xf numFmtId="0" fontId="21" fillId="0" borderId="1" xfId="0" applyFont="1" applyBorder="1" applyProtection="1">
      <protection hidden="1"/>
    </xf>
    <xf numFmtId="0" fontId="28" fillId="12" borderId="1" xfId="0" applyFont="1" applyFill="1" applyBorder="1" applyAlignment="1" applyProtection="1">
      <alignment horizontal="left" vertical="center"/>
      <protection hidden="1"/>
    </xf>
    <xf numFmtId="0" fontId="1" fillId="0" borderId="1" xfId="0" applyFont="1" applyBorder="1" applyAlignment="1" applyProtection="1">
      <alignment horizontal="left" vertical="center"/>
      <protection hidden="1"/>
    </xf>
    <xf numFmtId="0" fontId="0" fillId="2" borderId="0" xfId="0" applyFill="1"/>
    <xf numFmtId="0" fontId="24" fillId="0" borderId="0" xfId="0" applyFont="1"/>
    <xf numFmtId="9" fontId="0" fillId="0" borderId="0" xfId="1" applyFont="1"/>
    <xf numFmtId="9" fontId="0" fillId="0" borderId="0" xfId="0" applyNumberFormat="1"/>
    <xf numFmtId="0" fontId="0" fillId="4" borderId="0" xfId="0" applyFill="1"/>
    <xf numFmtId="0" fontId="29" fillId="4" borderId="0" xfId="0" applyFont="1" applyFill="1"/>
    <xf numFmtId="0" fontId="0" fillId="0" borderId="0" xfId="0" applyAlignment="1" applyProtection="1">
      <alignment horizontal="center" vertical="center"/>
      <protection locked="0" hidden="1"/>
    </xf>
    <xf numFmtId="0" fontId="0" fillId="0" borderId="0" xfId="0" applyAlignment="1">
      <alignment horizontal="center" vertical="center"/>
    </xf>
    <xf numFmtId="0" fontId="24" fillId="0" borderId="1" xfId="0" applyFont="1" applyBorder="1"/>
    <xf numFmtId="0" fontId="29" fillId="0" borderId="0" xfId="0" applyFont="1"/>
    <xf numFmtId="0" fontId="31" fillId="3" borderId="5" xfId="0" applyFont="1" applyFill="1" applyBorder="1" applyAlignment="1" applyProtection="1">
      <alignment horizontal="left" vertical="center"/>
      <protection hidden="1"/>
    </xf>
    <xf numFmtId="0" fontId="30" fillId="3" borderId="5" xfId="0" applyFont="1" applyFill="1" applyBorder="1" applyAlignment="1" applyProtection="1">
      <alignment horizontal="center" vertical="center"/>
      <protection hidden="1"/>
    </xf>
    <xf numFmtId="0" fontId="21" fillId="14" borderId="0" xfId="0" applyFont="1" applyFill="1" applyProtection="1">
      <protection hidden="1"/>
    </xf>
    <xf numFmtId="0" fontId="32" fillId="15" borderId="0" xfId="0" applyFont="1" applyFill="1" applyProtection="1">
      <protection hidden="1"/>
    </xf>
    <xf numFmtId="0" fontId="0" fillId="14" borderId="0" xfId="0" applyFill="1" applyProtection="1">
      <protection hidden="1"/>
    </xf>
    <xf numFmtId="9" fontId="22" fillId="12" borderId="19" xfId="2" applyNumberFormat="1" applyFont="1" applyFill="1" applyBorder="1" applyAlignment="1" applyProtection="1">
      <alignment horizontal="right"/>
      <protection hidden="1"/>
    </xf>
    <xf numFmtId="9" fontId="22" fillId="12" borderId="18" xfId="2" applyNumberFormat="1" applyFont="1" applyFill="1" applyBorder="1" applyAlignment="1" applyProtection="1">
      <alignment horizontal="right"/>
      <protection hidden="1"/>
    </xf>
    <xf numFmtId="9" fontId="22" fillId="12" borderId="16" xfId="2" applyNumberFormat="1" applyFont="1" applyFill="1" applyBorder="1" applyAlignment="1" applyProtection="1">
      <alignment horizontal="right"/>
      <protection hidden="1"/>
    </xf>
    <xf numFmtId="9" fontId="22" fillId="12" borderId="17" xfId="2" applyNumberFormat="1" applyFont="1" applyFill="1" applyBorder="1" applyAlignment="1" applyProtection="1">
      <alignment horizontal="right"/>
      <protection hidden="1"/>
    </xf>
    <xf numFmtId="9" fontId="22" fillId="5" borderId="21" xfId="2" applyNumberFormat="1" applyFont="1" applyFill="1" applyBorder="1" applyAlignment="1" applyProtection="1">
      <alignment vertical="center"/>
      <protection hidden="1"/>
    </xf>
    <xf numFmtId="0" fontId="22" fillId="5" borderId="22" xfId="2" applyFont="1" applyFill="1" applyBorder="1" applyAlignment="1" applyProtection="1">
      <alignment vertical="center"/>
      <protection hidden="1"/>
    </xf>
    <xf numFmtId="0" fontId="22" fillId="5" borderId="23" xfId="2" applyFont="1" applyFill="1" applyBorder="1" applyAlignment="1" applyProtection="1">
      <alignment vertical="center"/>
      <protection hidden="1"/>
    </xf>
    <xf numFmtId="0" fontId="22" fillId="5" borderId="24" xfId="2" applyFont="1" applyFill="1" applyBorder="1" applyAlignment="1" applyProtection="1">
      <alignment vertical="center"/>
      <protection hidden="1"/>
    </xf>
    <xf numFmtId="0" fontId="22" fillId="5" borderId="25" xfId="2" applyFont="1" applyFill="1" applyBorder="1" applyAlignment="1" applyProtection="1">
      <alignment vertical="center"/>
      <protection hidden="1"/>
    </xf>
    <xf numFmtId="0" fontId="22" fillId="5" borderId="26" xfId="2" applyFont="1" applyFill="1" applyBorder="1" applyAlignment="1" applyProtection="1">
      <alignment vertical="center"/>
      <protection hidden="1"/>
    </xf>
    <xf numFmtId="9" fontId="22" fillId="5" borderId="0" xfId="2" applyNumberFormat="1" applyFont="1" applyFill="1" applyBorder="1" applyAlignment="1" applyProtection="1">
      <alignment vertical="center"/>
      <protection hidden="1"/>
    </xf>
    <xf numFmtId="9" fontId="22" fillId="5" borderId="20" xfId="2" applyNumberFormat="1" applyFont="1" applyFill="1" applyBorder="1" applyAlignment="1" applyProtection="1">
      <alignment vertical="center"/>
      <protection hidden="1"/>
    </xf>
    <xf numFmtId="0" fontId="20" fillId="12" borderId="19" xfId="0" applyFont="1" applyFill="1" applyBorder="1" applyAlignment="1" applyProtection="1">
      <alignment horizontal="center"/>
      <protection hidden="1"/>
    </xf>
    <xf numFmtId="0" fontId="20" fillId="12" borderId="18" xfId="0" applyFont="1" applyFill="1" applyBorder="1" applyAlignment="1" applyProtection="1">
      <alignment horizontal="center"/>
      <protection hidden="1"/>
    </xf>
    <xf numFmtId="0" fontId="20" fillId="12" borderId="16" xfId="0" applyFont="1" applyFill="1" applyBorder="1" applyAlignment="1" applyProtection="1">
      <alignment horizontal="center"/>
      <protection hidden="1"/>
    </xf>
    <xf numFmtId="0" fontId="20" fillId="12" borderId="17" xfId="0" applyFont="1" applyFill="1" applyBorder="1" applyAlignment="1" applyProtection="1">
      <alignment horizontal="center"/>
      <protection hidden="1"/>
    </xf>
    <xf numFmtId="0" fontId="1" fillId="0" borderId="5" xfId="0" applyFont="1" applyBorder="1" applyAlignment="1" applyProtection="1">
      <alignment horizontal="left"/>
      <protection hidden="1"/>
    </xf>
    <xf numFmtId="0" fontId="1" fillId="0" borderId="6" xfId="0" applyFont="1" applyBorder="1" applyAlignment="1" applyProtection="1">
      <alignment horizontal="left"/>
      <protection hidden="1"/>
    </xf>
    <xf numFmtId="0" fontId="1" fillId="0" borderId="7" xfId="0" applyFont="1" applyBorder="1" applyAlignment="1" applyProtection="1">
      <alignment horizontal="left"/>
      <protection hidden="1"/>
    </xf>
    <xf numFmtId="0" fontId="7" fillId="4" borderId="0" xfId="0" applyFont="1" applyFill="1" applyAlignment="1" applyProtection="1">
      <alignment horizontal="center" vertical="center" wrapText="1"/>
      <protection hidden="1"/>
    </xf>
    <xf numFmtId="0" fontId="7" fillId="4" borderId="8" xfId="0" applyFont="1" applyFill="1" applyBorder="1" applyAlignment="1" applyProtection="1">
      <alignment horizontal="center" vertical="center" wrapText="1"/>
      <protection hidden="1"/>
    </xf>
    <xf numFmtId="0" fontId="1" fillId="5" borderId="5" xfId="0" applyFont="1" applyFill="1" applyBorder="1" applyAlignment="1" applyProtection="1">
      <alignment horizontal="left" vertical="center"/>
      <protection hidden="1"/>
    </xf>
    <xf numFmtId="0" fontId="1" fillId="5" borderId="6" xfId="0" applyFont="1" applyFill="1" applyBorder="1" applyAlignment="1" applyProtection="1">
      <alignment horizontal="left" vertical="center"/>
      <protection hidden="1"/>
    </xf>
    <xf numFmtId="0" fontId="1" fillId="5" borderId="7" xfId="0" applyFont="1" applyFill="1" applyBorder="1" applyAlignment="1" applyProtection="1">
      <alignment horizontal="left" vertical="center"/>
      <protection hidden="1"/>
    </xf>
    <xf numFmtId="0" fontId="2" fillId="5" borderId="1" xfId="0" applyFont="1" applyFill="1" applyBorder="1" applyAlignment="1" applyProtection="1">
      <alignment horizontal="center" vertical="center"/>
      <protection hidden="1"/>
    </xf>
    <xf numFmtId="0" fontId="11" fillId="7" borderId="1" xfId="0" applyFont="1" applyFill="1" applyBorder="1" applyAlignment="1" applyProtection="1">
      <alignment horizontal="left" vertical="center"/>
      <protection hidden="1"/>
    </xf>
    <xf numFmtId="0" fontId="11" fillId="6" borderId="1" xfId="0" applyFont="1" applyFill="1" applyBorder="1" applyAlignment="1" applyProtection="1">
      <alignment horizontal="left" vertical="center"/>
      <protection hidden="1"/>
    </xf>
    <xf numFmtId="0" fontId="11" fillId="5" borderId="1" xfId="0" applyFont="1" applyFill="1" applyBorder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right"/>
      <protection hidden="1"/>
    </xf>
    <xf numFmtId="0" fontId="10" fillId="4" borderId="0" xfId="0" applyFont="1" applyFill="1" applyAlignment="1" applyProtection="1">
      <alignment horizontal="center" vertical="center"/>
      <protection hidden="1"/>
    </xf>
    <xf numFmtId="49" fontId="11" fillId="5" borderId="1" xfId="0" applyNumberFormat="1" applyFont="1" applyFill="1" applyBorder="1" applyAlignment="1" applyProtection="1">
      <alignment horizontal="left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hidden="1"/>
    </xf>
    <xf numFmtId="0" fontId="15" fillId="4" borderId="0" xfId="0" applyFont="1" applyFill="1" applyAlignment="1" applyProtection="1">
      <alignment horizontal="center" vertical="center" wrapText="1"/>
      <protection hidden="1"/>
    </xf>
    <xf numFmtId="0" fontId="15" fillId="4" borderId="8" xfId="0" applyFont="1" applyFill="1" applyBorder="1" applyAlignment="1" applyProtection="1">
      <alignment horizontal="center" vertical="center" wrapText="1"/>
      <protection hidden="1"/>
    </xf>
    <xf numFmtId="0" fontId="1" fillId="5" borderId="0" xfId="0" applyFont="1" applyFill="1" applyAlignment="1" applyProtection="1">
      <alignment horizontal="left" vertical="center" wrapText="1"/>
      <protection hidden="1"/>
    </xf>
    <xf numFmtId="0" fontId="2" fillId="5" borderId="0" xfId="0" applyFont="1" applyFill="1" applyAlignment="1" applyProtection="1">
      <alignment horizontal="center" vertical="center" wrapText="1"/>
      <protection hidden="1"/>
    </xf>
    <xf numFmtId="0" fontId="2" fillId="5" borderId="1" xfId="0" applyFont="1" applyFill="1" applyBorder="1" applyAlignment="1" applyProtection="1">
      <alignment horizontal="right"/>
      <protection hidden="1"/>
    </xf>
    <xf numFmtId="0" fontId="1" fillId="5" borderId="1" xfId="0" applyFont="1" applyFill="1" applyBorder="1" applyAlignment="1" applyProtection="1">
      <alignment horizontal="left"/>
      <protection hidden="1"/>
    </xf>
    <xf numFmtId="0" fontId="2" fillId="5" borderId="3" xfId="0" applyFont="1" applyFill="1" applyBorder="1" applyAlignment="1" applyProtection="1">
      <alignment horizontal="center" vertical="center"/>
      <protection hidden="1"/>
    </xf>
    <xf numFmtId="0" fontId="2" fillId="5" borderId="4" xfId="0" applyFont="1" applyFill="1" applyBorder="1" applyAlignment="1" applyProtection="1">
      <alignment horizontal="center" vertical="center"/>
      <protection hidden="1"/>
    </xf>
    <xf numFmtId="0" fontId="2" fillId="5" borderId="3" xfId="0" applyFont="1" applyFill="1" applyBorder="1" applyAlignment="1" applyProtection="1">
      <alignment horizontal="center" vertical="center" wrapText="1"/>
      <protection hidden="1"/>
    </xf>
    <xf numFmtId="0" fontId="2" fillId="5" borderId="4" xfId="0" applyFont="1" applyFill="1" applyBorder="1" applyAlignment="1" applyProtection="1">
      <alignment horizontal="center" vertical="center" wrapText="1"/>
      <protection hidden="1"/>
    </xf>
    <xf numFmtId="0" fontId="1" fillId="5" borderId="5" xfId="0" applyFont="1" applyFill="1" applyBorder="1" applyAlignment="1" applyProtection="1">
      <alignment horizontal="left" vertical="center" wrapText="1"/>
      <protection hidden="1"/>
    </xf>
    <xf numFmtId="0" fontId="1" fillId="5" borderId="7" xfId="0" applyFont="1" applyFill="1" applyBorder="1" applyAlignment="1" applyProtection="1">
      <alignment horizontal="left" vertical="center" wrapText="1"/>
      <protection hidden="1"/>
    </xf>
    <xf numFmtId="0" fontId="2" fillId="5" borderId="0" xfId="0" applyFont="1" applyFill="1" applyAlignment="1" applyProtection="1">
      <alignment horizontal="center" vertical="center"/>
      <protection hidden="1"/>
    </xf>
    <xf numFmtId="0" fontId="2" fillId="5" borderId="2" xfId="0" applyFont="1" applyFill="1" applyBorder="1" applyAlignment="1" applyProtection="1">
      <alignment horizontal="center" vertical="center"/>
      <protection hidden="1"/>
    </xf>
    <xf numFmtId="0" fontId="2" fillId="5" borderId="2" xfId="0" applyFont="1" applyFill="1" applyBorder="1" applyAlignment="1" applyProtection="1">
      <alignment horizontal="center" vertical="center" wrapText="1"/>
      <protection hidden="1"/>
    </xf>
    <xf numFmtId="0" fontId="2" fillId="5" borderId="12" xfId="0" applyFont="1" applyFill="1" applyBorder="1" applyAlignment="1" applyProtection="1">
      <alignment horizontal="center" vertical="center"/>
      <protection hidden="1"/>
    </xf>
    <xf numFmtId="0" fontId="2" fillId="5" borderId="9" xfId="0" applyFont="1" applyFill="1" applyBorder="1" applyAlignment="1" applyProtection="1">
      <alignment horizontal="center" vertical="center"/>
      <protection hidden="1"/>
    </xf>
    <xf numFmtId="0" fontId="2" fillId="5" borderId="5" xfId="0" applyFont="1" applyFill="1" applyBorder="1" applyAlignment="1" applyProtection="1">
      <alignment horizontal="center" vertical="center"/>
      <protection hidden="1"/>
    </xf>
    <xf numFmtId="0" fontId="2" fillId="5" borderId="6" xfId="0" applyFont="1" applyFill="1" applyBorder="1" applyAlignment="1" applyProtection="1">
      <alignment horizontal="center" vertical="center"/>
      <protection hidden="1"/>
    </xf>
    <xf numFmtId="0" fontId="2" fillId="5" borderId="7" xfId="0" applyFont="1" applyFill="1" applyBorder="1" applyAlignment="1" applyProtection="1">
      <alignment horizontal="center" vertical="center"/>
      <protection hidden="1"/>
    </xf>
  </cellXfs>
  <cellStyles count="3">
    <cellStyle name="Hyperlink" xfId="2" builtinId="8"/>
    <cellStyle name="Normal" xfId="0" builtinId="0"/>
    <cellStyle name="Percent" xfId="1" builtinId="5"/>
  </cellStyles>
  <dxfs count="304"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32B196"/>
      <color rgb="FFCCECFF"/>
      <color rgb="FF99CCFF"/>
      <color rgb="FFFF99FF"/>
      <color rgb="FFFFCCCC"/>
      <color rgb="FFFFCCFF"/>
      <color rgb="FF66FF99"/>
      <color rgb="FF99FF99"/>
      <color rgb="FFCCFFCC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Drop" dropLines="6" dropStyle="combo" dx="26" fmlaLink="$F$13" fmlaRange="info!$O$2:$O$7" sel="0" val="0"/>
</file>

<file path=xl/ctrlProps/ctrlProp2.xml><?xml version="1.0" encoding="utf-8"?>
<formControlPr xmlns="http://schemas.microsoft.com/office/spreadsheetml/2009/9/main" objectType="Drop" dropLines="10" dropStyle="combo" dx="26" fmlaLink="$G$13" fmlaRange="info!$P$2:$P$27" sel="0" val="0"/>
</file>

<file path=xl/ctrlProps/ctrlProp3.xml><?xml version="1.0" encoding="utf-8"?>
<formControlPr xmlns="http://schemas.microsoft.com/office/spreadsheetml/2009/9/main" objectType="Drop" dropLines="10" dropStyle="combo" dx="26" fmlaLink="$F$14" fmlaRange="info!$AE$5:$AE$49" sel="1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hyperlink" Target="#November!F13"/><Relationship Id="rId18" Type="http://schemas.openxmlformats.org/officeDocument/2006/relationships/hyperlink" Target="#April!F13"/><Relationship Id="rId26" Type="http://schemas.openxmlformats.org/officeDocument/2006/relationships/hyperlink" Target="#RkpSemester!A1"/><Relationship Id="rId3" Type="http://schemas.openxmlformats.org/officeDocument/2006/relationships/image" Target="../media/image4.png"/><Relationship Id="rId21" Type="http://schemas.openxmlformats.org/officeDocument/2006/relationships/hyperlink" Target="#FAQ!A1"/><Relationship Id="rId7" Type="http://schemas.openxmlformats.org/officeDocument/2006/relationships/hyperlink" Target="#identitasMurid!C6"/><Relationship Id="rId12" Type="http://schemas.openxmlformats.org/officeDocument/2006/relationships/hyperlink" Target="#Oktober!F13"/><Relationship Id="rId17" Type="http://schemas.openxmlformats.org/officeDocument/2006/relationships/hyperlink" Target="#Maret!F13"/><Relationship Id="rId25" Type="http://schemas.openxmlformats.org/officeDocument/2006/relationships/image" Target="../media/image9.png"/><Relationship Id="rId2" Type="http://schemas.openxmlformats.org/officeDocument/2006/relationships/image" Target="../media/image3.png"/><Relationship Id="rId16" Type="http://schemas.openxmlformats.org/officeDocument/2006/relationships/hyperlink" Target="#Februari!F13"/><Relationship Id="rId20" Type="http://schemas.openxmlformats.org/officeDocument/2006/relationships/hyperlink" Target="#Juni!F13"/><Relationship Id="rId1" Type="http://schemas.openxmlformats.org/officeDocument/2006/relationships/hyperlink" Target="#profilKelas!F5"/><Relationship Id="rId6" Type="http://schemas.openxmlformats.org/officeDocument/2006/relationships/image" Target="../media/image6.png"/><Relationship Id="rId11" Type="http://schemas.openxmlformats.org/officeDocument/2006/relationships/hyperlink" Target="#September!F13"/><Relationship Id="rId24" Type="http://schemas.openxmlformats.org/officeDocument/2006/relationships/hyperlink" Target="#RkpBulan!A1"/><Relationship Id="rId5" Type="http://schemas.openxmlformats.org/officeDocument/2006/relationships/hyperlink" Target="#Panduan!C6"/><Relationship Id="rId15" Type="http://schemas.openxmlformats.org/officeDocument/2006/relationships/hyperlink" Target="#Januari!F13"/><Relationship Id="rId23" Type="http://schemas.openxmlformats.org/officeDocument/2006/relationships/hyperlink" Target="#FAQ!B2"/><Relationship Id="rId10" Type="http://schemas.openxmlformats.org/officeDocument/2006/relationships/hyperlink" Target="#Agustus!F13"/><Relationship Id="rId19" Type="http://schemas.openxmlformats.org/officeDocument/2006/relationships/hyperlink" Target="#Mei!F13"/><Relationship Id="rId4" Type="http://schemas.openxmlformats.org/officeDocument/2006/relationships/image" Target="../media/image5.png"/><Relationship Id="rId9" Type="http://schemas.openxmlformats.org/officeDocument/2006/relationships/hyperlink" Target="#Juli!F13"/><Relationship Id="rId14" Type="http://schemas.openxmlformats.org/officeDocument/2006/relationships/hyperlink" Target="#Desember!F13"/><Relationship Id="rId22" Type="http://schemas.openxmlformats.org/officeDocument/2006/relationships/image" Target="../media/image8.png"/><Relationship Id="rId27" Type="http://schemas.openxmlformats.org/officeDocument/2006/relationships/hyperlink" Target="#RkpTahun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hyperlink" Target="#beranda!B9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hyperlink" Target="#beranda!B9"/><Relationship Id="rId1" Type="http://schemas.openxmlformats.org/officeDocument/2006/relationships/image" Target="../media/image12.png"/><Relationship Id="rId4" Type="http://schemas.openxmlformats.org/officeDocument/2006/relationships/image" Target="../media/image1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hyperlink" Target="#beranda!B9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hyperlink" Target="#beranda!B9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hyperlink" Target="#beranda!B9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hyperlink" Target="#beranda!B9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nduan!B3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5" Type="http://schemas.openxmlformats.org/officeDocument/2006/relationships/image" Target="../media/image10.png"/><Relationship Id="rId4" Type="http://schemas.openxmlformats.org/officeDocument/2006/relationships/hyperlink" Target="#beranda!B9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hyperlink" Target="#beranda!B9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hyperlink" Target="#beranda!B9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hyperlink" Target="#beranda!B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hyperlink" Target="#beranda!B9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hyperlink" Target="#beranda!B9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hyperlink" Target="#beranda!B9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hyperlink" Target="#beranda!B9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hyperlink" Target="#beranda!B9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hyperlink" Target="#beranda!B9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hyperlink" Target="#beranda!B9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hyperlink" Target="#beranda!B9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hyperlink" Target="#beranda!B9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hyperlink" Target="#beranda!B9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80918</xdr:colOff>
      <xdr:row>9</xdr:row>
      <xdr:rowOff>57001</xdr:rowOff>
    </xdr:from>
    <xdr:to>
      <xdr:col>3</xdr:col>
      <xdr:colOff>55730</xdr:colOff>
      <xdr:row>12</xdr:row>
      <xdr:rowOff>11454</xdr:rowOff>
    </xdr:to>
    <xdr:pic>
      <xdr:nvPicPr>
        <xdr:cNvPr id="12" name="Picture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572" y="1866751"/>
          <a:ext cx="553639" cy="547934"/>
        </a:xfrm>
        <a:prstGeom prst="rect">
          <a:avLst/>
        </a:prstGeom>
      </xdr:spPr>
    </xdr:pic>
    <xdr:clientData/>
  </xdr:twoCellAnchor>
  <xdr:twoCellAnchor editAs="oneCell">
    <xdr:from>
      <xdr:col>0</xdr:col>
      <xdr:colOff>198782</xdr:colOff>
      <xdr:row>0</xdr:row>
      <xdr:rowOff>93869</xdr:rowOff>
    </xdr:from>
    <xdr:to>
      <xdr:col>1</xdr:col>
      <xdr:colOff>407781</xdr:colOff>
      <xdr:row>4</xdr:row>
      <xdr:rowOff>115614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782" y="93869"/>
          <a:ext cx="822740" cy="816875"/>
        </a:xfrm>
        <a:prstGeom prst="rect">
          <a:avLst/>
        </a:prstGeom>
      </xdr:spPr>
    </xdr:pic>
    <xdr:clientData/>
  </xdr:twoCellAnchor>
  <xdr:oneCellAnchor>
    <xdr:from>
      <xdr:col>2</xdr:col>
      <xdr:colOff>543555</xdr:colOff>
      <xdr:row>1</xdr:row>
      <xdr:rowOff>180644</xdr:rowOff>
    </xdr:from>
    <xdr:ext cx="3775201" cy="269304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701209" y="378471"/>
          <a:ext cx="3775201" cy="269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ID" sz="1200">
              <a:latin typeface="Times New Roman" panose="02020603050405020304" pitchFamily="18" charset="0"/>
              <a:cs typeface="Times New Roman" panose="02020603050405020304" pitchFamily="18" charset="0"/>
            </a:rPr>
            <a:t>REKAPITULASI CATATAN HARIAN KELAS (RCHK)</a:t>
          </a:r>
        </a:p>
      </xdr:txBody>
    </xdr:sp>
    <xdr:clientData/>
  </xdr:oneCellAnchor>
  <xdr:twoCellAnchor editAs="oneCell">
    <xdr:from>
      <xdr:col>9</xdr:col>
      <xdr:colOff>265043</xdr:colOff>
      <xdr:row>0</xdr:row>
      <xdr:rowOff>101737</xdr:rowOff>
    </xdr:from>
    <xdr:to>
      <xdr:col>10</xdr:col>
      <xdr:colOff>374557</xdr:colOff>
      <xdr:row>4</xdr:row>
      <xdr:rowOff>103610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2716" y="101737"/>
          <a:ext cx="688341" cy="793181"/>
        </a:xfrm>
        <a:prstGeom prst="rect">
          <a:avLst/>
        </a:prstGeom>
      </xdr:spPr>
    </xdr:pic>
    <xdr:clientData/>
  </xdr:twoCellAnchor>
  <xdr:twoCellAnchor editAs="oneCell">
    <xdr:from>
      <xdr:col>3</xdr:col>
      <xdr:colOff>642665</xdr:colOff>
      <xdr:row>6</xdr:row>
      <xdr:rowOff>26334</xdr:rowOff>
    </xdr:from>
    <xdr:to>
      <xdr:col>4</xdr:col>
      <xdr:colOff>397544</xdr:colOff>
      <xdr:row>8</xdr:row>
      <xdr:rowOff>178858</xdr:rowOff>
    </xdr:to>
    <xdr:pic>
      <xdr:nvPicPr>
        <xdr:cNvPr id="5" name="Picture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9146" y="1242603"/>
          <a:ext cx="458263" cy="548178"/>
        </a:xfrm>
        <a:prstGeom prst="rect">
          <a:avLst/>
        </a:prstGeom>
      </xdr:spPr>
    </xdr:pic>
    <xdr:clientData/>
  </xdr:twoCellAnchor>
  <xdr:oneCellAnchor>
    <xdr:from>
      <xdr:col>4</xdr:col>
      <xdr:colOff>377064</xdr:colOff>
      <xdr:row>6</xdr:row>
      <xdr:rowOff>196553</xdr:rowOff>
    </xdr:from>
    <xdr:ext cx="1353063" cy="231987"/>
    <xdr:sp macro="" textlink="">
      <xdr:nvSpPr>
        <xdr:cNvPr id="7" name="TextBox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2816929" y="1412822"/>
          <a:ext cx="1353063" cy="231987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ID" sz="1000">
              <a:latin typeface="Tw Cen MT" panose="020B0602020104020603" pitchFamily="34" charset="0"/>
            </a:rPr>
            <a:t>PANDUAN PENGISIAN</a:t>
          </a:r>
        </a:p>
      </xdr:txBody>
    </xdr:sp>
    <xdr:clientData/>
  </xdr:oneCellAnchor>
  <xdr:twoCellAnchor editAs="oneCell">
    <xdr:from>
      <xdr:col>6</xdr:col>
      <xdr:colOff>58617</xdr:colOff>
      <xdr:row>10</xdr:row>
      <xdr:rowOff>44854</xdr:rowOff>
    </xdr:from>
    <xdr:to>
      <xdr:col>6</xdr:col>
      <xdr:colOff>427187</xdr:colOff>
      <xdr:row>12</xdr:row>
      <xdr:rowOff>10154</xdr:rowOff>
    </xdr:to>
    <xdr:pic>
      <xdr:nvPicPr>
        <xdr:cNvPr id="8" name="Picture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80694" y="2052431"/>
          <a:ext cx="368570" cy="360954"/>
        </a:xfrm>
        <a:prstGeom prst="rect">
          <a:avLst/>
        </a:prstGeom>
      </xdr:spPr>
    </xdr:pic>
    <xdr:clientData/>
  </xdr:twoCellAnchor>
  <xdr:oneCellAnchor>
    <xdr:from>
      <xdr:col>3</xdr:col>
      <xdr:colOff>367039</xdr:colOff>
      <xdr:row>13</xdr:row>
      <xdr:rowOff>9158</xdr:rowOff>
    </xdr:from>
    <xdr:ext cx="2853757" cy="287836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2199780" y="2176917"/>
          <a:ext cx="2853757" cy="287836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ID" sz="1400">
              <a:latin typeface="Tw Cen MT" panose="020B0602020104020603" pitchFamily="34" charset="0"/>
            </a:rPr>
            <a:t>STATUS PENGISIAN PER BULAN</a:t>
          </a:r>
        </a:p>
      </xdr:txBody>
    </xdr:sp>
    <xdr:clientData/>
  </xdr:oneCellAnchor>
  <xdr:oneCellAnchor>
    <xdr:from>
      <xdr:col>3</xdr:col>
      <xdr:colOff>6351</xdr:colOff>
      <xdr:row>16</xdr:row>
      <xdr:rowOff>10215</xdr:rowOff>
    </xdr:from>
    <xdr:ext cx="962714" cy="177106"/>
    <xdr:sp macro="" textlink="">
      <xdr:nvSpPr>
        <xdr:cNvPr id="14" name="TextBox 1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1742832" y="3204753"/>
          <a:ext cx="962714" cy="1771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n-ID" sz="1100">
              <a:latin typeface="Tw Cen MT" panose="020B0602020104020603" pitchFamily="34" charset="0"/>
            </a:rPr>
            <a:t>JULI</a:t>
          </a:r>
        </a:p>
      </xdr:txBody>
    </xdr:sp>
    <xdr:clientData/>
  </xdr:oneCellAnchor>
  <xdr:oneCellAnchor>
    <xdr:from>
      <xdr:col>3</xdr:col>
      <xdr:colOff>6351</xdr:colOff>
      <xdr:row>17</xdr:row>
      <xdr:rowOff>11468</xdr:rowOff>
    </xdr:from>
    <xdr:ext cx="962714" cy="177106"/>
    <xdr:sp macro="" textlink="">
      <xdr:nvSpPr>
        <xdr:cNvPr id="15" name="TextBox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/>
      </xdr:nvSpPr>
      <xdr:spPr>
        <a:xfrm>
          <a:off x="1833110" y="3022048"/>
          <a:ext cx="962714" cy="1771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n-ID" sz="1100">
              <a:latin typeface="Tw Cen MT" panose="020B0602020104020603" pitchFamily="34" charset="0"/>
            </a:rPr>
            <a:t>AGUSTUS</a:t>
          </a:r>
        </a:p>
      </xdr:txBody>
    </xdr:sp>
    <xdr:clientData/>
  </xdr:oneCellAnchor>
  <xdr:oneCellAnchor>
    <xdr:from>
      <xdr:col>3</xdr:col>
      <xdr:colOff>6351</xdr:colOff>
      <xdr:row>17</xdr:row>
      <xdr:rowOff>200705</xdr:rowOff>
    </xdr:from>
    <xdr:ext cx="962714" cy="194817"/>
    <xdr:sp macro="" textlink="">
      <xdr:nvSpPr>
        <xdr:cNvPr id="16" name="TextBox 1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1833110" y="3211285"/>
          <a:ext cx="962714" cy="1948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n-ID" sz="1100">
              <a:latin typeface="Tw Cen MT" panose="020B0602020104020603" pitchFamily="34" charset="0"/>
            </a:rPr>
            <a:t>SEPTEMBER</a:t>
          </a:r>
        </a:p>
      </xdr:txBody>
    </xdr:sp>
    <xdr:clientData/>
  </xdr:oneCellAnchor>
  <xdr:oneCellAnchor>
    <xdr:from>
      <xdr:col>3</xdr:col>
      <xdr:colOff>6351</xdr:colOff>
      <xdr:row>18</xdr:row>
      <xdr:rowOff>199691</xdr:rowOff>
    </xdr:from>
    <xdr:ext cx="962714" cy="194817"/>
    <xdr:sp macro="" textlink="">
      <xdr:nvSpPr>
        <xdr:cNvPr id="17" name="TextBox 1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833110" y="3410977"/>
          <a:ext cx="962714" cy="1948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n-ID" sz="1100">
              <a:latin typeface="Tw Cen MT" panose="020B0602020104020603" pitchFamily="34" charset="0"/>
            </a:rPr>
            <a:t>OKTOBER</a:t>
          </a:r>
        </a:p>
      </xdr:txBody>
    </xdr:sp>
    <xdr:clientData/>
  </xdr:oneCellAnchor>
  <xdr:oneCellAnchor>
    <xdr:from>
      <xdr:col>3</xdr:col>
      <xdr:colOff>6351</xdr:colOff>
      <xdr:row>20</xdr:row>
      <xdr:rowOff>9979</xdr:rowOff>
    </xdr:from>
    <xdr:ext cx="962714" cy="194817"/>
    <xdr:sp macro="" textlink="">
      <xdr:nvSpPr>
        <xdr:cNvPr id="18" name="TextBox 1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1833110" y="3622675"/>
          <a:ext cx="962714" cy="1948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n-ID" sz="1100">
              <a:latin typeface="Tw Cen MT" panose="020B0602020104020603" pitchFamily="34" charset="0"/>
            </a:rPr>
            <a:t>NOVEMBER</a:t>
          </a:r>
        </a:p>
      </xdr:txBody>
    </xdr:sp>
    <xdr:clientData/>
  </xdr:oneCellAnchor>
  <xdr:oneCellAnchor>
    <xdr:from>
      <xdr:col>3</xdr:col>
      <xdr:colOff>6351</xdr:colOff>
      <xdr:row>21</xdr:row>
      <xdr:rowOff>8965</xdr:rowOff>
    </xdr:from>
    <xdr:ext cx="962714" cy="194817"/>
    <xdr:sp macro="" textlink="">
      <xdr:nvSpPr>
        <xdr:cNvPr id="19" name="TextBox 1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 txBox="1"/>
      </xdr:nvSpPr>
      <xdr:spPr>
        <a:xfrm>
          <a:off x="1833110" y="3822367"/>
          <a:ext cx="962714" cy="1948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n-ID" sz="1100">
              <a:latin typeface="Tw Cen MT" panose="020B0602020104020603" pitchFamily="34" charset="0"/>
            </a:rPr>
            <a:t>DESEMBER</a:t>
          </a:r>
        </a:p>
      </xdr:txBody>
    </xdr:sp>
    <xdr:clientData/>
  </xdr:oneCellAnchor>
  <xdr:oneCellAnchor>
    <xdr:from>
      <xdr:col>6</xdr:col>
      <xdr:colOff>6351</xdr:colOff>
      <xdr:row>16</xdr:row>
      <xdr:rowOff>7040</xdr:rowOff>
    </xdr:from>
    <xdr:ext cx="962714" cy="177106"/>
    <xdr:sp macro="" textlink="">
      <xdr:nvSpPr>
        <xdr:cNvPr id="20" name="TextBox 1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 txBox="1"/>
      </xdr:nvSpPr>
      <xdr:spPr>
        <a:xfrm>
          <a:off x="3925208" y="2816915"/>
          <a:ext cx="962714" cy="1771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n-ID" sz="1100">
              <a:latin typeface="Tw Cen MT" panose="020B0602020104020603" pitchFamily="34" charset="0"/>
            </a:rPr>
            <a:t>JANUARI</a:t>
          </a:r>
        </a:p>
      </xdr:txBody>
    </xdr:sp>
    <xdr:clientData/>
  </xdr:oneCellAnchor>
  <xdr:oneCellAnchor>
    <xdr:from>
      <xdr:col>6</xdr:col>
      <xdr:colOff>6351</xdr:colOff>
      <xdr:row>17</xdr:row>
      <xdr:rowOff>8293</xdr:rowOff>
    </xdr:from>
    <xdr:ext cx="962714" cy="177106"/>
    <xdr:sp macro="" textlink="">
      <xdr:nvSpPr>
        <xdr:cNvPr id="21" name="TextBox 2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/>
      </xdr:nvSpPr>
      <xdr:spPr>
        <a:xfrm>
          <a:off x="3925208" y="3018873"/>
          <a:ext cx="962714" cy="1771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n-ID" sz="1100">
              <a:latin typeface="Tw Cen MT" panose="020B0602020104020603" pitchFamily="34" charset="0"/>
            </a:rPr>
            <a:t>FEBRUARI</a:t>
          </a:r>
        </a:p>
      </xdr:txBody>
    </xdr:sp>
    <xdr:clientData/>
  </xdr:oneCellAnchor>
  <xdr:oneCellAnchor>
    <xdr:from>
      <xdr:col>6</xdr:col>
      <xdr:colOff>6351</xdr:colOff>
      <xdr:row>17</xdr:row>
      <xdr:rowOff>197530</xdr:rowOff>
    </xdr:from>
    <xdr:ext cx="962714" cy="194817"/>
    <xdr:sp macro="" textlink="">
      <xdr:nvSpPr>
        <xdr:cNvPr id="22" name="TextBox 2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 txBox="1"/>
      </xdr:nvSpPr>
      <xdr:spPr>
        <a:xfrm>
          <a:off x="3925208" y="3208110"/>
          <a:ext cx="962714" cy="1948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n-ID" sz="1100">
              <a:latin typeface="Tw Cen MT" panose="020B0602020104020603" pitchFamily="34" charset="0"/>
            </a:rPr>
            <a:t>MARET</a:t>
          </a:r>
        </a:p>
      </xdr:txBody>
    </xdr:sp>
    <xdr:clientData/>
  </xdr:oneCellAnchor>
  <xdr:oneCellAnchor>
    <xdr:from>
      <xdr:col>6</xdr:col>
      <xdr:colOff>6351</xdr:colOff>
      <xdr:row>19</xdr:row>
      <xdr:rowOff>2161</xdr:rowOff>
    </xdr:from>
    <xdr:ext cx="962714" cy="194817"/>
    <xdr:sp macro="" textlink="">
      <xdr:nvSpPr>
        <xdr:cNvPr id="23" name="TextBox 22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/>
      </xdr:nvSpPr>
      <xdr:spPr>
        <a:xfrm>
          <a:off x="3925208" y="3414152"/>
          <a:ext cx="962714" cy="1948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n-ID" sz="1100">
              <a:latin typeface="Tw Cen MT" panose="020B0602020104020603" pitchFamily="34" charset="0"/>
            </a:rPr>
            <a:t>APRIL</a:t>
          </a:r>
        </a:p>
      </xdr:txBody>
    </xdr:sp>
    <xdr:clientData/>
  </xdr:oneCellAnchor>
  <xdr:oneCellAnchor>
    <xdr:from>
      <xdr:col>6</xdr:col>
      <xdr:colOff>6351</xdr:colOff>
      <xdr:row>20</xdr:row>
      <xdr:rowOff>6804</xdr:rowOff>
    </xdr:from>
    <xdr:ext cx="962714" cy="194817"/>
    <xdr:sp macro="" textlink="">
      <xdr:nvSpPr>
        <xdr:cNvPr id="24" name="TextBox 23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 txBox="1"/>
      </xdr:nvSpPr>
      <xdr:spPr>
        <a:xfrm>
          <a:off x="3925208" y="3619500"/>
          <a:ext cx="962714" cy="1948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n-ID" sz="1100">
              <a:latin typeface="Tw Cen MT" panose="020B0602020104020603" pitchFamily="34" charset="0"/>
            </a:rPr>
            <a:t>MEI</a:t>
          </a:r>
        </a:p>
      </xdr:txBody>
    </xdr:sp>
    <xdr:clientData/>
  </xdr:oneCellAnchor>
  <xdr:oneCellAnchor>
    <xdr:from>
      <xdr:col>6</xdr:col>
      <xdr:colOff>6351</xdr:colOff>
      <xdr:row>21</xdr:row>
      <xdr:rowOff>12140</xdr:rowOff>
    </xdr:from>
    <xdr:ext cx="962714" cy="194817"/>
    <xdr:sp macro="" textlink="">
      <xdr:nvSpPr>
        <xdr:cNvPr id="25" name="TextBox 24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 txBox="1"/>
      </xdr:nvSpPr>
      <xdr:spPr>
        <a:xfrm>
          <a:off x="3925208" y="3825542"/>
          <a:ext cx="962714" cy="1948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n-ID" sz="1100">
              <a:latin typeface="Tw Cen MT" panose="020B0602020104020603" pitchFamily="34" charset="0"/>
            </a:rPr>
            <a:t>JUNI</a:t>
          </a:r>
        </a:p>
      </xdr:txBody>
    </xdr:sp>
    <xdr:clientData/>
  </xdr:oneCellAnchor>
  <xdr:twoCellAnchor editAs="oneCell">
    <xdr:from>
      <xdr:col>0</xdr:col>
      <xdr:colOff>529110</xdr:colOff>
      <xdr:row>27</xdr:row>
      <xdr:rowOff>11723</xdr:rowOff>
    </xdr:from>
    <xdr:to>
      <xdr:col>1</xdr:col>
      <xdr:colOff>458668</xdr:colOff>
      <xdr:row>29</xdr:row>
      <xdr:rowOff>77667</xdr:rowOff>
    </xdr:to>
    <xdr:pic>
      <xdr:nvPicPr>
        <xdr:cNvPr id="11" name="Picture 10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9110" y="5404338"/>
          <a:ext cx="521573" cy="464529"/>
        </a:xfrm>
        <a:prstGeom prst="rect">
          <a:avLst/>
        </a:prstGeom>
      </xdr:spPr>
    </xdr:pic>
    <xdr:clientData/>
  </xdr:twoCellAnchor>
  <xdr:oneCellAnchor>
    <xdr:from>
      <xdr:col>1</xdr:col>
      <xdr:colOff>365858</xdr:colOff>
      <xdr:row>27</xdr:row>
      <xdr:rowOff>151126</xdr:rowOff>
    </xdr:from>
    <xdr:ext cx="510443" cy="231987"/>
    <xdr:sp macro="" textlink="">
      <xdr:nvSpPr>
        <xdr:cNvPr id="26" name="TextBox 25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 txBox="1"/>
      </xdr:nvSpPr>
      <xdr:spPr>
        <a:xfrm>
          <a:off x="957873" y="5543741"/>
          <a:ext cx="510443" cy="231987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ID" sz="1000">
              <a:latin typeface="Tw Cen MT" panose="020B0602020104020603" pitchFamily="34" charset="0"/>
            </a:rPr>
            <a:t>FAQ</a:t>
          </a:r>
        </a:p>
      </xdr:txBody>
    </xdr:sp>
    <xdr:clientData/>
  </xdr:oneCellAnchor>
  <xdr:twoCellAnchor editAs="oneCell">
    <xdr:from>
      <xdr:col>0</xdr:col>
      <xdr:colOff>430826</xdr:colOff>
      <xdr:row>23</xdr:row>
      <xdr:rowOff>51289</xdr:rowOff>
    </xdr:from>
    <xdr:to>
      <xdr:col>1</xdr:col>
      <xdr:colOff>464343</xdr:colOff>
      <xdr:row>26</xdr:row>
      <xdr:rowOff>22428</xdr:rowOff>
    </xdr:to>
    <xdr:pic>
      <xdr:nvPicPr>
        <xdr:cNvPr id="28" name="Picture 27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826" y="4646735"/>
          <a:ext cx="625532" cy="569016"/>
        </a:xfrm>
        <a:prstGeom prst="rect">
          <a:avLst/>
        </a:prstGeom>
      </xdr:spPr>
    </xdr:pic>
    <xdr:clientData/>
  </xdr:twoCellAnchor>
  <xdr:oneCellAnchor>
    <xdr:from>
      <xdr:col>1</xdr:col>
      <xdr:colOff>359995</xdr:colOff>
      <xdr:row>24</xdr:row>
      <xdr:rowOff>33896</xdr:rowOff>
    </xdr:from>
    <xdr:ext cx="1416051" cy="231987"/>
    <xdr:sp macro="" textlink="">
      <xdr:nvSpPr>
        <xdr:cNvPr id="29" name="TextBox 28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 txBox="1"/>
      </xdr:nvSpPr>
      <xdr:spPr>
        <a:xfrm>
          <a:off x="952010" y="4828634"/>
          <a:ext cx="1416051" cy="231987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ID" sz="1000">
              <a:latin typeface="Tw Cen MT" panose="020B0602020104020603" pitchFamily="34" charset="0"/>
            </a:rPr>
            <a:t>REKAPITULASI BULAN</a:t>
          </a:r>
        </a:p>
      </xdr:txBody>
    </xdr:sp>
    <xdr:clientData/>
  </xdr:oneCellAnchor>
  <xdr:oneCellAnchor>
    <xdr:from>
      <xdr:col>3</xdr:col>
      <xdr:colOff>57640</xdr:colOff>
      <xdr:row>10</xdr:row>
      <xdr:rowOff>112792</xdr:rowOff>
    </xdr:from>
    <xdr:ext cx="962714" cy="177106"/>
    <xdr:sp macro="" textlink="">
      <xdr:nvSpPr>
        <xdr:cNvPr id="34" name="TextBox 3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 txBox="1"/>
      </xdr:nvSpPr>
      <xdr:spPr>
        <a:xfrm>
          <a:off x="1794121" y="2120369"/>
          <a:ext cx="962714" cy="1771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n-ID" sz="1100">
              <a:latin typeface="Tw Cen MT" panose="020B0602020104020603" pitchFamily="34" charset="0"/>
            </a:rPr>
            <a:t>PROFIL KELAS</a:t>
          </a:r>
        </a:p>
      </xdr:txBody>
    </xdr:sp>
    <xdr:clientData/>
  </xdr:oneCellAnchor>
  <xdr:oneCellAnchor>
    <xdr:from>
      <xdr:col>6</xdr:col>
      <xdr:colOff>388327</xdr:colOff>
      <xdr:row>10</xdr:row>
      <xdr:rowOff>112792</xdr:rowOff>
    </xdr:from>
    <xdr:ext cx="1203527" cy="177106"/>
    <xdr:sp macro="" textlink="">
      <xdr:nvSpPr>
        <xdr:cNvPr id="46" name="TextBox 4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4110404" y="2120369"/>
          <a:ext cx="1203527" cy="1771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n-ID" sz="1100">
              <a:latin typeface="Tw Cen MT" panose="020B0602020104020603" pitchFamily="34" charset="0"/>
            </a:rPr>
            <a:t>IDENTITAS</a:t>
          </a:r>
          <a:r>
            <a:rPr lang="en-ID" sz="1100" baseline="0">
              <a:latin typeface="Tw Cen MT" panose="020B0602020104020603" pitchFamily="34" charset="0"/>
            </a:rPr>
            <a:t> MURID</a:t>
          </a:r>
          <a:endParaRPr lang="en-ID" sz="1100">
            <a:latin typeface="Tw Cen MT" panose="020B0602020104020603" pitchFamily="34" charset="0"/>
          </a:endParaRPr>
        </a:p>
      </xdr:txBody>
    </xdr:sp>
    <xdr:clientData/>
  </xdr:oneCellAnchor>
  <xdr:twoCellAnchor>
    <xdr:from>
      <xdr:col>1</xdr:col>
      <xdr:colOff>216877</xdr:colOff>
      <xdr:row>10</xdr:row>
      <xdr:rowOff>58616</xdr:rowOff>
    </xdr:from>
    <xdr:to>
      <xdr:col>1</xdr:col>
      <xdr:colOff>539261</xdr:colOff>
      <xdr:row>11</xdr:row>
      <xdr:rowOff>181708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E2AAD566-03A1-B4FA-C446-E2BD8C7DCB38}"/>
            </a:ext>
          </a:extLst>
        </xdr:cNvPr>
        <xdr:cNvSpPr/>
      </xdr:nvSpPr>
      <xdr:spPr>
        <a:xfrm>
          <a:off x="808892" y="2063262"/>
          <a:ext cx="322384" cy="322384"/>
        </a:xfrm>
        <a:prstGeom prst="ellipse">
          <a:avLst/>
        </a:prstGeom>
        <a:solidFill>
          <a:srgbClr val="CCEC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D" sz="1400" b="1">
              <a:solidFill>
                <a:sysClr val="windowText" lastClr="000000"/>
              </a:solidFill>
              <a:latin typeface="Tw Cen MT" panose="020B0602020104020603" pitchFamily="34" charset="0"/>
            </a:rPr>
            <a:t>1</a:t>
          </a:r>
        </a:p>
      </xdr:txBody>
    </xdr:sp>
    <xdr:clientData/>
  </xdr:twoCellAnchor>
  <xdr:twoCellAnchor>
    <xdr:from>
      <xdr:col>5</xdr:col>
      <xdr:colOff>257907</xdr:colOff>
      <xdr:row>10</xdr:row>
      <xdr:rowOff>58616</xdr:rowOff>
    </xdr:from>
    <xdr:to>
      <xdr:col>5</xdr:col>
      <xdr:colOff>580291</xdr:colOff>
      <xdr:row>11</xdr:row>
      <xdr:rowOff>181708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2D3081B8-57A4-DAD9-22B2-E576D6B649EF}"/>
            </a:ext>
          </a:extLst>
        </xdr:cNvPr>
        <xdr:cNvSpPr/>
      </xdr:nvSpPr>
      <xdr:spPr>
        <a:xfrm>
          <a:off x="3487615" y="2063262"/>
          <a:ext cx="322384" cy="322384"/>
        </a:xfrm>
        <a:prstGeom prst="ellipse">
          <a:avLst/>
        </a:prstGeom>
        <a:solidFill>
          <a:srgbClr val="CCEC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D" sz="1400" b="1">
              <a:solidFill>
                <a:sysClr val="windowText" lastClr="000000"/>
              </a:solidFill>
              <a:latin typeface="Tw Cen MT" panose="020B0602020104020603" pitchFamily="34" charset="0"/>
            </a:rPr>
            <a:t>2</a:t>
          </a:r>
        </a:p>
      </xdr:txBody>
    </xdr:sp>
    <xdr:clientData/>
  </xdr:twoCellAnchor>
  <xdr:twoCellAnchor>
    <xdr:from>
      <xdr:col>3</xdr:col>
      <xdr:colOff>23446</xdr:colOff>
      <xdr:row>12</xdr:row>
      <xdr:rowOff>181708</xdr:rowOff>
    </xdr:from>
    <xdr:to>
      <xdr:col>3</xdr:col>
      <xdr:colOff>345830</xdr:colOff>
      <xdr:row>14</xdr:row>
      <xdr:rowOff>105508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4147D9A0-1A60-F232-6363-D72F0E277211}"/>
            </a:ext>
          </a:extLst>
        </xdr:cNvPr>
        <xdr:cNvSpPr/>
      </xdr:nvSpPr>
      <xdr:spPr>
        <a:xfrm>
          <a:off x="1799492" y="2584939"/>
          <a:ext cx="322384" cy="322384"/>
        </a:xfrm>
        <a:prstGeom prst="ellipse">
          <a:avLst/>
        </a:prstGeom>
        <a:solidFill>
          <a:srgbClr val="CCEC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D" sz="1400" b="1">
              <a:solidFill>
                <a:sysClr val="windowText" lastClr="000000"/>
              </a:solidFill>
              <a:latin typeface="Tw Cen MT" panose="020B0602020104020603" pitchFamily="34" charset="0"/>
            </a:rPr>
            <a:t>3</a:t>
          </a:r>
        </a:p>
      </xdr:txBody>
    </xdr:sp>
    <xdr:clientData/>
  </xdr:twoCellAnchor>
  <xdr:twoCellAnchor editAs="oneCell">
    <xdr:from>
      <xdr:col>4</xdr:col>
      <xdr:colOff>79134</xdr:colOff>
      <xdr:row>23</xdr:row>
      <xdr:rowOff>51289</xdr:rowOff>
    </xdr:from>
    <xdr:to>
      <xdr:col>4</xdr:col>
      <xdr:colOff>704666</xdr:colOff>
      <xdr:row>26</xdr:row>
      <xdr:rowOff>22428</xdr:rowOff>
    </xdr:to>
    <xdr:pic>
      <xdr:nvPicPr>
        <xdr:cNvPr id="27" name="Picture 26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15FD41B0-585A-5D0B-C6D6-DCA06DDF1A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2011" y="4646735"/>
          <a:ext cx="625532" cy="569016"/>
        </a:xfrm>
        <a:prstGeom prst="rect">
          <a:avLst/>
        </a:prstGeom>
      </xdr:spPr>
    </xdr:pic>
    <xdr:clientData/>
  </xdr:twoCellAnchor>
  <xdr:oneCellAnchor>
    <xdr:from>
      <xdr:col>4</xdr:col>
      <xdr:colOff>600318</xdr:colOff>
      <xdr:row>24</xdr:row>
      <xdr:rowOff>33896</xdr:rowOff>
    </xdr:from>
    <xdr:ext cx="1451220" cy="231987"/>
    <xdr:sp macro="" textlink="">
      <xdr:nvSpPr>
        <xdr:cNvPr id="30" name="TextBox 2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7D4FA79B-87B3-78FE-95E3-F50D9C9DD9FF}"/>
            </a:ext>
          </a:extLst>
        </xdr:cNvPr>
        <xdr:cNvSpPr txBox="1"/>
      </xdr:nvSpPr>
      <xdr:spPr>
        <a:xfrm>
          <a:off x="3103195" y="4828634"/>
          <a:ext cx="1451220" cy="231987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ID" sz="1000">
              <a:latin typeface="Tw Cen MT" panose="020B0602020104020603" pitchFamily="34" charset="0"/>
            </a:rPr>
            <a:t>REKAPITULASI SEMESTER</a:t>
          </a:r>
        </a:p>
      </xdr:txBody>
    </xdr:sp>
    <xdr:clientData/>
  </xdr:oneCellAnchor>
  <xdr:twoCellAnchor editAs="oneCell">
    <xdr:from>
      <xdr:col>7</xdr:col>
      <xdr:colOff>126026</xdr:colOff>
      <xdr:row>23</xdr:row>
      <xdr:rowOff>51289</xdr:rowOff>
    </xdr:from>
    <xdr:to>
      <xdr:col>8</xdr:col>
      <xdr:colOff>24727</xdr:colOff>
      <xdr:row>26</xdr:row>
      <xdr:rowOff>22428</xdr:rowOff>
    </xdr:to>
    <xdr:pic>
      <xdr:nvPicPr>
        <xdr:cNvPr id="31" name="Picture 30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372C898B-35F7-24F9-8163-353497455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74580" y="4646735"/>
          <a:ext cx="625532" cy="569016"/>
        </a:xfrm>
        <a:prstGeom prst="rect">
          <a:avLst/>
        </a:prstGeom>
      </xdr:spPr>
    </xdr:pic>
    <xdr:clientData/>
  </xdr:twoCellAnchor>
  <xdr:oneCellAnchor>
    <xdr:from>
      <xdr:col>7</xdr:col>
      <xdr:colOff>647210</xdr:colOff>
      <xdr:row>24</xdr:row>
      <xdr:rowOff>33896</xdr:rowOff>
    </xdr:from>
    <xdr:ext cx="1416051" cy="231987"/>
    <xdr:sp macro="" textlink="">
      <xdr:nvSpPr>
        <xdr:cNvPr id="32" name="TextBox 3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5C38338F-36AD-C330-4BED-B517E714973D}"/>
            </a:ext>
          </a:extLst>
        </xdr:cNvPr>
        <xdr:cNvSpPr txBox="1"/>
      </xdr:nvSpPr>
      <xdr:spPr>
        <a:xfrm>
          <a:off x="5195764" y="4828634"/>
          <a:ext cx="1416051" cy="231987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ID" sz="1000">
              <a:latin typeface="Tw Cen MT" panose="020B0602020104020603" pitchFamily="34" charset="0"/>
            </a:rPr>
            <a:t>REKAPITULASI TAHUN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115955</xdr:colOff>
      <xdr:row>0</xdr:row>
      <xdr:rowOff>108985</xdr:rowOff>
    </xdr:from>
    <xdr:to>
      <xdr:col>13</xdr:col>
      <xdr:colOff>1936</xdr:colOff>
      <xdr:row>3</xdr:row>
      <xdr:rowOff>2110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097780" y="108985"/>
          <a:ext cx="493200" cy="49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66261</xdr:colOff>
      <xdr:row>0</xdr:row>
      <xdr:rowOff>120788</xdr:rowOff>
    </xdr:from>
    <xdr:to>
      <xdr:col>13</xdr:col>
      <xdr:colOff>551841</xdr:colOff>
      <xdr:row>3</xdr:row>
      <xdr:rowOff>21533</xdr:rowOff>
    </xdr:to>
    <xdr:pic macro="[0]!tanyaPanduan"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657686" y="120788"/>
          <a:ext cx="493200" cy="4932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137160</xdr:colOff>
          <xdr:row>12</xdr:row>
          <xdr:rowOff>30480</xdr:rowOff>
        </xdr:from>
        <xdr:to>
          <xdr:col>5</xdr:col>
          <xdr:colOff>426720</xdr:colOff>
          <xdr:row>12</xdr:row>
          <xdr:rowOff>160020</xdr:rowOff>
        </xdr:to>
        <xdr:sp macro="" textlink="">
          <xdr:nvSpPr>
            <xdr:cNvPr id="14344" name="Drop Down 8" descr="Silakan memilih kelas/tingkatan pada sekolah&#10;Kelas A s.d. B; (PAUD)&#10;Kelas I s.d. VI; (SD)&#10;Kelas VII s.d. IX; (SMP)&#10;Kelas X s.d. XIII; (SMA/K)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7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137160</xdr:colOff>
          <xdr:row>12</xdr:row>
          <xdr:rowOff>30480</xdr:rowOff>
        </xdr:from>
        <xdr:to>
          <xdr:col>6</xdr:col>
          <xdr:colOff>426720</xdr:colOff>
          <xdr:row>12</xdr:row>
          <xdr:rowOff>160020</xdr:rowOff>
        </xdr:to>
        <xdr:sp macro="" textlink="">
          <xdr:nvSpPr>
            <xdr:cNvPr id="14348" name="Drop Down 12" descr="Silakan memilih kelas/tingkatan pada sekolah&#10;Kelas A s.d. B; (PAUD)&#10;Kelas I s.d. VI; (SD)&#10;Kelas VII s.d. IX; (SMP)&#10;Kelas X s.d. XIII; (SMA/K)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7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121920</xdr:colOff>
          <xdr:row>13</xdr:row>
          <xdr:rowOff>30480</xdr:rowOff>
        </xdr:from>
        <xdr:to>
          <xdr:col>5</xdr:col>
          <xdr:colOff>419100</xdr:colOff>
          <xdr:row>13</xdr:row>
          <xdr:rowOff>152400</xdr:rowOff>
        </xdr:to>
        <xdr:sp macro="" textlink="">
          <xdr:nvSpPr>
            <xdr:cNvPr id="14350" name="Drop Down 14" descr="Silakan memilih kelas/tingkatan pada sekolah&#10;Kelas A s.d. B; (PAUD)&#10;Kelas I s.d. VI; (SD)&#10;Kelas VII s.d. IX; (SMP)&#10;Kelas X s.d. XIII; (SMA/K)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7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10</xdr:col>
      <xdr:colOff>66261</xdr:colOff>
      <xdr:row>0</xdr:row>
      <xdr:rowOff>123696</xdr:rowOff>
    </xdr:from>
    <xdr:to>
      <xdr:col>10</xdr:col>
      <xdr:colOff>555651</xdr:colOff>
      <xdr:row>3</xdr:row>
      <xdr:rowOff>96251</xdr:rowOff>
    </xdr:to>
    <xdr:pic macro="[0]!tanyaProfilSekolah"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176052" y="123696"/>
          <a:ext cx="493200" cy="493200"/>
        </a:xfrm>
        <a:prstGeom prst="rect">
          <a:avLst/>
        </a:prstGeom>
      </xdr:spPr>
    </xdr:pic>
    <xdr:clientData/>
  </xdr:twoCellAnchor>
  <xdr:twoCellAnchor editAs="oneCell">
    <xdr:from>
      <xdr:col>9</xdr:col>
      <xdr:colOff>91111</xdr:colOff>
      <xdr:row>0</xdr:row>
      <xdr:rowOff>120096</xdr:rowOff>
    </xdr:from>
    <xdr:to>
      <xdr:col>10</xdr:col>
      <xdr:colOff>20</xdr:colOff>
      <xdr:row>3</xdr:row>
      <xdr:rowOff>92651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554" y="120096"/>
          <a:ext cx="493200" cy="493200"/>
        </a:xfrm>
        <a:prstGeom prst="rect">
          <a:avLst/>
        </a:prstGeom>
      </xdr:spPr>
    </xdr:pic>
    <xdr:clientData/>
  </xdr:twoCellAnchor>
  <xdr:oneCellAnchor>
    <xdr:from>
      <xdr:col>8</xdr:col>
      <xdr:colOff>153276</xdr:colOff>
      <xdr:row>5</xdr:row>
      <xdr:rowOff>35034</xdr:rowOff>
    </xdr:from>
    <xdr:ext cx="1544896" cy="65094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6916026" y="928003"/>
          <a:ext cx="1544896" cy="65094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id-ID" sz="1000">
              <a:latin typeface="Tw Cen MT" panose="020B0602020104020603" pitchFamily="34" charset="0"/>
              <a:cs typeface="Times New Roman" panose="02020603050405020304" pitchFamily="18" charset="0"/>
            </a:rPr>
            <a:t>Ganti dan </a:t>
          </a:r>
          <a:r>
            <a:rPr lang="en-US" sz="1000">
              <a:latin typeface="Tw Cen MT" panose="020B0602020104020603" pitchFamily="34" charset="0"/>
              <a:cs typeface="Times New Roman" panose="02020603050405020304" pitchFamily="18" charset="0"/>
            </a:rPr>
            <a:t>ketik pada</a:t>
          </a:r>
          <a:r>
            <a:rPr lang="en-US" sz="1000" baseline="0">
              <a:latin typeface="Tw Cen MT" panose="020B0602020104020603" pitchFamily="34" charset="0"/>
              <a:cs typeface="Times New Roman" panose="02020603050405020304" pitchFamily="18" charset="0"/>
            </a:rPr>
            <a:t> </a:t>
          </a:r>
          <a:r>
            <a:rPr lang="id-ID" sz="1000">
              <a:latin typeface="Tw Cen MT" panose="020B0602020104020603" pitchFamily="34" charset="0"/>
              <a:cs typeface="Times New Roman" panose="02020603050405020304" pitchFamily="18" charset="0"/>
            </a:rPr>
            <a:t>tabel </a:t>
          </a:r>
          <a:r>
            <a:rPr lang="en-US" sz="1000">
              <a:latin typeface="Tw Cen MT" panose="020B0602020104020603" pitchFamily="34" charset="0"/>
              <a:cs typeface="Times New Roman" panose="02020603050405020304" pitchFamily="18" charset="0"/>
            </a:rPr>
            <a:t>yang</a:t>
          </a:r>
          <a:r>
            <a:rPr lang="en-US" sz="1000" baseline="0">
              <a:latin typeface="Tw Cen MT" panose="020B0602020104020603" pitchFamily="34" charset="0"/>
              <a:cs typeface="Times New Roman" panose="02020603050405020304" pitchFamily="18" charset="0"/>
            </a:rPr>
            <a:t> terdapat ikon centang dengan berlatar putih</a:t>
          </a:r>
          <a:r>
            <a:rPr lang="id-ID" sz="1000">
              <a:latin typeface="Tw Cen MT" panose="020B0602020104020603" pitchFamily="34" charset="0"/>
              <a:cs typeface="Times New Roman" panose="02020603050405020304" pitchFamily="18" charset="0"/>
            </a:rPr>
            <a:t> secara </a:t>
          </a:r>
          <a:r>
            <a:rPr lang="id-ID" sz="1000" b="1">
              <a:latin typeface="Tw Cen MT" panose="020B0602020104020603" pitchFamily="34" charset="0"/>
              <a:cs typeface="Times New Roman" panose="02020603050405020304" pitchFamily="18" charset="0"/>
            </a:rPr>
            <a:t>manual</a:t>
          </a:r>
          <a:r>
            <a:rPr lang="id-ID" sz="1000">
              <a:latin typeface="Tw Cen MT" panose="020B0602020104020603" pitchFamily="34" charset="0"/>
              <a:cs typeface="Times New Roman" panose="02020603050405020304" pitchFamily="18" charset="0"/>
            </a:rPr>
            <a:t>.</a:t>
          </a:r>
          <a:endParaRPr lang="en-ID" sz="1000">
            <a:latin typeface="Tw Cen MT" panose="020B0602020104020603" pitchFamily="34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8</xdr:col>
      <xdr:colOff>153276</xdr:colOff>
      <xdr:row>10</xdr:row>
      <xdr:rowOff>35035</xdr:rowOff>
    </xdr:from>
    <xdr:ext cx="1768052" cy="120994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6916026" y="1880504"/>
          <a:ext cx="1768052" cy="120994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>
              <a:latin typeface="Tw Cen MT" panose="020B0602020104020603" pitchFamily="34" charset="0"/>
              <a:cs typeface="Times New Roman" panose="02020603050405020304" pitchFamily="18" charset="0"/>
            </a:rPr>
            <a:t>Jika terdapat perubahan</a:t>
          </a:r>
          <a:r>
            <a:rPr lang="en-US" sz="800" baseline="0">
              <a:latin typeface="Tw Cen MT" panose="020B0602020104020603" pitchFamily="34" charset="0"/>
              <a:cs typeface="Times New Roman" panose="02020603050405020304" pitchFamily="18" charset="0"/>
            </a:rPr>
            <a:t> siswa, pada "Jumlah Siswa" silakan ganti. </a:t>
          </a:r>
        </a:p>
        <a:p>
          <a:r>
            <a:rPr lang="en-US" sz="800" baseline="0">
              <a:latin typeface="Tw Cen MT" panose="020B0602020104020603" pitchFamily="34" charset="0"/>
              <a:cs typeface="Times New Roman" panose="02020603050405020304" pitchFamily="18" charset="0"/>
            </a:rPr>
            <a:t>Misal</a:t>
          </a:r>
        </a:p>
        <a:p>
          <a:r>
            <a:rPr lang="en-US" sz="800" baseline="0">
              <a:latin typeface="Tw Cen MT" panose="020B0602020104020603" pitchFamily="34" charset="0"/>
              <a:cs typeface="Times New Roman" panose="02020603050405020304" pitchFamily="18" charset="0"/>
            </a:rPr>
            <a:t>- 25 siswa, bertambah 1 maka 26 murid</a:t>
          </a:r>
        </a:p>
        <a:p>
          <a:r>
            <a:rPr lang="en-ID" sz="800">
              <a:latin typeface="Tw Cen MT" panose="020B0602020104020603" pitchFamily="34" charset="0"/>
              <a:cs typeface="Times New Roman" panose="02020603050405020304" pitchFamily="18" charset="0"/>
            </a:rPr>
            <a:t>- 25 siswa, murid</a:t>
          </a:r>
          <a:r>
            <a:rPr lang="en-ID" sz="800" baseline="0">
              <a:latin typeface="Tw Cen MT" panose="020B0602020104020603" pitchFamily="34" charset="0"/>
              <a:cs typeface="Times New Roman" panose="02020603050405020304" pitchFamily="18" charset="0"/>
            </a:rPr>
            <a:t> tidak aktif 1, dan bertambah 1 maka 26 murid.</a:t>
          </a:r>
        </a:p>
        <a:p>
          <a:endParaRPr lang="en-ID" sz="800" baseline="0">
            <a:latin typeface="Tw Cen MT" panose="020B0602020104020603" pitchFamily="34" charset="0"/>
            <a:cs typeface="Times New Roman" panose="02020603050405020304" pitchFamily="18" charset="0"/>
          </a:endParaRPr>
        </a:p>
        <a:p>
          <a:r>
            <a:rPr lang="en-ID" sz="800" baseline="0">
              <a:latin typeface="Tw Cen MT" panose="020B0602020104020603" pitchFamily="34" charset="0"/>
              <a:cs typeface="Times New Roman" panose="02020603050405020304" pitchFamily="18" charset="0"/>
            </a:rPr>
            <a:t>!! Jika terdapat </a:t>
          </a:r>
          <a:r>
            <a:rPr lang="en-ID" sz="800" b="1" baseline="0">
              <a:latin typeface="Tw Cen MT" panose="020B0602020104020603" pitchFamily="34" charset="0"/>
              <a:cs typeface="Times New Roman" panose="02020603050405020304" pitchFamily="18" charset="0"/>
            </a:rPr>
            <a:t>pengurangan</a:t>
          </a:r>
          <a:r>
            <a:rPr lang="en-ID" sz="800" baseline="0">
              <a:latin typeface="Tw Cen MT" panose="020B0602020104020603" pitchFamily="34" charset="0"/>
              <a:cs typeface="Times New Roman" panose="02020603050405020304" pitchFamily="18" charset="0"/>
            </a:rPr>
            <a:t> siswa, </a:t>
          </a:r>
          <a:r>
            <a:rPr lang="en-ID" sz="800" b="1" baseline="0">
              <a:solidFill>
                <a:srgbClr val="FF0000"/>
              </a:solidFill>
              <a:latin typeface="Tw Cen MT" panose="020B0602020104020603" pitchFamily="34" charset="0"/>
              <a:cs typeface="Times New Roman" panose="02020603050405020304" pitchFamily="18" charset="0"/>
            </a:rPr>
            <a:t>tidak perlu</a:t>
          </a:r>
          <a:r>
            <a:rPr lang="en-ID" sz="800" baseline="0">
              <a:latin typeface="Tw Cen MT" panose="020B0602020104020603" pitchFamily="34" charset="0"/>
              <a:cs typeface="Times New Roman" panose="02020603050405020304" pitchFamily="18" charset="0"/>
            </a:rPr>
            <a:t> mengubah Jumlah Siswa.</a:t>
          </a:r>
          <a:endParaRPr lang="en-ID" sz="800">
            <a:latin typeface="Tw Cen MT" panose="020B0602020104020603" pitchFamily="34" charset="0"/>
            <a:cs typeface="Times New Roman" panose="02020603050405020304" pitchFamily="18" charset="0"/>
          </a:endParaRPr>
        </a:p>
      </xdr:txBody>
    </xdr:sp>
    <xdr:clientData/>
  </xdr:oneCellAnchor>
  <xdr:twoCellAnchor editAs="oneCell">
    <xdr:from>
      <xdr:col>3</xdr:col>
      <xdr:colOff>448492</xdr:colOff>
      <xdr:row>4</xdr:row>
      <xdr:rowOff>19595</xdr:rowOff>
    </xdr:from>
    <xdr:to>
      <xdr:col>3</xdr:col>
      <xdr:colOff>575855</xdr:colOff>
      <xdr:row>4</xdr:row>
      <xdr:rowOff>170361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5E7CAE7-F707-2C8D-B70C-BB0F5D6A1F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28306" y="716281"/>
          <a:ext cx="127363" cy="150766"/>
        </a:xfrm>
        <a:prstGeom prst="rect">
          <a:avLst/>
        </a:prstGeom>
      </xdr:spPr>
    </xdr:pic>
    <xdr:clientData/>
  </xdr:twoCellAnchor>
  <xdr:twoCellAnchor editAs="oneCell">
    <xdr:from>
      <xdr:col>3</xdr:col>
      <xdr:colOff>448492</xdr:colOff>
      <xdr:row>5</xdr:row>
      <xdr:rowOff>16874</xdr:rowOff>
    </xdr:from>
    <xdr:to>
      <xdr:col>3</xdr:col>
      <xdr:colOff>575855</xdr:colOff>
      <xdr:row>5</xdr:row>
      <xdr:rowOff>167640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6AA999B7-14FD-F184-4E10-200BDDC8A4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28306" y="895895"/>
          <a:ext cx="127363" cy="150766"/>
        </a:xfrm>
        <a:prstGeom prst="rect">
          <a:avLst/>
        </a:prstGeom>
      </xdr:spPr>
    </xdr:pic>
    <xdr:clientData/>
  </xdr:twoCellAnchor>
  <xdr:twoCellAnchor editAs="oneCell">
    <xdr:from>
      <xdr:col>3</xdr:col>
      <xdr:colOff>448492</xdr:colOff>
      <xdr:row>7</xdr:row>
      <xdr:rowOff>22316</xdr:rowOff>
    </xdr:from>
    <xdr:to>
      <xdr:col>3</xdr:col>
      <xdr:colOff>575855</xdr:colOff>
      <xdr:row>7</xdr:row>
      <xdr:rowOff>173082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64B082EB-CCB8-4188-1B8F-B104F59C8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28306" y="1266009"/>
          <a:ext cx="127363" cy="150766"/>
        </a:xfrm>
        <a:prstGeom prst="rect">
          <a:avLst/>
        </a:prstGeom>
      </xdr:spPr>
    </xdr:pic>
    <xdr:clientData/>
  </xdr:twoCellAnchor>
  <xdr:twoCellAnchor editAs="oneCell">
    <xdr:from>
      <xdr:col>3</xdr:col>
      <xdr:colOff>448492</xdr:colOff>
      <xdr:row>8</xdr:row>
      <xdr:rowOff>16873</xdr:rowOff>
    </xdr:from>
    <xdr:to>
      <xdr:col>3</xdr:col>
      <xdr:colOff>575855</xdr:colOff>
      <xdr:row>8</xdr:row>
      <xdr:rowOff>167639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310D2B90-A82C-7F84-9869-CFBD0E1FAB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28306" y="1442902"/>
          <a:ext cx="127363" cy="150766"/>
        </a:xfrm>
        <a:prstGeom prst="rect">
          <a:avLst/>
        </a:prstGeom>
      </xdr:spPr>
    </xdr:pic>
    <xdr:clientData/>
  </xdr:twoCellAnchor>
  <xdr:twoCellAnchor editAs="oneCell">
    <xdr:from>
      <xdr:col>3</xdr:col>
      <xdr:colOff>448492</xdr:colOff>
      <xdr:row>9</xdr:row>
      <xdr:rowOff>14152</xdr:rowOff>
    </xdr:from>
    <xdr:to>
      <xdr:col>3</xdr:col>
      <xdr:colOff>575855</xdr:colOff>
      <xdr:row>9</xdr:row>
      <xdr:rowOff>164918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7EAFA6FC-D00C-C477-01F3-9F6E3A78D3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28306" y="1622516"/>
          <a:ext cx="127363" cy="150766"/>
        </a:xfrm>
        <a:prstGeom prst="rect">
          <a:avLst/>
        </a:prstGeom>
      </xdr:spPr>
    </xdr:pic>
    <xdr:clientData/>
  </xdr:twoCellAnchor>
  <xdr:twoCellAnchor editAs="oneCell">
    <xdr:from>
      <xdr:col>3</xdr:col>
      <xdr:colOff>448492</xdr:colOff>
      <xdr:row>10</xdr:row>
      <xdr:rowOff>22316</xdr:rowOff>
    </xdr:from>
    <xdr:to>
      <xdr:col>3</xdr:col>
      <xdr:colOff>575855</xdr:colOff>
      <xdr:row>10</xdr:row>
      <xdr:rowOff>173082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7C12C79C-AF5D-AE92-A3E0-EF35F064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28306" y="1813016"/>
          <a:ext cx="127363" cy="150766"/>
        </a:xfrm>
        <a:prstGeom prst="rect">
          <a:avLst/>
        </a:prstGeom>
      </xdr:spPr>
    </xdr:pic>
    <xdr:clientData/>
  </xdr:twoCellAnchor>
  <xdr:twoCellAnchor editAs="oneCell">
    <xdr:from>
      <xdr:col>3</xdr:col>
      <xdr:colOff>448492</xdr:colOff>
      <xdr:row>11</xdr:row>
      <xdr:rowOff>19594</xdr:rowOff>
    </xdr:from>
    <xdr:to>
      <xdr:col>3</xdr:col>
      <xdr:colOff>575855</xdr:colOff>
      <xdr:row>11</xdr:row>
      <xdr:rowOff>170360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C7F49A4-C53E-BC10-5483-A7DC49446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28306" y="1992630"/>
          <a:ext cx="127363" cy="150766"/>
        </a:xfrm>
        <a:prstGeom prst="rect">
          <a:avLst/>
        </a:prstGeom>
      </xdr:spPr>
    </xdr:pic>
    <xdr:clientData/>
  </xdr:twoCellAnchor>
  <xdr:twoCellAnchor editAs="oneCell">
    <xdr:from>
      <xdr:col>5</xdr:col>
      <xdr:colOff>7621</xdr:colOff>
      <xdr:row>12</xdr:row>
      <xdr:rowOff>14152</xdr:rowOff>
    </xdr:from>
    <xdr:to>
      <xdr:col>5</xdr:col>
      <xdr:colOff>134984</xdr:colOff>
      <xdr:row>12</xdr:row>
      <xdr:rowOff>164918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CE948133-904A-AB59-F76F-041B2E38E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78678" y="2169523"/>
          <a:ext cx="127363" cy="150766"/>
        </a:xfrm>
        <a:prstGeom prst="rect">
          <a:avLst/>
        </a:prstGeom>
      </xdr:spPr>
    </xdr:pic>
    <xdr:clientData/>
  </xdr:twoCellAnchor>
  <xdr:twoCellAnchor editAs="oneCell">
    <xdr:from>
      <xdr:col>5</xdr:col>
      <xdr:colOff>8610</xdr:colOff>
      <xdr:row>13</xdr:row>
      <xdr:rowOff>11430</xdr:rowOff>
    </xdr:from>
    <xdr:to>
      <xdr:col>5</xdr:col>
      <xdr:colOff>135973</xdr:colOff>
      <xdr:row>13</xdr:row>
      <xdr:rowOff>162196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C5D089AC-0762-92CD-6D02-B0406EC51A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92037" y="2370166"/>
          <a:ext cx="127363" cy="150766"/>
        </a:xfrm>
        <a:prstGeom prst="rect">
          <a:avLst/>
        </a:prstGeom>
      </xdr:spPr>
    </xdr:pic>
    <xdr:clientData/>
  </xdr:twoCellAnchor>
  <xdr:twoCellAnchor editAs="oneCell">
    <xdr:from>
      <xdr:col>3</xdr:col>
      <xdr:colOff>448492</xdr:colOff>
      <xdr:row>14</xdr:row>
      <xdr:rowOff>19594</xdr:rowOff>
    </xdr:from>
    <xdr:to>
      <xdr:col>3</xdr:col>
      <xdr:colOff>575855</xdr:colOff>
      <xdr:row>14</xdr:row>
      <xdr:rowOff>170360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6559BED0-865A-BEA9-0727-CC7458A0C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28306" y="2539637"/>
          <a:ext cx="127363" cy="150766"/>
        </a:xfrm>
        <a:prstGeom prst="rect">
          <a:avLst/>
        </a:prstGeom>
      </xdr:spPr>
    </xdr:pic>
    <xdr:clientData/>
  </xdr:twoCellAnchor>
  <xdr:twoCellAnchor editAs="oneCell">
    <xdr:from>
      <xdr:col>3</xdr:col>
      <xdr:colOff>448492</xdr:colOff>
      <xdr:row>15</xdr:row>
      <xdr:rowOff>16872</xdr:rowOff>
    </xdr:from>
    <xdr:to>
      <xdr:col>3</xdr:col>
      <xdr:colOff>575855</xdr:colOff>
      <xdr:row>15</xdr:row>
      <xdr:rowOff>167638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ABE33C7E-5721-9A4C-8DFA-D19907DB5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28306" y="2719251"/>
          <a:ext cx="127363" cy="150766"/>
        </a:xfrm>
        <a:prstGeom prst="rect">
          <a:avLst/>
        </a:prstGeom>
      </xdr:spPr>
    </xdr:pic>
    <xdr:clientData/>
  </xdr:twoCellAnchor>
  <xdr:twoCellAnchor editAs="oneCell">
    <xdr:from>
      <xdr:col>6</xdr:col>
      <xdr:colOff>4899</xdr:colOff>
      <xdr:row>12</xdr:row>
      <xdr:rowOff>14152</xdr:rowOff>
    </xdr:from>
    <xdr:to>
      <xdr:col>6</xdr:col>
      <xdr:colOff>132262</xdr:colOff>
      <xdr:row>12</xdr:row>
      <xdr:rowOff>164918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67B34025-EC67-EDFB-4D3B-7414246285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933156" y="2169523"/>
          <a:ext cx="127363" cy="150766"/>
        </a:xfrm>
        <a:prstGeom prst="rect">
          <a:avLst/>
        </a:prstGeom>
      </xdr:spPr>
    </xdr:pic>
    <xdr:clientData/>
  </xdr:twoCellAnchor>
  <xdr:twoCellAnchor editAs="oneCell">
    <xdr:from>
      <xdr:col>3</xdr:col>
      <xdr:colOff>448492</xdr:colOff>
      <xdr:row>6</xdr:row>
      <xdr:rowOff>16874</xdr:rowOff>
    </xdr:from>
    <xdr:to>
      <xdr:col>3</xdr:col>
      <xdr:colOff>575855</xdr:colOff>
      <xdr:row>6</xdr:row>
      <xdr:rowOff>167640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C87237A-2446-5C7A-A9F5-865C2D6BF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34430" y="1083674"/>
          <a:ext cx="127363" cy="1507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58805</xdr:colOff>
      <xdr:row>0</xdr:row>
      <xdr:rowOff>118789</xdr:rowOff>
    </xdr:from>
    <xdr:to>
      <xdr:col>4</xdr:col>
      <xdr:colOff>552005</xdr:colOff>
      <xdr:row>3</xdr:row>
      <xdr:rowOff>17629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58865" y="118789"/>
          <a:ext cx="493200" cy="49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66261</xdr:colOff>
      <xdr:row>0</xdr:row>
      <xdr:rowOff>118859</xdr:rowOff>
    </xdr:from>
    <xdr:to>
      <xdr:col>5</xdr:col>
      <xdr:colOff>551841</xdr:colOff>
      <xdr:row>3</xdr:row>
      <xdr:rowOff>17699</xdr:rowOff>
    </xdr:to>
    <xdr:pic macro="[0]!tanyaIdentitas"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791161" y="118859"/>
          <a:ext cx="493200" cy="493200"/>
        </a:xfrm>
        <a:prstGeom prst="rect">
          <a:avLst/>
        </a:prstGeom>
      </xdr:spPr>
    </xdr:pic>
    <xdr:clientData/>
  </xdr:twoCellAnchor>
  <xdr:oneCellAnchor>
    <xdr:from>
      <xdr:col>4</xdr:col>
      <xdr:colOff>171450</xdr:colOff>
      <xdr:row>5</xdr:row>
      <xdr:rowOff>19050</xdr:rowOff>
    </xdr:from>
    <xdr:ext cx="1544896" cy="511294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3A4CD6C9-8107-4B13-BC1E-E09AB80970EB}"/>
            </a:ext>
          </a:extLst>
        </xdr:cNvPr>
        <xdr:cNvSpPr txBox="1"/>
      </xdr:nvSpPr>
      <xdr:spPr>
        <a:xfrm>
          <a:off x="5848350" y="1000125"/>
          <a:ext cx="1544896" cy="511294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id-ID" sz="1000">
              <a:latin typeface="Tw Cen MT" panose="020B0602020104020603" pitchFamily="34" charset="0"/>
              <a:cs typeface="Times New Roman" panose="02020603050405020304" pitchFamily="18" charset="0"/>
            </a:rPr>
            <a:t>Ganti dan </a:t>
          </a:r>
          <a:r>
            <a:rPr lang="en-US" sz="1000">
              <a:latin typeface="Tw Cen MT" panose="020B0602020104020603" pitchFamily="34" charset="0"/>
              <a:cs typeface="Times New Roman" panose="02020603050405020304" pitchFamily="18" charset="0"/>
            </a:rPr>
            <a:t>ketik nama dan jenis kelamin pada kolom tersedia</a:t>
          </a:r>
          <a:r>
            <a:rPr lang="id-ID" sz="1000">
              <a:latin typeface="Tw Cen MT" panose="020B0602020104020603" pitchFamily="34" charset="0"/>
              <a:cs typeface="Times New Roman" panose="02020603050405020304" pitchFamily="18" charset="0"/>
            </a:rPr>
            <a:t> secara </a:t>
          </a:r>
          <a:r>
            <a:rPr lang="id-ID" sz="1000" b="1">
              <a:latin typeface="Tw Cen MT" panose="020B0602020104020603" pitchFamily="34" charset="0"/>
              <a:cs typeface="Times New Roman" panose="02020603050405020304" pitchFamily="18" charset="0"/>
            </a:rPr>
            <a:t>manual</a:t>
          </a:r>
          <a:r>
            <a:rPr lang="id-ID" sz="1000">
              <a:latin typeface="Tw Cen MT" panose="020B0602020104020603" pitchFamily="34" charset="0"/>
              <a:cs typeface="Times New Roman" panose="02020603050405020304" pitchFamily="18" charset="0"/>
            </a:rPr>
            <a:t>.</a:t>
          </a:r>
          <a:endParaRPr lang="en-ID" sz="1000">
            <a:latin typeface="Tw Cen MT" panose="020B0602020104020603" pitchFamily="34" charset="0"/>
            <a:cs typeface="Times New Roman" panose="02020603050405020304" pitchFamily="18" charset="0"/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19050</xdr:rowOff>
    </xdr:from>
    <xdr:to>
      <xdr:col>0</xdr:col>
      <xdr:colOff>552255</xdr:colOff>
      <xdr:row>3</xdr:row>
      <xdr:rowOff>131250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625" y="209550"/>
          <a:ext cx="500820" cy="4970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19050</xdr:rowOff>
    </xdr:from>
    <xdr:to>
      <xdr:col>0</xdr:col>
      <xdr:colOff>548445</xdr:colOff>
      <xdr:row>3</xdr:row>
      <xdr:rowOff>135060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CEE1A1-7FFA-48B8-AC92-C9F6A3339E85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625" y="209550"/>
          <a:ext cx="500820" cy="49701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19050</xdr:rowOff>
    </xdr:from>
    <xdr:to>
      <xdr:col>0</xdr:col>
      <xdr:colOff>548445</xdr:colOff>
      <xdr:row>3</xdr:row>
      <xdr:rowOff>135060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F94C86-921A-484B-97CA-6A4F06388AF1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625" y="209550"/>
          <a:ext cx="500820" cy="49701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7328</xdr:colOff>
      <xdr:row>7</xdr:row>
      <xdr:rowOff>73269</xdr:rowOff>
    </xdr:from>
    <xdr:to>
      <xdr:col>7</xdr:col>
      <xdr:colOff>0</xdr:colOff>
      <xdr:row>20</xdr:row>
      <xdr:rowOff>104607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84886" y="1406769"/>
          <a:ext cx="2425210" cy="3079338"/>
        </a:xfrm>
        <a:prstGeom prst="rect">
          <a:avLst/>
        </a:prstGeom>
      </xdr:spPr>
    </xdr:pic>
    <xdr:clientData/>
  </xdr:twoCellAnchor>
  <xdr:twoCellAnchor editAs="oneCell">
    <xdr:from>
      <xdr:col>2</xdr:col>
      <xdr:colOff>21981</xdr:colOff>
      <xdr:row>14</xdr:row>
      <xdr:rowOff>7326</xdr:rowOff>
    </xdr:from>
    <xdr:to>
      <xdr:col>2</xdr:col>
      <xdr:colOff>3648808</xdr:colOff>
      <xdr:row>16</xdr:row>
      <xdr:rowOff>121281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0" y="3245826"/>
          <a:ext cx="3626827" cy="494955"/>
        </a:xfrm>
        <a:prstGeom prst="rect">
          <a:avLst/>
        </a:prstGeom>
      </xdr:spPr>
    </xdr:pic>
    <xdr:clientData/>
  </xdr:twoCellAnchor>
  <xdr:oneCellAnchor>
    <xdr:from>
      <xdr:col>2</xdr:col>
      <xdr:colOff>932352</xdr:colOff>
      <xdr:row>17</xdr:row>
      <xdr:rowOff>181800</xdr:rowOff>
    </xdr:from>
    <xdr:ext cx="817867" cy="234920"/>
    <xdr:sp macro="" textlink="">
      <xdr:nvSpPr>
        <xdr:cNvPr id="6" name="TextBox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/>
      </xdr:nvSpPr>
      <xdr:spPr>
        <a:xfrm>
          <a:off x="2146790" y="3991800"/>
          <a:ext cx="817867" cy="23492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ID" sz="1100">
              <a:latin typeface="Tw Cen MT" panose="020B0602020104020603" pitchFamily="34" charset="0"/>
            </a:rPr>
            <a:t>Panduan</a:t>
          </a:r>
        </a:p>
      </xdr:txBody>
    </xdr:sp>
    <xdr:clientData/>
  </xdr:oneCellAnchor>
  <xdr:twoCellAnchor editAs="oneCell">
    <xdr:from>
      <xdr:col>3</xdr:col>
      <xdr:colOff>23813</xdr:colOff>
      <xdr:row>1</xdr:row>
      <xdr:rowOff>0</xdr:rowOff>
    </xdr:from>
    <xdr:to>
      <xdr:col>3</xdr:col>
      <xdr:colOff>517013</xdr:colOff>
      <xdr:row>3</xdr:row>
      <xdr:rowOff>108390</xdr:rowOff>
    </xdr:to>
    <xdr:pic>
      <xdr:nvPicPr>
        <xdr:cNvPr id="2" name="Picture 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095876" y="190500"/>
          <a:ext cx="493200" cy="48939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81790</xdr:colOff>
      <xdr:row>0</xdr:row>
      <xdr:rowOff>50247</xdr:rowOff>
    </xdr:from>
    <xdr:to>
      <xdr:col>0</xdr:col>
      <xdr:colOff>589810</xdr:colOff>
      <xdr:row>2</xdr:row>
      <xdr:rowOff>154407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43713C-52E7-4AA3-BDCB-B522D5CB9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790" y="50247"/>
          <a:ext cx="508020" cy="504210"/>
        </a:xfrm>
        <a:prstGeom prst="rect">
          <a:avLst/>
        </a:prstGeom>
      </xdr:spPr>
    </xdr:pic>
    <xdr:clientData/>
  </xdr:twoCellAnchor>
  <xdr:twoCellAnchor editAs="oneCell">
    <xdr:from>
      <xdr:col>0</xdr:col>
      <xdr:colOff>81790</xdr:colOff>
      <xdr:row>3</xdr:row>
      <xdr:rowOff>52456</xdr:rowOff>
    </xdr:from>
    <xdr:to>
      <xdr:col>0</xdr:col>
      <xdr:colOff>589810</xdr:colOff>
      <xdr:row>5</xdr:row>
      <xdr:rowOff>155131</xdr:rowOff>
    </xdr:to>
    <xdr:pic macro="[0]!tanyaPengisian">
      <xdr:nvPicPr>
        <xdr:cNvPr id="3" name="Picture 2">
          <a:extLst>
            <a:ext uri="{FF2B5EF4-FFF2-40B4-BE49-F238E27FC236}">
              <a16:creationId xmlns:a16="http://schemas.microsoft.com/office/drawing/2014/main" id="{A69B0975-3406-4167-90AF-076A5DAA30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790" y="643006"/>
          <a:ext cx="508020" cy="493200"/>
        </a:xfrm>
        <a:prstGeom prst="rect">
          <a:avLst/>
        </a:prstGeom>
      </xdr:spPr>
    </xdr:pic>
    <xdr:clientData/>
  </xdr:twoCellAnchor>
  <xdr:oneCellAnchor>
    <xdr:from>
      <xdr:col>2</xdr:col>
      <xdr:colOff>1950720</xdr:colOff>
      <xdr:row>1</xdr:row>
      <xdr:rowOff>30480</xdr:rowOff>
    </xdr:from>
    <xdr:ext cx="1940902" cy="511294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0043FB0-4D6D-4B87-A36A-45EE19A43A88}"/>
            </a:ext>
          </a:extLst>
        </xdr:cNvPr>
        <xdr:cNvSpPr txBox="1"/>
      </xdr:nvSpPr>
      <xdr:spPr>
        <a:xfrm>
          <a:off x="2819400" y="228600"/>
          <a:ext cx="1940902" cy="511294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000" b="1">
              <a:latin typeface="Tw Cen MT" panose="020B0602020104020603" pitchFamily="34" charset="0"/>
              <a:cs typeface="Times New Roman" panose="02020603050405020304" pitchFamily="18" charset="0"/>
            </a:rPr>
            <a:t>1.</a:t>
          </a:r>
          <a:r>
            <a:rPr lang="en-US" sz="1000">
              <a:latin typeface="Tw Cen MT" panose="020B0602020104020603" pitchFamily="34" charset="0"/>
              <a:cs typeface="Times New Roman" panose="02020603050405020304" pitchFamily="18" charset="0"/>
            </a:rPr>
            <a:t> Halaman ini dapat di cetak.</a:t>
          </a:r>
          <a:r>
            <a:rPr lang="en-US" sz="1000" baseline="0">
              <a:latin typeface="Tw Cen MT" panose="020B0602020104020603" pitchFamily="34" charset="0"/>
              <a:cs typeface="Times New Roman" panose="02020603050405020304" pitchFamily="18" charset="0"/>
            </a:rPr>
            <a:t> Ctrl+P atau dapat menggunakan Ribbon di atas</a:t>
          </a:r>
          <a:endParaRPr lang="en-ID" sz="1000">
            <a:latin typeface="Tw Cen MT" panose="020B0602020104020603" pitchFamily="34" charset="0"/>
            <a:cs typeface="Times New Roman" panose="02020603050405020304" pitchFamily="18" charset="0"/>
          </a:endParaRP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81790</xdr:colOff>
      <xdr:row>0</xdr:row>
      <xdr:rowOff>50247</xdr:rowOff>
    </xdr:from>
    <xdr:to>
      <xdr:col>0</xdr:col>
      <xdr:colOff>593620</xdr:colOff>
      <xdr:row>2</xdr:row>
      <xdr:rowOff>154407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790" y="50247"/>
          <a:ext cx="500400" cy="5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81790</xdr:colOff>
      <xdr:row>3</xdr:row>
      <xdr:rowOff>52456</xdr:rowOff>
    </xdr:from>
    <xdr:to>
      <xdr:col>0</xdr:col>
      <xdr:colOff>593620</xdr:colOff>
      <xdr:row>5</xdr:row>
      <xdr:rowOff>155131</xdr:rowOff>
    </xdr:to>
    <xdr:pic macro="[0]!tanyaPengisian"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790" y="646816"/>
          <a:ext cx="500400" cy="498915"/>
        </a:xfrm>
        <a:prstGeom prst="rect">
          <a:avLst/>
        </a:prstGeom>
      </xdr:spPr>
    </xdr:pic>
    <xdr:clientData/>
  </xdr:twoCellAnchor>
  <xdr:oneCellAnchor>
    <xdr:from>
      <xdr:col>8</xdr:col>
      <xdr:colOff>0</xdr:colOff>
      <xdr:row>0</xdr:row>
      <xdr:rowOff>0</xdr:rowOff>
    </xdr:from>
    <xdr:ext cx="1940902" cy="65094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9AC0C6E9-DC1A-4ACF-A45E-7E3DC6BB04A3}"/>
            </a:ext>
          </a:extLst>
        </xdr:cNvPr>
        <xdr:cNvSpPr txBox="1"/>
      </xdr:nvSpPr>
      <xdr:spPr>
        <a:xfrm>
          <a:off x="9191625" y="0"/>
          <a:ext cx="1940902" cy="65094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000" b="1">
              <a:latin typeface="Tw Cen MT" panose="020B0602020104020603" pitchFamily="34" charset="0"/>
              <a:cs typeface="Times New Roman" panose="02020603050405020304" pitchFamily="18" charset="0"/>
            </a:rPr>
            <a:t>1.</a:t>
          </a:r>
          <a:r>
            <a:rPr lang="en-US" sz="1000">
              <a:latin typeface="Tw Cen MT" panose="020B0602020104020603" pitchFamily="34" charset="0"/>
              <a:cs typeface="Times New Roman" panose="02020603050405020304" pitchFamily="18" charset="0"/>
            </a:rPr>
            <a:t> Klik kiri pilih Status Siswa pada masing-masing siswa </a:t>
          </a:r>
          <a:r>
            <a:rPr lang="en-US" sz="1000" baseline="0">
              <a:latin typeface="Tw Cen MT" panose="020B0602020104020603" pitchFamily="34" charset="0"/>
              <a:cs typeface="Times New Roman" panose="02020603050405020304" pitchFamily="18" charset="0"/>
            </a:rPr>
            <a:t>dan klik kiri pada panah kebawah untuk pilih Status Siswa.</a:t>
          </a:r>
          <a:endParaRPr lang="en-ID" sz="1000">
            <a:latin typeface="Tw Cen MT" panose="020B0602020104020603" pitchFamily="34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9</xdr:col>
      <xdr:colOff>440346</xdr:colOff>
      <xdr:row>0</xdr:row>
      <xdr:rowOff>0</xdr:rowOff>
    </xdr:from>
    <xdr:ext cx="1971675" cy="65094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321DDD62-0B25-46A0-B8A8-9896F7A111B7}"/>
            </a:ext>
          </a:extLst>
        </xdr:cNvPr>
        <xdr:cNvSpPr txBox="1"/>
      </xdr:nvSpPr>
      <xdr:spPr>
        <a:xfrm>
          <a:off x="11232171" y="0"/>
          <a:ext cx="1971675" cy="65094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000" b="1">
              <a:latin typeface="Tw Cen MT" panose="020B0602020104020603" pitchFamily="34" charset="0"/>
              <a:cs typeface="Times New Roman" panose="02020603050405020304" pitchFamily="18" charset="0"/>
            </a:rPr>
            <a:t>2. </a:t>
          </a:r>
          <a:r>
            <a:rPr lang="en-US" sz="1000">
              <a:latin typeface="Tw Cen MT" panose="020B0602020104020603" pitchFamily="34" charset="0"/>
              <a:cs typeface="Times New Roman" panose="02020603050405020304" pitchFamily="18" charset="0"/>
            </a:rPr>
            <a:t>Ketik angka pada kolom Bangun Pagi</a:t>
          </a:r>
          <a:r>
            <a:rPr lang="en-US" sz="1000" baseline="0">
              <a:latin typeface="Tw Cen MT" panose="020B0602020104020603" pitchFamily="34" charset="0"/>
              <a:cs typeface="Times New Roman" panose="02020603050405020304" pitchFamily="18" charset="0"/>
            </a:rPr>
            <a:t> hingga Tidur Cepat dari Catatan Harian Siswa untuk masing-masing siswa</a:t>
          </a:r>
          <a:endParaRPr lang="en-ID" sz="1000">
            <a:latin typeface="Tw Cen MT" panose="020B0602020104020603" pitchFamily="34" charset="0"/>
            <a:cs typeface="Times New Roman" panose="02020603050405020304" pitchFamily="18" charset="0"/>
          </a:endParaRP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81790</xdr:colOff>
      <xdr:row>0</xdr:row>
      <xdr:rowOff>50247</xdr:rowOff>
    </xdr:from>
    <xdr:to>
      <xdr:col>0</xdr:col>
      <xdr:colOff>593620</xdr:colOff>
      <xdr:row>2</xdr:row>
      <xdr:rowOff>154407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C68E03-D10D-46BF-8C6D-5EAB561CCC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790" y="50247"/>
          <a:ext cx="508020" cy="5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81790</xdr:colOff>
      <xdr:row>3</xdr:row>
      <xdr:rowOff>52456</xdr:rowOff>
    </xdr:from>
    <xdr:to>
      <xdr:col>0</xdr:col>
      <xdr:colOff>593620</xdr:colOff>
      <xdr:row>5</xdr:row>
      <xdr:rowOff>155131</xdr:rowOff>
    </xdr:to>
    <xdr:pic macro="[0]!tanyaPengisian">
      <xdr:nvPicPr>
        <xdr:cNvPr id="3" name="Picture 2">
          <a:extLst>
            <a:ext uri="{FF2B5EF4-FFF2-40B4-BE49-F238E27FC236}">
              <a16:creationId xmlns:a16="http://schemas.microsoft.com/office/drawing/2014/main" id="{B595EBC4-D578-4661-80BC-B1F8270E7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790" y="646816"/>
          <a:ext cx="508020" cy="498915"/>
        </a:xfrm>
        <a:prstGeom prst="rect">
          <a:avLst/>
        </a:prstGeom>
      </xdr:spPr>
    </xdr:pic>
    <xdr:clientData/>
  </xdr:twoCellAnchor>
  <xdr:oneCellAnchor>
    <xdr:from>
      <xdr:col>8</xdr:col>
      <xdr:colOff>0</xdr:colOff>
      <xdr:row>0</xdr:row>
      <xdr:rowOff>0</xdr:rowOff>
    </xdr:from>
    <xdr:ext cx="1940902" cy="65094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AE962910-2D72-45EC-BE31-55FD8CCFA628}"/>
            </a:ext>
          </a:extLst>
        </xdr:cNvPr>
        <xdr:cNvSpPr txBox="1"/>
      </xdr:nvSpPr>
      <xdr:spPr>
        <a:xfrm>
          <a:off x="9191625" y="0"/>
          <a:ext cx="1940902" cy="65094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000" b="1">
              <a:latin typeface="Tw Cen MT" panose="020B0602020104020603" pitchFamily="34" charset="0"/>
              <a:cs typeface="Times New Roman" panose="02020603050405020304" pitchFamily="18" charset="0"/>
            </a:rPr>
            <a:t>1.</a:t>
          </a:r>
          <a:r>
            <a:rPr lang="en-US" sz="1000">
              <a:latin typeface="Tw Cen MT" panose="020B0602020104020603" pitchFamily="34" charset="0"/>
              <a:cs typeface="Times New Roman" panose="02020603050405020304" pitchFamily="18" charset="0"/>
            </a:rPr>
            <a:t> Klik kiri pilih Status Siswa pada masing-masing siswa </a:t>
          </a:r>
          <a:r>
            <a:rPr lang="en-US" sz="1000" baseline="0">
              <a:latin typeface="Tw Cen MT" panose="020B0602020104020603" pitchFamily="34" charset="0"/>
              <a:cs typeface="Times New Roman" panose="02020603050405020304" pitchFamily="18" charset="0"/>
            </a:rPr>
            <a:t>dan klik kiri pada panah kebawah untuk pilih Status Siswa.</a:t>
          </a:r>
          <a:endParaRPr lang="en-ID" sz="1000">
            <a:latin typeface="Tw Cen MT" panose="020B0602020104020603" pitchFamily="34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9</xdr:col>
      <xdr:colOff>440346</xdr:colOff>
      <xdr:row>0</xdr:row>
      <xdr:rowOff>0</xdr:rowOff>
    </xdr:from>
    <xdr:ext cx="1971675" cy="65094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EB9D0EBE-58CB-4DE9-BB3F-8392D26DC602}"/>
            </a:ext>
          </a:extLst>
        </xdr:cNvPr>
        <xdr:cNvSpPr txBox="1"/>
      </xdr:nvSpPr>
      <xdr:spPr>
        <a:xfrm>
          <a:off x="11232171" y="0"/>
          <a:ext cx="1971675" cy="65094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000" b="1">
              <a:latin typeface="Tw Cen MT" panose="020B0602020104020603" pitchFamily="34" charset="0"/>
              <a:cs typeface="Times New Roman" panose="02020603050405020304" pitchFamily="18" charset="0"/>
            </a:rPr>
            <a:t>2. </a:t>
          </a:r>
          <a:r>
            <a:rPr lang="en-US" sz="1000">
              <a:latin typeface="Tw Cen MT" panose="020B0602020104020603" pitchFamily="34" charset="0"/>
              <a:cs typeface="Times New Roman" panose="02020603050405020304" pitchFamily="18" charset="0"/>
            </a:rPr>
            <a:t>Ketik angka pada kolom Bangun Pagi</a:t>
          </a:r>
          <a:r>
            <a:rPr lang="en-US" sz="1000" baseline="0">
              <a:latin typeface="Tw Cen MT" panose="020B0602020104020603" pitchFamily="34" charset="0"/>
              <a:cs typeface="Times New Roman" panose="02020603050405020304" pitchFamily="18" charset="0"/>
            </a:rPr>
            <a:t> hingga Tidur Cepat dari Catatan Harian Siswa untuk masing-masing siswa</a:t>
          </a:r>
          <a:endParaRPr lang="en-ID" sz="1000">
            <a:latin typeface="Tw Cen MT" panose="020B0602020104020603" pitchFamily="34" charset="0"/>
            <a:cs typeface="Times New Roman" panose="02020603050405020304" pitchFamily="18" charset="0"/>
          </a:endParaRP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81790</xdr:colOff>
      <xdr:row>0</xdr:row>
      <xdr:rowOff>50247</xdr:rowOff>
    </xdr:from>
    <xdr:to>
      <xdr:col>0</xdr:col>
      <xdr:colOff>593620</xdr:colOff>
      <xdr:row>2</xdr:row>
      <xdr:rowOff>154407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090549E-D002-4EF1-99F8-F4FBCFA18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790" y="50247"/>
          <a:ext cx="508020" cy="5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81790</xdr:colOff>
      <xdr:row>3</xdr:row>
      <xdr:rowOff>52456</xdr:rowOff>
    </xdr:from>
    <xdr:to>
      <xdr:col>0</xdr:col>
      <xdr:colOff>593620</xdr:colOff>
      <xdr:row>5</xdr:row>
      <xdr:rowOff>155131</xdr:rowOff>
    </xdr:to>
    <xdr:pic macro="[0]!tanyaPengisian">
      <xdr:nvPicPr>
        <xdr:cNvPr id="3" name="Picture 2">
          <a:extLst>
            <a:ext uri="{FF2B5EF4-FFF2-40B4-BE49-F238E27FC236}">
              <a16:creationId xmlns:a16="http://schemas.microsoft.com/office/drawing/2014/main" id="{9283BCA1-A288-499B-B046-45049BF3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790" y="646816"/>
          <a:ext cx="508020" cy="498915"/>
        </a:xfrm>
        <a:prstGeom prst="rect">
          <a:avLst/>
        </a:prstGeom>
      </xdr:spPr>
    </xdr:pic>
    <xdr:clientData/>
  </xdr:twoCellAnchor>
  <xdr:oneCellAnchor>
    <xdr:from>
      <xdr:col>8</xdr:col>
      <xdr:colOff>0</xdr:colOff>
      <xdr:row>0</xdr:row>
      <xdr:rowOff>0</xdr:rowOff>
    </xdr:from>
    <xdr:ext cx="1940902" cy="65094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8E43DE1-E009-453D-9E73-A88906B190F9}"/>
            </a:ext>
          </a:extLst>
        </xdr:cNvPr>
        <xdr:cNvSpPr txBox="1"/>
      </xdr:nvSpPr>
      <xdr:spPr>
        <a:xfrm>
          <a:off x="9191625" y="0"/>
          <a:ext cx="1940902" cy="65094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000" b="1">
              <a:latin typeface="Tw Cen MT" panose="020B0602020104020603" pitchFamily="34" charset="0"/>
              <a:cs typeface="Times New Roman" panose="02020603050405020304" pitchFamily="18" charset="0"/>
            </a:rPr>
            <a:t>1.</a:t>
          </a:r>
          <a:r>
            <a:rPr lang="en-US" sz="1000">
              <a:latin typeface="Tw Cen MT" panose="020B0602020104020603" pitchFamily="34" charset="0"/>
              <a:cs typeface="Times New Roman" panose="02020603050405020304" pitchFamily="18" charset="0"/>
            </a:rPr>
            <a:t> Klik kiri pilih Status Siswa pada masing-masing siswa </a:t>
          </a:r>
          <a:r>
            <a:rPr lang="en-US" sz="1000" baseline="0">
              <a:latin typeface="Tw Cen MT" panose="020B0602020104020603" pitchFamily="34" charset="0"/>
              <a:cs typeface="Times New Roman" panose="02020603050405020304" pitchFamily="18" charset="0"/>
            </a:rPr>
            <a:t>dan klik kiri pada panah kebawah untuk pilih Status Siswa.</a:t>
          </a:r>
          <a:endParaRPr lang="en-ID" sz="1000">
            <a:latin typeface="Tw Cen MT" panose="020B0602020104020603" pitchFamily="34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9</xdr:col>
      <xdr:colOff>440346</xdr:colOff>
      <xdr:row>0</xdr:row>
      <xdr:rowOff>0</xdr:rowOff>
    </xdr:from>
    <xdr:ext cx="1971675" cy="65094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CB5A162-ED23-4074-97F9-50C2CAD15C2F}"/>
            </a:ext>
          </a:extLst>
        </xdr:cNvPr>
        <xdr:cNvSpPr txBox="1"/>
      </xdr:nvSpPr>
      <xdr:spPr>
        <a:xfrm>
          <a:off x="11232171" y="0"/>
          <a:ext cx="1971675" cy="65094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000" b="1">
              <a:latin typeface="Tw Cen MT" panose="020B0602020104020603" pitchFamily="34" charset="0"/>
              <a:cs typeface="Times New Roman" panose="02020603050405020304" pitchFamily="18" charset="0"/>
            </a:rPr>
            <a:t>2. </a:t>
          </a:r>
          <a:r>
            <a:rPr lang="en-US" sz="1000">
              <a:latin typeface="Tw Cen MT" panose="020B0602020104020603" pitchFamily="34" charset="0"/>
              <a:cs typeface="Times New Roman" panose="02020603050405020304" pitchFamily="18" charset="0"/>
            </a:rPr>
            <a:t>Ketik angka pada kolom Bangun Pagi</a:t>
          </a:r>
          <a:r>
            <a:rPr lang="en-US" sz="1000" baseline="0">
              <a:latin typeface="Tw Cen MT" panose="020B0602020104020603" pitchFamily="34" charset="0"/>
              <a:cs typeface="Times New Roman" panose="02020603050405020304" pitchFamily="18" charset="0"/>
            </a:rPr>
            <a:t> hingga Tidur Cepat dari Catatan Harian Siswa untuk masing-masing siswa</a:t>
          </a:r>
          <a:endParaRPr lang="en-ID" sz="1000">
            <a:latin typeface="Tw Cen MT" panose="020B0602020104020603" pitchFamily="34" charset="0"/>
            <a:cs typeface="Times New Roman" panose="02020603050405020304" pitchFamily="18" charset="0"/>
          </a:endParaRPr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81790</xdr:colOff>
      <xdr:row>0</xdr:row>
      <xdr:rowOff>50247</xdr:rowOff>
    </xdr:from>
    <xdr:to>
      <xdr:col>0</xdr:col>
      <xdr:colOff>593620</xdr:colOff>
      <xdr:row>2</xdr:row>
      <xdr:rowOff>154407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56A30CF-1439-4B2D-91A6-BFC2FFC422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790" y="50247"/>
          <a:ext cx="508020" cy="5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81790</xdr:colOff>
      <xdr:row>3</xdr:row>
      <xdr:rowOff>52456</xdr:rowOff>
    </xdr:from>
    <xdr:to>
      <xdr:col>0</xdr:col>
      <xdr:colOff>593620</xdr:colOff>
      <xdr:row>5</xdr:row>
      <xdr:rowOff>155131</xdr:rowOff>
    </xdr:to>
    <xdr:pic macro="[0]!tanyaPengisian">
      <xdr:nvPicPr>
        <xdr:cNvPr id="3" name="Picture 2">
          <a:extLst>
            <a:ext uri="{FF2B5EF4-FFF2-40B4-BE49-F238E27FC236}">
              <a16:creationId xmlns:a16="http://schemas.microsoft.com/office/drawing/2014/main" id="{8F7AEF13-A6A5-4520-A2DB-0C011F61B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790" y="646816"/>
          <a:ext cx="508020" cy="498915"/>
        </a:xfrm>
        <a:prstGeom prst="rect">
          <a:avLst/>
        </a:prstGeom>
      </xdr:spPr>
    </xdr:pic>
    <xdr:clientData/>
  </xdr:twoCellAnchor>
  <xdr:oneCellAnchor>
    <xdr:from>
      <xdr:col>8</xdr:col>
      <xdr:colOff>0</xdr:colOff>
      <xdr:row>0</xdr:row>
      <xdr:rowOff>0</xdr:rowOff>
    </xdr:from>
    <xdr:ext cx="1940902" cy="65094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ED0FD854-1F90-42C6-9BFC-06EF48804BF4}"/>
            </a:ext>
          </a:extLst>
        </xdr:cNvPr>
        <xdr:cNvSpPr txBox="1"/>
      </xdr:nvSpPr>
      <xdr:spPr>
        <a:xfrm>
          <a:off x="9191625" y="0"/>
          <a:ext cx="1940902" cy="65094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000" b="1">
              <a:latin typeface="Tw Cen MT" panose="020B0602020104020603" pitchFamily="34" charset="0"/>
              <a:cs typeface="Times New Roman" panose="02020603050405020304" pitchFamily="18" charset="0"/>
            </a:rPr>
            <a:t>1.</a:t>
          </a:r>
          <a:r>
            <a:rPr lang="en-US" sz="1000">
              <a:latin typeface="Tw Cen MT" panose="020B0602020104020603" pitchFamily="34" charset="0"/>
              <a:cs typeface="Times New Roman" panose="02020603050405020304" pitchFamily="18" charset="0"/>
            </a:rPr>
            <a:t> Klik kiri pilih Status Siswa pada masing-masing siswa </a:t>
          </a:r>
          <a:r>
            <a:rPr lang="en-US" sz="1000" baseline="0">
              <a:latin typeface="Tw Cen MT" panose="020B0602020104020603" pitchFamily="34" charset="0"/>
              <a:cs typeface="Times New Roman" panose="02020603050405020304" pitchFamily="18" charset="0"/>
            </a:rPr>
            <a:t>dan klik kiri pada panah kebawah untuk pilih Status Siswa.</a:t>
          </a:r>
          <a:endParaRPr lang="en-ID" sz="1000">
            <a:latin typeface="Tw Cen MT" panose="020B0602020104020603" pitchFamily="34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9</xdr:col>
      <xdr:colOff>440346</xdr:colOff>
      <xdr:row>0</xdr:row>
      <xdr:rowOff>0</xdr:rowOff>
    </xdr:from>
    <xdr:ext cx="1971675" cy="65094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E6707819-9467-41E9-941F-5954F288F5A2}"/>
            </a:ext>
          </a:extLst>
        </xdr:cNvPr>
        <xdr:cNvSpPr txBox="1"/>
      </xdr:nvSpPr>
      <xdr:spPr>
        <a:xfrm>
          <a:off x="11232171" y="0"/>
          <a:ext cx="1971675" cy="65094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000" b="1">
              <a:latin typeface="Tw Cen MT" panose="020B0602020104020603" pitchFamily="34" charset="0"/>
              <a:cs typeface="Times New Roman" panose="02020603050405020304" pitchFamily="18" charset="0"/>
            </a:rPr>
            <a:t>2. </a:t>
          </a:r>
          <a:r>
            <a:rPr lang="en-US" sz="1000">
              <a:latin typeface="Tw Cen MT" panose="020B0602020104020603" pitchFamily="34" charset="0"/>
              <a:cs typeface="Times New Roman" panose="02020603050405020304" pitchFamily="18" charset="0"/>
            </a:rPr>
            <a:t>Ketik angka pada kolom Bangun Pagi</a:t>
          </a:r>
          <a:r>
            <a:rPr lang="en-US" sz="1000" baseline="0">
              <a:latin typeface="Tw Cen MT" panose="020B0602020104020603" pitchFamily="34" charset="0"/>
              <a:cs typeface="Times New Roman" panose="02020603050405020304" pitchFamily="18" charset="0"/>
            </a:rPr>
            <a:t> hingga Tidur Cepat dari Catatan Harian Siswa untuk masing-masing siswa</a:t>
          </a:r>
          <a:endParaRPr lang="en-ID" sz="1000">
            <a:latin typeface="Tw Cen MT" panose="020B0602020104020603" pitchFamily="34" charset="0"/>
            <a:cs typeface="Times New Roman" panose="02020603050405020304" pitchFamily="18" charset="0"/>
          </a:endParaRPr>
        </a:p>
      </xdr:txBody>
    </xdr:sp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81790</xdr:colOff>
      <xdr:row>0</xdr:row>
      <xdr:rowOff>50247</xdr:rowOff>
    </xdr:from>
    <xdr:to>
      <xdr:col>0</xdr:col>
      <xdr:colOff>589810</xdr:colOff>
      <xdr:row>2</xdr:row>
      <xdr:rowOff>154407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F79F28-7F4B-430E-AA56-622C1776D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790" y="50247"/>
          <a:ext cx="508020" cy="5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81790</xdr:colOff>
      <xdr:row>3</xdr:row>
      <xdr:rowOff>52456</xdr:rowOff>
    </xdr:from>
    <xdr:to>
      <xdr:col>0</xdr:col>
      <xdr:colOff>589810</xdr:colOff>
      <xdr:row>5</xdr:row>
      <xdr:rowOff>155131</xdr:rowOff>
    </xdr:to>
    <xdr:pic macro="[0]!tanyaPengisian">
      <xdr:nvPicPr>
        <xdr:cNvPr id="3" name="Picture 2">
          <a:extLst>
            <a:ext uri="{FF2B5EF4-FFF2-40B4-BE49-F238E27FC236}">
              <a16:creationId xmlns:a16="http://schemas.microsoft.com/office/drawing/2014/main" id="{9D558CAE-C063-4970-956A-1C8ECDCBD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790" y="646816"/>
          <a:ext cx="508020" cy="498915"/>
        </a:xfrm>
        <a:prstGeom prst="rect">
          <a:avLst/>
        </a:prstGeom>
      </xdr:spPr>
    </xdr:pic>
    <xdr:clientData/>
  </xdr:twoCellAnchor>
  <xdr:oneCellAnchor>
    <xdr:from>
      <xdr:col>8</xdr:col>
      <xdr:colOff>0</xdr:colOff>
      <xdr:row>0</xdr:row>
      <xdr:rowOff>0</xdr:rowOff>
    </xdr:from>
    <xdr:ext cx="1940902" cy="65094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83BF668B-DB51-4FF1-A52E-F19ABB433378}"/>
            </a:ext>
          </a:extLst>
        </xdr:cNvPr>
        <xdr:cNvSpPr txBox="1"/>
      </xdr:nvSpPr>
      <xdr:spPr>
        <a:xfrm>
          <a:off x="9191625" y="0"/>
          <a:ext cx="1940902" cy="65094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000" b="1">
              <a:latin typeface="Tw Cen MT" panose="020B0602020104020603" pitchFamily="34" charset="0"/>
              <a:cs typeface="Times New Roman" panose="02020603050405020304" pitchFamily="18" charset="0"/>
            </a:rPr>
            <a:t>1.</a:t>
          </a:r>
          <a:r>
            <a:rPr lang="en-US" sz="1000">
              <a:latin typeface="Tw Cen MT" panose="020B0602020104020603" pitchFamily="34" charset="0"/>
              <a:cs typeface="Times New Roman" panose="02020603050405020304" pitchFamily="18" charset="0"/>
            </a:rPr>
            <a:t> Klik kiri pilih Status Siswa pada masing-masing siswa </a:t>
          </a:r>
          <a:r>
            <a:rPr lang="en-US" sz="1000" baseline="0">
              <a:latin typeface="Tw Cen MT" panose="020B0602020104020603" pitchFamily="34" charset="0"/>
              <a:cs typeface="Times New Roman" panose="02020603050405020304" pitchFamily="18" charset="0"/>
            </a:rPr>
            <a:t>dan klik kiri pada panah kebawah untuk pilih Status Siswa.</a:t>
          </a:r>
          <a:endParaRPr lang="en-ID" sz="1000">
            <a:latin typeface="Tw Cen MT" panose="020B0602020104020603" pitchFamily="34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9</xdr:col>
      <xdr:colOff>440346</xdr:colOff>
      <xdr:row>0</xdr:row>
      <xdr:rowOff>0</xdr:rowOff>
    </xdr:from>
    <xdr:ext cx="1971675" cy="65094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785797B8-D3E9-4D04-B8ED-B7ACC4E6D932}"/>
            </a:ext>
          </a:extLst>
        </xdr:cNvPr>
        <xdr:cNvSpPr txBox="1"/>
      </xdr:nvSpPr>
      <xdr:spPr>
        <a:xfrm>
          <a:off x="11232171" y="0"/>
          <a:ext cx="1971675" cy="65094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000" b="1">
              <a:latin typeface="Tw Cen MT" panose="020B0602020104020603" pitchFamily="34" charset="0"/>
              <a:cs typeface="Times New Roman" panose="02020603050405020304" pitchFamily="18" charset="0"/>
            </a:rPr>
            <a:t>2. </a:t>
          </a:r>
          <a:r>
            <a:rPr lang="en-US" sz="1000">
              <a:latin typeface="Tw Cen MT" panose="020B0602020104020603" pitchFamily="34" charset="0"/>
              <a:cs typeface="Times New Roman" panose="02020603050405020304" pitchFamily="18" charset="0"/>
            </a:rPr>
            <a:t>Ketik angka pada kolom Bangun Pagi</a:t>
          </a:r>
          <a:r>
            <a:rPr lang="en-US" sz="1000" baseline="0">
              <a:latin typeface="Tw Cen MT" panose="020B0602020104020603" pitchFamily="34" charset="0"/>
              <a:cs typeface="Times New Roman" panose="02020603050405020304" pitchFamily="18" charset="0"/>
            </a:rPr>
            <a:t> hingga Tidur Cepat dari Catatan Harian Siswa untuk masing-masing siswa</a:t>
          </a:r>
          <a:endParaRPr lang="en-ID" sz="1000">
            <a:latin typeface="Tw Cen MT" panose="020B0602020104020603" pitchFamily="34" charset="0"/>
            <a:cs typeface="Times New Roman" panose="02020603050405020304" pitchFamily="18" charset="0"/>
          </a:endParaRPr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81790</xdr:colOff>
      <xdr:row>0</xdr:row>
      <xdr:rowOff>50247</xdr:rowOff>
    </xdr:from>
    <xdr:to>
      <xdr:col>0</xdr:col>
      <xdr:colOff>593620</xdr:colOff>
      <xdr:row>2</xdr:row>
      <xdr:rowOff>154407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BE8670B-CDD1-45C2-9CB4-9169174DC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790" y="50247"/>
          <a:ext cx="508020" cy="5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81790</xdr:colOff>
      <xdr:row>3</xdr:row>
      <xdr:rowOff>52456</xdr:rowOff>
    </xdr:from>
    <xdr:to>
      <xdr:col>0</xdr:col>
      <xdr:colOff>593620</xdr:colOff>
      <xdr:row>5</xdr:row>
      <xdr:rowOff>155131</xdr:rowOff>
    </xdr:to>
    <xdr:pic macro="[0]!tanyaPengisian">
      <xdr:nvPicPr>
        <xdr:cNvPr id="3" name="Picture 2">
          <a:extLst>
            <a:ext uri="{FF2B5EF4-FFF2-40B4-BE49-F238E27FC236}">
              <a16:creationId xmlns:a16="http://schemas.microsoft.com/office/drawing/2014/main" id="{953656A0-1136-4B44-A6F8-8E61D5828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790" y="646816"/>
          <a:ext cx="508020" cy="498915"/>
        </a:xfrm>
        <a:prstGeom prst="rect">
          <a:avLst/>
        </a:prstGeom>
      </xdr:spPr>
    </xdr:pic>
    <xdr:clientData/>
  </xdr:twoCellAnchor>
  <xdr:oneCellAnchor>
    <xdr:from>
      <xdr:col>8</xdr:col>
      <xdr:colOff>0</xdr:colOff>
      <xdr:row>0</xdr:row>
      <xdr:rowOff>0</xdr:rowOff>
    </xdr:from>
    <xdr:ext cx="1940902" cy="65094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67FCA15-BCBF-4A03-8A4F-F5D8C5FD88AC}"/>
            </a:ext>
          </a:extLst>
        </xdr:cNvPr>
        <xdr:cNvSpPr txBox="1"/>
      </xdr:nvSpPr>
      <xdr:spPr>
        <a:xfrm>
          <a:off x="9191625" y="0"/>
          <a:ext cx="1940902" cy="65094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000" b="1">
              <a:latin typeface="Tw Cen MT" panose="020B0602020104020603" pitchFamily="34" charset="0"/>
              <a:cs typeface="Times New Roman" panose="02020603050405020304" pitchFamily="18" charset="0"/>
            </a:rPr>
            <a:t>1.</a:t>
          </a:r>
          <a:r>
            <a:rPr lang="en-US" sz="1000">
              <a:latin typeface="Tw Cen MT" panose="020B0602020104020603" pitchFamily="34" charset="0"/>
              <a:cs typeface="Times New Roman" panose="02020603050405020304" pitchFamily="18" charset="0"/>
            </a:rPr>
            <a:t> Klik kiri pilih Status Siswa pada masing-masing siswa </a:t>
          </a:r>
          <a:r>
            <a:rPr lang="en-US" sz="1000" baseline="0">
              <a:latin typeface="Tw Cen MT" panose="020B0602020104020603" pitchFamily="34" charset="0"/>
              <a:cs typeface="Times New Roman" panose="02020603050405020304" pitchFamily="18" charset="0"/>
            </a:rPr>
            <a:t>dan klik kiri pada panah kebawah untuk pilih Status Siswa.</a:t>
          </a:r>
          <a:endParaRPr lang="en-ID" sz="1000">
            <a:latin typeface="Tw Cen MT" panose="020B0602020104020603" pitchFamily="34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9</xdr:col>
      <xdr:colOff>440346</xdr:colOff>
      <xdr:row>0</xdr:row>
      <xdr:rowOff>0</xdr:rowOff>
    </xdr:from>
    <xdr:ext cx="1971675" cy="65094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710BB4B2-E13B-4700-B1FB-6EBB845B49DD}"/>
            </a:ext>
          </a:extLst>
        </xdr:cNvPr>
        <xdr:cNvSpPr txBox="1"/>
      </xdr:nvSpPr>
      <xdr:spPr>
        <a:xfrm>
          <a:off x="11232171" y="0"/>
          <a:ext cx="1971675" cy="65094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000" b="1">
              <a:latin typeface="Tw Cen MT" panose="020B0602020104020603" pitchFamily="34" charset="0"/>
              <a:cs typeface="Times New Roman" panose="02020603050405020304" pitchFamily="18" charset="0"/>
            </a:rPr>
            <a:t>2. </a:t>
          </a:r>
          <a:r>
            <a:rPr lang="en-US" sz="1000">
              <a:latin typeface="Tw Cen MT" panose="020B0602020104020603" pitchFamily="34" charset="0"/>
              <a:cs typeface="Times New Roman" panose="02020603050405020304" pitchFamily="18" charset="0"/>
            </a:rPr>
            <a:t>Ketik angka pada kolom Bangun Pagi</a:t>
          </a:r>
          <a:r>
            <a:rPr lang="en-US" sz="1000" baseline="0">
              <a:latin typeface="Tw Cen MT" panose="020B0602020104020603" pitchFamily="34" charset="0"/>
              <a:cs typeface="Times New Roman" panose="02020603050405020304" pitchFamily="18" charset="0"/>
            </a:rPr>
            <a:t> hingga Tidur Cepat dari Catatan Harian Siswa untuk masing-masing siswa</a:t>
          </a:r>
          <a:endParaRPr lang="en-ID" sz="1000">
            <a:latin typeface="Tw Cen MT" panose="020B0602020104020603" pitchFamily="34" charset="0"/>
            <a:cs typeface="Times New Roman" panose="02020603050405020304" pitchFamily="18" charset="0"/>
          </a:endParaRPr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81790</xdr:colOff>
      <xdr:row>0</xdr:row>
      <xdr:rowOff>50247</xdr:rowOff>
    </xdr:from>
    <xdr:to>
      <xdr:col>0</xdr:col>
      <xdr:colOff>589810</xdr:colOff>
      <xdr:row>2</xdr:row>
      <xdr:rowOff>154407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8BD97B-7DA2-4245-8C27-CAF1F1523E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790" y="50247"/>
          <a:ext cx="508020" cy="5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81790</xdr:colOff>
      <xdr:row>3</xdr:row>
      <xdr:rowOff>52456</xdr:rowOff>
    </xdr:from>
    <xdr:to>
      <xdr:col>0</xdr:col>
      <xdr:colOff>589810</xdr:colOff>
      <xdr:row>5</xdr:row>
      <xdr:rowOff>155131</xdr:rowOff>
    </xdr:to>
    <xdr:pic macro="[0]!tanyaPengisian">
      <xdr:nvPicPr>
        <xdr:cNvPr id="3" name="Picture 2">
          <a:extLst>
            <a:ext uri="{FF2B5EF4-FFF2-40B4-BE49-F238E27FC236}">
              <a16:creationId xmlns:a16="http://schemas.microsoft.com/office/drawing/2014/main" id="{85FF7E71-E73C-4F82-B3A3-ABD3118FD8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790" y="646816"/>
          <a:ext cx="508020" cy="498915"/>
        </a:xfrm>
        <a:prstGeom prst="rect">
          <a:avLst/>
        </a:prstGeom>
      </xdr:spPr>
    </xdr:pic>
    <xdr:clientData/>
  </xdr:twoCellAnchor>
  <xdr:oneCellAnchor>
    <xdr:from>
      <xdr:col>8</xdr:col>
      <xdr:colOff>0</xdr:colOff>
      <xdr:row>0</xdr:row>
      <xdr:rowOff>0</xdr:rowOff>
    </xdr:from>
    <xdr:ext cx="1940902" cy="65094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768BCDC-FFC0-4291-BB16-1805A7CC8FD6}"/>
            </a:ext>
          </a:extLst>
        </xdr:cNvPr>
        <xdr:cNvSpPr txBox="1"/>
      </xdr:nvSpPr>
      <xdr:spPr>
        <a:xfrm>
          <a:off x="9191625" y="0"/>
          <a:ext cx="1940902" cy="65094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000" b="1">
              <a:latin typeface="Tw Cen MT" panose="020B0602020104020603" pitchFamily="34" charset="0"/>
              <a:cs typeface="Times New Roman" panose="02020603050405020304" pitchFamily="18" charset="0"/>
            </a:rPr>
            <a:t>1.</a:t>
          </a:r>
          <a:r>
            <a:rPr lang="en-US" sz="1000">
              <a:latin typeface="Tw Cen MT" panose="020B0602020104020603" pitchFamily="34" charset="0"/>
              <a:cs typeface="Times New Roman" panose="02020603050405020304" pitchFamily="18" charset="0"/>
            </a:rPr>
            <a:t> Klik kiri pilih Status Siswa pada masing-masing siswa </a:t>
          </a:r>
          <a:r>
            <a:rPr lang="en-US" sz="1000" baseline="0">
              <a:latin typeface="Tw Cen MT" panose="020B0602020104020603" pitchFamily="34" charset="0"/>
              <a:cs typeface="Times New Roman" panose="02020603050405020304" pitchFamily="18" charset="0"/>
            </a:rPr>
            <a:t>dan klik kiri pada panah kebawah untuk pilih Status Siswa.</a:t>
          </a:r>
          <a:endParaRPr lang="en-ID" sz="1000">
            <a:latin typeface="Tw Cen MT" panose="020B0602020104020603" pitchFamily="34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9</xdr:col>
      <xdr:colOff>440346</xdr:colOff>
      <xdr:row>0</xdr:row>
      <xdr:rowOff>0</xdr:rowOff>
    </xdr:from>
    <xdr:ext cx="1971675" cy="65094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E45294A1-2DF1-4BDA-8918-B085DADC75DE}"/>
            </a:ext>
          </a:extLst>
        </xdr:cNvPr>
        <xdr:cNvSpPr txBox="1"/>
      </xdr:nvSpPr>
      <xdr:spPr>
        <a:xfrm>
          <a:off x="11232171" y="0"/>
          <a:ext cx="1971675" cy="65094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000" b="1">
              <a:latin typeface="Tw Cen MT" panose="020B0602020104020603" pitchFamily="34" charset="0"/>
              <a:cs typeface="Times New Roman" panose="02020603050405020304" pitchFamily="18" charset="0"/>
            </a:rPr>
            <a:t>2. </a:t>
          </a:r>
          <a:r>
            <a:rPr lang="en-US" sz="1000">
              <a:latin typeface="Tw Cen MT" panose="020B0602020104020603" pitchFamily="34" charset="0"/>
              <a:cs typeface="Times New Roman" panose="02020603050405020304" pitchFamily="18" charset="0"/>
            </a:rPr>
            <a:t>Ketik angka pada kolom Bangun Pagi</a:t>
          </a:r>
          <a:r>
            <a:rPr lang="en-US" sz="1000" baseline="0">
              <a:latin typeface="Tw Cen MT" panose="020B0602020104020603" pitchFamily="34" charset="0"/>
              <a:cs typeface="Times New Roman" panose="02020603050405020304" pitchFamily="18" charset="0"/>
            </a:rPr>
            <a:t> hingga Tidur Cepat dari Catatan Harian Siswa untuk masing-masing siswa</a:t>
          </a:r>
          <a:endParaRPr lang="en-ID" sz="1000">
            <a:latin typeface="Tw Cen MT" panose="020B0602020104020603" pitchFamily="34" charset="0"/>
            <a:cs typeface="Times New Roman" panose="02020603050405020304" pitchFamily="18" charset="0"/>
          </a:endParaRPr>
        </a:p>
      </xdr:txBody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81790</xdr:colOff>
      <xdr:row>0</xdr:row>
      <xdr:rowOff>50247</xdr:rowOff>
    </xdr:from>
    <xdr:to>
      <xdr:col>0</xdr:col>
      <xdr:colOff>589810</xdr:colOff>
      <xdr:row>2</xdr:row>
      <xdr:rowOff>154407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AF3F5B5-7EA9-44C0-BA56-FDD12EBACF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790" y="50247"/>
          <a:ext cx="508020" cy="5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81790</xdr:colOff>
      <xdr:row>3</xdr:row>
      <xdr:rowOff>52456</xdr:rowOff>
    </xdr:from>
    <xdr:to>
      <xdr:col>0</xdr:col>
      <xdr:colOff>589810</xdr:colOff>
      <xdr:row>5</xdr:row>
      <xdr:rowOff>155131</xdr:rowOff>
    </xdr:to>
    <xdr:pic macro="[0]!tanyaPengisian">
      <xdr:nvPicPr>
        <xdr:cNvPr id="3" name="Picture 2">
          <a:extLst>
            <a:ext uri="{FF2B5EF4-FFF2-40B4-BE49-F238E27FC236}">
              <a16:creationId xmlns:a16="http://schemas.microsoft.com/office/drawing/2014/main" id="{034A5EE2-BBE2-46AA-8709-4649BBC1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790" y="646816"/>
          <a:ext cx="508020" cy="498915"/>
        </a:xfrm>
        <a:prstGeom prst="rect">
          <a:avLst/>
        </a:prstGeom>
      </xdr:spPr>
    </xdr:pic>
    <xdr:clientData/>
  </xdr:twoCellAnchor>
  <xdr:oneCellAnchor>
    <xdr:from>
      <xdr:col>8</xdr:col>
      <xdr:colOff>0</xdr:colOff>
      <xdr:row>0</xdr:row>
      <xdr:rowOff>0</xdr:rowOff>
    </xdr:from>
    <xdr:ext cx="1940902" cy="65094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10DD06B7-28BF-4728-94DE-8E479F87DAA5}"/>
            </a:ext>
          </a:extLst>
        </xdr:cNvPr>
        <xdr:cNvSpPr txBox="1"/>
      </xdr:nvSpPr>
      <xdr:spPr>
        <a:xfrm>
          <a:off x="9191625" y="0"/>
          <a:ext cx="1940902" cy="65094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000" b="1">
              <a:latin typeface="Tw Cen MT" panose="020B0602020104020603" pitchFamily="34" charset="0"/>
              <a:cs typeface="Times New Roman" panose="02020603050405020304" pitchFamily="18" charset="0"/>
            </a:rPr>
            <a:t>1.</a:t>
          </a:r>
          <a:r>
            <a:rPr lang="en-US" sz="1000">
              <a:latin typeface="Tw Cen MT" panose="020B0602020104020603" pitchFamily="34" charset="0"/>
              <a:cs typeface="Times New Roman" panose="02020603050405020304" pitchFamily="18" charset="0"/>
            </a:rPr>
            <a:t> Klik kiri pilih Status Siswa pada masing-masing siswa </a:t>
          </a:r>
          <a:r>
            <a:rPr lang="en-US" sz="1000" baseline="0">
              <a:latin typeface="Tw Cen MT" panose="020B0602020104020603" pitchFamily="34" charset="0"/>
              <a:cs typeface="Times New Roman" panose="02020603050405020304" pitchFamily="18" charset="0"/>
            </a:rPr>
            <a:t>dan klik kiri pada panah kebawah untuk pilih Status Siswa.</a:t>
          </a:r>
          <a:endParaRPr lang="en-ID" sz="1000">
            <a:latin typeface="Tw Cen MT" panose="020B0602020104020603" pitchFamily="34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9</xdr:col>
      <xdr:colOff>440346</xdr:colOff>
      <xdr:row>0</xdr:row>
      <xdr:rowOff>0</xdr:rowOff>
    </xdr:from>
    <xdr:ext cx="1971675" cy="65094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80548F04-F248-4366-8722-D382875790C1}"/>
            </a:ext>
          </a:extLst>
        </xdr:cNvPr>
        <xdr:cNvSpPr txBox="1"/>
      </xdr:nvSpPr>
      <xdr:spPr>
        <a:xfrm>
          <a:off x="11232171" y="0"/>
          <a:ext cx="1971675" cy="65094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000" b="1">
              <a:latin typeface="Tw Cen MT" panose="020B0602020104020603" pitchFamily="34" charset="0"/>
              <a:cs typeface="Times New Roman" panose="02020603050405020304" pitchFamily="18" charset="0"/>
            </a:rPr>
            <a:t>2. </a:t>
          </a:r>
          <a:r>
            <a:rPr lang="en-US" sz="1000">
              <a:latin typeface="Tw Cen MT" panose="020B0602020104020603" pitchFamily="34" charset="0"/>
              <a:cs typeface="Times New Roman" panose="02020603050405020304" pitchFamily="18" charset="0"/>
            </a:rPr>
            <a:t>Ketik angka pada kolom Bangun Pagi</a:t>
          </a:r>
          <a:r>
            <a:rPr lang="en-US" sz="1000" baseline="0">
              <a:latin typeface="Tw Cen MT" panose="020B0602020104020603" pitchFamily="34" charset="0"/>
              <a:cs typeface="Times New Roman" panose="02020603050405020304" pitchFamily="18" charset="0"/>
            </a:rPr>
            <a:t> hingga Tidur Cepat dari Catatan Harian Siswa untuk masing-masing siswa</a:t>
          </a:r>
          <a:endParaRPr lang="en-ID" sz="1000">
            <a:latin typeface="Tw Cen MT" panose="020B0602020104020603" pitchFamily="34" charset="0"/>
            <a:cs typeface="Times New Roman" panose="02020603050405020304" pitchFamily="18" charset="0"/>
          </a:endParaRPr>
        </a:p>
      </xdr:txBody>
    </xdr:sp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81790</xdr:colOff>
      <xdr:row>0</xdr:row>
      <xdr:rowOff>50247</xdr:rowOff>
    </xdr:from>
    <xdr:to>
      <xdr:col>0</xdr:col>
      <xdr:colOff>589810</xdr:colOff>
      <xdr:row>2</xdr:row>
      <xdr:rowOff>154407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FA2882-A87B-4F69-B890-DBF478FCAC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790" y="50247"/>
          <a:ext cx="508020" cy="5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81790</xdr:colOff>
      <xdr:row>3</xdr:row>
      <xdr:rowOff>52456</xdr:rowOff>
    </xdr:from>
    <xdr:to>
      <xdr:col>0</xdr:col>
      <xdr:colOff>589810</xdr:colOff>
      <xdr:row>5</xdr:row>
      <xdr:rowOff>155131</xdr:rowOff>
    </xdr:to>
    <xdr:pic macro="[0]!tanyaPengisian">
      <xdr:nvPicPr>
        <xdr:cNvPr id="3" name="Picture 2">
          <a:extLst>
            <a:ext uri="{FF2B5EF4-FFF2-40B4-BE49-F238E27FC236}">
              <a16:creationId xmlns:a16="http://schemas.microsoft.com/office/drawing/2014/main" id="{C97EFEDB-5202-4091-9744-191B7CE00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790" y="646816"/>
          <a:ext cx="508020" cy="498915"/>
        </a:xfrm>
        <a:prstGeom prst="rect">
          <a:avLst/>
        </a:prstGeom>
      </xdr:spPr>
    </xdr:pic>
    <xdr:clientData/>
  </xdr:twoCellAnchor>
  <xdr:oneCellAnchor>
    <xdr:from>
      <xdr:col>8</xdr:col>
      <xdr:colOff>0</xdr:colOff>
      <xdr:row>0</xdr:row>
      <xdr:rowOff>0</xdr:rowOff>
    </xdr:from>
    <xdr:ext cx="1940902" cy="65094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84780E9B-DC1F-451C-8E66-BBCEA1C299A1}"/>
            </a:ext>
          </a:extLst>
        </xdr:cNvPr>
        <xdr:cNvSpPr txBox="1"/>
      </xdr:nvSpPr>
      <xdr:spPr>
        <a:xfrm>
          <a:off x="9191625" y="0"/>
          <a:ext cx="1940902" cy="65094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000" b="1">
              <a:latin typeface="Tw Cen MT" panose="020B0602020104020603" pitchFamily="34" charset="0"/>
              <a:cs typeface="Times New Roman" panose="02020603050405020304" pitchFamily="18" charset="0"/>
            </a:rPr>
            <a:t>1.</a:t>
          </a:r>
          <a:r>
            <a:rPr lang="en-US" sz="1000">
              <a:latin typeface="Tw Cen MT" panose="020B0602020104020603" pitchFamily="34" charset="0"/>
              <a:cs typeface="Times New Roman" panose="02020603050405020304" pitchFamily="18" charset="0"/>
            </a:rPr>
            <a:t> Klik kiri pilih Status Siswa pada masing-masing siswa </a:t>
          </a:r>
          <a:r>
            <a:rPr lang="en-US" sz="1000" baseline="0">
              <a:latin typeface="Tw Cen MT" panose="020B0602020104020603" pitchFamily="34" charset="0"/>
              <a:cs typeface="Times New Roman" panose="02020603050405020304" pitchFamily="18" charset="0"/>
            </a:rPr>
            <a:t>dan klik kiri pada panah kebawah untuk pilih Status Siswa.</a:t>
          </a:r>
          <a:endParaRPr lang="en-ID" sz="1000">
            <a:latin typeface="Tw Cen MT" panose="020B0602020104020603" pitchFamily="34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9</xdr:col>
      <xdr:colOff>440346</xdr:colOff>
      <xdr:row>0</xdr:row>
      <xdr:rowOff>0</xdr:rowOff>
    </xdr:from>
    <xdr:ext cx="1971675" cy="65094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EBCFE3FC-94B6-4DC5-8FB6-1F278177C7CD}"/>
            </a:ext>
          </a:extLst>
        </xdr:cNvPr>
        <xdr:cNvSpPr txBox="1"/>
      </xdr:nvSpPr>
      <xdr:spPr>
        <a:xfrm>
          <a:off x="11232171" y="0"/>
          <a:ext cx="1971675" cy="65094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000" b="1">
              <a:latin typeface="Tw Cen MT" panose="020B0602020104020603" pitchFamily="34" charset="0"/>
              <a:cs typeface="Times New Roman" panose="02020603050405020304" pitchFamily="18" charset="0"/>
            </a:rPr>
            <a:t>2. </a:t>
          </a:r>
          <a:r>
            <a:rPr lang="en-US" sz="1000">
              <a:latin typeface="Tw Cen MT" panose="020B0602020104020603" pitchFamily="34" charset="0"/>
              <a:cs typeface="Times New Roman" panose="02020603050405020304" pitchFamily="18" charset="0"/>
            </a:rPr>
            <a:t>Ketik angka pada kolom Bangun Pagi</a:t>
          </a:r>
          <a:r>
            <a:rPr lang="en-US" sz="1000" baseline="0">
              <a:latin typeface="Tw Cen MT" panose="020B0602020104020603" pitchFamily="34" charset="0"/>
              <a:cs typeface="Times New Roman" panose="02020603050405020304" pitchFamily="18" charset="0"/>
            </a:rPr>
            <a:t> hingga Tidur Cepat dari Catatan Harian Siswa untuk masing-masing siswa</a:t>
          </a:r>
          <a:endParaRPr lang="en-ID" sz="1000">
            <a:latin typeface="Tw Cen MT" panose="020B0602020104020603" pitchFamily="34" charset="0"/>
            <a:cs typeface="Times New Roman" panose="02020603050405020304" pitchFamily="18" charset="0"/>
          </a:endParaRPr>
        </a:p>
      </xdr:txBody>
    </xdr:sp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81790</xdr:colOff>
      <xdr:row>0</xdr:row>
      <xdr:rowOff>50247</xdr:rowOff>
    </xdr:from>
    <xdr:to>
      <xdr:col>0</xdr:col>
      <xdr:colOff>589810</xdr:colOff>
      <xdr:row>2</xdr:row>
      <xdr:rowOff>154407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757D4B-13F3-4FA7-8A66-A0C86A486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790" y="50247"/>
          <a:ext cx="508020" cy="5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81790</xdr:colOff>
      <xdr:row>3</xdr:row>
      <xdr:rowOff>52456</xdr:rowOff>
    </xdr:from>
    <xdr:to>
      <xdr:col>0</xdr:col>
      <xdr:colOff>589810</xdr:colOff>
      <xdr:row>5</xdr:row>
      <xdr:rowOff>155131</xdr:rowOff>
    </xdr:to>
    <xdr:pic macro="[0]!tanyaPengisian">
      <xdr:nvPicPr>
        <xdr:cNvPr id="3" name="Picture 2">
          <a:extLst>
            <a:ext uri="{FF2B5EF4-FFF2-40B4-BE49-F238E27FC236}">
              <a16:creationId xmlns:a16="http://schemas.microsoft.com/office/drawing/2014/main" id="{B45DDC35-24EE-4847-B431-08F36ACD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790" y="646816"/>
          <a:ext cx="508020" cy="498915"/>
        </a:xfrm>
        <a:prstGeom prst="rect">
          <a:avLst/>
        </a:prstGeom>
      </xdr:spPr>
    </xdr:pic>
    <xdr:clientData/>
  </xdr:twoCellAnchor>
  <xdr:oneCellAnchor>
    <xdr:from>
      <xdr:col>8</xdr:col>
      <xdr:colOff>0</xdr:colOff>
      <xdr:row>0</xdr:row>
      <xdr:rowOff>0</xdr:rowOff>
    </xdr:from>
    <xdr:ext cx="1940902" cy="65094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BD6AC64-3D3B-4854-BE26-926A61820B20}"/>
            </a:ext>
          </a:extLst>
        </xdr:cNvPr>
        <xdr:cNvSpPr txBox="1"/>
      </xdr:nvSpPr>
      <xdr:spPr>
        <a:xfrm>
          <a:off x="9191625" y="0"/>
          <a:ext cx="1940902" cy="65094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000" b="1">
              <a:latin typeface="Tw Cen MT" panose="020B0602020104020603" pitchFamily="34" charset="0"/>
              <a:cs typeface="Times New Roman" panose="02020603050405020304" pitchFamily="18" charset="0"/>
            </a:rPr>
            <a:t>1.</a:t>
          </a:r>
          <a:r>
            <a:rPr lang="en-US" sz="1000">
              <a:latin typeface="Tw Cen MT" panose="020B0602020104020603" pitchFamily="34" charset="0"/>
              <a:cs typeface="Times New Roman" panose="02020603050405020304" pitchFamily="18" charset="0"/>
            </a:rPr>
            <a:t> Klik kiri pilih Status Siswa pada masing-masing siswa </a:t>
          </a:r>
          <a:r>
            <a:rPr lang="en-US" sz="1000" baseline="0">
              <a:latin typeface="Tw Cen MT" panose="020B0602020104020603" pitchFamily="34" charset="0"/>
              <a:cs typeface="Times New Roman" panose="02020603050405020304" pitchFamily="18" charset="0"/>
            </a:rPr>
            <a:t>dan klik kiri pada panah kebawah untuk pilih Status Siswa.</a:t>
          </a:r>
          <a:endParaRPr lang="en-ID" sz="1000">
            <a:latin typeface="Tw Cen MT" panose="020B0602020104020603" pitchFamily="34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9</xdr:col>
      <xdr:colOff>440346</xdr:colOff>
      <xdr:row>0</xdr:row>
      <xdr:rowOff>0</xdr:rowOff>
    </xdr:from>
    <xdr:ext cx="1971675" cy="65094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F68CF7AC-AA50-4A25-9350-ED868D7372CC}"/>
            </a:ext>
          </a:extLst>
        </xdr:cNvPr>
        <xdr:cNvSpPr txBox="1"/>
      </xdr:nvSpPr>
      <xdr:spPr>
        <a:xfrm>
          <a:off x="11232171" y="0"/>
          <a:ext cx="1971675" cy="65094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000" b="1">
              <a:latin typeface="Tw Cen MT" panose="020B0602020104020603" pitchFamily="34" charset="0"/>
              <a:cs typeface="Times New Roman" panose="02020603050405020304" pitchFamily="18" charset="0"/>
            </a:rPr>
            <a:t>2. </a:t>
          </a:r>
          <a:r>
            <a:rPr lang="en-US" sz="1000">
              <a:latin typeface="Tw Cen MT" panose="020B0602020104020603" pitchFamily="34" charset="0"/>
              <a:cs typeface="Times New Roman" panose="02020603050405020304" pitchFamily="18" charset="0"/>
            </a:rPr>
            <a:t>Ketik angka pada kolom Bangun Pagi</a:t>
          </a:r>
          <a:r>
            <a:rPr lang="en-US" sz="1000" baseline="0">
              <a:latin typeface="Tw Cen MT" panose="020B0602020104020603" pitchFamily="34" charset="0"/>
              <a:cs typeface="Times New Roman" panose="02020603050405020304" pitchFamily="18" charset="0"/>
            </a:rPr>
            <a:t> hingga Tidur Cepat dari Catatan Harian Siswa untuk masing-masing siswa</a:t>
          </a:r>
          <a:endParaRPr lang="en-ID" sz="1000">
            <a:latin typeface="Tw Cen MT" panose="020B0602020104020603" pitchFamily="34" charset="0"/>
            <a:cs typeface="Times New Roman" panose="02020603050405020304" pitchFamily="18" charset="0"/>
          </a:endParaRPr>
        </a:p>
      </xdr:txBody>
    </xdr:sp>
    <xdr:clientData/>
  </xdr:one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81790</xdr:colOff>
      <xdr:row>0</xdr:row>
      <xdr:rowOff>50247</xdr:rowOff>
    </xdr:from>
    <xdr:to>
      <xdr:col>0</xdr:col>
      <xdr:colOff>589810</xdr:colOff>
      <xdr:row>2</xdr:row>
      <xdr:rowOff>154407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224868-F2AD-4429-AAEE-C24B06B080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790" y="50247"/>
          <a:ext cx="508020" cy="5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81790</xdr:colOff>
      <xdr:row>3</xdr:row>
      <xdr:rowOff>52456</xdr:rowOff>
    </xdr:from>
    <xdr:to>
      <xdr:col>0</xdr:col>
      <xdr:colOff>589810</xdr:colOff>
      <xdr:row>5</xdr:row>
      <xdr:rowOff>155131</xdr:rowOff>
    </xdr:to>
    <xdr:pic macro="[0]!tanyaPengisian">
      <xdr:nvPicPr>
        <xdr:cNvPr id="3" name="Picture 2">
          <a:extLst>
            <a:ext uri="{FF2B5EF4-FFF2-40B4-BE49-F238E27FC236}">
              <a16:creationId xmlns:a16="http://schemas.microsoft.com/office/drawing/2014/main" id="{EFB53224-600A-45D9-BEF7-F2009B0B8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790" y="646816"/>
          <a:ext cx="508020" cy="498915"/>
        </a:xfrm>
        <a:prstGeom prst="rect">
          <a:avLst/>
        </a:prstGeom>
      </xdr:spPr>
    </xdr:pic>
    <xdr:clientData/>
  </xdr:twoCellAnchor>
  <xdr:oneCellAnchor>
    <xdr:from>
      <xdr:col>8</xdr:col>
      <xdr:colOff>0</xdr:colOff>
      <xdr:row>0</xdr:row>
      <xdr:rowOff>0</xdr:rowOff>
    </xdr:from>
    <xdr:ext cx="1940902" cy="65094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A2F8A7E1-7F51-4072-BBAB-92D82C45031B}"/>
            </a:ext>
          </a:extLst>
        </xdr:cNvPr>
        <xdr:cNvSpPr txBox="1"/>
      </xdr:nvSpPr>
      <xdr:spPr>
        <a:xfrm>
          <a:off x="9191625" y="0"/>
          <a:ext cx="1940902" cy="65094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000" b="1">
              <a:latin typeface="Tw Cen MT" panose="020B0602020104020603" pitchFamily="34" charset="0"/>
              <a:cs typeface="Times New Roman" panose="02020603050405020304" pitchFamily="18" charset="0"/>
            </a:rPr>
            <a:t>1.</a:t>
          </a:r>
          <a:r>
            <a:rPr lang="en-US" sz="1000">
              <a:latin typeface="Tw Cen MT" panose="020B0602020104020603" pitchFamily="34" charset="0"/>
              <a:cs typeface="Times New Roman" panose="02020603050405020304" pitchFamily="18" charset="0"/>
            </a:rPr>
            <a:t> Klik kiri pilih Status Siswa pada masing-masing siswa </a:t>
          </a:r>
          <a:r>
            <a:rPr lang="en-US" sz="1000" baseline="0">
              <a:latin typeface="Tw Cen MT" panose="020B0602020104020603" pitchFamily="34" charset="0"/>
              <a:cs typeface="Times New Roman" panose="02020603050405020304" pitchFamily="18" charset="0"/>
            </a:rPr>
            <a:t>dan klik kiri pada panah kebawah untuk pilih Status Siswa.</a:t>
          </a:r>
          <a:endParaRPr lang="en-ID" sz="1000">
            <a:latin typeface="Tw Cen MT" panose="020B0602020104020603" pitchFamily="34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9</xdr:col>
      <xdr:colOff>440346</xdr:colOff>
      <xdr:row>0</xdr:row>
      <xdr:rowOff>0</xdr:rowOff>
    </xdr:from>
    <xdr:ext cx="1971675" cy="65094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C4F0FDB7-A0BF-41EB-B6CA-7A9F6E0FD0C3}"/>
            </a:ext>
          </a:extLst>
        </xdr:cNvPr>
        <xdr:cNvSpPr txBox="1"/>
      </xdr:nvSpPr>
      <xdr:spPr>
        <a:xfrm>
          <a:off x="11232171" y="0"/>
          <a:ext cx="1971675" cy="65094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000" b="1">
              <a:latin typeface="Tw Cen MT" panose="020B0602020104020603" pitchFamily="34" charset="0"/>
              <a:cs typeface="Times New Roman" panose="02020603050405020304" pitchFamily="18" charset="0"/>
            </a:rPr>
            <a:t>2. </a:t>
          </a:r>
          <a:r>
            <a:rPr lang="en-US" sz="1000">
              <a:latin typeface="Tw Cen MT" panose="020B0602020104020603" pitchFamily="34" charset="0"/>
              <a:cs typeface="Times New Roman" panose="02020603050405020304" pitchFamily="18" charset="0"/>
            </a:rPr>
            <a:t>Ketik angka pada kolom Bangun Pagi</a:t>
          </a:r>
          <a:r>
            <a:rPr lang="en-US" sz="1000" baseline="0">
              <a:latin typeface="Tw Cen MT" panose="020B0602020104020603" pitchFamily="34" charset="0"/>
              <a:cs typeface="Times New Roman" panose="02020603050405020304" pitchFamily="18" charset="0"/>
            </a:rPr>
            <a:t> hingga Tidur Cepat dari Catatan Harian Siswa untuk masing-masing siswa</a:t>
          </a:r>
          <a:endParaRPr lang="en-ID" sz="1000">
            <a:latin typeface="Tw Cen MT" panose="020B0602020104020603" pitchFamily="34" charset="0"/>
            <a:cs typeface="Times New Roman" panose="02020603050405020304" pitchFamily="18" charset="0"/>
          </a:endParaRPr>
        </a:p>
      </xdr:txBody>
    </xdr:sp>
    <xdr:clientData/>
  </xdr:one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81790</xdr:colOff>
      <xdr:row>0</xdr:row>
      <xdr:rowOff>50247</xdr:rowOff>
    </xdr:from>
    <xdr:to>
      <xdr:col>0</xdr:col>
      <xdr:colOff>589810</xdr:colOff>
      <xdr:row>2</xdr:row>
      <xdr:rowOff>154407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20ED535-A556-40E8-9284-3DF34BFB7B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790" y="50247"/>
          <a:ext cx="508020" cy="5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81790</xdr:colOff>
      <xdr:row>3</xdr:row>
      <xdr:rowOff>52456</xdr:rowOff>
    </xdr:from>
    <xdr:to>
      <xdr:col>0</xdr:col>
      <xdr:colOff>589810</xdr:colOff>
      <xdr:row>5</xdr:row>
      <xdr:rowOff>155131</xdr:rowOff>
    </xdr:to>
    <xdr:pic macro="[0]!tanyaPengisian">
      <xdr:nvPicPr>
        <xdr:cNvPr id="3" name="Picture 2">
          <a:extLst>
            <a:ext uri="{FF2B5EF4-FFF2-40B4-BE49-F238E27FC236}">
              <a16:creationId xmlns:a16="http://schemas.microsoft.com/office/drawing/2014/main" id="{51938A85-11BD-45A2-A8D9-DA04C9E4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790" y="646816"/>
          <a:ext cx="508020" cy="498915"/>
        </a:xfrm>
        <a:prstGeom prst="rect">
          <a:avLst/>
        </a:prstGeom>
      </xdr:spPr>
    </xdr:pic>
    <xdr:clientData/>
  </xdr:twoCellAnchor>
  <xdr:oneCellAnchor>
    <xdr:from>
      <xdr:col>8</xdr:col>
      <xdr:colOff>0</xdr:colOff>
      <xdr:row>0</xdr:row>
      <xdr:rowOff>0</xdr:rowOff>
    </xdr:from>
    <xdr:ext cx="1940902" cy="65094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C062183-68D8-447B-8B02-48A5915A49B8}"/>
            </a:ext>
          </a:extLst>
        </xdr:cNvPr>
        <xdr:cNvSpPr txBox="1"/>
      </xdr:nvSpPr>
      <xdr:spPr>
        <a:xfrm>
          <a:off x="9191625" y="0"/>
          <a:ext cx="1940902" cy="65094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000" b="1">
              <a:latin typeface="Tw Cen MT" panose="020B0602020104020603" pitchFamily="34" charset="0"/>
              <a:cs typeface="Times New Roman" panose="02020603050405020304" pitchFamily="18" charset="0"/>
            </a:rPr>
            <a:t>1.</a:t>
          </a:r>
          <a:r>
            <a:rPr lang="en-US" sz="1000">
              <a:latin typeface="Tw Cen MT" panose="020B0602020104020603" pitchFamily="34" charset="0"/>
              <a:cs typeface="Times New Roman" panose="02020603050405020304" pitchFamily="18" charset="0"/>
            </a:rPr>
            <a:t> Klik kiri pilih Status Siswa pada masing-masing siswa </a:t>
          </a:r>
          <a:r>
            <a:rPr lang="en-US" sz="1000" baseline="0">
              <a:latin typeface="Tw Cen MT" panose="020B0602020104020603" pitchFamily="34" charset="0"/>
              <a:cs typeface="Times New Roman" panose="02020603050405020304" pitchFamily="18" charset="0"/>
            </a:rPr>
            <a:t>dan klik kiri pada panah kebawah untuk pilih Status Siswa.</a:t>
          </a:r>
          <a:endParaRPr lang="en-ID" sz="1000">
            <a:latin typeface="Tw Cen MT" panose="020B0602020104020603" pitchFamily="34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9</xdr:col>
      <xdr:colOff>440346</xdr:colOff>
      <xdr:row>0</xdr:row>
      <xdr:rowOff>0</xdr:rowOff>
    </xdr:from>
    <xdr:ext cx="1971675" cy="65094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6C54E8F-4E3A-48CB-8673-B6346CD322AB}"/>
            </a:ext>
          </a:extLst>
        </xdr:cNvPr>
        <xdr:cNvSpPr txBox="1"/>
      </xdr:nvSpPr>
      <xdr:spPr>
        <a:xfrm>
          <a:off x="11232171" y="0"/>
          <a:ext cx="1971675" cy="65094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000" b="1">
              <a:latin typeface="Tw Cen MT" panose="020B0602020104020603" pitchFamily="34" charset="0"/>
              <a:cs typeface="Times New Roman" panose="02020603050405020304" pitchFamily="18" charset="0"/>
            </a:rPr>
            <a:t>2. </a:t>
          </a:r>
          <a:r>
            <a:rPr lang="en-US" sz="1000">
              <a:latin typeface="Tw Cen MT" panose="020B0602020104020603" pitchFamily="34" charset="0"/>
              <a:cs typeface="Times New Roman" panose="02020603050405020304" pitchFamily="18" charset="0"/>
            </a:rPr>
            <a:t>Ketik angka pada kolom Bangun Pagi</a:t>
          </a:r>
          <a:r>
            <a:rPr lang="en-US" sz="1000" baseline="0">
              <a:latin typeface="Tw Cen MT" panose="020B0602020104020603" pitchFamily="34" charset="0"/>
              <a:cs typeface="Times New Roman" panose="02020603050405020304" pitchFamily="18" charset="0"/>
            </a:rPr>
            <a:t> hingga Tidur Cepat dari Catatan Harian Siswa untuk masing-masing siswa</a:t>
          </a:r>
          <a:endParaRPr lang="en-ID" sz="1000">
            <a:latin typeface="Tw Cen MT" panose="020B0602020104020603" pitchFamily="34" charset="0"/>
            <a:cs typeface="Times New Roman" panose="02020603050405020304" pitchFamily="18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2.png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image" Target="../media/image1.png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image" Target="../media/image1.png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image" Target="../media/image1.png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image" Target="../media/image1.png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image" Target="../media/image1.png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image" Target="../media/image1.png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image" Target="../media/image1.png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image" Target="../media/image1.png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image" Target="../media/image1.p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fo">
    <tabColor rgb="FFFF0000"/>
  </sheetPr>
  <dimension ref="A1:BC515"/>
  <sheetViews>
    <sheetView showRowColHeaders="0" zoomScaleNormal="100" workbookViewId="0">
      <pane ySplit="1" topLeftCell="A2" activePane="bottomLeft" state="frozen"/>
      <selection pane="bottomLeft"/>
    </sheetView>
  </sheetViews>
  <sheetFormatPr defaultColWidth="0" defaultRowHeight="14.4" zeroHeight="1" x14ac:dyDescent="0.3"/>
  <cols>
    <col min="1" max="1" width="9.109375" style="1" customWidth="1"/>
    <col min="2" max="28" width="9.109375" style="1" hidden="1" customWidth="1"/>
    <col min="29" max="30" width="15.5546875" style="1" hidden="1" customWidth="1"/>
    <col min="31" max="31" width="10.44140625" style="1" hidden="1" customWidth="1"/>
    <col min="32" max="49" width="9.109375" style="1" hidden="1" customWidth="1"/>
    <col min="50" max="55" width="12.44140625" style="1" hidden="1" customWidth="1"/>
    <col min="56" max="56" width="9.109375" style="1" hidden="1" customWidth="1"/>
    <col min="57" max="16384" width="9.109375" style="1" hidden="1"/>
  </cols>
  <sheetData>
    <row r="1" spans="1:52" x14ac:dyDescent="0.3">
      <c r="A1" s="1" t="s">
        <v>25</v>
      </c>
      <c r="B1" s="1" t="s">
        <v>66</v>
      </c>
      <c r="C1" s="1" t="s">
        <v>67</v>
      </c>
      <c r="D1" s="1" t="s">
        <v>581</v>
      </c>
      <c r="E1" s="1" t="s">
        <v>634</v>
      </c>
      <c r="F1" s="1" t="s">
        <v>937</v>
      </c>
      <c r="G1" s="1" t="s">
        <v>633</v>
      </c>
      <c r="H1" s="1" t="s">
        <v>17</v>
      </c>
      <c r="I1" s="1" t="s">
        <v>593</v>
      </c>
      <c r="J1" s="1" t="s">
        <v>738</v>
      </c>
      <c r="K1" s="1" t="s">
        <v>18</v>
      </c>
      <c r="L1" s="1" t="s">
        <v>612</v>
      </c>
      <c r="M1" s="1" t="s">
        <v>610</v>
      </c>
      <c r="N1" s="1" t="s">
        <v>635</v>
      </c>
      <c r="O1" s="1" t="s">
        <v>636</v>
      </c>
      <c r="P1" s="1" t="s">
        <v>611</v>
      </c>
      <c r="Q1" s="1" t="s">
        <v>824</v>
      </c>
      <c r="R1" s="1" t="s">
        <v>17</v>
      </c>
      <c r="S1" s="1" t="s">
        <v>753</v>
      </c>
      <c r="T1" s="1" t="s">
        <v>825</v>
      </c>
      <c r="U1" s="1" t="s">
        <v>826</v>
      </c>
      <c r="W1" s="1" t="s">
        <v>827</v>
      </c>
      <c r="X1" s="1" t="s">
        <v>828</v>
      </c>
      <c r="Y1" s="1" t="s">
        <v>829</v>
      </c>
      <c r="Z1" s="1" t="s">
        <v>607</v>
      </c>
      <c r="AA1" s="1" t="s">
        <v>830</v>
      </c>
      <c r="AB1" s="1" t="s">
        <v>837</v>
      </c>
      <c r="AC1" s="1" t="s">
        <v>840</v>
      </c>
      <c r="AD1" s="1" t="s">
        <v>846</v>
      </c>
      <c r="AE1" s="1" t="s">
        <v>843</v>
      </c>
      <c r="AF1" s="1" t="s">
        <v>851</v>
      </c>
      <c r="AG1" s="1" t="s">
        <v>869</v>
      </c>
      <c r="AH1" s="1" t="s">
        <v>883</v>
      </c>
      <c r="AI1" s="1" t="s">
        <v>886</v>
      </c>
      <c r="AJ1" s="1" t="s">
        <v>887</v>
      </c>
      <c r="AK1" s="1" t="s">
        <v>888</v>
      </c>
      <c r="AT1" s="1" t="s">
        <v>612</v>
      </c>
      <c r="AU1" s="1" t="s">
        <v>26</v>
      </c>
      <c r="AV1" s="1" t="s">
        <v>926</v>
      </c>
      <c r="AW1" s="1" t="s">
        <v>927</v>
      </c>
      <c r="AX1" s="1" t="s">
        <v>929</v>
      </c>
      <c r="AZ1" s="1" t="s">
        <v>992</v>
      </c>
    </row>
    <row r="2" spans="1:52" hidden="1" x14ac:dyDescent="0.3">
      <c r="A2" s="1" t="s">
        <v>22</v>
      </c>
      <c r="B2" s="1" t="s">
        <v>28</v>
      </c>
      <c r="C2" s="1" t="s">
        <v>68</v>
      </c>
      <c r="D2" s="1" t="str">
        <f t="shared" ref="D2:D65" si="0">IF(LEFT(C2,4)="Kota",C2,IF(LEFT(C2,4)="Prov",C2,"Kab. "&amp;C2))</f>
        <v>Kab. Aceh Barat</v>
      </c>
      <c r="E2" s="1" t="s">
        <v>28</v>
      </c>
      <c r="F2" s="1" t="str">
        <f>IF(info!$B2=profilKelas!$F$8,ROW(),"")</f>
        <v/>
      </c>
      <c r="G2" s="1" t="str">
        <f>IF(ROWS($F$2:F2)&gt;COUNT($F$2:$F$515),"",INDEX($D$2:$D$515,SMALL($F$2:$F$515,ROWS($F$2:F2))-1))</f>
        <v/>
      </c>
      <c r="H2" s="1" t="s">
        <v>21</v>
      </c>
      <c r="I2" s="1" t="s">
        <v>594</v>
      </c>
      <c r="J2" s="1" t="s">
        <v>739</v>
      </c>
      <c r="K2" s="1" t="s">
        <v>654</v>
      </c>
      <c r="L2" s="1" t="s">
        <v>613</v>
      </c>
      <c r="M2" s="1" t="s">
        <v>616</v>
      </c>
      <c r="N2" s="1" t="s">
        <v>613</v>
      </c>
      <c r="O2" s="1" t="s">
        <v>620</v>
      </c>
      <c r="P2" s="1" t="s">
        <v>616</v>
      </c>
      <c r="Q2" s="1">
        <v>7</v>
      </c>
      <c r="R2" s="1" t="s">
        <v>587</v>
      </c>
      <c r="S2" s="1" t="str">
        <f t="shared" ref="S2:S7" si="1">LEFT(R8,3)</f>
        <v>Jan</v>
      </c>
      <c r="T2" s="1">
        <v>1</v>
      </c>
      <c r="U2" s="1" t="s">
        <v>599</v>
      </c>
      <c r="V2" s="1" t="s">
        <v>920</v>
      </c>
      <c r="W2" s="1" t="str">
        <f>RIGHT(U2,3)</f>
        <v>agi</v>
      </c>
      <c r="X2" s="1" t="s">
        <v>597</v>
      </c>
      <c r="Y2" s="1" t="s">
        <v>598</v>
      </c>
      <c r="Z2" s="1" t="s">
        <v>23</v>
      </c>
      <c r="AA2" s="1" t="s">
        <v>22</v>
      </c>
      <c r="AB2" s="1" t="s">
        <v>16</v>
      </c>
      <c r="AC2" s="1" t="s">
        <v>620</v>
      </c>
      <c r="AD2" s="1" t="s">
        <v>847</v>
      </c>
      <c r="AF2" s="1" t="s">
        <v>852</v>
      </c>
      <c r="AG2" s="1" t="s">
        <v>874</v>
      </c>
      <c r="AH2" s="1" t="s">
        <v>884</v>
      </c>
      <c r="AK2" s="1" t="s">
        <v>646</v>
      </c>
      <c r="AL2" s="1" t="s">
        <v>595</v>
      </c>
      <c r="AM2" s="1" t="s">
        <v>652</v>
      </c>
      <c r="AN2" s="1" t="s">
        <v>20</v>
      </c>
      <c r="AO2" s="1" t="s">
        <v>651</v>
      </c>
      <c r="AP2" s="1" t="s">
        <v>653</v>
      </c>
      <c r="AQ2" s="1" t="s">
        <v>889</v>
      </c>
      <c r="AR2" s="1" t="s">
        <v>889</v>
      </c>
      <c r="AS2" s="1" t="s">
        <v>889</v>
      </c>
      <c r="AT2" s="1" t="s">
        <v>614</v>
      </c>
      <c r="AU2" t="s">
        <v>33</v>
      </c>
      <c r="AV2">
        <v>1</v>
      </c>
      <c r="AX2" s="1" t="s">
        <v>930</v>
      </c>
      <c r="AZ2" s="1" t="s">
        <v>587</v>
      </c>
    </row>
    <row r="3" spans="1:52" hidden="1" x14ac:dyDescent="0.3">
      <c r="A3" s="1" t="s">
        <v>23</v>
      </c>
      <c r="B3" s="1" t="s">
        <v>28</v>
      </c>
      <c r="C3" s="1" t="s">
        <v>69</v>
      </c>
      <c r="D3" s="1" t="str">
        <f t="shared" si="0"/>
        <v>Kab. Aceh Barat Daya</v>
      </c>
      <c r="E3" s="1" t="s">
        <v>29</v>
      </c>
      <c r="F3" s="1" t="str">
        <f>IF(info!$B3=profilKelas!$F$8,ROW(),"")</f>
        <v/>
      </c>
      <c r="G3" s="1" t="str">
        <f>IF(ROWS($F$2:F3)&gt;COUNT($F$2:$F$515),"",INDEX($D$2:$D$515,SMALL($F$2:$F$515,ROWS($F$2:F3))-1))</f>
        <v/>
      </c>
      <c r="H3" s="1" t="s">
        <v>582</v>
      </c>
      <c r="I3" s="1" t="s">
        <v>595</v>
      </c>
      <c r="J3" s="1" t="s">
        <v>740</v>
      </c>
      <c r="K3" s="1" t="s">
        <v>655</v>
      </c>
      <c r="L3" s="1" t="s">
        <v>613</v>
      </c>
      <c r="M3" s="1" t="s">
        <v>617</v>
      </c>
      <c r="N3" s="1" t="s">
        <v>614</v>
      </c>
      <c r="O3" s="1" t="s">
        <v>621</v>
      </c>
      <c r="P3" s="1" t="s">
        <v>617</v>
      </c>
      <c r="Q3" s="1">
        <v>8</v>
      </c>
      <c r="R3" s="1" t="s">
        <v>588</v>
      </c>
      <c r="S3" s="1" t="str">
        <f t="shared" si="1"/>
        <v>Feb</v>
      </c>
      <c r="T3" s="1">
        <v>2</v>
      </c>
      <c r="U3" s="1" t="s">
        <v>600</v>
      </c>
      <c r="V3" s="1" t="s">
        <v>921</v>
      </c>
      <c r="W3" s="1" t="str">
        <f t="shared" ref="W3:W8" si="2">RIGHT(U3,3)</f>
        <v>dah</v>
      </c>
      <c r="AB3" s="1" t="s">
        <v>838</v>
      </c>
      <c r="AC3" s="1" t="s">
        <v>621</v>
      </c>
      <c r="AD3" s="1" t="s">
        <v>848</v>
      </c>
      <c r="AF3" s="1" t="s">
        <v>853</v>
      </c>
      <c r="AG3" s="1" t="s">
        <v>870</v>
      </c>
      <c r="AT3" s="1" t="s">
        <v>614</v>
      </c>
      <c r="AU3" t="s">
        <v>36</v>
      </c>
      <c r="AV3">
        <v>1</v>
      </c>
      <c r="AX3" s="1" t="s">
        <v>931</v>
      </c>
      <c r="AZ3" s="1" t="s">
        <v>588</v>
      </c>
    </row>
    <row r="4" spans="1:52" hidden="1" x14ac:dyDescent="0.3">
      <c r="B4" s="1" t="s">
        <v>28</v>
      </c>
      <c r="C4" s="1" t="s">
        <v>70</v>
      </c>
      <c r="D4" s="1" t="str">
        <f t="shared" si="0"/>
        <v>Kab. Aceh Besar</v>
      </c>
      <c r="E4" s="1" t="s">
        <v>30</v>
      </c>
      <c r="F4" s="1" t="str">
        <f>IF(info!$B4=profilKelas!$F$8,ROW(),"")</f>
        <v/>
      </c>
      <c r="G4" s="1" t="str">
        <f>IF(ROWS($F$2:F4)&gt;COUNT($F$2:$F$515),"",INDEX($D$2:$D$515,SMALL($F$2:$F$515,ROWS($F$2:F4))-1))</f>
        <v/>
      </c>
      <c r="H4" s="1" t="s">
        <v>583</v>
      </c>
      <c r="J4" s="1" t="s">
        <v>741</v>
      </c>
      <c r="K4" s="1" t="s">
        <v>656</v>
      </c>
      <c r="L4" s="1" t="s">
        <v>614</v>
      </c>
      <c r="M4" s="1" t="s">
        <v>620</v>
      </c>
      <c r="N4" s="1" t="s">
        <v>615</v>
      </c>
      <c r="O4" s="1" t="s">
        <v>622</v>
      </c>
      <c r="P4" s="1" t="s">
        <v>618</v>
      </c>
      <c r="Q4" s="1">
        <v>9</v>
      </c>
      <c r="R4" s="1" t="s">
        <v>589</v>
      </c>
      <c r="S4" s="1" t="str">
        <f t="shared" si="1"/>
        <v>Mar</v>
      </c>
      <c r="T4" s="1">
        <v>3</v>
      </c>
      <c r="U4" s="1" t="s">
        <v>4</v>
      </c>
      <c r="V4" s="1" t="s">
        <v>617</v>
      </c>
      <c r="W4" s="1" t="str">
        <f t="shared" si="2"/>
        <v>aga</v>
      </c>
      <c r="AB4" s="1" t="s">
        <v>839</v>
      </c>
      <c r="AC4" s="1">
        <v>1</v>
      </c>
      <c r="AD4" s="1" t="s">
        <v>849</v>
      </c>
      <c r="AF4" s="1" t="s">
        <v>854</v>
      </c>
      <c r="AG4" s="1" t="s">
        <v>871</v>
      </c>
      <c r="AT4" s="1" t="s">
        <v>614</v>
      </c>
      <c r="AU4" t="s">
        <v>28</v>
      </c>
      <c r="AV4">
        <v>2</v>
      </c>
      <c r="AX4" s="1" t="s">
        <v>932</v>
      </c>
      <c r="AZ4" s="1" t="s">
        <v>589</v>
      </c>
    </row>
    <row r="5" spans="1:52" hidden="1" x14ac:dyDescent="0.3">
      <c r="B5" s="1" t="s">
        <v>28</v>
      </c>
      <c r="C5" s="1" t="s">
        <v>71</v>
      </c>
      <c r="D5" s="1" t="str">
        <f t="shared" si="0"/>
        <v>Kab. Aceh Jaya</v>
      </c>
      <c r="E5" s="1" t="s">
        <v>31</v>
      </c>
      <c r="F5" s="1" t="str">
        <f>IF(info!$B5=profilKelas!$F$8,ROW(),"")</f>
        <v/>
      </c>
      <c r="G5" s="1" t="str">
        <f>IF(ROWS($F$2:F5)&gt;COUNT($F$2:$F$515),"",INDEX($D$2:$D$515,SMALL($F$2:$F$515,ROWS($F$2:F5))-1))</f>
        <v/>
      </c>
      <c r="H5" s="1" t="s">
        <v>584</v>
      </c>
      <c r="J5" s="1" t="s">
        <v>742</v>
      </c>
      <c r="K5" s="1" t="s">
        <v>657</v>
      </c>
      <c r="L5" s="1" t="s">
        <v>614</v>
      </c>
      <c r="M5" s="1" t="s">
        <v>621</v>
      </c>
      <c r="N5" s="1" t="s">
        <v>631</v>
      </c>
      <c r="O5" s="1" t="s">
        <v>623</v>
      </c>
      <c r="P5" s="1" t="s">
        <v>637</v>
      </c>
      <c r="Q5" s="1">
        <v>10</v>
      </c>
      <c r="R5" s="1" t="s">
        <v>590</v>
      </c>
      <c r="S5" s="1" t="str">
        <f t="shared" si="1"/>
        <v>Apr</v>
      </c>
      <c r="T5" s="1">
        <v>4</v>
      </c>
      <c r="U5" s="1" t="s">
        <v>601</v>
      </c>
      <c r="V5" s="1" t="s">
        <v>925</v>
      </c>
      <c r="W5" s="1" t="str">
        <f t="shared" si="2"/>
        <v>izi</v>
      </c>
      <c r="AC5" s="1">
        <v>2</v>
      </c>
      <c r="AD5" s="1" t="s">
        <v>850</v>
      </c>
      <c r="AE5" s="1">
        <v>1</v>
      </c>
      <c r="AF5" s="1" t="s">
        <v>855</v>
      </c>
      <c r="AG5" s="1" t="s">
        <v>872</v>
      </c>
      <c r="AK5"/>
      <c r="AL5"/>
      <c r="AM5"/>
      <c r="AN5"/>
      <c r="AO5"/>
      <c r="AP5"/>
      <c r="AQ5"/>
      <c r="AR5"/>
      <c r="AS5"/>
      <c r="AT5" s="1" t="s">
        <v>614</v>
      </c>
      <c r="AU5" t="s">
        <v>32</v>
      </c>
      <c r="AV5">
        <v>2</v>
      </c>
      <c r="AX5" s="1" t="s">
        <v>933</v>
      </c>
      <c r="AZ5" s="1" t="s">
        <v>590</v>
      </c>
    </row>
    <row r="6" spans="1:52" hidden="1" x14ac:dyDescent="0.3">
      <c r="B6" s="1" t="s">
        <v>28</v>
      </c>
      <c r="C6" s="1" t="s">
        <v>72</v>
      </c>
      <c r="D6" s="1" t="str">
        <f t="shared" si="0"/>
        <v>Kab. Aceh Selatan</v>
      </c>
      <c r="E6" s="1" t="s">
        <v>32</v>
      </c>
      <c r="F6" s="1" t="str">
        <f>IF(info!$B6=profilKelas!$F$8,ROW(),"")</f>
        <v/>
      </c>
      <c r="G6" s="1" t="str">
        <f>IF(ROWS($F$2:F6)&gt;COUNT($F$2:$F$515),"",INDEX($D$2:$D$515,SMALL($F$2:$F$515,ROWS($F$2:F6))-1))</f>
        <v/>
      </c>
      <c r="H6" s="1" t="s">
        <v>585</v>
      </c>
      <c r="J6" s="1" t="s">
        <v>743</v>
      </c>
      <c r="K6" s="1" t="s">
        <v>658</v>
      </c>
      <c r="L6" s="1" t="s">
        <v>614</v>
      </c>
      <c r="M6" s="1" t="s">
        <v>622</v>
      </c>
      <c r="N6" s="1" t="s">
        <v>632</v>
      </c>
      <c r="O6" s="1" t="s">
        <v>595</v>
      </c>
      <c r="P6" s="1" t="s">
        <v>619</v>
      </c>
      <c r="Q6" s="1">
        <v>11</v>
      </c>
      <c r="R6" s="1" t="s">
        <v>591</v>
      </c>
      <c r="S6" s="1" t="str">
        <f t="shared" si="1"/>
        <v>Mei</v>
      </c>
      <c r="T6" s="1">
        <v>5</v>
      </c>
      <c r="U6" s="1" t="s">
        <v>602</v>
      </c>
      <c r="V6" s="1" t="s">
        <v>922</v>
      </c>
      <c r="W6" s="1" t="str">
        <f t="shared" si="2"/>
        <v>jar</v>
      </c>
      <c r="AD6" s="1" t="s">
        <v>874</v>
      </c>
      <c r="AE6" s="1">
        <v>2</v>
      </c>
      <c r="AF6" s="1" t="s">
        <v>857</v>
      </c>
      <c r="AG6" s="1" t="s">
        <v>873</v>
      </c>
      <c r="AK6"/>
      <c r="AL6"/>
      <c r="AM6"/>
      <c r="AN6"/>
      <c r="AO6"/>
      <c r="AP6"/>
      <c r="AQ6"/>
      <c r="AR6"/>
      <c r="AS6"/>
      <c r="AT6" s="1" t="s">
        <v>614</v>
      </c>
      <c r="AU6" t="s">
        <v>38</v>
      </c>
      <c r="AV6">
        <v>2</v>
      </c>
      <c r="AX6" s="1" t="s">
        <v>934</v>
      </c>
      <c r="AZ6" s="1" t="s">
        <v>591</v>
      </c>
    </row>
    <row r="7" spans="1:52" hidden="1" x14ac:dyDescent="0.3">
      <c r="B7" s="1" t="s">
        <v>28</v>
      </c>
      <c r="C7" s="1" t="s">
        <v>73</v>
      </c>
      <c r="D7" s="1" t="str">
        <f t="shared" si="0"/>
        <v>Kab. Aceh Singkil</v>
      </c>
      <c r="E7" s="1" t="s">
        <v>33</v>
      </c>
      <c r="F7" s="1" t="str">
        <f>IF(info!$B7=profilKelas!$F$8,ROW(),"")</f>
        <v/>
      </c>
      <c r="G7" s="1" t="str">
        <f>IF(ROWS($F$2:F7)&gt;COUNT($F$2:$F$515),"",INDEX($D$2:$D$515,SMALL($F$2:$F$515,ROWS($F$2:F7))-1))</f>
        <v/>
      </c>
      <c r="H7" s="1" t="s">
        <v>586</v>
      </c>
      <c r="J7" s="1" t="s">
        <v>744</v>
      </c>
      <c r="K7" s="1" t="s">
        <v>659</v>
      </c>
      <c r="L7" s="1" t="s">
        <v>614</v>
      </c>
      <c r="M7" s="1" t="s">
        <v>623</v>
      </c>
      <c r="O7" s="1" t="s">
        <v>624</v>
      </c>
      <c r="P7" s="1" t="s">
        <v>638</v>
      </c>
      <c r="Q7" s="1">
        <v>12</v>
      </c>
      <c r="R7" s="1" t="s">
        <v>592</v>
      </c>
      <c r="S7" s="1" t="str">
        <f t="shared" si="1"/>
        <v>Jun</v>
      </c>
      <c r="T7" s="1">
        <v>6</v>
      </c>
      <c r="U7" s="1" t="s">
        <v>603</v>
      </c>
      <c r="V7" s="1" t="s">
        <v>923</v>
      </c>
      <c r="W7" s="1" t="str">
        <f t="shared" si="2"/>
        <v>kat</v>
      </c>
      <c r="AE7" s="1">
        <v>3</v>
      </c>
      <c r="AF7" s="1" t="s">
        <v>856</v>
      </c>
      <c r="AK7"/>
      <c r="AL7"/>
      <c r="AM7"/>
      <c r="AN7"/>
      <c r="AO7"/>
      <c r="AP7"/>
      <c r="AQ7"/>
      <c r="AR7"/>
      <c r="AS7"/>
      <c r="AT7" s="1" t="s">
        <v>614</v>
      </c>
      <c r="AU7" t="s">
        <v>35</v>
      </c>
      <c r="AV7">
        <v>3</v>
      </c>
      <c r="AX7" s="1" t="s">
        <v>935</v>
      </c>
      <c r="AZ7" s="1" t="s">
        <v>592</v>
      </c>
    </row>
    <row r="8" spans="1:52" hidden="1" x14ac:dyDescent="0.3">
      <c r="B8" s="1" t="s">
        <v>28</v>
      </c>
      <c r="C8" s="1" t="s">
        <v>74</v>
      </c>
      <c r="D8" s="1" t="str">
        <f t="shared" si="0"/>
        <v>Kab. Aceh Tamiang</v>
      </c>
      <c r="E8" s="1" t="s">
        <v>34</v>
      </c>
      <c r="F8" s="1" t="str">
        <f>IF(info!$B8=profilKelas!$F$8,ROW(),"")</f>
        <v/>
      </c>
      <c r="G8" s="1" t="str">
        <f>IF(ROWS($F$2:F8)&gt;COUNT($F$2:$F$515),"",INDEX($D$2:$D$515,SMALL($F$2:$F$515,ROWS($F$2:F8))-1))</f>
        <v/>
      </c>
      <c r="H8" s="1" t="s">
        <v>587</v>
      </c>
      <c r="J8" s="1" t="s">
        <v>745</v>
      </c>
      <c r="K8" s="1" t="s">
        <v>660</v>
      </c>
      <c r="L8" s="1" t="s">
        <v>614</v>
      </c>
      <c r="M8" s="1" t="s">
        <v>595</v>
      </c>
      <c r="P8" s="1" t="s">
        <v>639</v>
      </c>
      <c r="Q8" s="1">
        <v>1</v>
      </c>
      <c r="R8" s="1" t="s">
        <v>21</v>
      </c>
      <c r="S8" s="1" t="str">
        <f t="shared" ref="S8:S13" si="3">LEFT(R2,3)</f>
        <v>Jul</v>
      </c>
      <c r="T8" s="1">
        <v>7</v>
      </c>
      <c r="U8" s="1" t="s">
        <v>604</v>
      </c>
      <c r="V8" s="1" t="s">
        <v>924</v>
      </c>
      <c r="W8" s="1" t="str">
        <f t="shared" si="2"/>
        <v>pat</v>
      </c>
      <c r="AE8" s="1">
        <v>4</v>
      </c>
      <c r="AF8" s="1" t="s">
        <v>868</v>
      </c>
      <c r="AK8"/>
      <c r="AL8"/>
      <c r="AM8"/>
      <c r="AN8"/>
      <c r="AO8"/>
      <c r="AP8"/>
      <c r="AQ8"/>
      <c r="AR8"/>
      <c r="AS8"/>
      <c r="AT8" s="1" t="s">
        <v>614</v>
      </c>
      <c r="AU8" t="s">
        <v>37</v>
      </c>
      <c r="AV8">
        <v>3</v>
      </c>
      <c r="AX8" s="1" t="s">
        <v>936</v>
      </c>
      <c r="AZ8" s="1" t="s">
        <v>21</v>
      </c>
    </row>
    <row r="9" spans="1:52" hidden="1" x14ac:dyDescent="0.3">
      <c r="B9" s="1" t="s">
        <v>28</v>
      </c>
      <c r="C9" s="1" t="s">
        <v>75</v>
      </c>
      <c r="D9" s="1" t="str">
        <f t="shared" si="0"/>
        <v>Kab. Aceh Tengah</v>
      </c>
      <c r="E9" s="1" t="s">
        <v>35</v>
      </c>
      <c r="F9" s="1" t="str">
        <f>IF(info!$B9=profilKelas!$F$8,ROW(),"")</f>
        <v/>
      </c>
      <c r="G9" s="1" t="str">
        <f>IF(ROWS($F$2:F9)&gt;COUNT($F$2:$F$515),"",INDEX($D$2:$D$515,SMALL($F$2:$F$515,ROWS($F$2:F9))-1))</f>
        <v/>
      </c>
      <c r="H9" s="1" t="s">
        <v>588</v>
      </c>
      <c r="J9" s="1" t="s">
        <v>746</v>
      </c>
      <c r="K9" s="1" t="s">
        <v>663</v>
      </c>
      <c r="L9" s="1" t="s">
        <v>614</v>
      </c>
      <c r="M9" s="1" t="s">
        <v>624</v>
      </c>
      <c r="P9" s="1" t="s">
        <v>640</v>
      </c>
      <c r="Q9" s="1">
        <v>2</v>
      </c>
      <c r="R9" s="1" t="s">
        <v>582</v>
      </c>
      <c r="S9" s="1" t="str">
        <f t="shared" si="3"/>
        <v>Agu</v>
      </c>
      <c r="AE9" s="1">
        <v>5</v>
      </c>
      <c r="AH9"/>
      <c r="AM9"/>
      <c r="AN9"/>
      <c r="AO9"/>
      <c r="AP9"/>
      <c r="AQ9"/>
      <c r="AR9"/>
      <c r="AS9"/>
      <c r="AT9" s="1" t="s">
        <v>614</v>
      </c>
      <c r="AU9" t="s">
        <v>46</v>
      </c>
      <c r="AV9">
        <v>3</v>
      </c>
      <c r="AX9"/>
      <c r="AZ9" s="1" t="s">
        <v>582</v>
      </c>
    </row>
    <row r="10" spans="1:52" hidden="1" x14ac:dyDescent="0.3">
      <c r="B10" s="1" t="s">
        <v>28</v>
      </c>
      <c r="C10" s="1" t="s">
        <v>76</v>
      </c>
      <c r="D10" s="1" t="str">
        <f t="shared" si="0"/>
        <v>Kab. Aceh Tenggara</v>
      </c>
      <c r="E10" s="1" t="s">
        <v>36</v>
      </c>
      <c r="F10" s="1" t="str">
        <f>IF(info!$B10=profilKelas!$F$8,ROW(),"")</f>
        <v/>
      </c>
      <c r="G10" s="1" t="str">
        <f>IF(ROWS($F$2:F10)&gt;COUNT($F$2:$F$515),"",INDEX($D$2:$D$515,SMALL($F$2:$F$515,ROWS($F$2:F10))-1))</f>
        <v/>
      </c>
      <c r="H10" s="1" t="s">
        <v>589</v>
      </c>
      <c r="J10" s="1" t="s">
        <v>747</v>
      </c>
      <c r="K10" s="1" t="s">
        <v>664</v>
      </c>
      <c r="L10" s="1" t="s">
        <v>615</v>
      </c>
      <c r="M10" s="1" t="s">
        <v>625</v>
      </c>
      <c r="P10" s="1" t="s">
        <v>620</v>
      </c>
      <c r="Q10" s="1">
        <v>3</v>
      </c>
      <c r="R10" s="1" t="s">
        <v>583</v>
      </c>
      <c r="S10" s="1" t="str">
        <f t="shared" si="3"/>
        <v>Sep</v>
      </c>
      <c r="AE10" s="1">
        <v>6</v>
      </c>
      <c r="AH10"/>
      <c r="AM10"/>
      <c r="AN10"/>
      <c r="AO10"/>
      <c r="AP10"/>
      <c r="AQ10"/>
      <c r="AR10"/>
      <c r="AS10"/>
      <c r="AT10" s="1" t="s">
        <v>614</v>
      </c>
      <c r="AU10" t="s">
        <v>57</v>
      </c>
      <c r="AV10">
        <v>3</v>
      </c>
      <c r="AX10"/>
      <c r="AZ10" s="1" t="s">
        <v>583</v>
      </c>
    </row>
    <row r="11" spans="1:52" hidden="1" x14ac:dyDescent="0.3">
      <c r="B11" s="1" t="s">
        <v>28</v>
      </c>
      <c r="C11" s="1" t="s">
        <v>77</v>
      </c>
      <c r="D11" s="1" t="str">
        <f t="shared" si="0"/>
        <v>Kab. Aceh Timur</v>
      </c>
      <c r="E11" s="1" t="s">
        <v>37</v>
      </c>
      <c r="F11" s="1" t="str">
        <f>IF(info!$B11=profilKelas!$F$8,ROW(),"")</f>
        <v/>
      </c>
      <c r="G11" s="1" t="str">
        <f>IF(ROWS($F$2:F11)&gt;COUNT($F$2:$F$515),"",INDEX($D$2:$D$515,SMALL($F$2:$F$515,ROWS($F$2:F11))-1))</f>
        <v/>
      </c>
      <c r="H11" s="1" t="s">
        <v>590</v>
      </c>
      <c r="J11" s="1" t="s">
        <v>748</v>
      </c>
      <c r="K11" s="1" t="s">
        <v>665</v>
      </c>
      <c r="L11" s="1" t="s">
        <v>615</v>
      </c>
      <c r="M11" s="1" t="s">
        <v>626</v>
      </c>
      <c r="P11" s="1" t="s">
        <v>648</v>
      </c>
      <c r="Q11" s="1">
        <v>4</v>
      </c>
      <c r="R11" s="1" t="s">
        <v>584</v>
      </c>
      <c r="S11" s="1" t="str">
        <f t="shared" si="3"/>
        <v>Okt</v>
      </c>
      <c r="AE11" s="1">
        <v>7</v>
      </c>
      <c r="AH11"/>
      <c r="AM11"/>
      <c r="AN11"/>
      <c r="AO11"/>
      <c r="AP11"/>
      <c r="AQ11"/>
      <c r="AR11"/>
      <c r="AS11"/>
      <c r="AT11" s="1" t="s">
        <v>614</v>
      </c>
      <c r="AU11" t="s">
        <v>59</v>
      </c>
      <c r="AV11">
        <v>3</v>
      </c>
      <c r="AX11"/>
      <c r="AZ11" s="1" t="s">
        <v>584</v>
      </c>
    </row>
    <row r="12" spans="1:52" hidden="1" x14ac:dyDescent="0.3">
      <c r="B12" s="1" t="s">
        <v>28</v>
      </c>
      <c r="C12" s="1" t="s">
        <v>78</v>
      </c>
      <c r="D12" s="1" t="str">
        <f t="shared" si="0"/>
        <v>Kab. Aceh Utara</v>
      </c>
      <c r="E12" s="1" t="s">
        <v>38</v>
      </c>
      <c r="F12" s="1" t="str">
        <f>IF(info!$B12=profilKelas!$F$8,ROW(),"")</f>
        <v/>
      </c>
      <c r="G12" s="1" t="str">
        <f>IF(ROWS($F$2:F12)&gt;COUNT($F$2:$F$515),"",INDEX($D$2:$D$515,SMALL($F$2:$F$515,ROWS($F$2:F12))-1))</f>
        <v/>
      </c>
      <c r="H12" s="1" t="s">
        <v>591</v>
      </c>
      <c r="J12" s="1" t="s">
        <v>749</v>
      </c>
      <c r="K12" s="1" t="s">
        <v>666</v>
      </c>
      <c r="L12" s="1" t="s">
        <v>615</v>
      </c>
      <c r="M12" s="1" t="s">
        <v>627</v>
      </c>
      <c r="P12" s="1" t="s">
        <v>645</v>
      </c>
      <c r="Q12" s="1">
        <v>5</v>
      </c>
      <c r="R12" s="1" t="s">
        <v>585</v>
      </c>
      <c r="S12" s="1" t="str">
        <f t="shared" si="3"/>
        <v>Nov</v>
      </c>
      <c r="AE12" s="1">
        <v>8</v>
      </c>
      <c r="AH12"/>
      <c r="AM12"/>
      <c r="AN12"/>
      <c r="AO12"/>
      <c r="AP12"/>
      <c r="AQ12"/>
      <c r="AR12"/>
      <c r="AS12"/>
      <c r="AT12" s="1" t="s">
        <v>614</v>
      </c>
      <c r="AU12" t="s">
        <v>64</v>
      </c>
      <c r="AV12">
        <v>3</v>
      </c>
      <c r="AX12"/>
      <c r="AZ12" s="1" t="s">
        <v>585</v>
      </c>
    </row>
    <row r="13" spans="1:52" hidden="1" x14ac:dyDescent="0.3">
      <c r="B13" s="1" t="s">
        <v>28</v>
      </c>
      <c r="C13" s="1" t="s">
        <v>79</v>
      </c>
      <c r="D13" s="1" t="str">
        <f t="shared" si="0"/>
        <v>Kab. Bener Meriah</v>
      </c>
      <c r="E13" s="1" t="s">
        <v>39</v>
      </c>
      <c r="F13" s="1" t="str">
        <f>IF(info!$B13=profilKelas!$F$8,ROW(),"")</f>
        <v/>
      </c>
      <c r="G13" s="1" t="str">
        <f>IF(ROWS($F$2:F13)&gt;COUNT($F$2:$F$515),"",INDEX($D$2:$D$515,SMALL($F$2:$F$515,ROWS($F$2:F13))-1))</f>
        <v/>
      </c>
      <c r="H13" s="1" t="s">
        <v>592</v>
      </c>
      <c r="J13" s="1" t="s">
        <v>750</v>
      </c>
      <c r="K13" s="1" t="s">
        <v>667</v>
      </c>
      <c r="L13" s="1" t="s">
        <v>631</v>
      </c>
      <c r="M13" s="1" t="s">
        <v>20</v>
      </c>
      <c r="P13" s="1" t="s">
        <v>22</v>
      </c>
      <c r="Q13" s="1">
        <v>6</v>
      </c>
      <c r="R13" s="1" t="s">
        <v>586</v>
      </c>
      <c r="S13" s="1" t="str">
        <f t="shared" si="3"/>
        <v>Des</v>
      </c>
      <c r="AE13" s="1">
        <v>9</v>
      </c>
      <c r="AH13"/>
      <c r="AM13"/>
      <c r="AN13"/>
      <c r="AO13"/>
      <c r="AP13"/>
      <c r="AQ13"/>
      <c r="AR13"/>
      <c r="AS13"/>
      <c r="AT13" s="1" t="s">
        <v>614</v>
      </c>
      <c r="AU13" t="s">
        <v>65</v>
      </c>
      <c r="AV13">
        <v>3</v>
      </c>
      <c r="AX13"/>
      <c r="AZ13" s="1" t="s">
        <v>586</v>
      </c>
    </row>
    <row r="14" spans="1:52" hidden="1" x14ac:dyDescent="0.3">
      <c r="B14" s="1" t="s">
        <v>28</v>
      </c>
      <c r="C14" s="1" t="s">
        <v>80</v>
      </c>
      <c r="D14" s="1" t="str">
        <f t="shared" si="0"/>
        <v>Kab. Bireuen</v>
      </c>
      <c r="E14" s="1" t="s">
        <v>40</v>
      </c>
      <c r="F14" s="1" t="str">
        <f>IF(info!$B14=profilKelas!$F$8,ROW(),"")</f>
        <v/>
      </c>
      <c r="G14" s="1" t="str">
        <f>IF(ROWS($F$2:F14)&gt;COUNT($F$2:$F$515),"",INDEX($D$2:$D$515,SMALL($F$2:$F$515,ROWS($F$2:F14))-1))</f>
        <v/>
      </c>
      <c r="J14" s="1" t="s">
        <v>751</v>
      </c>
      <c r="K14" s="1" t="s">
        <v>668</v>
      </c>
      <c r="L14" s="1" t="s">
        <v>631</v>
      </c>
      <c r="M14" s="1" t="s">
        <v>628</v>
      </c>
      <c r="P14" s="1" t="s">
        <v>644</v>
      </c>
      <c r="AE14" s="1">
        <v>10</v>
      </c>
      <c r="AH14"/>
      <c r="AM14"/>
      <c r="AN14"/>
      <c r="AO14"/>
      <c r="AP14"/>
      <c r="AQ14"/>
      <c r="AR14"/>
      <c r="AS14"/>
      <c r="AT14" s="1" t="s">
        <v>614</v>
      </c>
      <c r="AU14" t="s">
        <v>30</v>
      </c>
      <c r="AV14">
        <v>4</v>
      </c>
      <c r="AX14"/>
      <c r="AZ14">
        <v>1</v>
      </c>
    </row>
    <row r="15" spans="1:52" hidden="1" x14ac:dyDescent="0.3">
      <c r="B15" s="1" t="s">
        <v>28</v>
      </c>
      <c r="C15" s="1" t="s">
        <v>81</v>
      </c>
      <c r="D15" s="1" t="str">
        <f t="shared" si="0"/>
        <v>Kab. Gayo Lues</v>
      </c>
      <c r="E15" s="1" t="s">
        <v>41</v>
      </c>
      <c r="F15" s="1" t="str">
        <f>IF(info!$B15=profilKelas!$F$8,ROW(),"")</f>
        <v/>
      </c>
      <c r="G15" s="1" t="str">
        <f>IF(ROWS($F$2:F15)&gt;COUNT($F$2:$F$515),"",INDEX($D$2:$D$515,SMALL($F$2:$F$515,ROWS($F$2:F15))-1))</f>
        <v/>
      </c>
      <c r="J15" s="1" t="s">
        <v>752</v>
      </c>
      <c r="K15" s="1" t="s">
        <v>669</v>
      </c>
      <c r="L15" s="1" t="s">
        <v>631</v>
      </c>
      <c r="M15" s="1" t="s">
        <v>629</v>
      </c>
      <c r="P15" s="1" t="s">
        <v>642</v>
      </c>
      <c r="AE15" s="1">
        <v>11</v>
      </c>
      <c r="AH15"/>
      <c r="AM15"/>
      <c r="AN15"/>
      <c r="AO15"/>
      <c r="AP15"/>
      <c r="AQ15"/>
      <c r="AR15"/>
      <c r="AS15"/>
      <c r="AT15" s="1" t="s">
        <v>614</v>
      </c>
      <c r="AU15" t="s">
        <v>31</v>
      </c>
      <c r="AV15">
        <v>4</v>
      </c>
      <c r="AX15"/>
      <c r="AZ15">
        <v>2</v>
      </c>
    </row>
    <row r="16" spans="1:52" hidden="1" x14ac:dyDescent="0.3">
      <c r="B16" s="1" t="s">
        <v>28</v>
      </c>
      <c r="C16" s="1" t="s">
        <v>87</v>
      </c>
      <c r="D16" s="1" t="str">
        <f t="shared" si="0"/>
        <v>Kab. Nagan Raya</v>
      </c>
      <c r="E16" s="1" t="s">
        <v>42</v>
      </c>
      <c r="F16" s="1" t="str">
        <f>IF(info!$B16=profilKelas!$F$8,ROW(),"")</f>
        <v/>
      </c>
      <c r="G16" s="1" t="str">
        <f>IF(ROWS($F$2:F16)&gt;COUNT($F$2:$F$515),"",INDEX($D$2:$D$515,SMALL($F$2:$F$515,ROWS($F$2:F16))-1))</f>
        <v/>
      </c>
      <c r="J16" s="1" t="s">
        <v>754</v>
      </c>
      <c r="K16" s="1" t="s">
        <v>670</v>
      </c>
      <c r="L16" s="1" t="s">
        <v>632</v>
      </c>
      <c r="M16" s="1" t="s">
        <v>20</v>
      </c>
      <c r="P16" s="1" t="s">
        <v>647</v>
      </c>
      <c r="AE16" s="1">
        <v>12</v>
      </c>
      <c r="AH16"/>
      <c r="AM16"/>
      <c r="AN16"/>
      <c r="AO16"/>
      <c r="AP16"/>
      <c r="AQ16"/>
      <c r="AR16"/>
      <c r="AS16"/>
      <c r="AT16" s="1" t="s">
        <v>614</v>
      </c>
      <c r="AU16" t="s">
        <v>34</v>
      </c>
      <c r="AV16">
        <v>4</v>
      </c>
      <c r="AX16"/>
      <c r="AZ16" s="1" t="s">
        <v>938</v>
      </c>
    </row>
    <row r="17" spans="2:55" hidden="1" x14ac:dyDescent="0.3">
      <c r="B17" s="1" t="s">
        <v>28</v>
      </c>
      <c r="C17" s="1" t="s">
        <v>88</v>
      </c>
      <c r="D17" s="1" t="str">
        <f t="shared" si="0"/>
        <v>Kab. Pidie</v>
      </c>
      <c r="E17" s="1" t="s">
        <v>43</v>
      </c>
      <c r="F17" s="1" t="str">
        <f>IF(info!$B17=profilKelas!$F$8,ROW(),"")</f>
        <v/>
      </c>
      <c r="G17" s="1" t="str">
        <f>IF(ROWS($F$2:F17)&gt;COUNT($F$2:$F$515),"",INDEX($D$2:$D$515,SMALL($F$2:$F$515,ROWS($F$2:F17))-1))</f>
        <v/>
      </c>
      <c r="J17" s="1" t="s">
        <v>755</v>
      </c>
      <c r="K17" s="1" t="s">
        <v>671</v>
      </c>
      <c r="L17" s="1" t="s">
        <v>632</v>
      </c>
      <c r="M17" s="1" t="s">
        <v>628</v>
      </c>
      <c r="P17" s="1" t="s">
        <v>23</v>
      </c>
      <c r="AE17" s="1">
        <v>13</v>
      </c>
      <c r="AH17"/>
      <c r="AM17"/>
      <c r="AN17"/>
      <c r="AO17"/>
      <c r="AP17"/>
      <c r="AQ17"/>
      <c r="AR17"/>
      <c r="AS17"/>
      <c r="AT17" s="1" t="s">
        <v>614</v>
      </c>
      <c r="AU17" t="s">
        <v>45</v>
      </c>
      <c r="AV17">
        <v>4</v>
      </c>
      <c r="AX17"/>
      <c r="AY17"/>
      <c r="AZ17"/>
      <c r="BA17"/>
      <c r="BB17"/>
      <c r="BC17"/>
    </row>
    <row r="18" spans="2:55" hidden="1" x14ac:dyDescent="0.3">
      <c r="B18" s="1" t="s">
        <v>28</v>
      </c>
      <c r="C18" s="1" t="s">
        <v>89</v>
      </c>
      <c r="D18" s="1" t="str">
        <f t="shared" si="0"/>
        <v>Kab. Pidie Jaya</v>
      </c>
      <c r="E18" s="1" t="s">
        <v>44</v>
      </c>
      <c r="F18" s="1" t="str">
        <f>IF(info!$B18=profilKelas!$F$8,ROW(),"")</f>
        <v/>
      </c>
      <c r="G18" s="1" t="str">
        <f>IF(ROWS($F$2:F18)&gt;COUNT($F$2:$F$515),"",INDEX($D$2:$D$515,SMALL($F$2:$F$515,ROWS($F$2:F18))-1))</f>
        <v/>
      </c>
      <c r="J18" s="1" t="s">
        <v>756</v>
      </c>
      <c r="K18" s="1" t="s">
        <v>672</v>
      </c>
      <c r="L18" s="1" t="s">
        <v>632</v>
      </c>
      <c r="M18" s="1" t="s">
        <v>629</v>
      </c>
      <c r="P18" s="1" t="s">
        <v>649</v>
      </c>
      <c r="AE18" s="1">
        <v>14</v>
      </c>
      <c r="AH18"/>
      <c r="AM18"/>
      <c r="AN18"/>
      <c r="AO18"/>
      <c r="AP18"/>
      <c r="AQ18"/>
      <c r="AR18"/>
      <c r="AS18"/>
      <c r="AT18" s="1" t="s">
        <v>614</v>
      </c>
      <c r="AU18" t="s">
        <v>48</v>
      </c>
      <c r="AV18">
        <v>4</v>
      </c>
      <c r="AX18"/>
      <c r="AY18"/>
      <c r="AZ18"/>
      <c r="BA18"/>
      <c r="BB18"/>
      <c r="BC18"/>
    </row>
    <row r="19" spans="2:55" hidden="1" x14ac:dyDescent="0.3">
      <c r="B19" s="1" t="s">
        <v>28</v>
      </c>
      <c r="C19" s="1" t="s">
        <v>90</v>
      </c>
      <c r="D19" s="1" t="str">
        <f t="shared" si="0"/>
        <v>Kab. Simeulue</v>
      </c>
      <c r="E19" s="1" t="s">
        <v>45</v>
      </c>
      <c r="F19" s="1" t="str">
        <f>IF(info!$B19=profilKelas!$F$8,ROW(),"")</f>
        <v/>
      </c>
      <c r="G19" s="1" t="str">
        <f>IF(ROWS($F$2:F19)&gt;COUNT($F$2:$F$515),"",INDEX($D$2:$D$515,SMALL($F$2:$F$515,ROWS($F$2:F19))-1))</f>
        <v/>
      </c>
      <c r="J19" s="1" t="s">
        <v>757</v>
      </c>
      <c r="K19" s="1" t="s">
        <v>673</v>
      </c>
      <c r="L19" s="1" t="s">
        <v>632</v>
      </c>
      <c r="M19" s="1" t="s">
        <v>630</v>
      </c>
      <c r="P19" s="1" t="s">
        <v>641</v>
      </c>
      <c r="AE19" s="1">
        <v>15</v>
      </c>
      <c r="AH19"/>
      <c r="AM19"/>
      <c r="AN19"/>
      <c r="AO19"/>
      <c r="AP19"/>
      <c r="AQ19"/>
      <c r="AR19"/>
      <c r="AS19"/>
      <c r="AT19" s="1" t="s">
        <v>614</v>
      </c>
      <c r="AU19" t="s">
        <v>50</v>
      </c>
      <c r="AV19">
        <v>4</v>
      </c>
      <c r="AX19"/>
      <c r="AY19"/>
      <c r="AZ19"/>
      <c r="BA19"/>
      <c r="BB19"/>
      <c r="BC19"/>
    </row>
    <row r="20" spans="2:55" hidden="1" x14ac:dyDescent="0.3">
      <c r="B20" s="1" t="s">
        <v>28</v>
      </c>
      <c r="C20" s="1" t="s">
        <v>82</v>
      </c>
      <c r="D20" s="1" t="str">
        <f t="shared" si="0"/>
        <v>Kota Banda Aceh</v>
      </c>
      <c r="E20" s="1" t="s">
        <v>46</v>
      </c>
      <c r="F20" s="1" t="str">
        <f>IF(info!$B20=profilKelas!$F$8,ROW(),"")</f>
        <v/>
      </c>
      <c r="G20" s="1" t="str">
        <f>IF(ROWS($F$2:F20)&gt;COUNT($F$2:$F$515),"",INDEX($D$2:$D$515,SMALL($F$2:$F$515,ROWS($F$2:F20))-1))</f>
        <v/>
      </c>
      <c r="J20" s="1" t="s">
        <v>758</v>
      </c>
      <c r="K20" s="1" t="s">
        <v>674</v>
      </c>
      <c r="P20" s="1" t="s">
        <v>643</v>
      </c>
      <c r="AE20" s="1">
        <v>16</v>
      </c>
      <c r="AH20"/>
      <c r="AM20"/>
      <c r="AN20"/>
      <c r="AO20"/>
      <c r="AP20"/>
      <c r="AQ20"/>
      <c r="AR20"/>
      <c r="AS20"/>
      <c r="AT20" s="1" t="s">
        <v>614</v>
      </c>
      <c r="AU20" t="s">
        <v>39</v>
      </c>
      <c r="AV20">
        <v>5</v>
      </c>
      <c r="AX20"/>
      <c r="AY20"/>
      <c r="AZ20"/>
      <c r="BA20"/>
      <c r="BB20"/>
      <c r="BC20"/>
    </row>
    <row r="21" spans="2:55" hidden="1" x14ac:dyDescent="0.3">
      <c r="B21" s="1" t="s">
        <v>28</v>
      </c>
      <c r="C21" s="1" t="s">
        <v>83</v>
      </c>
      <c r="D21" s="1" t="str">
        <f t="shared" si="0"/>
        <v>Kota Langsa</v>
      </c>
      <c r="E21" s="1" t="s">
        <v>47</v>
      </c>
      <c r="F21" s="1" t="str">
        <f>IF(info!$B21=profilKelas!$F$8,ROW(),"")</f>
        <v/>
      </c>
      <c r="G21" s="1" t="str">
        <f>IF(ROWS($F$2:F21)&gt;COUNT($F$2:$F$515),"",INDEX($D$2:$D$515,SMALL($F$2:$F$515,ROWS($F$2:F21))-1))</f>
        <v/>
      </c>
      <c r="J21" s="1" t="s">
        <v>759</v>
      </c>
      <c r="K21" s="1" t="s">
        <v>675</v>
      </c>
      <c r="P21" s="1" t="s">
        <v>650</v>
      </c>
      <c r="AE21" s="1">
        <v>17</v>
      </c>
      <c r="AH21"/>
      <c r="AM21"/>
      <c r="AN21"/>
      <c r="AO21"/>
      <c r="AP21"/>
      <c r="AQ21"/>
      <c r="AR21"/>
      <c r="AS21"/>
      <c r="AT21" s="1" t="s">
        <v>614</v>
      </c>
      <c r="AU21" t="s">
        <v>40</v>
      </c>
      <c r="AV21">
        <v>5</v>
      </c>
      <c r="AX21"/>
      <c r="AY21"/>
      <c r="AZ21"/>
      <c r="BA21"/>
      <c r="BB21"/>
      <c r="BC21"/>
    </row>
    <row r="22" spans="2:55" hidden="1" x14ac:dyDescent="0.3">
      <c r="B22" s="1" t="s">
        <v>28</v>
      </c>
      <c r="C22" s="1" t="s">
        <v>84</v>
      </c>
      <c r="D22" s="1" t="str">
        <f t="shared" si="0"/>
        <v>Kota Lhokseumawe</v>
      </c>
      <c r="E22" s="1" t="s">
        <v>48</v>
      </c>
      <c r="F22" s="1" t="str">
        <f>IF(info!$B22=profilKelas!$F$8,ROW(),"")</f>
        <v/>
      </c>
      <c r="G22" s="1" t="str">
        <f>IF(ROWS($F$2:F22)&gt;COUNT($F$2:$F$515),"",INDEX($D$2:$D$515,SMALL($F$2:$F$515,ROWS($F$2:F22))-1))</f>
        <v/>
      </c>
      <c r="J22" s="1" t="s">
        <v>760</v>
      </c>
      <c r="K22" s="1" t="s">
        <v>676</v>
      </c>
      <c r="P22" s="1" t="s">
        <v>646</v>
      </c>
      <c r="AE22" s="1">
        <v>18</v>
      </c>
      <c r="AH22"/>
      <c r="AM22"/>
      <c r="AN22"/>
      <c r="AO22"/>
      <c r="AP22"/>
      <c r="AQ22"/>
      <c r="AR22"/>
      <c r="AS22"/>
      <c r="AT22" s="1" t="s">
        <v>614</v>
      </c>
      <c r="AU22" t="s">
        <v>41</v>
      </c>
      <c r="AV22">
        <v>5</v>
      </c>
      <c r="AX22"/>
      <c r="AY22"/>
      <c r="AZ22"/>
      <c r="BA22"/>
      <c r="BB22"/>
      <c r="BC22"/>
    </row>
    <row r="23" spans="2:55" hidden="1" x14ac:dyDescent="0.3">
      <c r="B23" s="1" t="s">
        <v>28</v>
      </c>
      <c r="C23" s="1" t="s">
        <v>85</v>
      </c>
      <c r="D23" s="1" t="str">
        <f t="shared" si="0"/>
        <v>Kota Sabang</v>
      </c>
      <c r="E23" s="1" t="s">
        <v>49</v>
      </c>
      <c r="F23" s="1" t="str">
        <f>IF(info!$B23=profilKelas!$F$8,ROW(),"")</f>
        <v/>
      </c>
      <c r="G23" s="1" t="str">
        <f>IF(ROWS($F$2:F23)&gt;COUNT($F$2:$F$515),"",INDEX($D$2:$D$515,SMALL($F$2:$F$515,ROWS($F$2:F23))-1))</f>
        <v/>
      </c>
      <c r="J23" s="1" t="s">
        <v>761</v>
      </c>
      <c r="K23" s="1" t="s">
        <v>677</v>
      </c>
      <c r="P23" s="1" t="s">
        <v>595</v>
      </c>
      <c r="AE23" s="1">
        <v>19</v>
      </c>
      <c r="AH23"/>
      <c r="AM23"/>
      <c r="AN23"/>
      <c r="AO23"/>
      <c r="AP23"/>
      <c r="AQ23"/>
      <c r="AR23"/>
      <c r="AS23"/>
      <c r="AT23" s="1" t="s">
        <v>614</v>
      </c>
      <c r="AU23" t="s">
        <v>49</v>
      </c>
      <c r="AV23">
        <v>5</v>
      </c>
      <c r="AX23"/>
      <c r="AY23"/>
      <c r="AZ23"/>
      <c r="BA23"/>
      <c r="BB23"/>
      <c r="BC23"/>
    </row>
    <row r="24" spans="2:55" hidden="1" x14ac:dyDescent="0.3">
      <c r="B24" s="1" t="s">
        <v>28</v>
      </c>
      <c r="C24" s="1" t="s">
        <v>86</v>
      </c>
      <c r="D24" s="1" t="str">
        <f t="shared" si="0"/>
        <v>Kota Subulussalam</v>
      </c>
      <c r="E24" s="1" t="s">
        <v>50</v>
      </c>
      <c r="F24" s="1" t="str">
        <f>IF(info!$B24=profilKelas!$F$8,ROW(),"")</f>
        <v/>
      </c>
      <c r="G24" s="1" t="str">
        <f>IF(ROWS($F$2:F24)&gt;COUNT($F$2:$F$515),"",INDEX($D$2:$D$515,SMALL($F$2:$F$515,ROWS($F$2:F24))-1))</f>
        <v/>
      </c>
      <c r="J24" s="1" t="s">
        <v>762</v>
      </c>
      <c r="K24" s="1" t="s">
        <v>678</v>
      </c>
      <c r="P24" s="1" t="s">
        <v>652</v>
      </c>
      <c r="AE24" s="1">
        <v>20</v>
      </c>
      <c r="AH24"/>
      <c r="AM24"/>
      <c r="AN24"/>
      <c r="AO24"/>
      <c r="AP24"/>
      <c r="AQ24"/>
      <c r="AR24"/>
      <c r="AS24"/>
      <c r="AT24" s="1" t="s">
        <v>614</v>
      </c>
      <c r="AU24" t="s">
        <v>58</v>
      </c>
      <c r="AV24">
        <v>5</v>
      </c>
      <c r="AX24"/>
      <c r="AY24"/>
      <c r="AZ24"/>
      <c r="BA24"/>
      <c r="BB24"/>
      <c r="BC24"/>
    </row>
    <row r="25" spans="2:55" hidden="1" x14ac:dyDescent="0.3">
      <c r="B25" s="1" t="s">
        <v>29</v>
      </c>
      <c r="C25" s="1" t="s">
        <v>91</v>
      </c>
      <c r="D25" s="1" t="str">
        <f t="shared" si="0"/>
        <v>Kab. Badung</v>
      </c>
      <c r="E25" s="1" t="s">
        <v>51</v>
      </c>
      <c r="F25" s="1" t="str">
        <f>IF(info!$B25=profilKelas!$F$8,ROW(),"")</f>
        <v/>
      </c>
      <c r="G25" s="1" t="str">
        <f>IF(ROWS($F$2:F25)&gt;COUNT($F$2:$F$515),"",INDEX($D$2:$D$515,SMALL($F$2:$F$515,ROWS($F$2:F25))-1))</f>
        <v/>
      </c>
      <c r="J25" s="1" t="s">
        <v>763</v>
      </c>
      <c r="K25" s="1" t="s">
        <v>679</v>
      </c>
      <c r="P25" s="1" t="s">
        <v>20</v>
      </c>
      <c r="AE25" s="1">
        <v>21</v>
      </c>
      <c r="AH25"/>
      <c r="AM25"/>
      <c r="AN25"/>
      <c r="AO25"/>
      <c r="AP25"/>
      <c r="AQ25"/>
      <c r="AR25"/>
      <c r="AS25"/>
      <c r="AT25" s="1" t="s">
        <v>614</v>
      </c>
      <c r="AU25" t="s">
        <v>60</v>
      </c>
      <c r="AV25">
        <v>5</v>
      </c>
      <c r="AX25"/>
      <c r="AY25"/>
      <c r="AZ25"/>
      <c r="BA25"/>
      <c r="BB25"/>
      <c r="BC25"/>
    </row>
    <row r="26" spans="2:55" hidden="1" x14ac:dyDescent="0.3">
      <c r="B26" s="1" t="s">
        <v>29</v>
      </c>
      <c r="C26" s="1" t="s">
        <v>92</v>
      </c>
      <c r="D26" s="1" t="str">
        <f t="shared" si="0"/>
        <v>Kab. Bangli</v>
      </c>
      <c r="E26" s="1" t="s">
        <v>52</v>
      </c>
      <c r="F26" s="1" t="str">
        <f>IF(info!$B26=profilKelas!$F$8,ROW(),"")</f>
        <v/>
      </c>
      <c r="G26" s="1" t="str">
        <f>IF(ROWS($F$2:F26)&gt;COUNT($F$2:$F$515),"",INDEX($D$2:$D$515,SMALL($F$2:$F$515,ROWS($F$2:F26))-1))</f>
        <v/>
      </c>
      <c r="J26" s="1" t="s">
        <v>764</v>
      </c>
      <c r="K26" s="1" t="s">
        <v>680</v>
      </c>
      <c r="P26" s="1" t="s">
        <v>651</v>
      </c>
      <c r="AE26" s="1">
        <v>22</v>
      </c>
      <c r="AH26"/>
      <c r="AM26"/>
      <c r="AN26"/>
      <c r="AO26"/>
      <c r="AP26"/>
      <c r="AQ26"/>
      <c r="AR26"/>
      <c r="AS26"/>
      <c r="AT26" s="1" t="s">
        <v>614</v>
      </c>
      <c r="AU26" t="s">
        <v>61</v>
      </c>
      <c r="AV26">
        <v>5</v>
      </c>
      <c r="AX26"/>
      <c r="AY26"/>
      <c r="AZ26"/>
      <c r="BA26"/>
      <c r="BB26"/>
      <c r="BC26"/>
    </row>
    <row r="27" spans="2:55" hidden="1" x14ac:dyDescent="0.3">
      <c r="B27" s="1" t="s">
        <v>29</v>
      </c>
      <c r="C27" s="1" t="s">
        <v>93</v>
      </c>
      <c r="D27" s="1" t="str">
        <f t="shared" si="0"/>
        <v>Kab. Buleleng</v>
      </c>
      <c r="E27" s="1" t="s">
        <v>53</v>
      </c>
      <c r="F27" s="1" t="str">
        <f>IF(info!$B27=profilKelas!$F$8,ROW(),"")</f>
        <v/>
      </c>
      <c r="G27" s="1" t="str">
        <f>IF(ROWS($F$2:F27)&gt;COUNT($F$2:$F$515),"",INDEX($D$2:$D$515,SMALL($F$2:$F$515,ROWS($F$2:F27))-1))</f>
        <v/>
      </c>
      <c r="J27" s="1" t="s">
        <v>765</v>
      </c>
      <c r="K27" s="1" t="s">
        <v>681</v>
      </c>
      <c r="P27" s="1" t="s">
        <v>653</v>
      </c>
      <c r="AE27" s="1">
        <v>23</v>
      </c>
      <c r="AH27"/>
      <c r="AM27"/>
      <c r="AN27"/>
      <c r="AO27"/>
      <c r="AP27"/>
      <c r="AQ27"/>
      <c r="AR27"/>
      <c r="AS27"/>
      <c r="AT27" s="1" t="s">
        <v>614</v>
      </c>
      <c r="AU27" t="s">
        <v>63</v>
      </c>
      <c r="AV27">
        <v>5</v>
      </c>
      <c r="AX27"/>
      <c r="AY27"/>
      <c r="AZ27"/>
      <c r="BA27"/>
      <c r="BB27"/>
      <c r="BC27"/>
    </row>
    <row r="28" spans="2:55" hidden="1" x14ac:dyDescent="0.3">
      <c r="B28" s="1" t="s">
        <v>29</v>
      </c>
      <c r="C28" s="1" t="s">
        <v>94</v>
      </c>
      <c r="D28" s="1" t="str">
        <f t="shared" si="0"/>
        <v>Kab. Gianyar</v>
      </c>
      <c r="E28" s="1" t="s">
        <v>54</v>
      </c>
      <c r="F28" s="1" t="str">
        <f>IF(info!$B28=profilKelas!$F$8,ROW(),"")</f>
        <v/>
      </c>
      <c r="G28" s="1" t="str">
        <f>IF(ROWS($F$2:F28)&gt;COUNT($F$2:$F$515),"",INDEX($D$2:$D$515,SMALL($F$2:$F$515,ROWS($F$2:F28))-1))</f>
        <v/>
      </c>
      <c r="J28" s="1" t="s">
        <v>766</v>
      </c>
      <c r="K28" s="1" t="s">
        <v>682</v>
      </c>
      <c r="S28" s="1" t="str" cm="1">
        <f t="array" aca="1" ref="S28:S67" ca="1">OFFSET(info!$G$2, 0, 0, COUNTA(info!$G1:$G41)-1, 1)</f>
        <v/>
      </c>
      <c r="AE28" s="1">
        <v>24</v>
      </c>
      <c r="AH28"/>
      <c r="AM28"/>
      <c r="AN28"/>
      <c r="AO28"/>
      <c r="AP28"/>
      <c r="AQ28"/>
      <c r="AR28"/>
      <c r="AS28"/>
      <c r="AT28" s="1" t="s">
        <v>614</v>
      </c>
      <c r="AU28" t="s">
        <v>29</v>
      </c>
      <c r="AV28">
        <v>6</v>
      </c>
      <c r="AX28"/>
      <c r="AY28"/>
      <c r="AZ28"/>
      <c r="BA28"/>
      <c r="BB28"/>
      <c r="BC28"/>
    </row>
    <row r="29" spans="2:55" hidden="1" x14ac:dyDescent="0.3">
      <c r="B29" s="1" t="s">
        <v>29</v>
      </c>
      <c r="C29" s="1" t="s">
        <v>95</v>
      </c>
      <c r="D29" s="1" t="str">
        <f t="shared" si="0"/>
        <v>Kab. Jembrana</v>
      </c>
      <c r="E29" s="1" t="s">
        <v>55</v>
      </c>
      <c r="F29" s="1" t="str">
        <f>IF(info!$B29=profilKelas!$F$8,ROW(),"")</f>
        <v/>
      </c>
      <c r="G29" s="1" t="str">
        <f>IF(ROWS($F$2:F29)&gt;COUNT($F$2:$F$515),"",INDEX($D$2:$D$515,SMALL($F$2:$F$515,ROWS($F$2:F29))-1))</f>
        <v/>
      </c>
      <c r="J29" s="1" t="s">
        <v>767</v>
      </c>
      <c r="K29" s="1" t="s">
        <v>683</v>
      </c>
      <c r="S29" s="1" t="str">
        <f ca="1"/>
        <v/>
      </c>
      <c r="AE29" s="1">
        <v>25</v>
      </c>
      <c r="AH29"/>
      <c r="AM29"/>
      <c r="AN29"/>
      <c r="AO29"/>
      <c r="AP29"/>
      <c r="AQ29"/>
      <c r="AR29"/>
      <c r="AS29"/>
      <c r="AT29" s="1" t="s">
        <v>614</v>
      </c>
      <c r="AU29" t="s">
        <v>42</v>
      </c>
      <c r="AV29">
        <v>6</v>
      </c>
      <c r="AX29"/>
      <c r="AY29"/>
      <c r="AZ29"/>
      <c r="BA29"/>
      <c r="BB29"/>
      <c r="BC29"/>
    </row>
    <row r="30" spans="2:55" hidden="1" x14ac:dyDescent="0.3">
      <c r="B30" s="1" t="s">
        <v>29</v>
      </c>
      <c r="C30" s="1" t="s">
        <v>96</v>
      </c>
      <c r="D30" s="1" t="str">
        <f t="shared" si="0"/>
        <v>Kab. Karangasem</v>
      </c>
      <c r="E30" s="1" t="s">
        <v>56</v>
      </c>
      <c r="F30" s="1" t="str">
        <f>IF(info!$B30=profilKelas!$F$8,ROW(),"")</f>
        <v/>
      </c>
      <c r="G30" s="1" t="str">
        <f>IF(ROWS($F$2:F30)&gt;COUNT($F$2:$F$515),"",INDEX($D$2:$D$515,SMALL($F$2:$F$515,ROWS($F$2:F30))-1))</f>
        <v/>
      </c>
      <c r="J30" s="1" t="s">
        <v>768</v>
      </c>
      <c r="K30" s="1" t="s">
        <v>684</v>
      </c>
      <c r="S30" s="1" t="str">
        <f ca="1"/>
        <v/>
      </c>
      <c r="AE30" s="1">
        <v>26</v>
      </c>
      <c r="AH30"/>
      <c r="AM30"/>
      <c r="AN30"/>
      <c r="AO30"/>
      <c r="AP30"/>
      <c r="AQ30"/>
      <c r="AR30"/>
      <c r="AS30"/>
      <c r="AT30" s="1" t="s">
        <v>614</v>
      </c>
      <c r="AU30" t="s">
        <v>43</v>
      </c>
      <c r="AV30">
        <v>6</v>
      </c>
      <c r="AX30"/>
      <c r="AY30"/>
      <c r="AZ30"/>
      <c r="BA30"/>
      <c r="BB30"/>
      <c r="BC30"/>
    </row>
    <row r="31" spans="2:55" hidden="1" x14ac:dyDescent="0.3">
      <c r="B31" s="1" t="s">
        <v>29</v>
      </c>
      <c r="C31" s="1" t="s">
        <v>97</v>
      </c>
      <c r="D31" s="1" t="str">
        <f t="shared" si="0"/>
        <v>Kab. Klungkung</v>
      </c>
      <c r="E31" s="1" t="s">
        <v>57</v>
      </c>
      <c r="F31" s="1" t="str">
        <f>IF(info!$B31=profilKelas!$F$8,ROW(),"")</f>
        <v/>
      </c>
      <c r="G31" s="1" t="str">
        <f>IF(ROWS($F$2:F31)&gt;COUNT($F$2:$F$515),"",INDEX($D$2:$D$515,SMALL($F$2:$F$515,ROWS($F$2:F31))-1))</f>
        <v/>
      </c>
      <c r="J31" s="1" t="s">
        <v>769</v>
      </c>
      <c r="K31" s="1" t="s">
        <v>685</v>
      </c>
      <c r="S31" s="1" t="str">
        <f ca="1"/>
        <v/>
      </c>
      <c r="AE31" s="1">
        <v>27</v>
      </c>
      <c r="AH31"/>
      <c r="AM31"/>
      <c r="AN31"/>
      <c r="AO31"/>
      <c r="AP31"/>
      <c r="AQ31"/>
      <c r="AR31"/>
      <c r="AS31"/>
      <c r="AT31" s="1" t="s">
        <v>614</v>
      </c>
      <c r="AU31" t="s">
        <v>44</v>
      </c>
      <c r="AV31">
        <v>6</v>
      </c>
      <c r="AX31"/>
      <c r="AY31"/>
      <c r="AZ31"/>
      <c r="BA31"/>
      <c r="BB31"/>
      <c r="BC31"/>
    </row>
    <row r="32" spans="2:55" hidden="1" x14ac:dyDescent="0.3">
      <c r="B32" s="1" t="s">
        <v>29</v>
      </c>
      <c r="C32" s="1" t="s">
        <v>99</v>
      </c>
      <c r="D32" s="1" t="str">
        <f t="shared" si="0"/>
        <v>Kab. Tabanan</v>
      </c>
      <c r="E32" s="1" t="s">
        <v>58</v>
      </c>
      <c r="F32" s="1" t="str">
        <f>IF(info!$B32=profilKelas!$F$8,ROW(),"")</f>
        <v/>
      </c>
      <c r="G32" s="1" t="str">
        <f>IF(ROWS($F$2:F32)&gt;COUNT($F$2:$F$515),"",INDEX($D$2:$D$515,SMALL($F$2:$F$515,ROWS($F$2:F32))-1))</f>
        <v/>
      </c>
      <c r="J32" s="1" t="s">
        <v>770</v>
      </c>
      <c r="K32" s="1" t="s">
        <v>686</v>
      </c>
      <c r="S32" s="1" t="str">
        <f ca="1"/>
        <v/>
      </c>
      <c r="AE32" s="1">
        <v>28</v>
      </c>
      <c r="AH32"/>
      <c r="AM32"/>
      <c r="AN32"/>
      <c r="AO32"/>
      <c r="AP32"/>
      <c r="AQ32"/>
      <c r="AR32"/>
      <c r="AS32"/>
      <c r="AT32" s="1" t="s">
        <v>614</v>
      </c>
      <c r="AU32" t="s">
        <v>47</v>
      </c>
      <c r="AV32">
        <v>6</v>
      </c>
      <c r="AX32"/>
      <c r="AY32"/>
      <c r="AZ32"/>
      <c r="BA32"/>
      <c r="BB32"/>
      <c r="BC32"/>
    </row>
    <row r="33" spans="2:55" hidden="1" x14ac:dyDescent="0.3">
      <c r="B33" s="1" t="s">
        <v>29</v>
      </c>
      <c r="C33" s="1" t="s">
        <v>98</v>
      </c>
      <c r="D33" s="1" t="str">
        <f t="shared" si="0"/>
        <v>Kota Denpasar</v>
      </c>
      <c r="E33" s="1" t="s">
        <v>59</v>
      </c>
      <c r="F33" s="1" t="str">
        <f>IF(info!$B33=profilKelas!$F$8,ROW(),"")</f>
        <v/>
      </c>
      <c r="G33" s="1" t="str">
        <f>IF(ROWS($F$2:F33)&gt;COUNT($F$2:$F$515),"",INDEX($D$2:$D$515,SMALL($F$2:$F$515,ROWS($F$2:F33))-1))</f>
        <v/>
      </c>
      <c r="J33" s="1" t="s">
        <v>771</v>
      </c>
      <c r="K33" s="1" t="s">
        <v>687</v>
      </c>
      <c r="Q33" s="1" t="str" cm="1">
        <f t="array" aca="1" ref="Q33:Q67" ca="1">SelectedProv</f>
        <v/>
      </c>
      <c r="S33" s="1" t="str">
        <f ca="1"/>
        <v/>
      </c>
      <c r="AE33" s="1">
        <v>29</v>
      </c>
      <c r="AH33"/>
      <c r="AM33"/>
      <c r="AN33"/>
      <c r="AO33"/>
      <c r="AP33"/>
      <c r="AQ33"/>
      <c r="AR33"/>
      <c r="AS33"/>
      <c r="AT33" s="1" t="s">
        <v>614</v>
      </c>
      <c r="AU33" t="s">
        <v>51</v>
      </c>
      <c r="AV33">
        <v>6</v>
      </c>
      <c r="AX33"/>
      <c r="AY33"/>
      <c r="AZ33"/>
      <c r="BA33"/>
      <c r="BB33"/>
      <c r="BC33"/>
    </row>
    <row r="34" spans="2:55" hidden="1" x14ac:dyDescent="0.3">
      <c r="B34" s="1" t="s">
        <v>30</v>
      </c>
      <c r="C34" s="1" t="s">
        <v>104</v>
      </c>
      <c r="D34" s="1" t="str">
        <f t="shared" si="0"/>
        <v>Kab. Lebak</v>
      </c>
      <c r="E34" s="1" t="s">
        <v>60</v>
      </c>
      <c r="F34" s="1" t="str">
        <f>IF(info!$B34=profilKelas!$F$8,ROW(),"")</f>
        <v/>
      </c>
      <c r="G34" s="1" t="str">
        <f>IF(ROWS($F$2:F34)&gt;COUNT($F$2:$F$515),"",INDEX($D$2:$D$515,SMALL($F$2:$F$515,ROWS($F$2:F34))-1))</f>
        <v/>
      </c>
      <c r="J34" s="1" t="s">
        <v>772</v>
      </c>
      <c r="K34" s="1" t="s">
        <v>688</v>
      </c>
      <c r="Q34" s="1" t="str">
        <f ca="1"/>
        <v/>
      </c>
      <c r="S34" s="1" t="str">
        <f ca="1"/>
        <v/>
      </c>
      <c r="AE34" s="1">
        <v>30</v>
      </c>
      <c r="AH34"/>
      <c r="AM34"/>
      <c r="AN34"/>
      <c r="AO34"/>
      <c r="AP34"/>
      <c r="AQ34"/>
      <c r="AR34"/>
      <c r="AS34"/>
      <c r="AT34" s="1" t="s">
        <v>614</v>
      </c>
      <c r="AU34" t="s">
        <v>52</v>
      </c>
      <c r="AV34">
        <v>6</v>
      </c>
      <c r="AX34"/>
      <c r="AY34"/>
      <c r="AZ34"/>
      <c r="BA34"/>
      <c r="BB34"/>
      <c r="BC34"/>
    </row>
    <row r="35" spans="2:55" hidden="1" x14ac:dyDescent="0.3">
      <c r="B35" s="1" t="s">
        <v>30</v>
      </c>
      <c r="C35" s="1" t="s">
        <v>105</v>
      </c>
      <c r="D35" s="1" t="str">
        <f t="shared" si="0"/>
        <v>Kab. Pandeglang</v>
      </c>
      <c r="E35" s="1" t="s">
        <v>61</v>
      </c>
      <c r="F35" s="1" t="str">
        <f>IF(info!$B35=profilKelas!$F$8,ROW(),"")</f>
        <v/>
      </c>
      <c r="G35" s="1" t="str">
        <f>IF(ROWS($F$2:F35)&gt;COUNT($F$2:$F$515),"",INDEX($D$2:$D$515,SMALL($F$2:$F$515,ROWS($F$2:F35))-1))</f>
        <v/>
      </c>
      <c r="J35" s="1" t="s">
        <v>773</v>
      </c>
      <c r="K35" s="1" t="s">
        <v>689</v>
      </c>
      <c r="Q35" s="1" t="str">
        <f ca="1"/>
        <v/>
      </c>
      <c r="S35" s="1" t="str">
        <f ca="1"/>
        <v/>
      </c>
      <c r="AE35" s="1">
        <v>31</v>
      </c>
      <c r="AH35"/>
      <c r="AM35"/>
      <c r="AN35"/>
      <c r="AO35"/>
      <c r="AP35"/>
      <c r="AQ35"/>
      <c r="AR35"/>
      <c r="AS35"/>
      <c r="AT35" s="1" t="s">
        <v>614</v>
      </c>
      <c r="AU35" t="s">
        <v>53</v>
      </c>
      <c r="AV35">
        <v>6</v>
      </c>
      <c r="AX35"/>
      <c r="AY35"/>
      <c r="AZ35"/>
      <c r="BA35"/>
      <c r="BB35"/>
      <c r="BC35"/>
    </row>
    <row r="36" spans="2:55" hidden="1" x14ac:dyDescent="0.3">
      <c r="B36" s="1" t="s">
        <v>30</v>
      </c>
      <c r="C36" s="1" t="s">
        <v>106</v>
      </c>
      <c r="D36" s="1" t="str">
        <f t="shared" si="0"/>
        <v>Kab. Serang</v>
      </c>
      <c r="E36" s="1" t="s">
        <v>62</v>
      </c>
      <c r="F36" s="1" t="str">
        <f>IF(info!$B36=profilKelas!$F$8,ROW(),"")</f>
        <v/>
      </c>
      <c r="G36" s="1" t="str">
        <f>IF(ROWS($F$2:F36)&gt;COUNT($F$2:$F$515),"",INDEX($D$2:$D$515,SMALL($F$2:$F$515,ROWS($F$2:F36))-1))</f>
        <v/>
      </c>
      <c r="J36" s="1" t="s">
        <v>774</v>
      </c>
      <c r="K36" s="1" t="s">
        <v>690</v>
      </c>
      <c r="Q36" s="1" t="str">
        <f ca="1"/>
        <v/>
      </c>
      <c r="S36" s="1" t="str">
        <f ca="1"/>
        <v/>
      </c>
      <c r="AE36" s="1">
        <v>32</v>
      </c>
      <c r="AH36"/>
      <c r="AM36"/>
      <c r="AN36"/>
      <c r="AO36"/>
      <c r="AP36"/>
      <c r="AQ36"/>
      <c r="AR36"/>
      <c r="AS36"/>
      <c r="AT36" s="1" t="s">
        <v>614</v>
      </c>
      <c r="AU36" t="s">
        <v>54</v>
      </c>
      <c r="AV36">
        <v>6</v>
      </c>
      <c r="AX36"/>
      <c r="AY36"/>
      <c r="AZ36"/>
      <c r="BA36"/>
      <c r="BB36"/>
      <c r="BC36"/>
    </row>
    <row r="37" spans="2:55" hidden="1" x14ac:dyDescent="0.3">
      <c r="B37" s="1" t="s">
        <v>30</v>
      </c>
      <c r="C37" s="1" t="s">
        <v>107</v>
      </c>
      <c r="D37" s="1" t="str">
        <f t="shared" si="0"/>
        <v>Kab. Tangerang</v>
      </c>
      <c r="E37" s="1" t="s">
        <v>63</v>
      </c>
      <c r="F37" s="1" t="str">
        <f>IF(info!$B37=profilKelas!$F$8,ROW(),"")</f>
        <v/>
      </c>
      <c r="G37" s="1" t="str">
        <f>IF(ROWS($F$2:F37)&gt;COUNT($F$2:$F$515),"",INDEX($D$2:$D$515,SMALL($F$2:$F$515,ROWS($F$2:F37))-1))</f>
        <v/>
      </c>
      <c r="J37" s="1" t="s">
        <v>775</v>
      </c>
      <c r="K37" s="1" t="s">
        <v>691</v>
      </c>
      <c r="Q37" s="1" t="str">
        <f ca="1"/>
        <v/>
      </c>
      <c r="S37" s="1" t="str">
        <f ca="1"/>
        <v/>
      </c>
      <c r="AE37" s="1">
        <v>33</v>
      </c>
      <c r="AH37"/>
      <c r="AM37"/>
      <c r="AN37"/>
      <c r="AO37"/>
      <c r="AP37"/>
      <c r="AQ37"/>
      <c r="AR37"/>
      <c r="AS37"/>
      <c r="AT37" s="1" t="s">
        <v>614</v>
      </c>
      <c r="AU37" t="s">
        <v>55</v>
      </c>
      <c r="AV37">
        <v>6</v>
      </c>
      <c r="AX37"/>
      <c r="AY37"/>
      <c r="AZ37"/>
      <c r="BA37"/>
      <c r="BB37"/>
      <c r="BC37"/>
    </row>
    <row r="38" spans="2:55" hidden="1" x14ac:dyDescent="0.3">
      <c r="B38" s="1" t="s">
        <v>30</v>
      </c>
      <c r="C38" s="1" t="s">
        <v>100</v>
      </c>
      <c r="D38" s="1" t="str">
        <f t="shared" si="0"/>
        <v>Kota Cilegon</v>
      </c>
      <c r="E38" s="1" t="s">
        <v>64</v>
      </c>
      <c r="F38" s="1" t="str">
        <f>IF(info!$B38=profilKelas!$F$8,ROW(),"")</f>
        <v/>
      </c>
      <c r="G38" s="1" t="str">
        <f>IF(ROWS($F$2:F38)&gt;COUNT($F$2:$F$515),"",INDEX($D$2:$D$515,SMALL($F$2:$F$515,ROWS($F$2:F38))-1))</f>
        <v/>
      </c>
      <c r="J38" s="1" t="s">
        <v>776</v>
      </c>
      <c r="K38" s="1" t="s">
        <v>692</v>
      </c>
      <c r="Q38" s="1" t="str">
        <f ca="1"/>
        <v/>
      </c>
      <c r="S38" s="1" t="str">
        <f ca="1"/>
        <v/>
      </c>
      <c r="AE38" s="1">
        <v>34</v>
      </c>
      <c r="AH38"/>
      <c r="AM38"/>
      <c r="AN38"/>
      <c r="AO38"/>
      <c r="AP38"/>
      <c r="AQ38"/>
      <c r="AR38"/>
      <c r="AS38"/>
      <c r="AT38" s="1" t="s">
        <v>614</v>
      </c>
      <c r="AU38" t="s">
        <v>56</v>
      </c>
      <c r="AV38">
        <v>6</v>
      </c>
      <c r="AX38"/>
      <c r="AY38"/>
      <c r="AZ38"/>
      <c r="BA38"/>
      <c r="BB38"/>
      <c r="BC38"/>
    </row>
    <row r="39" spans="2:55" hidden="1" x14ac:dyDescent="0.3">
      <c r="B39" s="1" t="s">
        <v>30</v>
      </c>
      <c r="C39" s="1" t="s">
        <v>101</v>
      </c>
      <c r="D39" s="1" t="str">
        <f t="shared" si="0"/>
        <v>Kota Serang</v>
      </c>
      <c r="E39" s="1" t="s">
        <v>65</v>
      </c>
      <c r="F39" s="1" t="str">
        <f>IF(info!$B39=profilKelas!$F$8,ROW(),"")</f>
        <v/>
      </c>
      <c r="G39" s="1" t="str">
        <f>IF(ROWS($F$2:F39)&gt;COUNT($F$2:$F$515),"",INDEX($D$2:$D$515,SMALL($F$2:$F$515,ROWS($F$2:F39))-1))</f>
        <v/>
      </c>
      <c r="J39" s="1" t="s">
        <v>777</v>
      </c>
      <c r="K39" s="1" t="s">
        <v>693</v>
      </c>
      <c r="Q39" s="1" t="str">
        <f ca="1"/>
        <v/>
      </c>
      <c r="S39" s="1" t="str">
        <f ca="1"/>
        <v/>
      </c>
      <c r="AE39" s="1">
        <v>35</v>
      </c>
      <c r="AH39"/>
      <c r="AM39"/>
      <c r="AN39"/>
      <c r="AO39"/>
      <c r="AP39"/>
      <c r="AQ39"/>
      <c r="AR39"/>
      <c r="AS39"/>
      <c r="AT39" s="1" t="s">
        <v>614</v>
      </c>
      <c r="AU39" t="s">
        <v>62</v>
      </c>
      <c r="AV39">
        <v>6</v>
      </c>
      <c r="AX39"/>
      <c r="AY39"/>
      <c r="AZ39"/>
      <c r="BA39"/>
      <c r="BB39"/>
      <c r="BC39"/>
    </row>
    <row r="40" spans="2:55" hidden="1" x14ac:dyDescent="0.3">
      <c r="B40" s="1" t="s">
        <v>30</v>
      </c>
      <c r="C40" s="1" t="s">
        <v>102</v>
      </c>
      <c r="D40" s="1" t="str">
        <f t="shared" si="0"/>
        <v>Kota Tangerang</v>
      </c>
      <c r="F40" s="1" t="str">
        <f>IF(info!$B40=profilKelas!$F$8,ROW(),"")</f>
        <v/>
      </c>
      <c r="G40" s="1" t="str">
        <f>IF(ROWS($F$2:F40)&gt;COUNT($F$2:$F$515),"",INDEX($D$2:$D$515,SMALL($F$2:$F$515,ROWS($F$2:F40))-1))</f>
        <v/>
      </c>
      <c r="J40" s="1" t="s">
        <v>778</v>
      </c>
      <c r="K40" s="1" t="s">
        <v>694</v>
      </c>
      <c r="Q40" s="1" t="str">
        <f ca="1"/>
        <v/>
      </c>
      <c r="S40" s="1" t="str">
        <f ca="1"/>
        <v/>
      </c>
      <c r="AE40" s="1">
        <v>36</v>
      </c>
      <c r="AH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</row>
    <row r="41" spans="2:55" hidden="1" x14ac:dyDescent="0.3">
      <c r="B41" s="1" t="s">
        <v>30</v>
      </c>
      <c r="C41" s="1" t="s">
        <v>103</v>
      </c>
      <c r="D41" s="1" t="str">
        <f t="shared" si="0"/>
        <v>Kota Tangerang Selatan</v>
      </c>
      <c r="F41" s="1" t="str">
        <f>IF(info!$B41=profilKelas!$F$8,ROW(),"")</f>
        <v/>
      </c>
      <c r="G41" s="1" t="str">
        <f>IF(ROWS($F$2:F41)&gt;COUNT($F$2:$F$515),"",INDEX($D$2:$D$515,SMALL($F$2:$F$515,ROWS($F$2:F41))-1))</f>
        <v/>
      </c>
      <c r="J41" s="1" t="s">
        <v>779</v>
      </c>
      <c r="K41" s="1" t="s">
        <v>695</v>
      </c>
      <c r="Q41" s="1" t="str">
        <f ca="1"/>
        <v/>
      </c>
      <c r="S41" s="1" t="str">
        <f ca="1"/>
        <v/>
      </c>
      <c r="AE41" s="1">
        <v>37</v>
      </c>
      <c r="AH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</row>
    <row r="42" spans="2:55" hidden="1" x14ac:dyDescent="0.3">
      <c r="B42" s="1" t="s">
        <v>31</v>
      </c>
      <c r="C42" s="1" t="s">
        <v>108</v>
      </c>
      <c r="D42" s="1" t="str">
        <f t="shared" si="0"/>
        <v>Kab. Bengkulu Selatan</v>
      </c>
      <c r="F42" s="1" t="str">
        <f>IF(info!$B42=profilKelas!$F$8,ROW(),"")</f>
        <v/>
      </c>
      <c r="J42" s="1" t="s">
        <v>780</v>
      </c>
      <c r="K42" s="1" t="s">
        <v>696</v>
      </c>
      <c r="Q42" s="1" t="str">
        <f ca="1"/>
        <v/>
      </c>
      <c r="S42" s="1" t="str">
        <f ca="1"/>
        <v/>
      </c>
      <c r="AE42" s="1">
        <v>38</v>
      </c>
      <c r="AH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</row>
    <row r="43" spans="2:55" hidden="1" x14ac:dyDescent="0.3">
      <c r="B43" s="1" t="s">
        <v>31</v>
      </c>
      <c r="C43" s="1" t="s">
        <v>109</v>
      </c>
      <c r="D43" s="1" t="str">
        <f t="shared" si="0"/>
        <v>Kab. Bengkulu Tengah</v>
      </c>
      <c r="F43" s="1" t="str">
        <f>IF(info!$B43=profilKelas!$F$8,ROW(),"")</f>
        <v/>
      </c>
      <c r="J43" s="1" t="s">
        <v>781</v>
      </c>
      <c r="K43" s="1" t="s">
        <v>661</v>
      </c>
      <c r="Q43" s="1" t="str">
        <f ca="1"/>
        <v/>
      </c>
      <c r="S43" s="1" t="str">
        <f ca="1"/>
        <v/>
      </c>
      <c r="AE43" s="1">
        <v>39</v>
      </c>
      <c r="AH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</row>
    <row r="44" spans="2:55" hidden="1" x14ac:dyDescent="0.3">
      <c r="B44" s="1" t="s">
        <v>31</v>
      </c>
      <c r="C44" s="1" t="s">
        <v>110</v>
      </c>
      <c r="D44" s="1" t="str">
        <f t="shared" si="0"/>
        <v>Kab. Bengkulu Utara</v>
      </c>
      <c r="F44" s="1" t="str">
        <f>IF(info!$B44=profilKelas!$F$8,ROW(),"")</f>
        <v/>
      </c>
      <c r="J44" s="1" t="s">
        <v>782</v>
      </c>
      <c r="K44" s="1" t="s">
        <v>697</v>
      </c>
      <c r="Q44" s="1" t="str">
        <f ca="1"/>
        <v/>
      </c>
      <c r="S44" s="1" t="str">
        <f ca="1"/>
        <v/>
      </c>
      <c r="AE44" s="1">
        <v>40</v>
      </c>
      <c r="AH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</row>
    <row r="45" spans="2:55" hidden="1" x14ac:dyDescent="0.3">
      <c r="B45" s="1" t="s">
        <v>31</v>
      </c>
      <c r="C45" s="1" t="s">
        <v>111</v>
      </c>
      <c r="D45" s="1" t="str">
        <f t="shared" si="0"/>
        <v>Kab. Kaur</v>
      </c>
      <c r="F45" s="1" t="str">
        <f>IF(info!$B45=profilKelas!$F$8,ROW(),"")</f>
        <v/>
      </c>
      <c r="J45" s="1" t="s">
        <v>783</v>
      </c>
      <c r="K45" s="1" t="s">
        <v>698</v>
      </c>
      <c r="Q45" s="1" t="str">
        <f ca="1"/>
        <v/>
      </c>
      <c r="S45" s="1" t="str">
        <f ca="1"/>
        <v/>
      </c>
      <c r="AE45" s="1">
        <v>41</v>
      </c>
      <c r="AH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</row>
    <row r="46" spans="2:55" hidden="1" x14ac:dyDescent="0.3">
      <c r="B46" s="1" t="s">
        <v>31</v>
      </c>
      <c r="C46" s="1" t="s">
        <v>112</v>
      </c>
      <c r="D46" s="1" t="str">
        <f t="shared" si="0"/>
        <v>Kab. Kepahiang</v>
      </c>
      <c r="F46" s="1" t="str">
        <f>IF(info!$B46=profilKelas!$F$8,ROW(),"")</f>
        <v/>
      </c>
      <c r="J46" s="1" t="s">
        <v>784</v>
      </c>
      <c r="K46" s="1" t="s">
        <v>699</v>
      </c>
      <c r="Q46" s="1" t="str">
        <f ca="1"/>
        <v/>
      </c>
      <c r="S46" s="1" t="str">
        <f ca="1"/>
        <v/>
      </c>
      <c r="AE46" s="1">
        <v>42</v>
      </c>
      <c r="AH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</row>
    <row r="47" spans="2:55" hidden="1" x14ac:dyDescent="0.3">
      <c r="B47" s="1" t="s">
        <v>31</v>
      </c>
      <c r="C47" s="1" t="s">
        <v>114</v>
      </c>
      <c r="D47" s="1" t="str">
        <f t="shared" si="0"/>
        <v>Kab. Lebong</v>
      </c>
      <c r="F47" s="1" t="str">
        <f>IF(info!$B47=profilKelas!$F$8,ROW(),"")</f>
        <v/>
      </c>
      <c r="J47" s="1" t="s">
        <v>785</v>
      </c>
      <c r="K47" s="1" t="s">
        <v>700</v>
      </c>
      <c r="Q47" s="1" t="str">
        <f ca="1"/>
        <v/>
      </c>
      <c r="S47" s="1" t="str">
        <f ca="1"/>
        <v/>
      </c>
      <c r="AE47" s="1">
        <v>43</v>
      </c>
      <c r="AH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</row>
    <row r="48" spans="2:55" hidden="1" x14ac:dyDescent="0.3">
      <c r="B48" s="1" t="s">
        <v>31</v>
      </c>
      <c r="C48" s="1" t="s">
        <v>115</v>
      </c>
      <c r="D48" s="1" t="str">
        <f t="shared" si="0"/>
        <v>Kab. Mukomuko</v>
      </c>
      <c r="F48" s="1" t="str">
        <f>IF(info!$B48=profilKelas!$F$8,ROW(),"")</f>
        <v/>
      </c>
      <c r="J48" s="1" t="s">
        <v>786</v>
      </c>
      <c r="K48" s="1" t="s">
        <v>701</v>
      </c>
      <c r="Q48" s="1" t="str">
        <f ca="1"/>
        <v/>
      </c>
      <c r="S48" s="1" t="str">
        <f ca="1"/>
        <v/>
      </c>
      <c r="AE48" s="1">
        <v>44</v>
      </c>
      <c r="AH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</row>
    <row r="49" spans="2:55" hidden="1" x14ac:dyDescent="0.3">
      <c r="B49" s="1" t="s">
        <v>31</v>
      </c>
      <c r="C49" s="1" t="s">
        <v>116</v>
      </c>
      <c r="D49" s="1" t="str">
        <f t="shared" si="0"/>
        <v>Kab. Rejang Lebong</v>
      </c>
      <c r="F49" s="1" t="str">
        <f>IF(info!$B49=profilKelas!$F$8,ROW(),"")</f>
        <v/>
      </c>
      <c r="J49" s="1" t="s">
        <v>787</v>
      </c>
      <c r="K49" s="1" t="s">
        <v>702</v>
      </c>
      <c r="Q49" s="1" t="str">
        <f ca="1"/>
        <v/>
      </c>
      <c r="S49" s="1" t="str">
        <f ca="1"/>
        <v/>
      </c>
      <c r="AE49" s="1">
        <v>45</v>
      </c>
      <c r="AH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</row>
    <row r="50" spans="2:55" hidden="1" x14ac:dyDescent="0.3">
      <c r="B50" s="1" t="s">
        <v>31</v>
      </c>
      <c r="C50" s="1" t="s">
        <v>117</v>
      </c>
      <c r="D50" s="1" t="str">
        <f t="shared" si="0"/>
        <v>Kab. Seluma</v>
      </c>
      <c r="F50" s="1" t="str">
        <f>IF(info!$B50=profilKelas!$F$8,ROW(),"")</f>
        <v/>
      </c>
      <c r="J50" s="1" t="s">
        <v>788</v>
      </c>
      <c r="K50" s="1" t="s">
        <v>662</v>
      </c>
      <c r="Q50" s="1" t="str">
        <f ca="1"/>
        <v/>
      </c>
      <c r="S50" s="1" t="str">
        <f ca="1"/>
        <v/>
      </c>
      <c r="AH50"/>
      <c r="AM50"/>
      <c r="AN50"/>
      <c r="AO50"/>
      <c r="AP50"/>
      <c r="AQ50"/>
      <c r="AR50"/>
      <c r="AS50"/>
    </row>
    <row r="51" spans="2:55" hidden="1" x14ac:dyDescent="0.3">
      <c r="B51" s="1" t="s">
        <v>31</v>
      </c>
      <c r="C51" s="1" t="s">
        <v>113</v>
      </c>
      <c r="D51" s="1" t="str">
        <f t="shared" si="0"/>
        <v>Kota Bengkulu</v>
      </c>
      <c r="F51" s="1" t="str">
        <f>IF(info!$B51=profilKelas!$F$8,ROW(),"")</f>
        <v/>
      </c>
      <c r="J51" s="1" t="s">
        <v>789</v>
      </c>
      <c r="K51" s="1" t="s">
        <v>703</v>
      </c>
      <c r="Q51" s="1" t="str">
        <f ca="1"/>
        <v/>
      </c>
      <c r="S51" s="1" t="str">
        <f ca="1"/>
        <v/>
      </c>
      <c r="AH51"/>
      <c r="AM51"/>
      <c r="AN51"/>
      <c r="AO51"/>
      <c r="AP51"/>
      <c r="AQ51"/>
      <c r="AR51"/>
      <c r="AS51"/>
    </row>
    <row r="52" spans="2:55" hidden="1" x14ac:dyDescent="0.3">
      <c r="B52" s="1" t="s">
        <v>32</v>
      </c>
      <c r="C52" s="1" t="s">
        <v>118</v>
      </c>
      <c r="D52" s="1" t="str">
        <f t="shared" si="0"/>
        <v>Kab. Bantul</v>
      </c>
      <c r="F52" s="1" t="str">
        <f>IF(info!$B52=profilKelas!$F$8,ROW(),"")</f>
        <v/>
      </c>
      <c r="J52" s="1" t="s">
        <v>790</v>
      </c>
      <c r="K52" s="1" t="s">
        <v>704</v>
      </c>
      <c r="Q52" s="1" t="str">
        <f ca="1"/>
        <v/>
      </c>
      <c r="S52" s="1" t="str">
        <f ca="1"/>
        <v/>
      </c>
      <c r="AH52"/>
      <c r="AM52"/>
      <c r="AN52"/>
      <c r="AO52"/>
      <c r="AP52"/>
      <c r="AQ52"/>
      <c r="AR52"/>
      <c r="AS52"/>
    </row>
    <row r="53" spans="2:55" hidden="1" x14ac:dyDescent="0.3">
      <c r="B53" s="1" t="s">
        <v>32</v>
      </c>
      <c r="C53" s="1" t="s">
        <v>119</v>
      </c>
      <c r="D53" s="1" t="str">
        <f t="shared" si="0"/>
        <v>Kab. Gunungkidul</v>
      </c>
      <c r="F53" s="1" t="str">
        <f>IF(info!$B53=profilKelas!$F$8,ROW(),"")</f>
        <v/>
      </c>
      <c r="J53" s="1" t="s">
        <v>791</v>
      </c>
      <c r="K53" s="1" t="s">
        <v>705</v>
      </c>
      <c r="Q53" s="1" t="str">
        <f ca="1"/>
        <v/>
      </c>
      <c r="S53" s="1" t="str">
        <f ca="1"/>
        <v/>
      </c>
      <c r="AH53"/>
      <c r="AM53"/>
      <c r="AN53"/>
      <c r="AO53"/>
      <c r="AP53"/>
      <c r="AQ53"/>
      <c r="AR53"/>
      <c r="AS53"/>
    </row>
    <row r="54" spans="2:55" hidden="1" x14ac:dyDescent="0.3">
      <c r="B54" s="1" t="s">
        <v>32</v>
      </c>
      <c r="C54" s="1" t="s">
        <v>121</v>
      </c>
      <c r="D54" s="1" t="str">
        <f t="shared" si="0"/>
        <v>Kab. Kulon Progo</v>
      </c>
      <c r="F54" s="1" t="str">
        <f>IF(info!$B54=profilKelas!$F$8,ROW(),"")</f>
        <v/>
      </c>
      <c r="J54" s="1" t="s">
        <v>792</v>
      </c>
      <c r="K54" s="1" t="s">
        <v>706</v>
      </c>
      <c r="Q54" s="1" t="str">
        <f ca="1"/>
        <v/>
      </c>
      <c r="S54" s="1" t="str">
        <f ca="1"/>
        <v/>
      </c>
      <c r="AM54"/>
    </row>
    <row r="55" spans="2:55" hidden="1" x14ac:dyDescent="0.3">
      <c r="B55" s="1" t="s">
        <v>32</v>
      </c>
      <c r="C55" s="1" t="s">
        <v>122</v>
      </c>
      <c r="D55" s="1" t="str">
        <f t="shared" si="0"/>
        <v>Kab. Sleman</v>
      </c>
      <c r="F55" s="1" t="str">
        <f>IF(info!$B55=profilKelas!$F$8,ROW(),"")</f>
        <v/>
      </c>
      <c r="J55" s="1" t="s">
        <v>793</v>
      </c>
      <c r="K55" s="1" t="s">
        <v>707</v>
      </c>
      <c r="Q55" s="1" t="str">
        <f ca="1"/>
        <v/>
      </c>
      <c r="S55" s="1" t="str">
        <f ca="1"/>
        <v/>
      </c>
      <c r="AM55"/>
    </row>
    <row r="56" spans="2:55" hidden="1" x14ac:dyDescent="0.3">
      <c r="B56" s="1" t="s">
        <v>32</v>
      </c>
      <c r="C56" s="1" t="s">
        <v>120</v>
      </c>
      <c r="D56" s="1" t="str">
        <f t="shared" si="0"/>
        <v>Kota Yogyakarta</v>
      </c>
      <c r="F56" s="1" t="str">
        <f>IF(info!$B56=profilKelas!$F$8,ROW(),"")</f>
        <v/>
      </c>
      <c r="J56" s="1" t="s">
        <v>794</v>
      </c>
      <c r="K56" s="1" t="s">
        <v>708</v>
      </c>
      <c r="Q56" s="1" t="str">
        <f ca="1"/>
        <v/>
      </c>
      <c r="S56" s="1" t="str">
        <f ca="1"/>
        <v/>
      </c>
      <c r="AM56"/>
    </row>
    <row r="57" spans="2:55" hidden="1" x14ac:dyDescent="0.3">
      <c r="B57" s="1" t="s">
        <v>33</v>
      </c>
      <c r="C57" s="1" t="s">
        <v>123</v>
      </c>
      <c r="D57" s="1" t="str">
        <f t="shared" si="0"/>
        <v>Kab. Kepulauan Seribu</v>
      </c>
      <c r="F57" s="1" t="str">
        <f>IF(info!$B57=profilKelas!$F$8,ROW(),"")</f>
        <v/>
      </c>
      <c r="J57" s="1" t="s">
        <v>795</v>
      </c>
      <c r="K57" s="1" t="s">
        <v>709</v>
      </c>
      <c r="Q57" s="1" t="str">
        <f ca="1"/>
        <v/>
      </c>
      <c r="S57" s="1" t="str">
        <f ca="1"/>
        <v/>
      </c>
      <c r="AM57"/>
    </row>
    <row r="58" spans="2:55" hidden="1" x14ac:dyDescent="0.3">
      <c r="B58" s="1" t="s">
        <v>33</v>
      </c>
      <c r="C58" s="1" t="s">
        <v>124</v>
      </c>
      <c r="D58" s="1" t="str">
        <f t="shared" si="0"/>
        <v>Kota Jakarta Barat</v>
      </c>
      <c r="F58" s="1" t="str">
        <f>IF(info!$B58=profilKelas!$F$8,ROW(),"")</f>
        <v/>
      </c>
      <c r="J58" s="1" t="s">
        <v>796</v>
      </c>
      <c r="K58" s="1" t="s">
        <v>710</v>
      </c>
      <c r="Q58" s="1" t="str">
        <f ca="1"/>
        <v/>
      </c>
      <c r="S58" s="1" t="str">
        <f ca="1"/>
        <v/>
      </c>
      <c r="AM58"/>
    </row>
    <row r="59" spans="2:55" hidden="1" x14ac:dyDescent="0.3">
      <c r="B59" s="1" t="s">
        <v>33</v>
      </c>
      <c r="C59" s="1" t="s">
        <v>125</v>
      </c>
      <c r="D59" s="1" t="str">
        <f t="shared" si="0"/>
        <v>Kota Jakarta Pusat</v>
      </c>
      <c r="F59" s="1" t="str">
        <f>IF(info!$B59=profilKelas!$F$8,ROW(),"")</f>
        <v/>
      </c>
      <c r="J59" s="1" t="s">
        <v>797</v>
      </c>
      <c r="K59" s="1" t="s">
        <v>711</v>
      </c>
      <c r="Q59" s="1" t="str">
        <f ca="1"/>
        <v/>
      </c>
      <c r="S59" s="1" t="str">
        <f ca="1"/>
        <v/>
      </c>
      <c r="AM59"/>
    </row>
    <row r="60" spans="2:55" hidden="1" x14ac:dyDescent="0.3">
      <c r="B60" s="1" t="s">
        <v>33</v>
      </c>
      <c r="C60" s="1" t="s">
        <v>126</v>
      </c>
      <c r="D60" s="1" t="str">
        <f t="shared" si="0"/>
        <v>Kota Jakarta Selatan</v>
      </c>
      <c r="F60" s="1" t="str">
        <f>IF(info!$B60=profilKelas!$F$8,ROW(),"")</f>
        <v/>
      </c>
      <c r="J60" s="1" t="s">
        <v>798</v>
      </c>
      <c r="K60" s="1" t="s">
        <v>712</v>
      </c>
      <c r="Q60" s="1" t="str">
        <f ca="1"/>
        <v/>
      </c>
      <c r="S60" s="1" t="str">
        <f ca="1"/>
        <v/>
      </c>
      <c r="AM60"/>
    </row>
    <row r="61" spans="2:55" hidden="1" x14ac:dyDescent="0.3">
      <c r="B61" s="1" t="s">
        <v>33</v>
      </c>
      <c r="C61" s="1" t="s">
        <v>127</v>
      </c>
      <c r="D61" s="1" t="str">
        <f t="shared" si="0"/>
        <v>Kota Jakarta Timur</v>
      </c>
      <c r="F61" s="1" t="str">
        <f>IF(info!$B61=profilKelas!$F$8,ROW(),"")</f>
        <v/>
      </c>
      <c r="J61" s="1" t="s">
        <v>799</v>
      </c>
      <c r="K61" s="1" t="s">
        <v>713</v>
      </c>
      <c r="Q61" s="1" t="str">
        <f ca="1"/>
        <v/>
      </c>
      <c r="S61" s="1" t="str">
        <f ca="1"/>
        <v/>
      </c>
      <c r="AM61"/>
    </row>
    <row r="62" spans="2:55" hidden="1" x14ac:dyDescent="0.3">
      <c r="B62" s="1" t="s">
        <v>33</v>
      </c>
      <c r="C62" s="1" t="s">
        <v>128</v>
      </c>
      <c r="D62" s="1" t="str">
        <f t="shared" si="0"/>
        <v>Kota Jakarta Utara</v>
      </c>
      <c r="F62" s="1" t="str">
        <f>IF(info!$B62=profilKelas!$F$8,ROW(),"")</f>
        <v/>
      </c>
      <c r="J62" s="1" t="s">
        <v>800</v>
      </c>
      <c r="K62" s="1" t="s">
        <v>714</v>
      </c>
      <c r="Q62" s="1" t="str">
        <f ca="1"/>
        <v/>
      </c>
      <c r="S62" s="1" t="str">
        <f ca="1"/>
        <v/>
      </c>
      <c r="AM62"/>
    </row>
    <row r="63" spans="2:55" hidden="1" x14ac:dyDescent="0.3">
      <c r="B63" s="1" t="s">
        <v>34</v>
      </c>
      <c r="C63" s="1" t="s">
        <v>129</v>
      </c>
      <c r="D63" s="1" t="str">
        <f t="shared" si="0"/>
        <v>Kab. Boalemo</v>
      </c>
      <c r="F63" s="1" t="str">
        <f>IF(info!$B63=profilKelas!$F$8,ROW(),"")</f>
        <v/>
      </c>
      <c r="J63" s="1" t="s">
        <v>801</v>
      </c>
      <c r="K63" s="1" t="s">
        <v>715</v>
      </c>
      <c r="Q63" s="1" t="str">
        <f ca="1"/>
        <v/>
      </c>
      <c r="S63" s="1" t="str">
        <f ca="1"/>
        <v/>
      </c>
      <c r="AM63"/>
    </row>
    <row r="64" spans="2:55" hidden="1" x14ac:dyDescent="0.3">
      <c r="B64" s="1" t="s">
        <v>34</v>
      </c>
      <c r="C64" s="1" t="s">
        <v>130</v>
      </c>
      <c r="D64" s="1" t="str">
        <f t="shared" si="0"/>
        <v>Kab. Bone Bolango</v>
      </c>
      <c r="F64" s="1" t="str">
        <f>IF(info!$B64=profilKelas!$F$8,ROW(),"")</f>
        <v/>
      </c>
      <c r="J64" s="1" t="s">
        <v>802</v>
      </c>
      <c r="K64" s="1" t="s">
        <v>716</v>
      </c>
      <c r="Q64" s="1" t="str">
        <f ca="1"/>
        <v/>
      </c>
      <c r="S64" s="1" t="str">
        <f ca="1"/>
        <v/>
      </c>
      <c r="AM64"/>
    </row>
    <row r="65" spans="2:39" hidden="1" x14ac:dyDescent="0.3">
      <c r="B65" s="1" t="s">
        <v>34</v>
      </c>
      <c r="C65" s="1" t="s">
        <v>34</v>
      </c>
      <c r="D65" s="1" t="str">
        <f t="shared" si="0"/>
        <v>Kab. Gorontalo</v>
      </c>
      <c r="F65" s="1" t="str">
        <f>IF(info!$B65=profilKelas!$F$8,ROW(),"")</f>
        <v/>
      </c>
      <c r="J65" s="1" t="s">
        <v>803</v>
      </c>
      <c r="K65" s="1" t="s">
        <v>717</v>
      </c>
      <c r="Q65" s="1" t="str">
        <f ca="1"/>
        <v/>
      </c>
      <c r="S65" s="1" t="str">
        <f ca="1"/>
        <v/>
      </c>
      <c r="AM65"/>
    </row>
    <row r="66" spans="2:39" hidden="1" x14ac:dyDescent="0.3">
      <c r="B66" s="1" t="s">
        <v>34</v>
      </c>
      <c r="C66" s="1" t="s">
        <v>131</v>
      </c>
      <c r="D66" s="1" t="str">
        <f t="shared" ref="D66:D129" si="4">IF(LEFT(C66,4)="Kota",C66,IF(LEFT(C66,4)="Prov",C66,"Kab. "&amp;C66))</f>
        <v>Kab. Gorontalo Utara</v>
      </c>
      <c r="F66" s="1" t="str">
        <f>IF(info!$B66=profilKelas!$F$8,ROW(),"")</f>
        <v/>
      </c>
      <c r="J66" s="1" t="s">
        <v>804</v>
      </c>
      <c r="K66" s="1" t="s">
        <v>718</v>
      </c>
      <c r="Q66" s="1" t="str">
        <f ca="1"/>
        <v/>
      </c>
      <c r="S66" s="1" t="str">
        <f ca="1"/>
        <v/>
      </c>
      <c r="AM66"/>
    </row>
    <row r="67" spans="2:39" hidden="1" x14ac:dyDescent="0.3">
      <c r="B67" s="1" t="s">
        <v>34</v>
      </c>
      <c r="C67" s="1" t="s">
        <v>133</v>
      </c>
      <c r="D67" s="1" t="str">
        <f t="shared" si="4"/>
        <v>Kab. Pohuwato</v>
      </c>
      <c r="F67" s="1" t="str">
        <f>IF(info!$B67=profilKelas!$F$8,ROW(),"")</f>
        <v/>
      </c>
      <c r="J67" s="1" t="s">
        <v>805</v>
      </c>
      <c r="K67" s="1" t="s">
        <v>719</v>
      </c>
      <c r="Q67" s="1" t="str">
        <f ca="1"/>
        <v/>
      </c>
      <c r="S67" s="1" t="str">
        <f ca="1"/>
        <v/>
      </c>
      <c r="AM67"/>
    </row>
    <row r="68" spans="2:39" hidden="1" x14ac:dyDescent="0.3">
      <c r="B68" s="1" t="s">
        <v>34</v>
      </c>
      <c r="C68" s="1" t="s">
        <v>132</v>
      </c>
      <c r="D68" s="1" t="str">
        <f t="shared" si="4"/>
        <v>Kota Gorontalo</v>
      </c>
      <c r="F68" s="1" t="str">
        <f>IF(info!$B68=profilKelas!$F$8,ROW(),"")</f>
        <v/>
      </c>
      <c r="J68" s="1" t="s">
        <v>806</v>
      </c>
      <c r="K68" s="1" t="s">
        <v>720</v>
      </c>
      <c r="AM68"/>
    </row>
    <row r="69" spans="2:39" hidden="1" x14ac:dyDescent="0.3">
      <c r="B69" s="1" t="s">
        <v>35</v>
      </c>
      <c r="C69" s="1" t="s">
        <v>134</v>
      </c>
      <c r="D69" s="1" t="str">
        <f t="shared" si="4"/>
        <v>Kab. Batang Hari</v>
      </c>
      <c r="F69" s="1" t="str">
        <f>IF(info!$B69=profilKelas!$F$8,ROW(),"")</f>
        <v/>
      </c>
      <c r="J69" s="1" t="s">
        <v>807</v>
      </c>
      <c r="K69" s="1" t="s">
        <v>721</v>
      </c>
      <c r="AM69"/>
    </row>
    <row r="70" spans="2:39" hidden="1" x14ac:dyDescent="0.3">
      <c r="B70" s="1" t="s">
        <v>35</v>
      </c>
      <c r="C70" s="1" t="s">
        <v>135</v>
      </c>
      <c r="D70" s="1" t="str">
        <f t="shared" si="4"/>
        <v>Kab. Bungo</v>
      </c>
      <c r="F70" s="1" t="str">
        <f>IF(info!$B70=profilKelas!$F$8,ROW(),"")</f>
        <v/>
      </c>
      <c r="J70" s="1" t="s">
        <v>808</v>
      </c>
      <c r="K70" s="1" t="s">
        <v>722</v>
      </c>
      <c r="AM70"/>
    </row>
    <row r="71" spans="2:39" hidden="1" x14ac:dyDescent="0.3">
      <c r="B71" s="1" t="s">
        <v>35</v>
      </c>
      <c r="C71" s="1" t="s">
        <v>136</v>
      </c>
      <c r="D71" s="1" t="str">
        <f t="shared" si="4"/>
        <v>Kab. Kerinci</v>
      </c>
      <c r="F71" s="1" t="str">
        <f>IF(info!$B71=profilKelas!$F$8,ROW(),"")</f>
        <v/>
      </c>
      <c r="J71" s="1" t="s">
        <v>809</v>
      </c>
      <c r="K71" s="1" t="s">
        <v>723</v>
      </c>
      <c r="AM71"/>
    </row>
    <row r="72" spans="2:39" hidden="1" x14ac:dyDescent="0.3">
      <c r="B72" s="1" t="s">
        <v>35</v>
      </c>
      <c r="C72" s="1" t="s">
        <v>139</v>
      </c>
      <c r="D72" s="1" t="str">
        <f t="shared" si="4"/>
        <v>Kab. Merangin</v>
      </c>
      <c r="F72" s="1" t="str">
        <f>IF(info!$B72=profilKelas!$F$8,ROW(),"")</f>
        <v/>
      </c>
      <c r="J72" s="1" t="s">
        <v>810</v>
      </c>
      <c r="K72" s="1" t="s">
        <v>724</v>
      </c>
      <c r="AM72"/>
    </row>
    <row r="73" spans="2:39" hidden="1" x14ac:dyDescent="0.3">
      <c r="B73" s="1" t="s">
        <v>35</v>
      </c>
      <c r="C73" s="1" t="s">
        <v>140</v>
      </c>
      <c r="D73" s="1" t="str">
        <f t="shared" si="4"/>
        <v>Kab. Muaro Jambi</v>
      </c>
      <c r="F73" s="1" t="str">
        <f>IF(info!$B73=profilKelas!$F$8,ROW(),"")</f>
        <v/>
      </c>
      <c r="J73" s="1" t="s">
        <v>811</v>
      </c>
      <c r="K73" s="1" t="s">
        <v>725</v>
      </c>
      <c r="AM73"/>
    </row>
    <row r="74" spans="2:39" hidden="1" x14ac:dyDescent="0.3">
      <c r="B74" s="1" t="s">
        <v>35</v>
      </c>
      <c r="C74" s="1" t="s">
        <v>141</v>
      </c>
      <c r="D74" s="1" t="str">
        <f t="shared" si="4"/>
        <v>Kab. Sarolangun</v>
      </c>
      <c r="F74" s="1" t="str">
        <f>IF(info!$B74=profilKelas!$F$8,ROW(),"")</f>
        <v/>
      </c>
      <c r="J74" s="1" t="s">
        <v>812</v>
      </c>
      <c r="K74" s="1" t="s">
        <v>726</v>
      </c>
      <c r="AM74"/>
    </row>
    <row r="75" spans="2:39" hidden="1" x14ac:dyDescent="0.3">
      <c r="B75" s="1" t="s">
        <v>35</v>
      </c>
      <c r="C75" s="1" t="s">
        <v>142</v>
      </c>
      <c r="D75" s="1" t="str">
        <f t="shared" si="4"/>
        <v>Kab. Tanjung Jabung Barat</v>
      </c>
      <c r="F75" s="1" t="str">
        <f>IF(info!$B75=profilKelas!$F$8,ROW(),"")</f>
        <v/>
      </c>
      <c r="J75" s="1" t="s">
        <v>813</v>
      </c>
      <c r="K75" s="1" t="s">
        <v>727</v>
      </c>
      <c r="AM75"/>
    </row>
    <row r="76" spans="2:39" hidden="1" x14ac:dyDescent="0.3">
      <c r="B76" s="1" t="s">
        <v>35</v>
      </c>
      <c r="C76" s="1" t="s">
        <v>143</v>
      </c>
      <c r="D76" s="1" t="str">
        <f t="shared" si="4"/>
        <v>Kab. Tanjung Jabung Timur</v>
      </c>
      <c r="F76" s="1" t="str">
        <f>IF(info!$B76=profilKelas!$F$8,ROW(),"")</f>
        <v/>
      </c>
      <c r="J76" s="1" t="s">
        <v>814</v>
      </c>
      <c r="K76" s="1" t="s">
        <v>728</v>
      </c>
      <c r="AM76"/>
    </row>
    <row r="77" spans="2:39" hidden="1" x14ac:dyDescent="0.3">
      <c r="B77" s="1" t="s">
        <v>35</v>
      </c>
      <c r="C77" s="1" t="s">
        <v>144</v>
      </c>
      <c r="D77" s="1" t="str">
        <f t="shared" si="4"/>
        <v>Kab. Tebo</v>
      </c>
      <c r="F77" s="1" t="str">
        <f>IF(info!$B77=profilKelas!$F$8,ROW(),"")</f>
        <v/>
      </c>
      <c r="J77" s="1" t="s">
        <v>815</v>
      </c>
      <c r="K77" s="1" t="s">
        <v>729</v>
      </c>
      <c r="AM77"/>
    </row>
    <row r="78" spans="2:39" hidden="1" x14ac:dyDescent="0.3">
      <c r="B78" s="1" t="s">
        <v>35</v>
      </c>
      <c r="C78" s="1" t="s">
        <v>137</v>
      </c>
      <c r="D78" s="1" t="str">
        <f t="shared" si="4"/>
        <v>Kota Jambi</v>
      </c>
      <c r="F78" s="1" t="str">
        <f>IF(info!$B78=profilKelas!$F$8,ROW(),"")</f>
        <v/>
      </c>
      <c r="J78" s="1" t="s">
        <v>816</v>
      </c>
      <c r="K78" s="1" t="s">
        <v>730</v>
      </c>
      <c r="AM78"/>
    </row>
    <row r="79" spans="2:39" hidden="1" x14ac:dyDescent="0.3">
      <c r="B79" s="1" t="s">
        <v>35</v>
      </c>
      <c r="C79" s="1" t="s">
        <v>138</v>
      </c>
      <c r="D79" s="1" t="str">
        <f t="shared" si="4"/>
        <v>Kota Sungai Penuh</v>
      </c>
      <c r="F79" s="1" t="str">
        <f>IF(info!$B79=profilKelas!$F$8,ROW(),"")</f>
        <v/>
      </c>
      <c r="J79" s="1" t="s">
        <v>817</v>
      </c>
      <c r="K79" s="1" t="s">
        <v>731</v>
      </c>
      <c r="AM79"/>
    </row>
    <row r="80" spans="2:39" hidden="1" x14ac:dyDescent="0.3">
      <c r="B80" s="1" t="s">
        <v>36</v>
      </c>
      <c r="C80" s="1" t="s">
        <v>145</v>
      </c>
      <c r="D80" s="1" t="str">
        <f t="shared" si="4"/>
        <v>Kab. Bandung</v>
      </c>
      <c r="F80" s="1" t="str">
        <f>IF(info!$B80=profilKelas!$F$8,ROW(),"")</f>
        <v/>
      </c>
      <c r="J80" s="1" t="s">
        <v>818</v>
      </c>
      <c r="K80" s="1" t="s">
        <v>732</v>
      </c>
      <c r="AM80"/>
    </row>
    <row r="81" spans="2:39" hidden="1" x14ac:dyDescent="0.3">
      <c r="B81" s="1" t="s">
        <v>36</v>
      </c>
      <c r="C81" s="1" t="s">
        <v>146</v>
      </c>
      <c r="D81" s="1" t="str">
        <f t="shared" si="4"/>
        <v>Kab. Bandung Barat</v>
      </c>
      <c r="F81" s="1" t="str">
        <f>IF(info!$B81=profilKelas!$F$8,ROW(),"")</f>
        <v/>
      </c>
      <c r="J81" s="1" t="s">
        <v>819</v>
      </c>
      <c r="K81" s="1" t="s">
        <v>733</v>
      </c>
      <c r="AM81"/>
    </row>
    <row r="82" spans="2:39" hidden="1" x14ac:dyDescent="0.3">
      <c r="B82" s="1" t="s">
        <v>36</v>
      </c>
      <c r="C82" s="1" t="s">
        <v>147</v>
      </c>
      <c r="D82" s="1" t="str">
        <f t="shared" si="4"/>
        <v>Kab. Bekasi</v>
      </c>
      <c r="F82" s="1" t="str">
        <f>IF(info!$B82=profilKelas!$F$8,ROW(),"")</f>
        <v/>
      </c>
      <c r="J82" s="1" t="s">
        <v>820</v>
      </c>
      <c r="K82" s="1" t="s">
        <v>734</v>
      </c>
      <c r="AM82"/>
    </row>
    <row r="83" spans="2:39" hidden="1" x14ac:dyDescent="0.3">
      <c r="B83" s="1" t="s">
        <v>36</v>
      </c>
      <c r="C83" s="1" t="s">
        <v>148</v>
      </c>
      <c r="D83" s="1" t="str">
        <f t="shared" si="4"/>
        <v>Kab. Bogor</v>
      </c>
      <c r="F83" s="1" t="str">
        <f>IF(info!$B83=profilKelas!$F$8,ROW(),"")</f>
        <v/>
      </c>
      <c r="J83" s="1" t="s">
        <v>821</v>
      </c>
      <c r="K83" s="1" t="s">
        <v>735</v>
      </c>
      <c r="AM83"/>
    </row>
    <row r="84" spans="2:39" hidden="1" x14ac:dyDescent="0.3">
      <c r="B84" s="1" t="s">
        <v>36</v>
      </c>
      <c r="C84" s="1" t="s">
        <v>149</v>
      </c>
      <c r="D84" s="1" t="str">
        <f t="shared" si="4"/>
        <v>Kab. Ciamis</v>
      </c>
      <c r="F84" s="1" t="str">
        <f>IF(info!$B84=profilKelas!$F$8,ROW(),"")</f>
        <v/>
      </c>
      <c r="J84" s="1" t="s">
        <v>822</v>
      </c>
      <c r="K84" s="1" t="s">
        <v>736</v>
      </c>
      <c r="AM84"/>
    </row>
    <row r="85" spans="2:39" hidden="1" x14ac:dyDescent="0.3">
      <c r="B85" s="1" t="s">
        <v>36</v>
      </c>
      <c r="C85" s="1" t="s">
        <v>150</v>
      </c>
      <c r="D85" s="1" t="str">
        <f t="shared" si="4"/>
        <v>Kab. Cianjur</v>
      </c>
      <c r="F85" s="1" t="str">
        <f>IF(info!$B85=profilKelas!$F$8,ROW(),"")</f>
        <v/>
      </c>
      <c r="J85" s="1" t="s">
        <v>823</v>
      </c>
      <c r="K85" s="1" t="s">
        <v>737</v>
      </c>
      <c r="AM85"/>
    </row>
    <row r="86" spans="2:39" hidden="1" x14ac:dyDescent="0.3">
      <c r="B86" s="1" t="s">
        <v>36</v>
      </c>
      <c r="C86" s="1" t="s">
        <v>151</v>
      </c>
      <c r="D86" s="1" t="str">
        <f t="shared" si="4"/>
        <v>Kab. Cirebon</v>
      </c>
      <c r="F86" s="1" t="str">
        <f>IF(info!$B86=profilKelas!$F$8,ROW(),"")</f>
        <v/>
      </c>
      <c r="AM86"/>
    </row>
    <row r="87" spans="2:39" hidden="1" x14ac:dyDescent="0.3">
      <c r="B87" s="1" t="s">
        <v>36</v>
      </c>
      <c r="C87" s="1" t="s">
        <v>152</v>
      </c>
      <c r="D87" s="1" t="str">
        <f t="shared" si="4"/>
        <v>Kab. Garut</v>
      </c>
      <c r="F87" s="1" t="str">
        <f>IF(info!$B87=profilKelas!$F$8,ROW(),"")</f>
        <v/>
      </c>
      <c r="AM87"/>
    </row>
    <row r="88" spans="2:39" hidden="1" x14ac:dyDescent="0.3">
      <c r="B88" s="1" t="s">
        <v>36</v>
      </c>
      <c r="C88" s="1" t="s">
        <v>153</v>
      </c>
      <c r="D88" s="1" t="str">
        <f t="shared" si="4"/>
        <v>Kab. Indramayu</v>
      </c>
      <c r="F88" s="1" t="str">
        <f>IF(info!$B88=profilKelas!$F$8,ROW(),"")</f>
        <v/>
      </c>
      <c r="AM88"/>
    </row>
    <row r="89" spans="2:39" hidden="1" x14ac:dyDescent="0.3">
      <c r="B89" s="1" t="s">
        <v>36</v>
      </c>
      <c r="C89" s="1" t="s">
        <v>154</v>
      </c>
      <c r="D89" s="1" t="str">
        <f t="shared" si="4"/>
        <v>Kab. Karawang</v>
      </c>
      <c r="F89" s="1" t="str">
        <f>IF(info!$B89=profilKelas!$F$8,ROW(),"")</f>
        <v/>
      </c>
    </row>
    <row r="90" spans="2:39" hidden="1" x14ac:dyDescent="0.3">
      <c r="B90" s="1" t="s">
        <v>36</v>
      </c>
      <c r="C90" s="1" t="s">
        <v>164</v>
      </c>
      <c r="D90" s="1" t="str">
        <f t="shared" si="4"/>
        <v>Kab. Kuningan</v>
      </c>
      <c r="F90" s="1" t="str">
        <f>IF(info!$B90=profilKelas!$F$8,ROW(),"")</f>
        <v/>
      </c>
    </row>
    <row r="91" spans="2:39" hidden="1" x14ac:dyDescent="0.3">
      <c r="B91" s="1" t="s">
        <v>36</v>
      </c>
      <c r="C91" s="1" t="s">
        <v>165</v>
      </c>
      <c r="D91" s="1" t="str">
        <f t="shared" si="4"/>
        <v>Kab. Majalengka</v>
      </c>
      <c r="F91" s="1" t="str">
        <f>IF(info!$B91=profilKelas!$F$8,ROW(),"")</f>
        <v/>
      </c>
    </row>
    <row r="92" spans="2:39" hidden="1" x14ac:dyDescent="0.3">
      <c r="B92" s="1" t="s">
        <v>36</v>
      </c>
      <c r="C92" s="1" t="s">
        <v>166</v>
      </c>
      <c r="D92" s="1" t="str">
        <f t="shared" si="4"/>
        <v>Kab. Pangandaran</v>
      </c>
      <c r="F92" s="1" t="str">
        <f>IF(info!$B92=profilKelas!$F$8,ROW(),"")</f>
        <v/>
      </c>
    </row>
    <row r="93" spans="2:39" hidden="1" x14ac:dyDescent="0.3">
      <c r="B93" s="1" t="s">
        <v>36</v>
      </c>
      <c r="C93" s="1" t="s">
        <v>167</v>
      </c>
      <c r="D93" s="1" t="str">
        <f t="shared" si="4"/>
        <v>Kab. Purwakarta</v>
      </c>
      <c r="F93" s="1" t="str">
        <f>IF(info!$B93=profilKelas!$F$8,ROW(),"")</f>
        <v/>
      </c>
    </row>
    <row r="94" spans="2:39" hidden="1" x14ac:dyDescent="0.3">
      <c r="B94" s="1" t="s">
        <v>36</v>
      </c>
      <c r="C94" s="1" t="s">
        <v>168</v>
      </c>
      <c r="D94" s="1" t="str">
        <f t="shared" si="4"/>
        <v>Kab. Subang</v>
      </c>
      <c r="F94" s="1" t="str">
        <f>IF(info!$B94=profilKelas!$F$8,ROW(),"")</f>
        <v/>
      </c>
    </row>
    <row r="95" spans="2:39" hidden="1" x14ac:dyDescent="0.3">
      <c r="B95" s="1" t="s">
        <v>36</v>
      </c>
      <c r="C95" s="1" t="s">
        <v>169</v>
      </c>
      <c r="D95" s="1" t="str">
        <f t="shared" si="4"/>
        <v>Kab. Sukabumi</v>
      </c>
      <c r="F95" s="1" t="str">
        <f>IF(info!$B95=profilKelas!$F$8,ROW(),"")</f>
        <v/>
      </c>
    </row>
    <row r="96" spans="2:39" hidden="1" x14ac:dyDescent="0.3">
      <c r="B96" s="1" t="s">
        <v>36</v>
      </c>
      <c r="C96" s="1" t="s">
        <v>170</v>
      </c>
      <c r="D96" s="1" t="str">
        <f t="shared" si="4"/>
        <v>Kab. Sumedang</v>
      </c>
      <c r="F96" s="1" t="str">
        <f>IF(info!$B96=profilKelas!$F$8,ROW(),"")</f>
        <v/>
      </c>
    </row>
    <row r="97" spans="2:6" hidden="1" x14ac:dyDescent="0.3">
      <c r="B97" s="1" t="s">
        <v>36</v>
      </c>
      <c r="C97" s="1" t="s">
        <v>171</v>
      </c>
      <c r="D97" s="1" t="str">
        <f t="shared" si="4"/>
        <v>Kab. Tasikmalaya</v>
      </c>
      <c r="F97" s="1" t="str">
        <f>IF(info!$B97=profilKelas!$F$8,ROW(),"")</f>
        <v/>
      </c>
    </row>
    <row r="98" spans="2:6" hidden="1" x14ac:dyDescent="0.3">
      <c r="B98" s="1" t="s">
        <v>36</v>
      </c>
      <c r="C98" s="1" t="s">
        <v>155</v>
      </c>
      <c r="D98" s="1" t="str">
        <f t="shared" si="4"/>
        <v>Kota Bandung</v>
      </c>
      <c r="F98" s="1" t="str">
        <f>IF(info!$B98=profilKelas!$F$8,ROW(),"")</f>
        <v/>
      </c>
    </row>
    <row r="99" spans="2:6" hidden="1" x14ac:dyDescent="0.3">
      <c r="B99" s="1" t="s">
        <v>36</v>
      </c>
      <c r="C99" s="1" t="s">
        <v>156</v>
      </c>
      <c r="D99" s="1" t="str">
        <f t="shared" si="4"/>
        <v>Kota Banjar</v>
      </c>
      <c r="F99" s="1" t="str">
        <f>IF(info!$B99=profilKelas!$F$8,ROW(),"")</f>
        <v/>
      </c>
    </row>
    <row r="100" spans="2:6" hidden="1" x14ac:dyDescent="0.3">
      <c r="B100" s="1" t="s">
        <v>36</v>
      </c>
      <c r="C100" s="1" t="s">
        <v>157</v>
      </c>
      <c r="D100" s="1" t="str">
        <f t="shared" si="4"/>
        <v>Kota Bekasi</v>
      </c>
      <c r="F100" s="1" t="str">
        <f>IF(info!$B100=profilKelas!$F$8,ROW(),"")</f>
        <v/>
      </c>
    </row>
    <row r="101" spans="2:6" hidden="1" x14ac:dyDescent="0.3">
      <c r="B101" s="1" t="s">
        <v>36</v>
      </c>
      <c r="C101" s="1" t="s">
        <v>158</v>
      </c>
      <c r="D101" s="1" t="str">
        <f t="shared" si="4"/>
        <v>Kota Bogor</v>
      </c>
      <c r="F101" s="1" t="str">
        <f>IF(info!$B101=profilKelas!$F$8,ROW(),"")</f>
        <v/>
      </c>
    </row>
    <row r="102" spans="2:6" hidden="1" x14ac:dyDescent="0.3">
      <c r="B102" s="1" t="s">
        <v>36</v>
      </c>
      <c r="C102" s="1" t="s">
        <v>159</v>
      </c>
      <c r="D102" s="1" t="str">
        <f t="shared" si="4"/>
        <v>Kota Cimahi</v>
      </c>
      <c r="F102" s="1" t="str">
        <f>IF(info!$B102=profilKelas!$F$8,ROW(),"")</f>
        <v/>
      </c>
    </row>
    <row r="103" spans="2:6" hidden="1" x14ac:dyDescent="0.3">
      <c r="B103" s="1" t="s">
        <v>36</v>
      </c>
      <c r="C103" s="1" t="s">
        <v>160</v>
      </c>
      <c r="D103" s="1" t="str">
        <f t="shared" si="4"/>
        <v>Kota Cirebon</v>
      </c>
      <c r="F103" s="1" t="str">
        <f>IF(info!$B103=profilKelas!$F$8,ROW(),"")</f>
        <v/>
      </c>
    </row>
    <row r="104" spans="2:6" hidden="1" x14ac:dyDescent="0.3">
      <c r="B104" s="1" t="s">
        <v>36</v>
      </c>
      <c r="C104" s="1" t="s">
        <v>161</v>
      </c>
      <c r="D104" s="1" t="str">
        <f t="shared" si="4"/>
        <v>Kota Depok</v>
      </c>
      <c r="F104" s="1" t="str">
        <f>IF(info!$B104=profilKelas!$F$8,ROW(),"")</f>
        <v/>
      </c>
    </row>
    <row r="105" spans="2:6" hidden="1" x14ac:dyDescent="0.3">
      <c r="B105" s="1" t="s">
        <v>36</v>
      </c>
      <c r="C105" s="1" t="s">
        <v>162</v>
      </c>
      <c r="D105" s="1" t="str">
        <f t="shared" si="4"/>
        <v>Kota Sukabumi</v>
      </c>
      <c r="F105" s="1" t="str">
        <f>IF(info!$B105=profilKelas!$F$8,ROW(),"")</f>
        <v/>
      </c>
    </row>
    <row r="106" spans="2:6" hidden="1" x14ac:dyDescent="0.3">
      <c r="B106" s="1" t="s">
        <v>36</v>
      </c>
      <c r="C106" s="1" t="s">
        <v>163</v>
      </c>
      <c r="D106" s="1" t="str">
        <f t="shared" si="4"/>
        <v>Kota Tasikmalaya</v>
      </c>
      <c r="F106" s="1" t="str">
        <f>IF(info!$B106=profilKelas!$F$8,ROW(),"")</f>
        <v/>
      </c>
    </row>
    <row r="107" spans="2:6" hidden="1" x14ac:dyDescent="0.3">
      <c r="B107" s="1" t="s">
        <v>37</v>
      </c>
      <c r="C107" s="1" t="s">
        <v>172</v>
      </c>
      <c r="D107" s="1" t="str">
        <f t="shared" si="4"/>
        <v>Kab. Banjarnegara</v>
      </c>
      <c r="F107" s="1" t="str">
        <f>IF(info!$B107=profilKelas!$F$8,ROW(),"")</f>
        <v/>
      </c>
    </row>
    <row r="108" spans="2:6" hidden="1" x14ac:dyDescent="0.3">
      <c r="B108" s="1" t="s">
        <v>37</v>
      </c>
      <c r="C108" s="1" t="s">
        <v>173</v>
      </c>
      <c r="D108" s="1" t="str">
        <f t="shared" si="4"/>
        <v>Kab. Banyumas</v>
      </c>
      <c r="F108" s="1" t="str">
        <f>IF(info!$B108=profilKelas!$F$8,ROW(),"")</f>
        <v/>
      </c>
    </row>
    <row r="109" spans="2:6" hidden="1" x14ac:dyDescent="0.3">
      <c r="B109" s="1" t="s">
        <v>37</v>
      </c>
      <c r="C109" s="1" t="s">
        <v>174</v>
      </c>
      <c r="D109" s="1" t="str">
        <f t="shared" si="4"/>
        <v>Kab. Batang</v>
      </c>
      <c r="F109" s="1" t="str">
        <f>IF(info!$B109=profilKelas!$F$8,ROW(),"")</f>
        <v/>
      </c>
    </row>
    <row r="110" spans="2:6" hidden="1" x14ac:dyDescent="0.3">
      <c r="B110" s="1" t="s">
        <v>37</v>
      </c>
      <c r="C110" s="1" t="s">
        <v>175</v>
      </c>
      <c r="D110" s="1" t="str">
        <f t="shared" si="4"/>
        <v>Kab. Blora</v>
      </c>
      <c r="F110" s="1" t="str">
        <f>IF(info!$B110=profilKelas!$F$8,ROW(),"")</f>
        <v/>
      </c>
    </row>
    <row r="111" spans="2:6" hidden="1" x14ac:dyDescent="0.3">
      <c r="B111" s="1" t="s">
        <v>37</v>
      </c>
      <c r="C111" s="1" t="s">
        <v>176</v>
      </c>
      <c r="D111" s="1" t="str">
        <f t="shared" si="4"/>
        <v>Kab. Boyolali</v>
      </c>
      <c r="F111" s="1" t="str">
        <f>IF(info!$B111=profilKelas!$F$8,ROW(),"")</f>
        <v/>
      </c>
    </row>
    <row r="112" spans="2:6" hidden="1" x14ac:dyDescent="0.3">
      <c r="B112" s="1" t="s">
        <v>37</v>
      </c>
      <c r="C112" s="1" t="s">
        <v>177</v>
      </c>
      <c r="D112" s="1" t="str">
        <f t="shared" si="4"/>
        <v>Kab. Brebes</v>
      </c>
      <c r="F112" s="1" t="str">
        <f>IF(info!$B112=profilKelas!$F$8,ROW(),"")</f>
        <v/>
      </c>
    </row>
    <row r="113" spans="2:6" hidden="1" x14ac:dyDescent="0.3">
      <c r="B113" s="1" t="s">
        <v>37</v>
      </c>
      <c r="C113" s="1" t="s">
        <v>178</v>
      </c>
      <c r="D113" s="1" t="str">
        <f t="shared" si="4"/>
        <v>Kab. Cilacap</v>
      </c>
      <c r="F113" s="1" t="str">
        <f>IF(info!$B113=profilKelas!$F$8,ROW(),"")</f>
        <v/>
      </c>
    </row>
    <row r="114" spans="2:6" hidden="1" x14ac:dyDescent="0.3">
      <c r="B114" s="1" t="s">
        <v>37</v>
      </c>
      <c r="C114" s="1" t="s">
        <v>179</v>
      </c>
      <c r="D114" s="1" t="str">
        <f t="shared" si="4"/>
        <v>Kab. Demak</v>
      </c>
      <c r="F114" s="1" t="str">
        <f>IF(info!$B114=profilKelas!$F$8,ROW(),"")</f>
        <v/>
      </c>
    </row>
    <row r="115" spans="2:6" hidden="1" x14ac:dyDescent="0.3">
      <c r="B115" s="1" t="s">
        <v>37</v>
      </c>
      <c r="C115" s="1" t="s">
        <v>180</v>
      </c>
      <c r="D115" s="1" t="str">
        <f t="shared" si="4"/>
        <v>Kab. Grobogan</v>
      </c>
      <c r="F115" s="1" t="str">
        <f>IF(info!$B115=profilKelas!$F$8,ROW(),"")</f>
        <v/>
      </c>
    </row>
    <row r="116" spans="2:6" hidden="1" x14ac:dyDescent="0.3">
      <c r="B116" s="1" t="s">
        <v>37</v>
      </c>
      <c r="C116" s="1" t="s">
        <v>181</v>
      </c>
      <c r="D116" s="1" t="str">
        <f t="shared" si="4"/>
        <v>Kab. Jepara</v>
      </c>
      <c r="F116" s="1" t="str">
        <f>IF(info!$B116=profilKelas!$F$8,ROW(),"")</f>
        <v/>
      </c>
    </row>
    <row r="117" spans="2:6" hidden="1" x14ac:dyDescent="0.3">
      <c r="B117" s="1" t="s">
        <v>37</v>
      </c>
      <c r="C117" s="1" t="s">
        <v>182</v>
      </c>
      <c r="D117" s="1" t="str">
        <f t="shared" si="4"/>
        <v>Kab. Karanganyar</v>
      </c>
      <c r="F117" s="1" t="str">
        <f>IF(info!$B117=profilKelas!$F$8,ROW(),"")</f>
        <v/>
      </c>
    </row>
    <row r="118" spans="2:6" hidden="1" x14ac:dyDescent="0.3">
      <c r="B118" s="1" t="s">
        <v>37</v>
      </c>
      <c r="C118" s="1" t="s">
        <v>183</v>
      </c>
      <c r="D118" s="1" t="str">
        <f t="shared" si="4"/>
        <v>Kab. Kebumen</v>
      </c>
      <c r="F118" s="1" t="str">
        <f>IF(info!$B118=profilKelas!$F$8,ROW(),"")</f>
        <v/>
      </c>
    </row>
    <row r="119" spans="2:6" hidden="1" x14ac:dyDescent="0.3">
      <c r="B119" s="1" t="s">
        <v>37</v>
      </c>
      <c r="C119" s="1" t="s">
        <v>184</v>
      </c>
      <c r="D119" s="1" t="str">
        <f t="shared" si="4"/>
        <v>Kab. Kendal</v>
      </c>
      <c r="F119" s="1" t="str">
        <f>IF(info!$B119=profilKelas!$F$8,ROW(),"")</f>
        <v/>
      </c>
    </row>
    <row r="120" spans="2:6" hidden="1" x14ac:dyDescent="0.3">
      <c r="B120" s="1" t="s">
        <v>37</v>
      </c>
      <c r="C120" s="1" t="s">
        <v>185</v>
      </c>
      <c r="D120" s="1" t="str">
        <f t="shared" si="4"/>
        <v>Kab. Klaten</v>
      </c>
      <c r="F120" s="1" t="str">
        <f>IF(info!$B120=profilKelas!$F$8,ROW(),"")</f>
        <v/>
      </c>
    </row>
    <row r="121" spans="2:6" hidden="1" x14ac:dyDescent="0.3">
      <c r="B121" s="1" t="s">
        <v>37</v>
      </c>
      <c r="C121" s="1" t="s">
        <v>192</v>
      </c>
      <c r="D121" s="1" t="str">
        <f t="shared" si="4"/>
        <v>Kab. Kudus</v>
      </c>
      <c r="F121" s="1" t="str">
        <f>IF(info!$B121=profilKelas!$F$8,ROW(),"")</f>
        <v/>
      </c>
    </row>
    <row r="122" spans="2:6" hidden="1" x14ac:dyDescent="0.3">
      <c r="B122" s="1" t="s">
        <v>37</v>
      </c>
      <c r="C122" s="1" t="s">
        <v>193</v>
      </c>
      <c r="D122" s="1" t="str">
        <f t="shared" si="4"/>
        <v>Kab. Magelang</v>
      </c>
      <c r="F122" s="1" t="str">
        <f>IF(info!$B122=profilKelas!$F$8,ROW(),"")</f>
        <v/>
      </c>
    </row>
    <row r="123" spans="2:6" hidden="1" x14ac:dyDescent="0.3">
      <c r="B123" s="1" t="s">
        <v>37</v>
      </c>
      <c r="C123" s="1" t="s">
        <v>194</v>
      </c>
      <c r="D123" s="1" t="str">
        <f t="shared" si="4"/>
        <v>Kab. Pati</v>
      </c>
      <c r="F123" s="1" t="str">
        <f>IF(info!$B123=profilKelas!$F$8,ROW(),"")</f>
        <v/>
      </c>
    </row>
    <row r="124" spans="2:6" hidden="1" x14ac:dyDescent="0.3">
      <c r="B124" s="1" t="s">
        <v>37</v>
      </c>
      <c r="C124" s="1" t="s">
        <v>195</v>
      </c>
      <c r="D124" s="1" t="str">
        <f t="shared" si="4"/>
        <v>Kab. Pekalongan</v>
      </c>
      <c r="F124" s="1" t="str">
        <f>IF(info!$B124=profilKelas!$F$8,ROW(),"")</f>
        <v/>
      </c>
    </row>
    <row r="125" spans="2:6" hidden="1" x14ac:dyDescent="0.3">
      <c r="B125" s="1" t="s">
        <v>37</v>
      </c>
      <c r="C125" s="1" t="s">
        <v>196</v>
      </c>
      <c r="D125" s="1" t="str">
        <f t="shared" si="4"/>
        <v>Kab. Pemalang</v>
      </c>
      <c r="F125" s="1" t="str">
        <f>IF(info!$B125=profilKelas!$F$8,ROW(),"")</f>
        <v/>
      </c>
    </row>
    <row r="126" spans="2:6" hidden="1" x14ac:dyDescent="0.3">
      <c r="B126" s="1" t="s">
        <v>37</v>
      </c>
      <c r="C126" s="1" t="s">
        <v>197</v>
      </c>
      <c r="D126" s="1" t="str">
        <f t="shared" si="4"/>
        <v>Kab. Purbalingga</v>
      </c>
      <c r="F126" s="1" t="str">
        <f>IF(info!$B126=profilKelas!$F$8,ROW(),"")</f>
        <v/>
      </c>
    </row>
    <row r="127" spans="2:6" hidden="1" x14ac:dyDescent="0.3">
      <c r="B127" s="1" t="s">
        <v>37</v>
      </c>
      <c r="C127" s="1" t="s">
        <v>198</v>
      </c>
      <c r="D127" s="1" t="str">
        <f t="shared" si="4"/>
        <v>Kab. Purworejo</v>
      </c>
      <c r="F127" s="1" t="str">
        <f>IF(info!$B127=profilKelas!$F$8,ROW(),"")</f>
        <v/>
      </c>
    </row>
    <row r="128" spans="2:6" hidden="1" x14ac:dyDescent="0.3">
      <c r="B128" s="1" t="s">
        <v>37</v>
      </c>
      <c r="C128" s="1" t="s">
        <v>199</v>
      </c>
      <c r="D128" s="1" t="str">
        <f t="shared" si="4"/>
        <v>Kab. Rembang</v>
      </c>
      <c r="F128" s="1" t="str">
        <f>IF(info!$B128=profilKelas!$F$8,ROW(),"")</f>
        <v/>
      </c>
    </row>
    <row r="129" spans="2:6" hidden="1" x14ac:dyDescent="0.3">
      <c r="B129" s="1" t="s">
        <v>37</v>
      </c>
      <c r="C129" s="1" t="s">
        <v>200</v>
      </c>
      <c r="D129" s="1" t="str">
        <f t="shared" si="4"/>
        <v>Kab. Semarang</v>
      </c>
      <c r="F129" s="1" t="str">
        <f>IF(info!$B129=profilKelas!$F$8,ROW(),"")</f>
        <v/>
      </c>
    </row>
    <row r="130" spans="2:6" hidden="1" x14ac:dyDescent="0.3">
      <c r="B130" s="1" t="s">
        <v>37</v>
      </c>
      <c r="C130" s="1" t="s">
        <v>201</v>
      </c>
      <c r="D130" s="1" t="str">
        <f t="shared" ref="D130:D193" si="5">IF(LEFT(C130,4)="Kota",C130,IF(LEFT(C130,4)="Prov",C130,"Kab. "&amp;C130))</f>
        <v>Kab. Sragen</v>
      </c>
      <c r="F130" s="1" t="str">
        <f>IF(info!$B130=profilKelas!$F$8,ROW(),"")</f>
        <v/>
      </c>
    </row>
    <row r="131" spans="2:6" hidden="1" x14ac:dyDescent="0.3">
      <c r="B131" s="1" t="s">
        <v>37</v>
      </c>
      <c r="C131" s="1" t="s">
        <v>202</v>
      </c>
      <c r="D131" s="1" t="str">
        <f t="shared" si="5"/>
        <v>Kab. Sukoharjo</v>
      </c>
      <c r="F131" s="1" t="str">
        <f>IF(info!$B131=profilKelas!$F$8,ROW(),"")</f>
        <v/>
      </c>
    </row>
    <row r="132" spans="2:6" hidden="1" x14ac:dyDescent="0.3">
      <c r="B132" s="1" t="s">
        <v>37</v>
      </c>
      <c r="C132" s="1" t="s">
        <v>203</v>
      </c>
      <c r="D132" s="1" t="str">
        <f t="shared" si="5"/>
        <v>Kab. Tegal</v>
      </c>
      <c r="F132" s="1" t="str">
        <f>IF(info!$B132=profilKelas!$F$8,ROW(),"")</f>
        <v/>
      </c>
    </row>
    <row r="133" spans="2:6" hidden="1" x14ac:dyDescent="0.3">
      <c r="B133" s="1" t="s">
        <v>37</v>
      </c>
      <c r="C133" s="1" t="s">
        <v>204</v>
      </c>
      <c r="D133" s="1" t="str">
        <f t="shared" si="5"/>
        <v>Kab. Temanggung</v>
      </c>
      <c r="F133" s="1" t="str">
        <f>IF(info!$B133=profilKelas!$F$8,ROW(),"")</f>
        <v/>
      </c>
    </row>
    <row r="134" spans="2:6" hidden="1" x14ac:dyDescent="0.3">
      <c r="B134" s="1" t="s">
        <v>37</v>
      </c>
      <c r="C134" s="1" t="s">
        <v>205</v>
      </c>
      <c r="D134" s="1" t="str">
        <f t="shared" si="5"/>
        <v>Kab. Wonogiri</v>
      </c>
      <c r="F134" s="1" t="str">
        <f>IF(info!$B134=profilKelas!$F$8,ROW(),"")</f>
        <v/>
      </c>
    </row>
    <row r="135" spans="2:6" hidden="1" x14ac:dyDescent="0.3">
      <c r="B135" s="1" t="s">
        <v>37</v>
      </c>
      <c r="C135" s="1" t="s">
        <v>206</v>
      </c>
      <c r="D135" s="1" t="str">
        <f t="shared" si="5"/>
        <v>Kab. Wonosobo</v>
      </c>
      <c r="F135" s="1" t="str">
        <f>IF(info!$B135=profilKelas!$F$8,ROW(),"")</f>
        <v/>
      </c>
    </row>
    <row r="136" spans="2:6" hidden="1" x14ac:dyDescent="0.3">
      <c r="B136" s="1" t="s">
        <v>37</v>
      </c>
      <c r="C136" s="1" t="s">
        <v>186</v>
      </c>
      <c r="D136" s="1" t="str">
        <f t="shared" si="5"/>
        <v>Kota Magelang</v>
      </c>
      <c r="F136" s="1" t="str">
        <f>IF(info!$B136=profilKelas!$F$8,ROW(),"")</f>
        <v/>
      </c>
    </row>
    <row r="137" spans="2:6" hidden="1" x14ac:dyDescent="0.3">
      <c r="B137" s="1" t="s">
        <v>37</v>
      </c>
      <c r="C137" s="1" t="s">
        <v>187</v>
      </c>
      <c r="D137" s="1" t="str">
        <f t="shared" si="5"/>
        <v>Kota Pekalongan</v>
      </c>
      <c r="F137" s="1" t="str">
        <f>IF(info!$B137=profilKelas!$F$8,ROW(),"")</f>
        <v/>
      </c>
    </row>
    <row r="138" spans="2:6" hidden="1" x14ac:dyDescent="0.3">
      <c r="B138" s="1" t="s">
        <v>37</v>
      </c>
      <c r="C138" s="1" t="s">
        <v>188</v>
      </c>
      <c r="D138" s="1" t="str">
        <f t="shared" si="5"/>
        <v>Kota Salatiga</v>
      </c>
      <c r="F138" s="1" t="str">
        <f>IF(info!$B138=profilKelas!$F$8,ROW(),"")</f>
        <v/>
      </c>
    </row>
    <row r="139" spans="2:6" hidden="1" x14ac:dyDescent="0.3">
      <c r="B139" s="1" t="s">
        <v>37</v>
      </c>
      <c r="C139" s="1" t="s">
        <v>189</v>
      </c>
      <c r="D139" s="1" t="str">
        <f t="shared" si="5"/>
        <v>Kota Semarang</v>
      </c>
      <c r="F139" s="1" t="str">
        <f>IF(info!$B139=profilKelas!$F$8,ROW(),"")</f>
        <v/>
      </c>
    </row>
    <row r="140" spans="2:6" hidden="1" x14ac:dyDescent="0.3">
      <c r="B140" s="1" t="s">
        <v>37</v>
      </c>
      <c r="C140" s="1" t="s">
        <v>190</v>
      </c>
      <c r="D140" s="1" t="str">
        <f t="shared" si="5"/>
        <v>Kota Surakarta</v>
      </c>
      <c r="F140" s="1" t="str">
        <f>IF(info!$B140=profilKelas!$F$8,ROW(),"")</f>
        <v/>
      </c>
    </row>
    <row r="141" spans="2:6" hidden="1" x14ac:dyDescent="0.3">
      <c r="B141" s="1" t="s">
        <v>37</v>
      </c>
      <c r="C141" s="1" t="s">
        <v>191</v>
      </c>
      <c r="D141" s="1" t="str">
        <f t="shared" si="5"/>
        <v>Kota Tegal</v>
      </c>
      <c r="F141" s="1" t="str">
        <f>IF(info!$B141=profilKelas!$F$8,ROW(),"")</f>
        <v/>
      </c>
    </row>
    <row r="142" spans="2:6" hidden="1" x14ac:dyDescent="0.3">
      <c r="B142" s="1" t="s">
        <v>38</v>
      </c>
      <c r="C142" s="1" t="s">
        <v>207</v>
      </c>
      <c r="D142" s="1" t="str">
        <f t="shared" si="5"/>
        <v>Kab. Bangkalan</v>
      </c>
      <c r="F142" s="1" t="str">
        <f>IF(info!$B142=profilKelas!$F$8,ROW(),"")</f>
        <v/>
      </c>
    </row>
    <row r="143" spans="2:6" hidden="1" x14ac:dyDescent="0.3">
      <c r="B143" s="1" t="s">
        <v>38</v>
      </c>
      <c r="C143" s="1" t="s">
        <v>208</v>
      </c>
      <c r="D143" s="1" t="str">
        <f t="shared" si="5"/>
        <v>Kab. Banyuwangi</v>
      </c>
      <c r="F143" s="1" t="str">
        <f>IF(info!$B143=profilKelas!$F$8,ROW(),"")</f>
        <v/>
      </c>
    </row>
    <row r="144" spans="2:6" hidden="1" x14ac:dyDescent="0.3">
      <c r="B144" s="1" t="s">
        <v>38</v>
      </c>
      <c r="C144" s="1" t="s">
        <v>209</v>
      </c>
      <c r="D144" s="1" t="str">
        <f t="shared" si="5"/>
        <v>Kab. Blitar</v>
      </c>
      <c r="F144" s="1" t="str">
        <f>IF(info!$B144=profilKelas!$F$8,ROW(),"")</f>
        <v/>
      </c>
    </row>
    <row r="145" spans="2:6" hidden="1" x14ac:dyDescent="0.3">
      <c r="B145" s="1" t="s">
        <v>38</v>
      </c>
      <c r="C145" s="1" t="s">
        <v>210</v>
      </c>
      <c r="D145" s="1" t="str">
        <f t="shared" si="5"/>
        <v>Kab. Bojonegoro</v>
      </c>
      <c r="F145" s="1" t="str">
        <f>IF(info!$B145=profilKelas!$F$8,ROW(),"")</f>
        <v/>
      </c>
    </row>
    <row r="146" spans="2:6" hidden="1" x14ac:dyDescent="0.3">
      <c r="B146" s="1" t="s">
        <v>38</v>
      </c>
      <c r="C146" s="1" t="s">
        <v>211</v>
      </c>
      <c r="D146" s="1" t="str">
        <f t="shared" si="5"/>
        <v>Kab. Bondowoso</v>
      </c>
      <c r="F146" s="1" t="str">
        <f>IF(info!$B146=profilKelas!$F$8,ROW(),"")</f>
        <v/>
      </c>
    </row>
    <row r="147" spans="2:6" hidden="1" x14ac:dyDescent="0.3">
      <c r="B147" s="1" t="s">
        <v>38</v>
      </c>
      <c r="C147" s="1" t="s">
        <v>212</v>
      </c>
      <c r="D147" s="1" t="str">
        <f t="shared" si="5"/>
        <v>Kab. Gresik</v>
      </c>
      <c r="F147" s="1" t="str">
        <f>IF(info!$B147=profilKelas!$F$8,ROW(),"")</f>
        <v/>
      </c>
    </row>
    <row r="148" spans="2:6" hidden="1" x14ac:dyDescent="0.3">
      <c r="B148" s="1" t="s">
        <v>38</v>
      </c>
      <c r="C148" s="1" t="s">
        <v>213</v>
      </c>
      <c r="D148" s="1" t="str">
        <f t="shared" si="5"/>
        <v>Kab. Jember</v>
      </c>
      <c r="F148" s="1" t="str">
        <f>IF(info!$B148=profilKelas!$F$8,ROW(),"")</f>
        <v/>
      </c>
    </row>
    <row r="149" spans="2:6" hidden="1" x14ac:dyDescent="0.3">
      <c r="B149" s="1" t="s">
        <v>38</v>
      </c>
      <c r="C149" s="1" t="s">
        <v>214</v>
      </c>
      <c r="D149" s="1" t="str">
        <f t="shared" si="5"/>
        <v>Kab. Jombang</v>
      </c>
      <c r="F149" s="1" t="str">
        <f>IF(info!$B149=profilKelas!$F$8,ROW(),"")</f>
        <v/>
      </c>
    </row>
    <row r="150" spans="2:6" hidden="1" x14ac:dyDescent="0.3">
      <c r="B150" s="1" t="s">
        <v>38</v>
      </c>
      <c r="C150" s="1" t="s">
        <v>215</v>
      </c>
      <c r="D150" s="1" t="str">
        <f t="shared" si="5"/>
        <v>Kab. Kediri</v>
      </c>
      <c r="F150" s="1" t="str">
        <f>IF(info!$B150=profilKelas!$F$8,ROW(),"")</f>
        <v/>
      </c>
    </row>
    <row r="151" spans="2:6" hidden="1" x14ac:dyDescent="0.3">
      <c r="B151" s="1" t="s">
        <v>38</v>
      </c>
      <c r="C151" s="1" t="s">
        <v>225</v>
      </c>
      <c r="D151" s="1" t="str">
        <f t="shared" si="5"/>
        <v>Kab. Lamongan</v>
      </c>
      <c r="F151" s="1" t="str">
        <f>IF(info!$B151=profilKelas!$F$8,ROW(),"")</f>
        <v/>
      </c>
    </row>
    <row r="152" spans="2:6" hidden="1" x14ac:dyDescent="0.3">
      <c r="B152" s="1" t="s">
        <v>38</v>
      </c>
      <c r="C152" s="1" t="s">
        <v>226</v>
      </c>
      <c r="D152" s="1" t="str">
        <f t="shared" si="5"/>
        <v>Kab. Lumajang</v>
      </c>
      <c r="F152" s="1" t="str">
        <f>IF(info!$B152=profilKelas!$F$8,ROW(),"")</f>
        <v/>
      </c>
    </row>
    <row r="153" spans="2:6" hidden="1" x14ac:dyDescent="0.3">
      <c r="B153" s="1" t="s">
        <v>38</v>
      </c>
      <c r="C153" s="1" t="s">
        <v>227</v>
      </c>
      <c r="D153" s="1" t="str">
        <f t="shared" si="5"/>
        <v>Kab. Madiun</v>
      </c>
      <c r="F153" s="1" t="str">
        <f>IF(info!$B153=profilKelas!$F$8,ROW(),"")</f>
        <v/>
      </c>
    </row>
    <row r="154" spans="2:6" hidden="1" x14ac:dyDescent="0.3">
      <c r="B154" s="1" t="s">
        <v>38</v>
      </c>
      <c r="C154" s="1" t="s">
        <v>228</v>
      </c>
      <c r="D154" s="1" t="str">
        <f t="shared" si="5"/>
        <v>Kab. Magetan</v>
      </c>
      <c r="F154" s="1" t="str">
        <f>IF(info!$B154=profilKelas!$F$8,ROW(),"")</f>
        <v/>
      </c>
    </row>
    <row r="155" spans="2:6" hidden="1" x14ac:dyDescent="0.3">
      <c r="B155" s="1" t="s">
        <v>38</v>
      </c>
      <c r="C155" s="1" t="s">
        <v>229</v>
      </c>
      <c r="D155" s="1" t="str">
        <f t="shared" si="5"/>
        <v>Kab. Malang</v>
      </c>
      <c r="F155" s="1" t="str">
        <f>IF(info!$B155=profilKelas!$F$8,ROW(),"")</f>
        <v/>
      </c>
    </row>
    <row r="156" spans="2:6" hidden="1" x14ac:dyDescent="0.3">
      <c r="B156" s="1" t="s">
        <v>38</v>
      </c>
      <c r="C156" s="1" t="s">
        <v>230</v>
      </c>
      <c r="D156" s="1" t="str">
        <f t="shared" si="5"/>
        <v>Kab. Mojokerto</v>
      </c>
      <c r="F156" s="1" t="str">
        <f>IF(info!$B156=profilKelas!$F$8,ROW(),"")</f>
        <v/>
      </c>
    </row>
    <row r="157" spans="2:6" hidden="1" x14ac:dyDescent="0.3">
      <c r="B157" s="1" t="s">
        <v>38</v>
      </c>
      <c r="C157" s="1" t="s">
        <v>231</v>
      </c>
      <c r="D157" s="1" t="str">
        <f t="shared" si="5"/>
        <v>Kab. Nganjuk</v>
      </c>
      <c r="F157" s="1" t="str">
        <f>IF(info!$B157=profilKelas!$F$8,ROW(),"")</f>
        <v/>
      </c>
    </row>
    <row r="158" spans="2:6" hidden="1" x14ac:dyDescent="0.3">
      <c r="B158" s="1" t="s">
        <v>38</v>
      </c>
      <c r="C158" s="1" t="s">
        <v>232</v>
      </c>
      <c r="D158" s="1" t="str">
        <f t="shared" si="5"/>
        <v>Kab. Ngawi</v>
      </c>
      <c r="F158" s="1" t="str">
        <f>IF(info!$B158=profilKelas!$F$8,ROW(),"")</f>
        <v/>
      </c>
    </row>
    <row r="159" spans="2:6" hidden="1" x14ac:dyDescent="0.3">
      <c r="B159" s="1" t="s">
        <v>38</v>
      </c>
      <c r="C159" s="1" t="s">
        <v>233</v>
      </c>
      <c r="D159" s="1" t="str">
        <f t="shared" si="5"/>
        <v>Kab. Pacitan</v>
      </c>
      <c r="F159" s="1" t="str">
        <f>IF(info!$B159=profilKelas!$F$8,ROW(),"")</f>
        <v/>
      </c>
    </row>
    <row r="160" spans="2:6" hidden="1" x14ac:dyDescent="0.3">
      <c r="B160" s="1" t="s">
        <v>38</v>
      </c>
      <c r="C160" s="1" t="s">
        <v>234</v>
      </c>
      <c r="D160" s="1" t="str">
        <f t="shared" si="5"/>
        <v>Kab. Pamekasan</v>
      </c>
      <c r="F160" s="1" t="str">
        <f>IF(info!$B160=profilKelas!$F$8,ROW(),"")</f>
        <v/>
      </c>
    </row>
    <row r="161" spans="2:6" hidden="1" x14ac:dyDescent="0.3">
      <c r="B161" s="1" t="s">
        <v>38</v>
      </c>
      <c r="C161" s="1" t="s">
        <v>235</v>
      </c>
      <c r="D161" s="1" t="str">
        <f t="shared" si="5"/>
        <v>Kab. Pasuruan</v>
      </c>
      <c r="F161" s="1" t="str">
        <f>IF(info!$B161=profilKelas!$F$8,ROW(),"")</f>
        <v/>
      </c>
    </row>
    <row r="162" spans="2:6" hidden="1" x14ac:dyDescent="0.3">
      <c r="B162" s="1" t="s">
        <v>38</v>
      </c>
      <c r="C162" s="1" t="s">
        <v>236</v>
      </c>
      <c r="D162" s="1" t="str">
        <f t="shared" si="5"/>
        <v>Kab. Ponorogo</v>
      </c>
      <c r="F162" s="1" t="str">
        <f>IF(info!$B162=profilKelas!$F$8,ROW(),"")</f>
        <v/>
      </c>
    </row>
    <row r="163" spans="2:6" hidden="1" x14ac:dyDescent="0.3">
      <c r="B163" s="1" t="s">
        <v>38</v>
      </c>
      <c r="C163" s="1" t="s">
        <v>237</v>
      </c>
      <c r="D163" s="1" t="str">
        <f t="shared" si="5"/>
        <v>Kab. Probolinggo</v>
      </c>
      <c r="F163" s="1" t="str">
        <f>IF(info!$B163=profilKelas!$F$8,ROW(),"")</f>
        <v/>
      </c>
    </row>
    <row r="164" spans="2:6" hidden="1" x14ac:dyDescent="0.3">
      <c r="B164" s="1" t="s">
        <v>38</v>
      </c>
      <c r="C164" s="1" t="s">
        <v>238</v>
      </c>
      <c r="D164" s="1" t="str">
        <f t="shared" si="5"/>
        <v>Kab. Sampang</v>
      </c>
      <c r="F164" s="1" t="str">
        <f>IF(info!$B164=profilKelas!$F$8,ROW(),"")</f>
        <v/>
      </c>
    </row>
    <row r="165" spans="2:6" hidden="1" x14ac:dyDescent="0.3">
      <c r="B165" s="1" t="s">
        <v>38</v>
      </c>
      <c r="C165" s="1" t="s">
        <v>239</v>
      </c>
      <c r="D165" s="1" t="str">
        <f t="shared" si="5"/>
        <v>Kab. Sidoarjo</v>
      </c>
      <c r="F165" s="1" t="str">
        <f>IF(info!$B165=profilKelas!$F$8,ROW(),"")</f>
        <v/>
      </c>
    </row>
    <row r="166" spans="2:6" hidden="1" x14ac:dyDescent="0.3">
      <c r="B166" s="1" t="s">
        <v>38</v>
      </c>
      <c r="C166" s="1" t="s">
        <v>240</v>
      </c>
      <c r="D166" s="1" t="str">
        <f t="shared" si="5"/>
        <v>Kab. Situbondo</v>
      </c>
      <c r="F166" s="1" t="str">
        <f>IF(info!$B166=profilKelas!$F$8,ROW(),"")</f>
        <v/>
      </c>
    </row>
    <row r="167" spans="2:6" hidden="1" x14ac:dyDescent="0.3">
      <c r="B167" s="1" t="s">
        <v>38</v>
      </c>
      <c r="C167" s="1" t="s">
        <v>241</v>
      </c>
      <c r="D167" s="1" t="str">
        <f t="shared" si="5"/>
        <v>Kab. Sumenep</v>
      </c>
      <c r="F167" s="1" t="str">
        <f>IF(info!$B167=profilKelas!$F$8,ROW(),"")</f>
        <v/>
      </c>
    </row>
    <row r="168" spans="2:6" hidden="1" x14ac:dyDescent="0.3">
      <c r="B168" s="1" t="s">
        <v>38</v>
      </c>
      <c r="C168" s="1" t="s">
        <v>242</v>
      </c>
      <c r="D168" s="1" t="str">
        <f t="shared" si="5"/>
        <v>Kab. Trenggalek</v>
      </c>
      <c r="F168" s="1" t="str">
        <f>IF(info!$B168=profilKelas!$F$8,ROW(),"")</f>
        <v/>
      </c>
    </row>
    <row r="169" spans="2:6" hidden="1" x14ac:dyDescent="0.3">
      <c r="B169" s="1" t="s">
        <v>38</v>
      </c>
      <c r="C169" s="1" t="s">
        <v>243</v>
      </c>
      <c r="D169" s="1" t="str">
        <f t="shared" si="5"/>
        <v>Kab. Tuban</v>
      </c>
      <c r="F169" s="1" t="str">
        <f>IF(info!$B169=profilKelas!$F$8,ROW(),"")</f>
        <v/>
      </c>
    </row>
    <row r="170" spans="2:6" hidden="1" x14ac:dyDescent="0.3">
      <c r="B170" s="1" t="s">
        <v>38</v>
      </c>
      <c r="C170" s="1" t="s">
        <v>244</v>
      </c>
      <c r="D170" s="1" t="str">
        <f t="shared" si="5"/>
        <v>Kab. Tulungagung</v>
      </c>
      <c r="F170" s="1" t="str">
        <f>IF(info!$B170=profilKelas!$F$8,ROW(),"")</f>
        <v/>
      </c>
    </row>
    <row r="171" spans="2:6" hidden="1" x14ac:dyDescent="0.3">
      <c r="B171" s="1" t="s">
        <v>38</v>
      </c>
      <c r="C171" s="1" t="s">
        <v>216</v>
      </c>
      <c r="D171" s="1" t="str">
        <f t="shared" si="5"/>
        <v>Kota Batu</v>
      </c>
      <c r="F171" s="1" t="str">
        <f>IF(info!$B171=profilKelas!$F$8,ROW(),"")</f>
        <v/>
      </c>
    </row>
    <row r="172" spans="2:6" hidden="1" x14ac:dyDescent="0.3">
      <c r="B172" s="1" t="s">
        <v>38</v>
      </c>
      <c r="C172" s="1" t="s">
        <v>217</v>
      </c>
      <c r="D172" s="1" t="str">
        <f t="shared" si="5"/>
        <v>Kota Blitar</v>
      </c>
      <c r="F172" s="1" t="str">
        <f>IF(info!$B172=profilKelas!$F$8,ROW(),"")</f>
        <v/>
      </c>
    </row>
    <row r="173" spans="2:6" hidden="1" x14ac:dyDescent="0.3">
      <c r="B173" s="1" t="s">
        <v>38</v>
      </c>
      <c r="C173" s="1" t="s">
        <v>218</v>
      </c>
      <c r="D173" s="1" t="str">
        <f t="shared" si="5"/>
        <v>Kota Kediri</v>
      </c>
      <c r="F173" s="1" t="str">
        <f>IF(info!$B173=profilKelas!$F$8,ROW(),"")</f>
        <v/>
      </c>
    </row>
    <row r="174" spans="2:6" hidden="1" x14ac:dyDescent="0.3">
      <c r="B174" s="1" t="s">
        <v>38</v>
      </c>
      <c r="C174" s="1" t="s">
        <v>219</v>
      </c>
      <c r="D174" s="1" t="str">
        <f t="shared" si="5"/>
        <v>Kota Madiun</v>
      </c>
      <c r="F174" s="1" t="str">
        <f>IF(info!$B174=profilKelas!$F$8,ROW(),"")</f>
        <v/>
      </c>
    </row>
    <row r="175" spans="2:6" hidden="1" x14ac:dyDescent="0.3">
      <c r="B175" s="1" t="s">
        <v>38</v>
      </c>
      <c r="C175" s="1" t="s">
        <v>220</v>
      </c>
      <c r="D175" s="1" t="str">
        <f t="shared" si="5"/>
        <v>Kota Malang</v>
      </c>
      <c r="F175" s="1" t="str">
        <f>IF(info!$B175=profilKelas!$F$8,ROW(),"")</f>
        <v/>
      </c>
    </row>
    <row r="176" spans="2:6" hidden="1" x14ac:dyDescent="0.3">
      <c r="B176" s="1" t="s">
        <v>38</v>
      </c>
      <c r="C176" s="1" t="s">
        <v>221</v>
      </c>
      <c r="D176" s="1" t="str">
        <f t="shared" si="5"/>
        <v>Kota Mojokerto</v>
      </c>
      <c r="F176" s="1" t="str">
        <f>IF(info!$B176=profilKelas!$F$8,ROW(),"")</f>
        <v/>
      </c>
    </row>
    <row r="177" spans="2:6" hidden="1" x14ac:dyDescent="0.3">
      <c r="B177" s="1" t="s">
        <v>38</v>
      </c>
      <c r="C177" s="1" t="s">
        <v>222</v>
      </c>
      <c r="D177" s="1" t="str">
        <f t="shared" si="5"/>
        <v>Kota Pasuruan</v>
      </c>
      <c r="F177" s="1" t="str">
        <f>IF(info!$B177=profilKelas!$F$8,ROW(),"")</f>
        <v/>
      </c>
    </row>
    <row r="178" spans="2:6" hidden="1" x14ac:dyDescent="0.3">
      <c r="B178" s="1" t="s">
        <v>38</v>
      </c>
      <c r="C178" s="1" t="s">
        <v>223</v>
      </c>
      <c r="D178" s="1" t="str">
        <f t="shared" si="5"/>
        <v>Kota Probolinggo</v>
      </c>
      <c r="F178" s="1" t="str">
        <f>IF(info!$B178=profilKelas!$F$8,ROW(),"")</f>
        <v/>
      </c>
    </row>
    <row r="179" spans="2:6" hidden="1" x14ac:dyDescent="0.3">
      <c r="B179" s="1" t="s">
        <v>38</v>
      </c>
      <c r="C179" s="1" t="s">
        <v>224</v>
      </c>
      <c r="D179" s="1" t="str">
        <f t="shared" si="5"/>
        <v>Kota Surabaya</v>
      </c>
      <c r="F179" s="1" t="str">
        <f>IF(info!$B179=profilKelas!$F$8,ROW(),"")</f>
        <v/>
      </c>
    </row>
    <row r="180" spans="2:6" hidden="1" x14ac:dyDescent="0.3">
      <c r="B180" s="1" t="s">
        <v>39</v>
      </c>
      <c r="C180" s="1" t="s">
        <v>245</v>
      </c>
      <c r="D180" s="1" t="str">
        <f t="shared" si="5"/>
        <v>Kab. Bengkayang</v>
      </c>
      <c r="F180" s="1" t="str">
        <f>IF(info!$B180=profilKelas!$F$8,ROW(),"")</f>
        <v/>
      </c>
    </row>
    <row r="181" spans="2:6" hidden="1" x14ac:dyDescent="0.3">
      <c r="B181" s="1" t="s">
        <v>39</v>
      </c>
      <c r="C181" s="1" t="s">
        <v>246</v>
      </c>
      <c r="D181" s="1" t="str">
        <f t="shared" si="5"/>
        <v>Kab. Kapuas Hulu</v>
      </c>
      <c r="F181" s="1" t="str">
        <f>IF(info!$B181=profilKelas!$F$8,ROW(),"")</f>
        <v/>
      </c>
    </row>
    <row r="182" spans="2:6" hidden="1" x14ac:dyDescent="0.3">
      <c r="B182" s="1" t="s">
        <v>39</v>
      </c>
      <c r="C182" s="1" t="s">
        <v>247</v>
      </c>
      <c r="D182" s="1" t="str">
        <f t="shared" si="5"/>
        <v>Kab. Kayong Utara</v>
      </c>
      <c r="F182" s="1" t="str">
        <f>IF(info!$B182=profilKelas!$F$8,ROW(),"")</f>
        <v/>
      </c>
    </row>
    <row r="183" spans="2:6" hidden="1" x14ac:dyDescent="0.3">
      <c r="B183" s="1" t="s">
        <v>39</v>
      </c>
      <c r="C183" s="1" t="s">
        <v>248</v>
      </c>
      <c r="D183" s="1" t="str">
        <f t="shared" si="5"/>
        <v>Kab. Ketapang</v>
      </c>
      <c r="F183" s="1" t="str">
        <f>IF(info!$B183=profilKelas!$F$8,ROW(),"")</f>
        <v/>
      </c>
    </row>
    <row r="184" spans="2:6" hidden="1" x14ac:dyDescent="0.3">
      <c r="B184" s="1" t="s">
        <v>39</v>
      </c>
      <c r="C184" s="1" t="s">
        <v>251</v>
      </c>
      <c r="D184" s="1" t="str">
        <f t="shared" si="5"/>
        <v>Kab. Kubu Raya</v>
      </c>
      <c r="F184" s="1" t="str">
        <f>IF(info!$B184=profilKelas!$F$8,ROW(),"")</f>
        <v/>
      </c>
    </row>
    <row r="185" spans="2:6" hidden="1" x14ac:dyDescent="0.3">
      <c r="B185" s="1" t="s">
        <v>39</v>
      </c>
      <c r="C185" s="1" t="s">
        <v>252</v>
      </c>
      <c r="D185" s="1" t="str">
        <f t="shared" si="5"/>
        <v>Kab. Landak</v>
      </c>
      <c r="F185" s="1" t="str">
        <f>IF(info!$B185=profilKelas!$F$8,ROW(),"")</f>
        <v/>
      </c>
    </row>
    <row r="186" spans="2:6" hidden="1" x14ac:dyDescent="0.3">
      <c r="B186" s="1" t="s">
        <v>39</v>
      </c>
      <c r="C186" s="1" t="s">
        <v>253</v>
      </c>
      <c r="D186" s="1" t="str">
        <f t="shared" si="5"/>
        <v>Kab. Melawi</v>
      </c>
      <c r="F186" s="1" t="str">
        <f>IF(info!$B186=profilKelas!$F$8,ROW(),"")</f>
        <v/>
      </c>
    </row>
    <row r="187" spans="2:6" hidden="1" x14ac:dyDescent="0.3">
      <c r="B187" s="1" t="s">
        <v>39</v>
      </c>
      <c r="C187" s="1" t="s">
        <v>254</v>
      </c>
      <c r="D187" s="1" t="str">
        <f t="shared" si="5"/>
        <v>Kab. Mempawah</v>
      </c>
      <c r="F187" s="1" t="str">
        <f>IF(info!$B187=profilKelas!$F$8,ROW(),"")</f>
        <v/>
      </c>
    </row>
    <row r="188" spans="2:6" hidden="1" x14ac:dyDescent="0.3">
      <c r="B188" s="1" t="s">
        <v>39</v>
      </c>
      <c r="C188" s="1" t="s">
        <v>255</v>
      </c>
      <c r="D188" s="1" t="str">
        <f t="shared" si="5"/>
        <v>Kab. Sambas</v>
      </c>
      <c r="F188" s="1" t="str">
        <f>IF(info!$B188=profilKelas!$F$8,ROW(),"")</f>
        <v/>
      </c>
    </row>
    <row r="189" spans="2:6" hidden="1" x14ac:dyDescent="0.3">
      <c r="B189" s="1" t="s">
        <v>39</v>
      </c>
      <c r="C189" s="1" t="s">
        <v>256</v>
      </c>
      <c r="D189" s="1" t="str">
        <f t="shared" si="5"/>
        <v>Kab. Sanggau</v>
      </c>
      <c r="F189" s="1" t="str">
        <f>IF(info!$B189=profilKelas!$F$8,ROW(),"")</f>
        <v/>
      </c>
    </row>
    <row r="190" spans="2:6" hidden="1" x14ac:dyDescent="0.3">
      <c r="B190" s="1" t="s">
        <v>39</v>
      </c>
      <c r="C190" s="1" t="s">
        <v>257</v>
      </c>
      <c r="D190" s="1" t="str">
        <f t="shared" si="5"/>
        <v>Kab. Sekadau</v>
      </c>
      <c r="F190" s="1" t="str">
        <f>IF(info!$B190=profilKelas!$F$8,ROW(),"")</f>
        <v/>
      </c>
    </row>
    <row r="191" spans="2:6" hidden="1" x14ac:dyDescent="0.3">
      <c r="B191" s="1" t="s">
        <v>39</v>
      </c>
      <c r="C191" s="1" t="s">
        <v>258</v>
      </c>
      <c r="D191" s="1" t="str">
        <f t="shared" si="5"/>
        <v>Kab. Sintang</v>
      </c>
      <c r="F191" s="1" t="str">
        <f>IF(info!$B191=profilKelas!$F$8,ROW(),"")</f>
        <v/>
      </c>
    </row>
    <row r="192" spans="2:6" hidden="1" x14ac:dyDescent="0.3">
      <c r="B192" s="1" t="s">
        <v>39</v>
      </c>
      <c r="C192" s="1" t="s">
        <v>249</v>
      </c>
      <c r="D192" s="1" t="str">
        <f t="shared" si="5"/>
        <v>Kota Pontianak</v>
      </c>
      <c r="F192" s="1" t="str">
        <f>IF(info!$B192=profilKelas!$F$8,ROW(),"")</f>
        <v/>
      </c>
    </row>
    <row r="193" spans="2:6" hidden="1" x14ac:dyDescent="0.3">
      <c r="B193" s="1" t="s">
        <v>39</v>
      </c>
      <c r="C193" s="1" t="s">
        <v>250</v>
      </c>
      <c r="D193" s="1" t="str">
        <f t="shared" si="5"/>
        <v>Kota Singkawang</v>
      </c>
      <c r="F193" s="1" t="str">
        <f>IF(info!$B193=profilKelas!$F$8,ROW(),"")</f>
        <v/>
      </c>
    </row>
    <row r="194" spans="2:6" hidden="1" x14ac:dyDescent="0.3">
      <c r="B194" s="1" t="s">
        <v>40</v>
      </c>
      <c r="C194" s="1" t="s">
        <v>259</v>
      </c>
      <c r="D194" s="1" t="str">
        <f t="shared" ref="D194:D257" si="6">IF(LEFT(C194,4)="Kota",C194,IF(LEFT(C194,4)="Prov",C194,"Kab. "&amp;C194))</f>
        <v>Kab. Balangan</v>
      </c>
      <c r="F194" s="1" t="str">
        <f>IF(info!$B194=profilKelas!$F$8,ROW(),"")</f>
        <v/>
      </c>
    </row>
    <row r="195" spans="2:6" hidden="1" x14ac:dyDescent="0.3">
      <c r="B195" s="1" t="s">
        <v>40</v>
      </c>
      <c r="C195" s="1" t="s">
        <v>260</v>
      </c>
      <c r="D195" s="1" t="str">
        <f t="shared" si="6"/>
        <v>Kab. Banjar</v>
      </c>
      <c r="F195" s="1" t="str">
        <f>IF(info!$B195=profilKelas!$F$8,ROW(),"")</f>
        <v/>
      </c>
    </row>
    <row r="196" spans="2:6" hidden="1" x14ac:dyDescent="0.3">
      <c r="B196" s="1" t="s">
        <v>40</v>
      </c>
      <c r="C196" s="1" t="s">
        <v>261</v>
      </c>
      <c r="D196" s="1" t="str">
        <f t="shared" si="6"/>
        <v>Kab. Barito Kuala</v>
      </c>
      <c r="F196" s="1" t="str">
        <f>IF(info!$B196=profilKelas!$F$8,ROW(),"")</f>
        <v/>
      </c>
    </row>
    <row r="197" spans="2:6" hidden="1" x14ac:dyDescent="0.3">
      <c r="B197" s="1" t="s">
        <v>40</v>
      </c>
      <c r="C197" s="1" t="s">
        <v>262</v>
      </c>
      <c r="D197" s="1" t="str">
        <f t="shared" si="6"/>
        <v>Kab. Hulu Sungai Selatan</v>
      </c>
      <c r="F197" s="1" t="str">
        <f>IF(info!$B197=profilKelas!$F$8,ROW(),"")</f>
        <v/>
      </c>
    </row>
    <row r="198" spans="2:6" hidden="1" x14ac:dyDescent="0.3">
      <c r="B198" s="1" t="s">
        <v>40</v>
      </c>
      <c r="C198" s="1" t="s">
        <v>263</v>
      </c>
      <c r="D198" s="1" t="str">
        <f t="shared" si="6"/>
        <v>Kab. Hulu Sungai Tengah</v>
      </c>
      <c r="F198" s="1" t="str">
        <f>IF(info!$B198=profilKelas!$F$8,ROW(),"")</f>
        <v/>
      </c>
    </row>
    <row r="199" spans="2:6" hidden="1" x14ac:dyDescent="0.3">
      <c r="B199" s="1" t="s">
        <v>40</v>
      </c>
      <c r="C199" s="1" t="s">
        <v>264</v>
      </c>
      <c r="D199" s="1" t="str">
        <f t="shared" si="6"/>
        <v>Kab. Hulu Sungai Utara</v>
      </c>
      <c r="F199" s="1" t="str">
        <f>IF(info!$B199=profilKelas!$F$8,ROW(),"")</f>
        <v/>
      </c>
    </row>
    <row r="200" spans="2:6" hidden="1" x14ac:dyDescent="0.3">
      <c r="B200" s="1" t="s">
        <v>40</v>
      </c>
      <c r="C200" s="1" t="s">
        <v>268</v>
      </c>
      <c r="D200" s="1" t="str">
        <f t="shared" si="6"/>
        <v>Kab. Tabalong</v>
      </c>
      <c r="F200" s="1" t="str">
        <f>IF(info!$B200=profilKelas!$F$8,ROW(),"")</f>
        <v/>
      </c>
    </row>
    <row r="201" spans="2:6" hidden="1" x14ac:dyDescent="0.3">
      <c r="B201" s="1" t="s">
        <v>40</v>
      </c>
      <c r="C201" s="1" t="s">
        <v>269</v>
      </c>
      <c r="D201" s="1" t="str">
        <f t="shared" si="6"/>
        <v>Kab. Tanah Bumbu</v>
      </c>
      <c r="F201" s="1" t="str">
        <f>IF(info!$B201=profilKelas!$F$8,ROW(),"")</f>
        <v/>
      </c>
    </row>
    <row r="202" spans="2:6" hidden="1" x14ac:dyDescent="0.3">
      <c r="B202" s="1" t="s">
        <v>40</v>
      </c>
      <c r="C202" s="1" t="s">
        <v>270</v>
      </c>
      <c r="D202" s="1" t="str">
        <f t="shared" si="6"/>
        <v>Kab. Tanah Laut</v>
      </c>
      <c r="F202" s="1" t="str">
        <f>IF(info!$B202=profilKelas!$F$8,ROW(),"")</f>
        <v/>
      </c>
    </row>
    <row r="203" spans="2:6" hidden="1" x14ac:dyDescent="0.3">
      <c r="B203" s="1" t="s">
        <v>40</v>
      </c>
      <c r="C203" s="1" t="s">
        <v>271</v>
      </c>
      <c r="D203" s="1" t="str">
        <f t="shared" si="6"/>
        <v>Kab. Tapin</v>
      </c>
      <c r="F203" s="1" t="str">
        <f>IF(info!$B203=profilKelas!$F$8,ROW(),"")</f>
        <v/>
      </c>
    </row>
    <row r="204" spans="2:6" hidden="1" x14ac:dyDescent="0.3">
      <c r="B204" s="1" t="s">
        <v>40</v>
      </c>
      <c r="C204" s="1" t="s">
        <v>265</v>
      </c>
      <c r="D204" s="1" t="str">
        <f t="shared" si="6"/>
        <v>Kota Banjarbaru</v>
      </c>
      <c r="F204" s="1" t="str">
        <f>IF(info!$B204=profilKelas!$F$8,ROW(),"")</f>
        <v/>
      </c>
    </row>
    <row r="205" spans="2:6" hidden="1" x14ac:dyDescent="0.3">
      <c r="B205" s="1" t="s">
        <v>40</v>
      </c>
      <c r="C205" s="1" t="s">
        <v>266</v>
      </c>
      <c r="D205" s="1" t="str">
        <f t="shared" si="6"/>
        <v>Kota Banjarmasin</v>
      </c>
      <c r="F205" s="1" t="str">
        <f>IF(info!$B205=profilKelas!$F$8,ROW(),"")</f>
        <v/>
      </c>
    </row>
    <row r="206" spans="2:6" hidden="1" x14ac:dyDescent="0.3">
      <c r="B206" s="1" t="s">
        <v>40</v>
      </c>
      <c r="C206" s="1" t="s">
        <v>267</v>
      </c>
      <c r="D206" s="1" t="str">
        <f t="shared" si="6"/>
        <v>Kotabaru</v>
      </c>
      <c r="F206" s="1" t="str">
        <f>IF(info!$B206=profilKelas!$F$8,ROW(),"")</f>
        <v/>
      </c>
    </row>
    <row r="207" spans="2:6" hidden="1" x14ac:dyDescent="0.3">
      <c r="B207" s="1" t="s">
        <v>41</v>
      </c>
      <c r="C207" s="1" t="s">
        <v>272</v>
      </c>
      <c r="D207" s="1" t="str">
        <f t="shared" si="6"/>
        <v>Kab. Barito Selatan</v>
      </c>
      <c r="F207" s="1" t="str">
        <f>IF(info!$B207=profilKelas!$F$8,ROW(),"")</f>
        <v/>
      </c>
    </row>
    <row r="208" spans="2:6" hidden="1" x14ac:dyDescent="0.3">
      <c r="B208" s="1" t="s">
        <v>41</v>
      </c>
      <c r="C208" s="1" t="s">
        <v>273</v>
      </c>
      <c r="D208" s="1" t="str">
        <f t="shared" si="6"/>
        <v>Kab. Barito Timur</v>
      </c>
      <c r="F208" s="1" t="str">
        <f>IF(info!$B208=profilKelas!$F$8,ROW(),"")</f>
        <v/>
      </c>
    </row>
    <row r="209" spans="2:6" hidden="1" x14ac:dyDescent="0.3">
      <c r="B209" s="1" t="s">
        <v>41</v>
      </c>
      <c r="C209" s="1" t="s">
        <v>274</v>
      </c>
      <c r="D209" s="1" t="str">
        <f t="shared" si="6"/>
        <v>Kab. Barito Utara</v>
      </c>
      <c r="F209" s="1" t="str">
        <f>IF(info!$B209=profilKelas!$F$8,ROW(),"")</f>
        <v/>
      </c>
    </row>
    <row r="210" spans="2:6" hidden="1" x14ac:dyDescent="0.3">
      <c r="B210" s="1" t="s">
        <v>41</v>
      </c>
      <c r="C210" s="1" t="s">
        <v>275</v>
      </c>
      <c r="D210" s="1" t="str">
        <f t="shared" si="6"/>
        <v>Kab. Gunung Mas</v>
      </c>
      <c r="F210" s="1" t="str">
        <f>IF(info!$B210=profilKelas!$F$8,ROW(),"")</f>
        <v/>
      </c>
    </row>
    <row r="211" spans="2:6" hidden="1" x14ac:dyDescent="0.3">
      <c r="B211" s="1" t="s">
        <v>41</v>
      </c>
      <c r="C211" s="1" t="s">
        <v>276</v>
      </c>
      <c r="D211" s="1" t="str">
        <f t="shared" si="6"/>
        <v>Kab. Kapuas</v>
      </c>
      <c r="F211" s="1" t="str">
        <f>IF(info!$B211=profilKelas!$F$8,ROW(),"")</f>
        <v/>
      </c>
    </row>
    <row r="212" spans="2:6" hidden="1" x14ac:dyDescent="0.3">
      <c r="B212" s="1" t="s">
        <v>41</v>
      </c>
      <c r="C212" s="1" t="s">
        <v>277</v>
      </c>
      <c r="D212" s="1" t="str">
        <f t="shared" si="6"/>
        <v>Kab. Katingan</v>
      </c>
      <c r="F212" s="1" t="str">
        <f>IF(info!$B212=profilKelas!$F$8,ROW(),"")</f>
        <v/>
      </c>
    </row>
    <row r="213" spans="2:6" hidden="1" x14ac:dyDescent="0.3">
      <c r="B213" s="1" t="s">
        <v>41</v>
      </c>
      <c r="C213" s="1" t="s">
        <v>281</v>
      </c>
      <c r="D213" s="1" t="str">
        <f t="shared" si="6"/>
        <v>Kab. Lamandau</v>
      </c>
      <c r="F213" s="1" t="str">
        <f>IF(info!$B213=profilKelas!$F$8,ROW(),"")</f>
        <v/>
      </c>
    </row>
    <row r="214" spans="2:6" hidden="1" x14ac:dyDescent="0.3">
      <c r="B214" s="1" t="s">
        <v>41</v>
      </c>
      <c r="C214" s="1" t="s">
        <v>282</v>
      </c>
      <c r="D214" s="1" t="str">
        <f t="shared" si="6"/>
        <v>Kab. Murung Raya</v>
      </c>
      <c r="F214" s="1" t="str">
        <f>IF(info!$B214=profilKelas!$F$8,ROW(),"")</f>
        <v/>
      </c>
    </row>
    <row r="215" spans="2:6" hidden="1" x14ac:dyDescent="0.3">
      <c r="B215" s="1" t="s">
        <v>41</v>
      </c>
      <c r="C215" s="1" t="s">
        <v>283</v>
      </c>
      <c r="D215" s="1" t="str">
        <f t="shared" si="6"/>
        <v>Kab. Pulang Pisau</v>
      </c>
      <c r="F215" s="1" t="str">
        <f>IF(info!$B215=profilKelas!$F$8,ROW(),"")</f>
        <v/>
      </c>
    </row>
    <row r="216" spans="2:6" hidden="1" x14ac:dyDescent="0.3">
      <c r="B216" s="1" t="s">
        <v>41</v>
      </c>
      <c r="C216" s="1" t="s">
        <v>284</v>
      </c>
      <c r="D216" s="1" t="str">
        <f t="shared" si="6"/>
        <v>Kab. Seruyan</v>
      </c>
      <c r="F216" s="1" t="str">
        <f>IF(info!$B216=profilKelas!$F$8,ROW(),"")</f>
        <v/>
      </c>
    </row>
    <row r="217" spans="2:6" hidden="1" x14ac:dyDescent="0.3">
      <c r="B217" s="1" t="s">
        <v>41</v>
      </c>
      <c r="C217" s="1" t="s">
        <v>285</v>
      </c>
      <c r="D217" s="1" t="str">
        <f t="shared" si="6"/>
        <v>Kab. Sukamara</v>
      </c>
      <c r="F217" s="1" t="str">
        <f>IF(info!$B217=profilKelas!$F$8,ROW(),"")</f>
        <v/>
      </c>
    </row>
    <row r="218" spans="2:6" hidden="1" x14ac:dyDescent="0.3">
      <c r="B218" s="1" t="s">
        <v>41</v>
      </c>
      <c r="C218" s="1" t="s">
        <v>278</v>
      </c>
      <c r="D218" s="1" t="str">
        <f t="shared" si="6"/>
        <v>Kota Palangka Raya</v>
      </c>
      <c r="F218" s="1" t="str">
        <f>IF(info!$B218=profilKelas!$F$8,ROW(),"")</f>
        <v/>
      </c>
    </row>
    <row r="219" spans="2:6" hidden="1" x14ac:dyDescent="0.3">
      <c r="B219" s="1" t="s">
        <v>41</v>
      </c>
      <c r="C219" s="1" t="s">
        <v>279</v>
      </c>
      <c r="D219" s="1" t="str">
        <f t="shared" si="6"/>
        <v>Kotawaringin Barat</v>
      </c>
      <c r="F219" s="1" t="str">
        <f>IF(info!$B219=profilKelas!$F$8,ROW(),"")</f>
        <v/>
      </c>
    </row>
    <row r="220" spans="2:6" hidden="1" x14ac:dyDescent="0.3">
      <c r="B220" s="1" t="s">
        <v>41</v>
      </c>
      <c r="C220" s="1" t="s">
        <v>280</v>
      </c>
      <c r="D220" s="1" t="str">
        <f t="shared" si="6"/>
        <v>Kotawaringin Timur</v>
      </c>
      <c r="F220" s="1" t="str">
        <f>IF(info!$B220=profilKelas!$F$8,ROW(),"")</f>
        <v/>
      </c>
    </row>
    <row r="221" spans="2:6" hidden="1" x14ac:dyDescent="0.3">
      <c r="B221" s="1" t="s">
        <v>42</v>
      </c>
      <c r="C221" s="1" t="s">
        <v>286</v>
      </c>
      <c r="D221" s="1" t="str">
        <f t="shared" si="6"/>
        <v>Kab. Berau</v>
      </c>
      <c r="F221" s="1" t="str">
        <f>IF(info!$B221=profilKelas!$F$8,ROW(),"")</f>
        <v/>
      </c>
    </row>
    <row r="222" spans="2:6" hidden="1" x14ac:dyDescent="0.3">
      <c r="B222" s="1" t="s">
        <v>42</v>
      </c>
      <c r="C222" s="1" t="s">
        <v>290</v>
      </c>
      <c r="D222" s="1" t="str">
        <f t="shared" si="6"/>
        <v>Kab. Kutai Barat</v>
      </c>
      <c r="F222" s="1" t="str">
        <f>IF(info!$B222=profilKelas!$F$8,ROW(),"")</f>
        <v/>
      </c>
    </row>
    <row r="223" spans="2:6" hidden="1" x14ac:dyDescent="0.3">
      <c r="B223" s="1" t="s">
        <v>42</v>
      </c>
      <c r="C223" s="1" t="s">
        <v>291</v>
      </c>
      <c r="D223" s="1" t="str">
        <f t="shared" si="6"/>
        <v>Kab. Kutai Kartanegara</v>
      </c>
      <c r="F223" s="1" t="str">
        <f>IF(info!$B223=profilKelas!$F$8,ROW(),"")</f>
        <v/>
      </c>
    </row>
    <row r="224" spans="2:6" hidden="1" x14ac:dyDescent="0.3">
      <c r="B224" s="1" t="s">
        <v>42</v>
      </c>
      <c r="C224" s="1" t="s">
        <v>292</v>
      </c>
      <c r="D224" s="1" t="str">
        <f t="shared" si="6"/>
        <v>Kab. Kutai Timur</v>
      </c>
      <c r="F224" s="1" t="str">
        <f>IF(info!$B224=profilKelas!$F$8,ROW(),"")</f>
        <v/>
      </c>
    </row>
    <row r="225" spans="2:6" hidden="1" x14ac:dyDescent="0.3">
      <c r="B225" s="1" t="s">
        <v>42</v>
      </c>
      <c r="C225" s="1" t="s">
        <v>293</v>
      </c>
      <c r="D225" s="1" t="str">
        <f t="shared" si="6"/>
        <v>Kab. Mahakam Ulu</v>
      </c>
      <c r="F225" s="1" t="str">
        <f>IF(info!$B225=profilKelas!$F$8,ROW(),"")</f>
        <v/>
      </c>
    </row>
    <row r="226" spans="2:6" hidden="1" x14ac:dyDescent="0.3">
      <c r="B226" s="1" t="s">
        <v>42</v>
      </c>
      <c r="C226" s="1" t="s">
        <v>294</v>
      </c>
      <c r="D226" s="1" t="str">
        <f t="shared" si="6"/>
        <v>Kab. Paser</v>
      </c>
      <c r="F226" s="1" t="str">
        <f>IF(info!$B226=profilKelas!$F$8,ROW(),"")</f>
        <v/>
      </c>
    </row>
    <row r="227" spans="2:6" hidden="1" x14ac:dyDescent="0.3">
      <c r="B227" s="1" t="s">
        <v>42</v>
      </c>
      <c r="C227" s="1" t="s">
        <v>295</v>
      </c>
      <c r="D227" s="1" t="str">
        <f t="shared" si="6"/>
        <v>Kab. Penajam Paser Utara</v>
      </c>
      <c r="F227" s="1" t="str">
        <f>IF(info!$B227=profilKelas!$F$8,ROW(),"")</f>
        <v/>
      </c>
    </row>
    <row r="228" spans="2:6" hidden="1" x14ac:dyDescent="0.3">
      <c r="B228" s="1" t="s">
        <v>42</v>
      </c>
      <c r="C228" s="1" t="s">
        <v>287</v>
      </c>
      <c r="D228" s="1" t="str">
        <f t="shared" si="6"/>
        <v>Kota Balikpapan</v>
      </c>
      <c r="F228" s="1" t="str">
        <f>IF(info!$B228=profilKelas!$F$8,ROW(),"")</f>
        <v/>
      </c>
    </row>
    <row r="229" spans="2:6" hidden="1" x14ac:dyDescent="0.3">
      <c r="B229" s="1" t="s">
        <v>42</v>
      </c>
      <c r="C229" s="1" t="s">
        <v>288</v>
      </c>
      <c r="D229" s="1" t="str">
        <f t="shared" si="6"/>
        <v>Kota Bontang</v>
      </c>
      <c r="F229" s="1" t="str">
        <f>IF(info!$B229=profilKelas!$F$8,ROW(),"")</f>
        <v/>
      </c>
    </row>
    <row r="230" spans="2:6" hidden="1" x14ac:dyDescent="0.3">
      <c r="B230" s="1" t="s">
        <v>42</v>
      </c>
      <c r="C230" s="1" t="s">
        <v>289</v>
      </c>
      <c r="D230" s="1" t="str">
        <f t="shared" si="6"/>
        <v>Kota Samarinda</v>
      </c>
      <c r="F230" s="1" t="str">
        <f>IF(info!$B230=profilKelas!$F$8,ROW(),"")</f>
        <v/>
      </c>
    </row>
    <row r="231" spans="2:6" hidden="1" x14ac:dyDescent="0.3">
      <c r="B231" s="1" t="s">
        <v>43</v>
      </c>
      <c r="C231" s="1" t="s">
        <v>296</v>
      </c>
      <c r="D231" s="1" t="str">
        <f t="shared" si="6"/>
        <v>Kab. Bulungan</v>
      </c>
      <c r="F231" s="1" t="str">
        <f>IF(info!$B231=profilKelas!$F$8,ROW(),"")</f>
        <v/>
      </c>
    </row>
    <row r="232" spans="2:6" hidden="1" x14ac:dyDescent="0.3">
      <c r="B232" s="1" t="s">
        <v>43</v>
      </c>
      <c r="C232" s="1" t="s">
        <v>298</v>
      </c>
      <c r="D232" s="1" t="str">
        <f t="shared" si="6"/>
        <v>Kab. Malinau</v>
      </c>
      <c r="F232" s="1" t="str">
        <f>IF(info!$B232=profilKelas!$F$8,ROW(),"")</f>
        <v/>
      </c>
    </row>
    <row r="233" spans="2:6" hidden="1" x14ac:dyDescent="0.3">
      <c r="B233" s="1" t="s">
        <v>43</v>
      </c>
      <c r="C233" s="1" t="s">
        <v>299</v>
      </c>
      <c r="D233" s="1" t="str">
        <f t="shared" si="6"/>
        <v>Kab. Nunukan</v>
      </c>
      <c r="F233" s="1" t="str">
        <f>IF(info!$B233=profilKelas!$F$8,ROW(),"")</f>
        <v/>
      </c>
    </row>
    <row r="234" spans="2:6" hidden="1" x14ac:dyDescent="0.3">
      <c r="B234" s="1" t="s">
        <v>43</v>
      </c>
      <c r="C234" s="1" t="s">
        <v>300</v>
      </c>
      <c r="D234" s="1" t="str">
        <f t="shared" si="6"/>
        <v>Kab. Tana Tidung</v>
      </c>
      <c r="F234" s="1" t="str">
        <f>IF(info!$B234=profilKelas!$F$8,ROW(),"")</f>
        <v/>
      </c>
    </row>
    <row r="235" spans="2:6" hidden="1" x14ac:dyDescent="0.3">
      <c r="B235" s="1" t="s">
        <v>43</v>
      </c>
      <c r="C235" s="1" t="s">
        <v>297</v>
      </c>
      <c r="D235" s="1" t="str">
        <f t="shared" si="6"/>
        <v>Kota Tarakan</v>
      </c>
      <c r="F235" s="1" t="str">
        <f>IF(info!$B235=profilKelas!$F$8,ROW(),"")</f>
        <v/>
      </c>
    </row>
    <row r="236" spans="2:6" hidden="1" x14ac:dyDescent="0.3">
      <c r="B236" s="1" t="s">
        <v>44</v>
      </c>
      <c r="C236" s="1" t="s">
        <v>301</v>
      </c>
      <c r="D236" s="1" t="str">
        <f t="shared" si="6"/>
        <v>Kab. Bangka</v>
      </c>
      <c r="F236" s="1" t="str">
        <f>IF(info!$B236=profilKelas!$F$8,ROW(),"")</f>
        <v/>
      </c>
    </row>
    <row r="237" spans="2:6" hidden="1" x14ac:dyDescent="0.3">
      <c r="B237" s="1" t="s">
        <v>44</v>
      </c>
      <c r="C237" s="1" t="s">
        <v>302</v>
      </c>
      <c r="D237" s="1" t="str">
        <f t="shared" si="6"/>
        <v>Kab. Bangka Barat</v>
      </c>
      <c r="F237" s="1" t="str">
        <f>IF(info!$B237=profilKelas!$F$8,ROW(),"")</f>
        <v/>
      </c>
    </row>
    <row r="238" spans="2:6" hidden="1" x14ac:dyDescent="0.3">
      <c r="B238" s="1" t="s">
        <v>44</v>
      </c>
      <c r="C238" s="1" t="s">
        <v>303</v>
      </c>
      <c r="D238" s="1" t="str">
        <f t="shared" si="6"/>
        <v>Kab. Bangka Selatan</v>
      </c>
      <c r="F238" s="1" t="str">
        <f>IF(info!$B238=profilKelas!$F$8,ROW(),"")</f>
        <v/>
      </c>
    </row>
    <row r="239" spans="2:6" hidden="1" x14ac:dyDescent="0.3">
      <c r="B239" s="1" t="s">
        <v>44</v>
      </c>
      <c r="C239" s="1" t="s">
        <v>304</v>
      </c>
      <c r="D239" s="1" t="str">
        <f t="shared" si="6"/>
        <v>Kab. Bangka Tengah</v>
      </c>
      <c r="F239" s="1" t="str">
        <f>IF(info!$B239=profilKelas!$F$8,ROW(),"")</f>
        <v/>
      </c>
    </row>
    <row r="240" spans="2:6" hidden="1" x14ac:dyDescent="0.3">
      <c r="B240" s="1" t="s">
        <v>44</v>
      </c>
      <c r="C240" s="1" t="s">
        <v>305</v>
      </c>
      <c r="D240" s="1" t="str">
        <f t="shared" si="6"/>
        <v>Kab. Belitung</v>
      </c>
      <c r="F240" s="1" t="str">
        <f>IF(info!$B240=profilKelas!$F$8,ROW(),"")</f>
        <v/>
      </c>
    </row>
    <row r="241" spans="2:6" hidden="1" x14ac:dyDescent="0.3">
      <c r="B241" s="1" t="s">
        <v>44</v>
      </c>
      <c r="C241" s="1" t="s">
        <v>306</v>
      </c>
      <c r="D241" s="1" t="str">
        <f t="shared" si="6"/>
        <v>Kab. Belitung Timur</v>
      </c>
      <c r="F241" s="1" t="str">
        <f>IF(info!$B241=profilKelas!$F$8,ROW(),"")</f>
        <v/>
      </c>
    </row>
    <row r="242" spans="2:6" hidden="1" x14ac:dyDescent="0.3">
      <c r="B242" s="1" t="s">
        <v>44</v>
      </c>
      <c r="C242" s="1" t="s">
        <v>307</v>
      </c>
      <c r="D242" s="1" t="str">
        <f t="shared" si="6"/>
        <v>Kota Pangkalpinang</v>
      </c>
      <c r="F242" s="1" t="str">
        <f>IF(info!$B242=profilKelas!$F$8,ROW(),"")</f>
        <v/>
      </c>
    </row>
    <row r="243" spans="2:6" hidden="1" x14ac:dyDescent="0.3">
      <c r="B243" s="1" t="s">
        <v>45</v>
      </c>
      <c r="C243" s="1" t="s">
        <v>308</v>
      </c>
      <c r="D243" s="1" t="str">
        <f t="shared" si="6"/>
        <v>Kab. Bintan</v>
      </c>
      <c r="F243" s="1" t="str">
        <f>IF(info!$B243=profilKelas!$F$8,ROW(),"")</f>
        <v/>
      </c>
    </row>
    <row r="244" spans="2:6" hidden="1" x14ac:dyDescent="0.3">
      <c r="B244" s="1" t="s">
        <v>45</v>
      </c>
      <c r="C244" s="1" t="s">
        <v>309</v>
      </c>
      <c r="D244" s="1" t="str">
        <f t="shared" si="6"/>
        <v>Kab. Karimun</v>
      </c>
      <c r="F244" s="1" t="str">
        <f>IF(info!$B244=profilKelas!$F$8,ROW(),"")</f>
        <v/>
      </c>
    </row>
    <row r="245" spans="2:6" hidden="1" x14ac:dyDescent="0.3">
      <c r="B245" s="1" t="s">
        <v>45</v>
      </c>
      <c r="C245" s="1" t="s">
        <v>310</v>
      </c>
      <c r="D245" s="1" t="str">
        <f t="shared" si="6"/>
        <v>Kab. Kepulauan Anambas</v>
      </c>
      <c r="F245" s="1" t="str">
        <f>IF(info!$B245=profilKelas!$F$8,ROW(),"")</f>
        <v/>
      </c>
    </row>
    <row r="246" spans="2:6" hidden="1" x14ac:dyDescent="0.3">
      <c r="B246" s="1" t="s">
        <v>45</v>
      </c>
      <c r="C246" s="1" t="s">
        <v>313</v>
      </c>
      <c r="D246" s="1" t="str">
        <f t="shared" si="6"/>
        <v>Kab. Lingga</v>
      </c>
      <c r="F246" s="1" t="str">
        <f>IF(info!$B246=profilKelas!$F$8,ROW(),"")</f>
        <v/>
      </c>
    </row>
    <row r="247" spans="2:6" hidden="1" x14ac:dyDescent="0.3">
      <c r="B247" s="1" t="s">
        <v>45</v>
      </c>
      <c r="C247" s="1" t="s">
        <v>314</v>
      </c>
      <c r="D247" s="1" t="str">
        <f t="shared" si="6"/>
        <v>Kab. Natuna</v>
      </c>
      <c r="F247" s="1" t="str">
        <f>IF(info!$B247=profilKelas!$F$8,ROW(),"")</f>
        <v/>
      </c>
    </row>
    <row r="248" spans="2:6" hidden="1" x14ac:dyDescent="0.3">
      <c r="B248" s="1" t="s">
        <v>45</v>
      </c>
      <c r="C248" s="1" t="s">
        <v>311</v>
      </c>
      <c r="D248" s="1" t="str">
        <f t="shared" si="6"/>
        <v>Kota Batam</v>
      </c>
      <c r="F248" s="1" t="str">
        <f>IF(info!$B248=profilKelas!$F$8,ROW(),"")</f>
        <v/>
      </c>
    </row>
    <row r="249" spans="2:6" hidden="1" x14ac:dyDescent="0.3">
      <c r="B249" s="1" t="s">
        <v>45</v>
      </c>
      <c r="C249" s="1" t="s">
        <v>312</v>
      </c>
      <c r="D249" s="1" t="str">
        <f t="shared" si="6"/>
        <v>Kota Tanjungpinang</v>
      </c>
      <c r="F249" s="1" t="str">
        <f>IF(info!$B249=profilKelas!$F$8,ROW(),"")</f>
        <v/>
      </c>
    </row>
    <row r="250" spans="2:6" hidden="1" x14ac:dyDescent="0.3">
      <c r="B250" s="1" t="s">
        <v>46</v>
      </c>
      <c r="C250" s="1" t="s">
        <v>317</v>
      </c>
      <c r="D250" s="1" t="str">
        <f t="shared" si="6"/>
        <v>Kab. Lampung Barat</v>
      </c>
      <c r="F250" s="1" t="str">
        <f>IF(info!$B250=profilKelas!$F$8,ROW(),"")</f>
        <v/>
      </c>
    </row>
    <row r="251" spans="2:6" hidden="1" x14ac:dyDescent="0.3">
      <c r="B251" s="1" t="s">
        <v>46</v>
      </c>
      <c r="C251" s="1" t="s">
        <v>318</v>
      </c>
      <c r="D251" s="1" t="str">
        <f t="shared" si="6"/>
        <v>Kab. Lampung Selatan</v>
      </c>
      <c r="F251" s="1" t="str">
        <f>IF(info!$B251=profilKelas!$F$8,ROW(),"")</f>
        <v/>
      </c>
    </row>
    <row r="252" spans="2:6" hidden="1" x14ac:dyDescent="0.3">
      <c r="B252" s="1" t="s">
        <v>46</v>
      </c>
      <c r="C252" s="1" t="s">
        <v>319</v>
      </c>
      <c r="D252" s="1" t="str">
        <f t="shared" si="6"/>
        <v>Kab. Lampung Tengah</v>
      </c>
      <c r="F252" s="1" t="str">
        <f>IF(info!$B252=profilKelas!$F$8,ROW(),"")</f>
        <v/>
      </c>
    </row>
    <row r="253" spans="2:6" hidden="1" x14ac:dyDescent="0.3">
      <c r="B253" s="1" t="s">
        <v>46</v>
      </c>
      <c r="C253" s="1" t="s">
        <v>320</v>
      </c>
      <c r="D253" s="1" t="str">
        <f t="shared" si="6"/>
        <v>Kab. Lampung Timur</v>
      </c>
      <c r="F253" s="1" t="str">
        <f>IF(info!$B253=profilKelas!$F$8,ROW(),"")</f>
        <v/>
      </c>
    </row>
    <row r="254" spans="2:6" hidden="1" x14ac:dyDescent="0.3">
      <c r="B254" s="1" t="s">
        <v>46</v>
      </c>
      <c r="C254" s="1" t="s">
        <v>321</v>
      </c>
      <c r="D254" s="1" t="str">
        <f t="shared" si="6"/>
        <v>Kab. Lampung Utara</v>
      </c>
      <c r="F254" s="1" t="str">
        <f>IF(info!$B254=profilKelas!$F$8,ROW(),"")</f>
        <v/>
      </c>
    </row>
    <row r="255" spans="2:6" hidden="1" x14ac:dyDescent="0.3">
      <c r="B255" s="1" t="s">
        <v>46</v>
      </c>
      <c r="C255" s="1" t="s">
        <v>322</v>
      </c>
      <c r="D255" s="1" t="str">
        <f t="shared" si="6"/>
        <v>Kab. Mesuji</v>
      </c>
      <c r="F255" s="1" t="str">
        <f>IF(info!$B255=profilKelas!$F$8,ROW(),"")</f>
        <v/>
      </c>
    </row>
    <row r="256" spans="2:6" hidden="1" x14ac:dyDescent="0.3">
      <c r="B256" s="1" t="s">
        <v>46</v>
      </c>
      <c r="C256" s="1" t="s">
        <v>323</v>
      </c>
      <c r="D256" s="1" t="str">
        <f t="shared" si="6"/>
        <v>Kab. Pesawaran</v>
      </c>
      <c r="F256" s="1" t="str">
        <f>IF(info!$B256=profilKelas!$F$8,ROW(),"")</f>
        <v/>
      </c>
    </row>
    <row r="257" spans="2:6" hidden="1" x14ac:dyDescent="0.3">
      <c r="B257" s="1" t="s">
        <v>46</v>
      </c>
      <c r="C257" s="1" t="s">
        <v>324</v>
      </c>
      <c r="D257" s="1" t="str">
        <f t="shared" si="6"/>
        <v>Kab. Pesisir Barat</v>
      </c>
      <c r="F257" s="1" t="str">
        <f>IF(info!$B257=profilKelas!$F$8,ROW(),"")</f>
        <v/>
      </c>
    </row>
    <row r="258" spans="2:6" hidden="1" x14ac:dyDescent="0.3">
      <c r="B258" s="1" t="s">
        <v>46</v>
      </c>
      <c r="C258" s="1" t="s">
        <v>325</v>
      </c>
      <c r="D258" s="1" t="str">
        <f t="shared" ref="D258:D321" si="7">IF(LEFT(C258,4)="Kota",C258,IF(LEFT(C258,4)="Prov",C258,"Kab. "&amp;C258))</f>
        <v>Kab. Pringsewu</v>
      </c>
      <c r="F258" s="1" t="str">
        <f>IF(info!$B258=profilKelas!$F$8,ROW(),"")</f>
        <v/>
      </c>
    </row>
    <row r="259" spans="2:6" hidden="1" x14ac:dyDescent="0.3">
      <c r="B259" s="1" t="s">
        <v>46</v>
      </c>
      <c r="C259" s="1" t="s">
        <v>326</v>
      </c>
      <c r="D259" s="1" t="str">
        <f t="shared" si="7"/>
        <v>Kab. Tanggamus</v>
      </c>
      <c r="F259" s="1" t="str">
        <f>IF(info!$B259=profilKelas!$F$8,ROW(),"")</f>
        <v/>
      </c>
    </row>
    <row r="260" spans="2:6" hidden="1" x14ac:dyDescent="0.3">
      <c r="B260" s="1" t="s">
        <v>46</v>
      </c>
      <c r="C260" s="1" t="s">
        <v>327</v>
      </c>
      <c r="D260" s="1" t="str">
        <f t="shared" si="7"/>
        <v>Kab. Tulang Bawang</v>
      </c>
      <c r="F260" s="1" t="str">
        <f>IF(info!$B260=profilKelas!$F$8,ROW(),"")</f>
        <v/>
      </c>
    </row>
    <row r="261" spans="2:6" hidden="1" x14ac:dyDescent="0.3">
      <c r="B261" s="1" t="s">
        <v>46</v>
      </c>
      <c r="C261" s="1" t="s">
        <v>328</v>
      </c>
      <c r="D261" s="1" t="str">
        <f t="shared" si="7"/>
        <v>Kab. Tulang Bawang Barat</v>
      </c>
      <c r="F261" s="1" t="str">
        <f>IF(info!$B261=profilKelas!$F$8,ROW(),"")</f>
        <v/>
      </c>
    </row>
    <row r="262" spans="2:6" hidden="1" x14ac:dyDescent="0.3">
      <c r="B262" s="1" t="s">
        <v>46</v>
      </c>
      <c r="C262" s="1" t="s">
        <v>329</v>
      </c>
      <c r="D262" s="1" t="str">
        <f t="shared" si="7"/>
        <v>Kab. Way Kanan</v>
      </c>
      <c r="F262" s="1" t="str">
        <f>IF(info!$B262=profilKelas!$F$8,ROW(),"")</f>
        <v/>
      </c>
    </row>
    <row r="263" spans="2:6" hidden="1" x14ac:dyDescent="0.3">
      <c r="B263" s="1" t="s">
        <v>46</v>
      </c>
      <c r="C263" s="1" t="s">
        <v>315</v>
      </c>
      <c r="D263" s="1" t="str">
        <f t="shared" si="7"/>
        <v>Kota Bandar Lampung</v>
      </c>
      <c r="F263" s="1" t="str">
        <f>IF(info!$B263=profilKelas!$F$8,ROW(),"")</f>
        <v/>
      </c>
    </row>
    <row r="264" spans="2:6" hidden="1" x14ac:dyDescent="0.3">
      <c r="B264" s="1" t="s">
        <v>46</v>
      </c>
      <c r="C264" s="1" t="s">
        <v>316</v>
      </c>
      <c r="D264" s="1" t="str">
        <f t="shared" si="7"/>
        <v>Kota Metro</v>
      </c>
      <c r="F264" s="1" t="str">
        <f>IF(info!$B264=profilKelas!$F$8,ROW(),"")</f>
        <v/>
      </c>
    </row>
    <row r="265" spans="2:6" hidden="1" x14ac:dyDescent="0.3">
      <c r="B265" s="1" t="s">
        <v>47</v>
      </c>
      <c r="C265" s="1" t="s">
        <v>330</v>
      </c>
      <c r="D265" s="1" t="str">
        <f t="shared" si="7"/>
        <v>Kab. Buru</v>
      </c>
      <c r="F265" s="1" t="str">
        <f>IF(info!$B265=profilKelas!$F$8,ROW(),"")</f>
        <v/>
      </c>
    </row>
    <row r="266" spans="2:6" hidden="1" x14ac:dyDescent="0.3">
      <c r="B266" s="1" t="s">
        <v>47</v>
      </c>
      <c r="C266" s="1" t="s">
        <v>331</v>
      </c>
      <c r="D266" s="1" t="str">
        <f t="shared" si="7"/>
        <v>Kab. Buru Selatan</v>
      </c>
      <c r="F266" s="1" t="str">
        <f>IF(info!$B266=profilKelas!$F$8,ROW(),"")</f>
        <v/>
      </c>
    </row>
    <row r="267" spans="2:6" hidden="1" x14ac:dyDescent="0.3">
      <c r="B267" s="1" t="s">
        <v>47</v>
      </c>
      <c r="C267" s="1" t="s">
        <v>332</v>
      </c>
      <c r="D267" s="1" t="str">
        <f t="shared" si="7"/>
        <v>Kab. Kepulauan Aru</v>
      </c>
      <c r="F267" s="1" t="str">
        <f>IF(info!$B267=profilKelas!$F$8,ROW(),"")</f>
        <v/>
      </c>
    </row>
    <row r="268" spans="2:6" hidden="1" x14ac:dyDescent="0.3">
      <c r="B268" s="1" t="s">
        <v>47</v>
      </c>
      <c r="C268" s="1" t="s">
        <v>333</v>
      </c>
      <c r="D268" s="1" t="str">
        <f t="shared" si="7"/>
        <v>Kab. Kepulauan Tanimbar</v>
      </c>
      <c r="F268" s="1" t="str">
        <f>IF(info!$B268=profilKelas!$F$8,ROW(),"")</f>
        <v/>
      </c>
    </row>
    <row r="269" spans="2:6" hidden="1" x14ac:dyDescent="0.3">
      <c r="B269" s="1" t="s">
        <v>47</v>
      </c>
      <c r="C269" s="1" t="s">
        <v>336</v>
      </c>
      <c r="D269" s="1" t="str">
        <f t="shared" si="7"/>
        <v>Kab. Maluku Barat Daya</v>
      </c>
      <c r="F269" s="1" t="str">
        <f>IF(info!$B269=profilKelas!$F$8,ROW(),"")</f>
        <v/>
      </c>
    </row>
    <row r="270" spans="2:6" hidden="1" x14ac:dyDescent="0.3">
      <c r="B270" s="1" t="s">
        <v>47</v>
      </c>
      <c r="C270" s="1" t="s">
        <v>337</v>
      </c>
      <c r="D270" s="1" t="str">
        <f t="shared" si="7"/>
        <v>Kab. Maluku Tengah</v>
      </c>
      <c r="F270" s="1" t="str">
        <f>IF(info!$B270=profilKelas!$F$8,ROW(),"")</f>
        <v/>
      </c>
    </row>
    <row r="271" spans="2:6" hidden="1" x14ac:dyDescent="0.3">
      <c r="B271" s="1" t="s">
        <v>47</v>
      </c>
      <c r="C271" s="1" t="s">
        <v>338</v>
      </c>
      <c r="D271" s="1" t="str">
        <f t="shared" si="7"/>
        <v>Kab. Maluku Tenggara</v>
      </c>
      <c r="F271" s="1" t="str">
        <f>IF(info!$B271=profilKelas!$F$8,ROW(),"")</f>
        <v/>
      </c>
    </row>
    <row r="272" spans="2:6" hidden="1" x14ac:dyDescent="0.3">
      <c r="B272" s="1" t="s">
        <v>47</v>
      </c>
      <c r="C272" s="1" t="s">
        <v>339</v>
      </c>
      <c r="D272" s="1" t="str">
        <f t="shared" si="7"/>
        <v>Kab. Seram Bagian Barat</v>
      </c>
      <c r="F272" s="1" t="str">
        <f>IF(info!$B272=profilKelas!$F$8,ROW(),"")</f>
        <v/>
      </c>
    </row>
    <row r="273" spans="2:6" hidden="1" x14ac:dyDescent="0.3">
      <c r="B273" s="1" t="s">
        <v>47</v>
      </c>
      <c r="C273" s="1" t="s">
        <v>340</v>
      </c>
      <c r="D273" s="1" t="str">
        <f t="shared" si="7"/>
        <v>Kab. Seram Bagian Timur</v>
      </c>
      <c r="F273" s="1" t="str">
        <f>IF(info!$B273=profilKelas!$F$8,ROW(),"")</f>
        <v/>
      </c>
    </row>
    <row r="274" spans="2:6" hidden="1" x14ac:dyDescent="0.3">
      <c r="B274" s="1" t="s">
        <v>47</v>
      </c>
      <c r="C274" s="1" t="s">
        <v>334</v>
      </c>
      <c r="D274" s="1" t="str">
        <f t="shared" si="7"/>
        <v>Kota Ambon</v>
      </c>
      <c r="F274" s="1" t="str">
        <f>IF(info!$B274=profilKelas!$F$8,ROW(),"")</f>
        <v/>
      </c>
    </row>
    <row r="275" spans="2:6" hidden="1" x14ac:dyDescent="0.3">
      <c r="B275" s="1" t="s">
        <v>47</v>
      </c>
      <c r="C275" s="1" t="s">
        <v>335</v>
      </c>
      <c r="D275" s="1" t="str">
        <f t="shared" si="7"/>
        <v>Kota Tual</v>
      </c>
      <c r="F275" s="1" t="str">
        <f>IF(info!$B275=profilKelas!$F$8,ROW(),"")</f>
        <v/>
      </c>
    </row>
    <row r="276" spans="2:6" hidden="1" x14ac:dyDescent="0.3">
      <c r="B276" s="1" t="s">
        <v>48</v>
      </c>
      <c r="C276" s="1" t="s">
        <v>341</v>
      </c>
      <c r="D276" s="1" t="str">
        <f t="shared" si="7"/>
        <v>Kab. Halmahera Barat</v>
      </c>
      <c r="F276" s="1" t="str">
        <f>IF(info!$B276=profilKelas!$F$8,ROW(),"")</f>
        <v/>
      </c>
    </row>
    <row r="277" spans="2:6" hidden="1" x14ac:dyDescent="0.3">
      <c r="B277" s="1" t="s">
        <v>48</v>
      </c>
      <c r="C277" s="1" t="s">
        <v>342</v>
      </c>
      <c r="D277" s="1" t="str">
        <f t="shared" si="7"/>
        <v>Kab. Halmahera Selatan</v>
      </c>
      <c r="F277" s="1" t="str">
        <f>IF(info!$B277=profilKelas!$F$8,ROW(),"")</f>
        <v/>
      </c>
    </row>
    <row r="278" spans="2:6" hidden="1" x14ac:dyDescent="0.3">
      <c r="B278" s="1" t="s">
        <v>48</v>
      </c>
      <c r="C278" s="1" t="s">
        <v>343</v>
      </c>
      <c r="D278" s="1" t="str">
        <f t="shared" si="7"/>
        <v>Kab. Halmahera Tengah</v>
      </c>
      <c r="F278" s="1" t="str">
        <f>IF(info!$B278=profilKelas!$F$8,ROW(),"")</f>
        <v/>
      </c>
    </row>
    <row r="279" spans="2:6" hidden="1" x14ac:dyDescent="0.3">
      <c r="B279" s="1" t="s">
        <v>48</v>
      </c>
      <c r="C279" s="1" t="s">
        <v>344</v>
      </c>
      <c r="D279" s="1" t="str">
        <f t="shared" si="7"/>
        <v>Kab. Halmahera Timur</v>
      </c>
      <c r="F279" s="1" t="str">
        <f>IF(info!$B279=profilKelas!$F$8,ROW(),"")</f>
        <v/>
      </c>
    </row>
    <row r="280" spans="2:6" hidden="1" x14ac:dyDescent="0.3">
      <c r="B280" s="1" t="s">
        <v>48</v>
      </c>
      <c r="C280" s="1" t="s">
        <v>345</v>
      </c>
      <c r="D280" s="1" t="str">
        <f t="shared" si="7"/>
        <v>Kab. Halmahera Utara</v>
      </c>
      <c r="F280" s="1" t="str">
        <f>IF(info!$B280=profilKelas!$F$8,ROW(),"")</f>
        <v/>
      </c>
    </row>
    <row r="281" spans="2:6" hidden="1" x14ac:dyDescent="0.3">
      <c r="B281" s="1" t="s">
        <v>48</v>
      </c>
      <c r="C281" s="1" t="s">
        <v>347</v>
      </c>
      <c r="D281" s="1" t="str">
        <f t="shared" si="7"/>
        <v>Kab. Kepulauan Sula</v>
      </c>
      <c r="F281" s="1" t="str">
        <f>IF(info!$B281=profilKelas!$F$8,ROW(),"")</f>
        <v/>
      </c>
    </row>
    <row r="282" spans="2:6" hidden="1" x14ac:dyDescent="0.3">
      <c r="B282" s="1" t="s">
        <v>48</v>
      </c>
      <c r="C282" s="1" t="s">
        <v>346</v>
      </c>
      <c r="D282" s="1" t="str">
        <f t="shared" si="7"/>
        <v>Kab. Pulau Morotai</v>
      </c>
      <c r="F282" s="1" t="str">
        <f>IF(info!$B282=profilKelas!$F$8,ROW(),"")</f>
        <v/>
      </c>
    </row>
    <row r="283" spans="2:6" hidden="1" x14ac:dyDescent="0.3">
      <c r="B283" s="1" t="s">
        <v>48</v>
      </c>
      <c r="C283" s="1" t="s">
        <v>350</v>
      </c>
      <c r="D283" s="1" t="str">
        <f t="shared" si="7"/>
        <v>Kab. Pulau Taliabu</v>
      </c>
      <c r="F283" s="1" t="str">
        <f>IF(info!$B283=profilKelas!$F$8,ROW(),"")</f>
        <v/>
      </c>
    </row>
    <row r="284" spans="2:6" hidden="1" x14ac:dyDescent="0.3">
      <c r="B284" s="1" t="s">
        <v>48</v>
      </c>
      <c r="C284" s="1" t="s">
        <v>348</v>
      </c>
      <c r="D284" s="1" t="str">
        <f t="shared" si="7"/>
        <v>Kota Ternate</v>
      </c>
      <c r="F284" s="1" t="str">
        <f>IF(info!$B284=profilKelas!$F$8,ROW(),"")</f>
        <v/>
      </c>
    </row>
    <row r="285" spans="2:6" hidden="1" x14ac:dyDescent="0.3">
      <c r="B285" s="1" t="s">
        <v>48</v>
      </c>
      <c r="C285" s="1" t="s">
        <v>349</v>
      </c>
      <c r="D285" s="1" t="str">
        <f t="shared" si="7"/>
        <v>Kota Tidore Kepulauan</v>
      </c>
      <c r="F285" s="1" t="str">
        <f>IF(info!$B285=profilKelas!$F$8,ROW(),"")</f>
        <v/>
      </c>
    </row>
    <row r="286" spans="2:6" hidden="1" x14ac:dyDescent="0.3">
      <c r="B286" s="1" t="s">
        <v>49</v>
      </c>
      <c r="C286" s="1" t="s">
        <v>351</v>
      </c>
      <c r="D286" s="1" t="str">
        <f t="shared" si="7"/>
        <v>Kab. Bima</v>
      </c>
      <c r="F286" s="1" t="str">
        <f>IF(info!$B286=profilKelas!$F$8,ROW(),"")</f>
        <v/>
      </c>
    </row>
    <row r="287" spans="2:6" hidden="1" x14ac:dyDescent="0.3">
      <c r="B287" s="1" t="s">
        <v>49</v>
      </c>
      <c r="C287" s="1" t="s">
        <v>352</v>
      </c>
      <c r="D287" s="1" t="str">
        <f t="shared" si="7"/>
        <v>Kab. Dompu</v>
      </c>
      <c r="F287" s="1" t="str">
        <f>IF(info!$B287=profilKelas!$F$8,ROW(),"")</f>
        <v/>
      </c>
    </row>
    <row r="288" spans="2:6" hidden="1" x14ac:dyDescent="0.3">
      <c r="B288" s="1" t="s">
        <v>49</v>
      </c>
      <c r="C288" s="1" t="s">
        <v>355</v>
      </c>
      <c r="D288" s="1" t="str">
        <f t="shared" si="7"/>
        <v>Kab. Lombok Barat</v>
      </c>
      <c r="F288" s="1" t="str">
        <f>IF(info!$B288=profilKelas!$F$8,ROW(),"")</f>
        <v/>
      </c>
    </row>
    <row r="289" spans="2:6" hidden="1" x14ac:dyDescent="0.3">
      <c r="B289" s="1" t="s">
        <v>49</v>
      </c>
      <c r="C289" s="1" t="s">
        <v>356</v>
      </c>
      <c r="D289" s="1" t="str">
        <f t="shared" si="7"/>
        <v>Kab. Lombok Tengah</v>
      </c>
      <c r="F289" s="1" t="str">
        <f>IF(info!$B289=profilKelas!$F$8,ROW(),"")</f>
        <v/>
      </c>
    </row>
    <row r="290" spans="2:6" hidden="1" x14ac:dyDescent="0.3">
      <c r="B290" s="1" t="s">
        <v>49</v>
      </c>
      <c r="C290" s="1" t="s">
        <v>357</v>
      </c>
      <c r="D290" s="1" t="str">
        <f t="shared" si="7"/>
        <v>Kab. Lombok Timur</v>
      </c>
      <c r="F290" s="1" t="str">
        <f>IF(info!$B290=profilKelas!$F$8,ROW(),"")</f>
        <v/>
      </c>
    </row>
    <row r="291" spans="2:6" hidden="1" x14ac:dyDescent="0.3">
      <c r="B291" s="1" t="s">
        <v>49</v>
      </c>
      <c r="C291" s="1" t="s">
        <v>358</v>
      </c>
      <c r="D291" s="1" t="str">
        <f t="shared" si="7"/>
        <v>Kab. Lombok Utara</v>
      </c>
      <c r="F291" s="1" t="str">
        <f>IF(info!$B291=profilKelas!$F$8,ROW(),"")</f>
        <v/>
      </c>
    </row>
    <row r="292" spans="2:6" hidden="1" x14ac:dyDescent="0.3">
      <c r="B292" s="1" t="s">
        <v>49</v>
      </c>
      <c r="C292" s="1" t="s">
        <v>359</v>
      </c>
      <c r="D292" s="1" t="str">
        <f t="shared" si="7"/>
        <v>Kab. Sumbawa</v>
      </c>
      <c r="F292" s="1" t="str">
        <f>IF(info!$B292=profilKelas!$F$8,ROW(),"")</f>
        <v/>
      </c>
    </row>
    <row r="293" spans="2:6" hidden="1" x14ac:dyDescent="0.3">
      <c r="B293" s="1" t="s">
        <v>49</v>
      </c>
      <c r="C293" s="1" t="s">
        <v>360</v>
      </c>
      <c r="D293" s="1" t="str">
        <f t="shared" si="7"/>
        <v>Kab. Sumbawa Barat</v>
      </c>
      <c r="F293" s="1" t="str">
        <f>IF(info!$B293=profilKelas!$F$8,ROW(),"")</f>
        <v/>
      </c>
    </row>
    <row r="294" spans="2:6" hidden="1" x14ac:dyDescent="0.3">
      <c r="B294" s="1" t="s">
        <v>49</v>
      </c>
      <c r="C294" s="1" t="s">
        <v>353</v>
      </c>
      <c r="D294" s="1" t="str">
        <f t="shared" si="7"/>
        <v>Kota Bima</v>
      </c>
      <c r="F294" s="1" t="str">
        <f>IF(info!$B294=profilKelas!$F$8,ROW(),"")</f>
        <v/>
      </c>
    </row>
    <row r="295" spans="2:6" hidden="1" x14ac:dyDescent="0.3">
      <c r="B295" s="1" t="s">
        <v>49</v>
      </c>
      <c r="C295" s="1" t="s">
        <v>354</v>
      </c>
      <c r="D295" s="1" t="str">
        <f t="shared" si="7"/>
        <v>Kota Mataram</v>
      </c>
      <c r="F295" s="1" t="str">
        <f>IF(info!$B295=profilKelas!$F$8,ROW(),"")</f>
        <v/>
      </c>
    </row>
    <row r="296" spans="2:6" hidden="1" x14ac:dyDescent="0.3">
      <c r="B296" s="1" t="s">
        <v>50</v>
      </c>
      <c r="C296" s="1" t="s">
        <v>361</v>
      </c>
      <c r="D296" s="1" t="str">
        <f t="shared" si="7"/>
        <v>Kab. Alor</v>
      </c>
      <c r="F296" s="1" t="str">
        <f>IF(info!$B296=profilKelas!$F$8,ROW(),"")</f>
        <v/>
      </c>
    </row>
    <row r="297" spans="2:6" hidden="1" x14ac:dyDescent="0.3">
      <c r="B297" s="1" t="s">
        <v>50</v>
      </c>
      <c r="C297" s="1" t="s">
        <v>362</v>
      </c>
      <c r="D297" s="1" t="str">
        <f t="shared" si="7"/>
        <v>Kab. Belu</v>
      </c>
      <c r="F297" s="1" t="str">
        <f>IF(info!$B297=profilKelas!$F$8,ROW(),"")</f>
        <v/>
      </c>
    </row>
    <row r="298" spans="2:6" hidden="1" x14ac:dyDescent="0.3">
      <c r="B298" s="1" t="s">
        <v>50</v>
      </c>
      <c r="C298" s="1" t="s">
        <v>363</v>
      </c>
      <c r="D298" s="1" t="str">
        <f t="shared" si="7"/>
        <v>Kab. Ende</v>
      </c>
      <c r="F298" s="1" t="str">
        <f>IF(info!$B298=profilKelas!$F$8,ROW(),"")</f>
        <v/>
      </c>
    </row>
    <row r="299" spans="2:6" hidden="1" x14ac:dyDescent="0.3">
      <c r="B299" s="1" t="s">
        <v>50</v>
      </c>
      <c r="C299" s="1" t="s">
        <v>364</v>
      </c>
      <c r="D299" s="1" t="str">
        <f t="shared" si="7"/>
        <v>Kab. Flores Timur</v>
      </c>
      <c r="F299" s="1" t="str">
        <f>IF(info!$B299=profilKelas!$F$8,ROW(),"")</f>
        <v/>
      </c>
    </row>
    <row r="300" spans="2:6" hidden="1" x14ac:dyDescent="0.3">
      <c r="B300" s="1" t="s">
        <v>50</v>
      </c>
      <c r="C300" s="1" t="s">
        <v>366</v>
      </c>
      <c r="D300" s="1" t="str">
        <f t="shared" si="7"/>
        <v>Kab. Kupang</v>
      </c>
      <c r="F300" s="1" t="str">
        <f>IF(info!$B300=profilKelas!$F$8,ROW(),"")</f>
        <v/>
      </c>
    </row>
    <row r="301" spans="2:6" hidden="1" x14ac:dyDescent="0.3">
      <c r="B301" s="1" t="s">
        <v>50</v>
      </c>
      <c r="C301" s="1" t="s">
        <v>367</v>
      </c>
      <c r="D301" s="1" t="str">
        <f t="shared" si="7"/>
        <v>Kab. Lembata</v>
      </c>
      <c r="F301" s="1" t="str">
        <f>IF(info!$B301=profilKelas!$F$8,ROW(),"")</f>
        <v/>
      </c>
    </row>
    <row r="302" spans="2:6" hidden="1" x14ac:dyDescent="0.3">
      <c r="B302" s="1" t="s">
        <v>50</v>
      </c>
      <c r="C302" s="1" t="s">
        <v>368</v>
      </c>
      <c r="D302" s="1" t="str">
        <f t="shared" si="7"/>
        <v>Kab. Malaka</v>
      </c>
      <c r="F302" s="1" t="str">
        <f>IF(info!$B302=profilKelas!$F$8,ROW(),"")</f>
        <v/>
      </c>
    </row>
    <row r="303" spans="2:6" hidden="1" x14ac:dyDescent="0.3">
      <c r="B303" s="1" t="s">
        <v>50</v>
      </c>
      <c r="C303" s="1" t="s">
        <v>369</v>
      </c>
      <c r="D303" s="1" t="str">
        <f t="shared" si="7"/>
        <v>Kab. Manggarai</v>
      </c>
      <c r="F303" s="1" t="str">
        <f>IF(info!$B303=profilKelas!$F$8,ROW(),"")</f>
        <v/>
      </c>
    </row>
    <row r="304" spans="2:6" hidden="1" x14ac:dyDescent="0.3">
      <c r="B304" s="1" t="s">
        <v>50</v>
      </c>
      <c r="C304" s="1" t="s">
        <v>370</v>
      </c>
      <c r="D304" s="1" t="str">
        <f t="shared" si="7"/>
        <v>Kab. Manggarai Barat</v>
      </c>
      <c r="F304" s="1" t="str">
        <f>IF(info!$B304=profilKelas!$F$8,ROW(),"")</f>
        <v/>
      </c>
    </row>
    <row r="305" spans="2:6" hidden="1" x14ac:dyDescent="0.3">
      <c r="B305" s="1" t="s">
        <v>50</v>
      </c>
      <c r="C305" s="1" t="s">
        <v>371</v>
      </c>
      <c r="D305" s="1" t="str">
        <f t="shared" si="7"/>
        <v>Kab. Manggarai Timur</v>
      </c>
      <c r="F305" s="1" t="str">
        <f>IF(info!$B305=profilKelas!$F$8,ROW(),"")</f>
        <v/>
      </c>
    </row>
    <row r="306" spans="2:6" hidden="1" x14ac:dyDescent="0.3">
      <c r="B306" s="1" t="s">
        <v>50</v>
      </c>
      <c r="C306" s="1" t="s">
        <v>372</v>
      </c>
      <c r="D306" s="1" t="str">
        <f t="shared" si="7"/>
        <v>Kab. Nagekeo</v>
      </c>
      <c r="F306" s="1" t="str">
        <f>IF(info!$B306=profilKelas!$F$8,ROW(),"")</f>
        <v/>
      </c>
    </row>
    <row r="307" spans="2:6" hidden="1" x14ac:dyDescent="0.3">
      <c r="B307" s="1" t="s">
        <v>50</v>
      </c>
      <c r="C307" s="1" t="s">
        <v>373</v>
      </c>
      <c r="D307" s="1" t="str">
        <f t="shared" si="7"/>
        <v>Kab. Ngada</v>
      </c>
      <c r="F307" s="1" t="str">
        <f>IF(info!$B307=profilKelas!$F$8,ROW(),"")</f>
        <v/>
      </c>
    </row>
    <row r="308" spans="2:6" hidden="1" x14ac:dyDescent="0.3">
      <c r="B308" s="1" t="s">
        <v>50</v>
      </c>
      <c r="C308" s="1" t="s">
        <v>374</v>
      </c>
      <c r="D308" s="1" t="str">
        <f t="shared" si="7"/>
        <v>Kab. Rote Ndao</v>
      </c>
      <c r="F308" s="1" t="str">
        <f>IF(info!$B308=profilKelas!$F$8,ROW(),"")</f>
        <v/>
      </c>
    </row>
    <row r="309" spans="2:6" hidden="1" x14ac:dyDescent="0.3">
      <c r="B309" s="1" t="s">
        <v>50</v>
      </c>
      <c r="C309" s="1" t="s">
        <v>375</v>
      </c>
      <c r="D309" s="1" t="str">
        <f t="shared" si="7"/>
        <v>Kab. Sabu Raijua</v>
      </c>
      <c r="F309" s="1" t="str">
        <f>IF(info!$B309=profilKelas!$F$8,ROW(),"")</f>
        <v/>
      </c>
    </row>
    <row r="310" spans="2:6" hidden="1" x14ac:dyDescent="0.3">
      <c r="B310" s="1" t="s">
        <v>50</v>
      </c>
      <c r="C310" s="1" t="s">
        <v>376</v>
      </c>
      <c r="D310" s="1" t="str">
        <f t="shared" si="7"/>
        <v>Kab. Sikka</v>
      </c>
      <c r="F310" s="1" t="str">
        <f>IF(info!$B310=profilKelas!$F$8,ROW(),"")</f>
        <v/>
      </c>
    </row>
    <row r="311" spans="2:6" hidden="1" x14ac:dyDescent="0.3">
      <c r="B311" s="1" t="s">
        <v>50</v>
      </c>
      <c r="C311" s="1" t="s">
        <v>377</v>
      </c>
      <c r="D311" s="1" t="str">
        <f t="shared" si="7"/>
        <v>Kab. Sumba Barat</v>
      </c>
      <c r="F311" s="1" t="str">
        <f>IF(info!$B311=profilKelas!$F$8,ROW(),"")</f>
        <v/>
      </c>
    </row>
    <row r="312" spans="2:6" hidden="1" x14ac:dyDescent="0.3">
      <c r="B312" s="1" t="s">
        <v>50</v>
      </c>
      <c r="C312" s="1" t="s">
        <v>378</v>
      </c>
      <c r="D312" s="1" t="str">
        <f t="shared" si="7"/>
        <v>Kab. Sumba Barat Daya</v>
      </c>
      <c r="F312" s="1" t="str">
        <f>IF(info!$B312=profilKelas!$F$8,ROW(),"")</f>
        <v/>
      </c>
    </row>
    <row r="313" spans="2:6" hidden="1" x14ac:dyDescent="0.3">
      <c r="B313" s="1" t="s">
        <v>50</v>
      </c>
      <c r="C313" s="1" t="s">
        <v>379</v>
      </c>
      <c r="D313" s="1" t="str">
        <f t="shared" si="7"/>
        <v>Kab. Sumba Tengah</v>
      </c>
      <c r="F313" s="1" t="str">
        <f>IF(info!$B313=profilKelas!$F$8,ROW(),"")</f>
        <v/>
      </c>
    </row>
    <row r="314" spans="2:6" hidden="1" x14ac:dyDescent="0.3">
      <c r="B314" s="1" t="s">
        <v>50</v>
      </c>
      <c r="C314" s="1" t="s">
        <v>380</v>
      </c>
      <c r="D314" s="1" t="str">
        <f t="shared" si="7"/>
        <v>Kab. Sumba Timur</v>
      </c>
      <c r="F314" s="1" t="str">
        <f>IF(info!$B314=profilKelas!$F$8,ROW(),"")</f>
        <v/>
      </c>
    </row>
    <row r="315" spans="2:6" hidden="1" x14ac:dyDescent="0.3">
      <c r="B315" s="1" t="s">
        <v>50</v>
      </c>
      <c r="C315" s="1" t="s">
        <v>381</v>
      </c>
      <c r="D315" s="1" t="str">
        <f t="shared" si="7"/>
        <v>Kab. Timor Tengah Selatan</v>
      </c>
      <c r="F315" s="1" t="str">
        <f>IF(info!$B315=profilKelas!$F$8,ROW(),"")</f>
        <v/>
      </c>
    </row>
    <row r="316" spans="2:6" hidden="1" x14ac:dyDescent="0.3">
      <c r="B316" s="1" t="s">
        <v>50</v>
      </c>
      <c r="C316" s="1" t="s">
        <v>382</v>
      </c>
      <c r="D316" s="1" t="str">
        <f t="shared" si="7"/>
        <v>Kab. Timor Tengah Utara</v>
      </c>
      <c r="F316" s="1" t="str">
        <f>IF(info!$B316=profilKelas!$F$8,ROW(),"")</f>
        <v/>
      </c>
    </row>
    <row r="317" spans="2:6" hidden="1" x14ac:dyDescent="0.3">
      <c r="B317" s="1" t="s">
        <v>50</v>
      </c>
      <c r="C317" s="1" t="s">
        <v>365</v>
      </c>
      <c r="D317" s="1" t="str">
        <f t="shared" si="7"/>
        <v>Kota Kupang</v>
      </c>
      <c r="F317" s="1" t="str">
        <f>IF(info!$B317=profilKelas!$F$8,ROW(),"")</f>
        <v/>
      </c>
    </row>
    <row r="318" spans="2:6" hidden="1" x14ac:dyDescent="0.3">
      <c r="B318" s="1" t="s">
        <v>51</v>
      </c>
      <c r="C318" s="1" t="s">
        <v>383</v>
      </c>
      <c r="D318" s="1" t="str">
        <f t="shared" si="7"/>
        <v>Kab. Biak Numfor</v>
      </c>
      <c r="F318" s="1" t="str">
        <f>IF(info!$B318=profilKelas!$F$8,ROW(),"")</f>
        <v/>
      </c>
    </row>
    <row r="319" spans="2:6" hidden="1" x14ac:dyDescent="0.3">
      <c r="B319" s="1" t="s">
        <v>51</v>
      </c>
      <c r="C319" s="1" t="s">
        <v>384</v>
      </c>
      <c r="D319" s="1" t="str">
        <f t="shared" si="7"/>
        <v>Kab. Jayapura</v>
      </c>
      <c r="F319" s="1" t="str">
        <f>IF(info!$B319=profilKelas!$F$8,ROW(),"")</f>
        <v/>
      </c>
    </row>
    <row r="320" spans="2:6" hidden="1" x14ac:dyDescent="0.3">
      <c r="B320" s="1" t="s">
        <v>51</v>
      </c>
      <c r="C320" s="1" t="s">
        <v>385</v>
      </c>
      <c r="D320" s="1" t="str">
        <f t="shared" si="7"/>
        <v>Kab. Keerom</v>
      </c>
      <c r="F320" s="1" t="str">
        <f>IF(info!$B320=profilKelas!$F$8,ROW(),"")</f>
        <v/>
      </c>
    </row>
    <row r="321" spans="2:6" hidden="1" x14ac:dyDescent="0.3">
      <c r="B321" s="1" t="s">
        <v>51</v>
      </c>
      <c r="C321" s="1" t="s">
        <v>386</v>
      </c>
      <c r="D321" s="1" t="str">
        <f t="shared" si="7"/>
        <v>Kab. Kepulauan Yapen</v>
      </c>
      <c r="F321" s="1" t="str">
        <f>IF(info!$B321=profilKelas!$F$8,ROW(),"")</f>
        <v/>
      </c>
    </row>
    <row r="322" spans="2:6" hidden="1" x14ac:dyDescent="0.3">
      <c r="B322" s="1" t="s">
        <v>51</v>
      </c>
      <c r="C322" s="1" t="s">
        <v>388</v>
      </c>
      <c r="D322" s="1" t="str">
        <f t="shared" ref="D322:D385" si="8">IF(LEFT(C322,4)="Kota",C322,IF(LEFT(C322,4)="Prov",C322,"Kab. "&amp;C322))</f>
        <v>Kab. Mamberamo Raya</v>
      </c>
      <c r="F322" s="1" t="str">
        <f>IF(info!$B322=profilKelas!$F$8,ROW(),"")</f>
        <v/>
      </c>
    </row>
    <row r="323" spans="2:6" hidden="1" x14ac:dyDescent="0.3">
      <c r="B323" s="1" t="s">
        <v>51</v>
      </c>
      <c r="C323" s="1" t="s">
        <v>389</v>
      </c>
      <c r="D323" s="1" t="str">
        <f t="shared" si="8"/>
        <v>Kab. Sarmi</v>
      </c>
      <c r="F323" s="1" t="str">
        <f>IF(info!$B323=profilKelas!$F$8,ROW(),"")</f>
        <v/>
      </c>
    </row>
    <row r="324" spans="2:6" hidden="1" x14ac:dyDescent="0.3">
      <c r="B324" s="1" t="s">
        <v>51</v>
      </c>
      <c r="C324" s="1" t="s">
        <v>390</v>
      </c>
      <c r="D324" s="1" t="str">
        <f t="shared" si="8"/>
        <v>Kab. Supiori</v>
      </c>
      <c r="F324" s="1" t="str">
        <f>IF(info!$B324=profilKelas!$F$8,ROW(),"")</f>
        <v/>
      </c>
    </row>
    <row r="325" spans="2:6" hidden="1" x14ac:dyDescent="0.3">
      <c r="B325" s="1" t="s">
        <v>51</v>
      </c>
      <c r="C325" s="1" t="s">
        <v>391</v>
      </c>
      <c r="D325" s="1" t="str">
        <f t="shared" si="8"/>
        <v>Kab. Waropen</v>
      </c>
      <c r="F325" s="1" t="str">
        <f>IF(info!$B325=profilKelas!$F$8,ROW(),"")</f>
        <v/>
      </c>
    </row>
    <row r="326" spans="2:6" hidden="1" x14ac:dyDescent="0.3">
      <c r="B326" s="1" t="s">
        <v>51</v>
      </c>
      <c r="C326" s="1" t="s">
        <v>387</v>
      </c>
      <c r="D326" s="1" t="str">
        <f t="shared" si="8"/>
        <v>Kota Jayapura</v>
      </c>
      <c r="F326" s="1" t="str">
        <f>IF(info!$B326=profilKelas!$F$8,ROW(),"")</f>
        <v/>
      </c>
    </row>
    <row r="327" spans="2:6" hidden="1" x14ac:dyDescent="0.3">
      <c r="B327" s="1" t="s">
        <v>52</v>
      </c>
      <c r="C327" s="1" t="s">
        <v>392</v>
      </c>
      <c r="D327" s="1" t="str">
        <f t="shared" si="8"/>
        <v>Kab. Fakfak</v>
      </c>
      <c r="F327" s="1" t="str">
        <f>IF(info!$B327=profilKelas!$F$8,ROW(),"")</f>
        <v/>
      </c>
    </row>
    <row r="328" spans="2:6" hidden="1" x14ac:dyDescent="0.3">
      <c r="B328" s="1" t="s">
        <v>52</v>
      </c>
      <c r="C328" s="1" t="s">
        <v>393</v>
      </c>
      <c r="D328" s="1" t="str">
        <f t="shared" si="8"/>
        <v>Kab. Kaimana</v>
      </c>
      <c r="F328" s="1" t="str">
        <f>IF(info!$B328=profilKelas!$F$8,ROW(),"")</f>
        <v/>
      </c>
    </row>
    <row r="329" spans="2:6" hidden="1" x14ac:dyDescent="0.3">
      <c r="B329" s="1" t="s">
        <v>52</v>
      </c>
      <c r="C329" s="1" t="s">
        <v>394</v>
      </c>
      <c r="D329" s="1" t="str">
        <f t="shared" si="8"/>
        <v>Kab. Manokwari</v>
      </c>
      <c r="F329" s="1" t="str">
        <f>IF(info!$B329=profilKelas!$F$8,ROW(),"")</f>
        <v/>
      </c>
    </row>
    <row r="330" spans="2:6" hidden="1" x14ac:dyDescent="0.3">
      <c r="B330" s="1" t="s">
        <v>52</v>
      </c>
      <c r="C330" s="1" t="s">
        <v>395</v>
      </c>
      <c r="D330" s="1" t="str">
        <f t="shared" si="8"/>
        <v>Kab. Manokwari Selatan</v>
      </c>
      <c r="F330" s="1" t="str">
        <f>IF(info!$B330=profilKelas!$F$8,ROW(),"")</f>
        <v/>
      </c>
    </row>
    <row r="331" spans="2:6" hidden="1" x14ac:dyDescent="0.3">
      <c r="B331" s="1" t="s">
        <v>52</v>
      </c>
      <c r="C331" s="1" t="s">
        <v>396</v>
      </c>
      <c r="D331" s="1" t="str">
        <f t="shared" si="8"/>
        <v>Kab. Pegunungan Arfak</v>
      </c>
      <c r="F331" s="1" t="str">
        <f>IF(info!$B331=profilKelas!$F$8,ROW(),"")</f>
        <v/>
      </c>
    </row>
    <row r="332" spans="2:6" hidden="1" x14ac:dyDescent="0.3">
      <c r="B332" s="1" t="s">
        <v>52</v>
      </c>
      <c r="C332" s="1" t="s">
        <v>397</v>
      </c>
      <c r="D332" s="1" t="str">
        <f t="shared" si="8"/>
        <v>Kab. Teluk Bintuni</v>
      </c>
      <c r="F332" s="1" t="str">
        <f>IF(info!$B332=profilKelas!$F$8,ROW(),"")</f>
        <v/>
      </c>
    </row>
    <row r="333" spans="2:6" hidden="1" x14ac:dyDescent="0.3">
      <c r="B333" s="1" t="s">
        <v>52</v>
      </c>
      <c r="C333" s="1" t="s">
        <v>398</v>
      </c>
      <c r="D333" s="1" t="str">
        <f t="shared" si="8"/>
        <v>Kab. Teluk Wondama</v>
      </c>
      <c r="F333" s="1" t="str">
        <f>IF(info!$B333=profilKelas!$F$8,ROW(),"")</f>
        <v/>
      </c>
    </row>
    <row r="334" spans="2:6" hidden="1" x14ac:dyDescent="0.3">
      <c r="B334" s="1" t="s">
        <v>53</v>
      </c>
      <c r="C334" s="1" t="s">
        <v>400</v>
      </c>
      <c r="D334" s="1" t="str">
        <f t="shared" si="8"/>
        <v>Kab. Maybrat</v>
      </c>
      <c r="F334" s="1" t="str">
        <f>IF(info!$B334=profilKelas!$F$8,ROW(),"")</f>
        <v/>
      </c>
    </row>
    <row r="335" spans="2:6" hidden="1" x14ac:dyDescent="0.3">
      <c r="B335" s="1" t="s">
        <v>53</v>
      </c>
      <c r="C335" s="1" t="s">
        <v>401</v>
      </c>
      <c r="D335" s="1" t="str">
        <f t="shared" si="8"/>
        <v>Kab. Raja Ampat</v>
      </c>
      <c r="F335" s="1" t="str">
        <f>IF(info!$B335=profilKelas!$F$8,ROW(),"")</f>
        <v/>
      </c>
    </row>
    <row r="336" spans="2:6" hidden="1" x14ac:dyDescent="0.3">
      <c r="B336" s="1" t="s">
        <v>53</v>
      </c>
      <c r="C336" s="1" t="s">
        <v>402</v>
      </c>
      <c r="D336" s="1" t="str">
        <f t="shared" si="8"/>
        <v>Kab. Sorong</v>
      </c>
      <c r="F336" s="1" t="str">
        <f>IF(info!$B336=profilKelas!$F$8,ROW(),"")</f>
        <v/>
      </c>
    </row>
    <row r="337" spans="2:6" hidden="1" x14ac:dyDescent="0.3">
      <c r="B337" s="1" t="s">
        <v>53</v>
      </c>
      <c r="C337" s="1" t="s">
        <v>403</v>
      </c>
      <c r="D337" s="1" t="str">
        <f t="shared" si="8"/>
        <v>Kab. Sorong Selatan</v>
      </c>
      <c r="F337" s="1" t="str">
        <f>IF(info!$B337=profilKelas!$F$8,ROW(),"")</f>
        <v/>
      </c>
    </row>
    <row r="338" spans="2:6" hidden="1" x14ac:dyDescent="0.3">
      <c r="B338" s="1" t="s">
        <v>53</v>
      </c>
      <c r="C338" s="1" t="s">
        <v>404</v>
      </c>
      <c r="D338" s="1" t="str">
        <f t="shared" si="8"/>
        <v>Kab. Tambrauw</v>
      </c>
      <c r="F338" s="1" t="str">
        <f>IF(info!$B338=profilKelas!$F$8,ROW(),"")</f>
        <v/>
      </c>
    </row>
    <row r="339" spans="2:6" hidden="1" x14ac:dyDescent="0.3">
      <c r="B339" s="1" t="s">
        <v>53</v>
      </c>
      <c r="C339" s="1" t="s">
        <v>399</v>
      </c>
      <c r="D339" s="1" t="str">
        <f t="shared" si="8"/>
        <v>Kota Sorong</v>
      </c>
      <c r="F339" s="1" t="str">
        <f>IF(info!$B339=profilKelas!$F$8,ROW(),"")</f>
        <v/>
      </c>
    </row>
    <row r="340" spans="2:6" hidden="1" x14ac:dyDescent="0.3">
      <c r="B340" s="1" t="s">
        <v>54</v>
      </c>
      <c r="C340" s="1" t="s">
        <v>405</v>
      </c>
      <c r="D340" s="1" t="str">
        <f t="shared" si="8"/>
        <v>Kab. Jayawijaya</v>
      </c>
      <c r="F340" s="1" t="str">
        <f>IF(info!$B340=profilKelas!$F$8,ROW(),"")</f>
        <v/>
      </c>
    </row>
    <row r="341" spans="2:6" hidden="1" x14ac:dyDescent="0.3">
      <c r="B341" s="1" t="s">
        <v>54</v>
      </c>
      <c r="C341" s="1" t="s">
        <v>406</v>
      </c>
      <c r="D341" s="1" t="str">
        <f t="shared" si="8"/>
        <v>Kab. Lanny Jaya</v>
      </c>
      <c r="F341" s="1" t="str">
        <f>IF(info!$B341=profilKelas!$F$8,ROW(),"")</f>
        <v/>
      </c>
    </row>
    <row r="342" spans="2:6" hidden="1" x14ac:dyDescent="0.3">
      <c r="B342" s="1" t="s">
        <v>54</v>
      </c>
      <c r="C342" s="1" t="s">
        <v>407</v>
      </c>
      <c r="D342" s="1" t="str">
        <f t="shared" si="8"/>
        <v>Kab. Mamberamo Tengah</v>
      </c>
      <c r="F342" s="1" t="str">
        <f>IF(info!$B342=profilKelas!$F$8,ROW(),"")</f>
        <v/>
      </c>
    </row>
    <row r="343" spans="2:6" hidden="1" x14ac:dyDescent="0.3">
      <c r="B343" s="1" t="s">
        <v>54</v>
      </c>
      <c r="C343" s="1" t="s">
        <v>408</v>
      </c>
      <c r="D343" s="1" t="str">
        <f t="shared" si="8"/>
        <v>Kab. Nduga</v>
      </c>
      <c r="F343" s="1" t="str">
        <f>IF(info!$B343=profilKelas!$F$8,ROW(),"")</f>
        <v/>
      </c>
    </row>
    <row r="344" spans="2:6" hidden="1" x14ac:dyDescent="0.3">
      <c r="B344" s="1" t="s">
        <v>54</v>
      </c>
      <c r="C344" s="1" t="s">
        <v>409</v>
      </c>
      <c r="D344" s="1" t="str">
        <f t="shared" si="8"/>
        <v>Kab. Pegunungan Bintang</v>
      </c>
      <c r="F344" s="1" t="str">
        <f>IF(info!$B344=profilKelas!$F$8,ROW(),"")</f>
        <v/>
      </c>
    </row>
    <row r="345" spans="2:6" hidden="1" x14ac:dyDescent="0.3">
      <c r="B345" s="1" t="s">
        <v>54</v>
      </c>
      <c r="C345" s="1" t="s">
        <v>410</v>
      </c>
      <c r="D345" s="1" t="str">
        <f t="shared" si="8"/>
        <v>Kab. Tolikara</v>
      </c>
      <c r="F345" s="1" t="str">
        <f>IF(info!$B345=profilKelas!$F$8,ROW(),"")</f>
        <v/>
      </c>
    </row>
    <row r="346" spans="2:6" hidden="1" x14ac:dyDescent="0.3">
      <c r="B346" s="1" t="s">
        <v>54</v>
      </c>
      <c r="C346" s="1" t="s">
        <v>411</v>
      </c>
      <c r="D346" s="1" t="str">
        <f t="shared" si="8"/>
        <v>Kab. Yahukimo</v>
      </c>
      <c r="F346" s="1" t="str">
        <f>IF(info!$B346=profilKelas!$F$8,ROW(),"")</f>
        <v/>
      </c>
    </row>
    <row r="347" spans="2:6" hidden="1" x14ac:dyDescent="0.3">
      <c r="B347" s="1" t="s">
        <v>54</v>
      </c>
      <c r="C347" s="1" t="s">
        <v>412</v>
      </c>
      <c r="D347" s="1" t="str">
        <f t="shared" si="8"/>
        <v>Kab. Yalimo</v>
      </c>
      <c r="F347" s="1" t="str">
        <f>IF(info!$B347=profilKelas!$F$8,ROW(),"")</f>
        <v/>
      </c>
    </row>
    <row r="348" spans="2:6" hidden="1" x14ac:dyDescent="0.3">
      <c r="B348" s="1" t="s">
        <v>55</v>
      </c>
      <c r="C348" s="1" t="s">
        <v>413</v>
      </c>
      <c r="D348" s="1" t="str">
        <f t="shared" si="8"/>
        <v>Kab. Asmat</v>
      </c>
      <c r="F348" s="1" t="str">
        <f>IF(info!$B348=profilKelas!$F$8,ROW(),"")</f>
        <v/>
      </c>
    </row>
    <row r="349" spans="2:6" hidden="1" x14ac:dyDescent="0.3">
      <c r="B349" s="1" t="s">
        <v>55</v>
      </c>
      <c r="C349" s="1" t="s">
        <v>414</v>
      </c>
      <c r="D349" s="1" t="str">
        <f t="shared" si="8"/>
        <v>Kab. Boven Digoel</v>
      </c>
      <c r="F349" s="1" t="str">
        <f>IF(info!$B349=profilKelas!$F$8,ROW(),"")</f>
        <v/>
      </c>
    </row>
    <row r="350" spans="2:6" hidden="1" x14ac:dyDescent="0.3">
      <c r="B350" s="1" t="s">
        <v>55</v>
      </c>
      <c r="C350" s="1" t="s">
        <v>415</v>
      </c>
      <c r="D350" s="1" t="str">
        <f t="shared" si="8"/>
        <v>Kab. Mappi</v>
      </c>
      <c r="F350" s="1" t="str">
        <f>IF(info!$B350=profilKelas!$F$8,ROW(),"")</f>
        <v/>
      </c>
    </row>
    <row r="351" spans="2:6" hidden="1" x14ac:dyDescent="0.3">
      <c r="B351" s="1" t="s">
        <v>55</v>
      </c>
      <c r="C351" s="1" t="s">
        <v>416</v>
      </c>
      <c r="D351" s="1" t="str">
        <f t="shared" si="8"/>
        <v>Kab. Merauke</v>
      </c>
      <c r="F351" s="1" t="str">
        <f>IF(info!$B351=profilKelas!$F$8,ROW(),"")</f>
        <v/>
      </c>
    </row>
    <row r="352" spans="2:6" hidden="1" x14ac:dyDescent="0.3">
      <c r="B352" s="1" t="s">
        <v>56</v>
      </c>
      <c r="C352" s="1" t="s">
        <v>417</v>
      </c>
      <c r="D352" s="1" t="str">
        <f t="shared" si="8"/>
        <v>Kab. Deiyai</v>
      </c>
      <c r="F352" s="1" t="str">
        <f>IF(info!$B352=profilKelas!$F$8,ROW(),"")</f>
        <v/>
      </c>
    </row>
    <row r="353" spans="2:6" hidden="1" x14ac:dyDescent="0.3">
      <c r="B353" s="1" t="s">
        <v>56</v>
      </c>
      <c r="C353" s="1" t="s">
        <v>418</v>
      </c>
      <c r="D353" s="1" t="str">
        <f t="shared" si="8"/>
        <v>Kab. Dogiyai</v>
      </c>
      <c r="F353" s="1" t="str">
        <f>IF(info!$B353=profilKelas!$F$8,ROW(),"")</f>
        <v/>
      </c>
    </row>
    <row r="354" spans="2:6" hidden="1" x14ac:dyDescent="0.3">
      <c r="B354" s="1" t="s">
        <v>56</v>
      </c>
      <c r="C354" s="1" t="s">
        <v>419</v>
      </c>
      <c r="D354" s="1" t="str">
        <f t="shared" si="8"/>
        <v>Kab. Intan Jaya</v>
      </c>
      <c r="F354" s="1" t="str">
        <f>IF(info!$B354=profilKelas!$F$8,ROW(),"")</f>
        <v/>
      </c>
    </row>
    <row r="355" spans="2:6" hidden="1" x14ac:dyDescent="0.3">
      <c r="B355" s="1" t="s">
        <v>56</v>
      </c>
      <c r="C355" s="1" t="s">
        <v>420</v>
      </c>
      <c r="D355" s="1" t="str">
        <f t="shared" si="8"/>
        <v>Kab. Mimika</v>
      </c>
      <c r="F355" s="1" t="str">
        <f>IF(info!$B355=profilKelas!$F$8,ROW(),"")</f>
        <v/>
      </c>
    </row>
    <row r="356" spans="2:6" hidden="1" x14ac:dyDescent="0.3">
      <c r="B356" s="1" t="s">
        <v>56</v>
      </c>
      <c r="C356" s="1" t="s">
        <v>421</v>
      </c>
      <c r="D356" s="1" t="str">
        <f t="shared" si="8"/>
        <v>Kab. Nabire</v>
      </c>
      <c r="F356" s="1" t="str">
        <f>IF(info!$B356=profilKelas!$F$8,ROW(),"")</f>
        <v/>
      </c>
    </row>
    <row r="357" spans="2:6" hidden="1" x14ac:dyDescent="0.3">
      <c r="B357" s="1" t="s">
        <v>56</v>
      </c>
      <c r="C357" s="1" t="s">
        <v>422</v>
      </c>
      <c r="D357" s="1" t="str">
        <f t="shared" si="8"/>
        <v>Kab. Paniai</v>
      </c>
      <c r="F357" s="1" t="str">
        <f>IF(info!$B357=profilKelas!$F$8,ROW(),"")</f>
        <v/>
      </c>
    </row>
    <row r="358" spans="2:6" hidden="1" x14ac:dyDescent="0.3">
      <c r="B358" s="1" t="s">
        <v>56</v>
      </c>
      <c r="C358" s="1" t="s">
        <v>423</v>
      </c>
      <c r="D358" s="1" t="str">
        <f t="shared" si="8"/>
        <v>Kab. Puncak</v>
      </c>
      <c r="F358" s="1" t="str">
        <f>IF(info!$B358=profilKelas!$F$8,ROW(),"")</f>
        <v/>
      </c>
    </row>
    <row r="359" spans="2:6" hidden="1" x14ac:dyDescent="0.3">
      <c r="B359" s="1" t="s">
        <v>56</v>
      </c>
      <c r="C359" s="1" t="s">
        <v>424</v>
      </c>
      <c r="D359" s="1" t="str">
        <f t="shared" si="8"/>
        <v>Kab. Puncak Jaya</v>
      </c>
      <c r="F359" s="1" t="str">
        <f>IF(info!$B359=profilKelas!$F$8,ROW(),"")</f>
        <v/>
      </c>
    </row>
    <row r="360" spans="2:6" hidden="1" x14ac:dyDescent="0.3">
      <c r="B360" s="1" t="s">
        <v>57</v>
      </c>
      <c r="C360" s="1" t="s">
        <v>425</v>
      </c>
      <c r="D360" s="1" t="str">
        <f t="shared" si="8"/>
        <v>Kab. Bengkalis</v>
      </c>
      <c r="F360" s="1" t="str">
        <f>IF(info!$B360=profilKelas!$F$8,ROW(),"")</f>
        <v/>
      </c>
    </row>
    <row r="361" spans="2:6" hidden="1" x14ac:dyDescent="0.3">
      <c r="B361" s="1" t="s">
        <v>57</v>
      </c>
      <c r="C361" s="1" t="s">
        <v>426</v>
      </c>
      <c r="D361" s="1" t="str">
        <f t="shared" si="8"/>
        <v>Kab. Indragiri Hilir</v>
      </c>
      <c r="F361" s="1" t="str">
        <f>IF(info!$B361=profilKelas!$F$8,ROW(),"")</f>
        <v/>
      </c>
    </row>
    <row r="362" spans="2:6" hidden="1" x14ac:dyDescent="0.3">
      <c r="B362" s="1" t="s">
        <v>57</v>
      </c>
      <c r="C362" s="1" t="s">
        <v>427</v>
      </c>
      <c r="D362" s="1" t="str">
        <f t="shared" si="8"/>
        <v>Kab. Indragiri Hulu</v>
      </c>
      <c r="F362" s="1" t="str">
        <f>IF(info!$B362=profilKelas!$F$8,ROW(),"")</f>
        <v/>
      </c>
    </row>
    <row r="363" spans="2:6" hidden="1" x14ac:dyDescent="0.3">
      <c r="B363" s="1" t="s">
        <v>57</v>
      </c>
      <c r="C363" s="1" t="s">
        <v>428</v>
      </c>
      <c r="D363" s="1" t="str">
        <f t="shared" si="8"/>
        <v>Kab. Kampar</v>
      </c>
      <c r="F363" s="1" t="str">
        <f>IF(info!$B363=profilKelas!$F$8,ROW(),"")</f>
        <v/>
      </c>
    </row>
    <row r="364" spans="2:6" hidden="1" x14ac:dyDescent="0.3">
      <c r="B364" s="1" t="s">
        <v>57</v>
      </c>
      <c r="C364" s="1" t="s">
        <v>429</v>
      </c>
      <c r="D364" s="1" t="str">
        <f t="shared" si="8"/>
        <v>Kab. Kepulauan Meranti</v>
      </c>
      <c r="F364" s="1" t="str">
        <f>IF(info!$B364=profilKelas!$F$8,ROW(),"")</f>
        <v/>
      </c>
    </row>
    <row r="365" spans="2:6" hidden="1" x14ac:dyDescent="0.3">
      <c r="B365" s="1" t="s">
        <v>57</v>
      </c>
      <c r="C365" s="1" t="s">
        <v>432</v>
      </c>
      <c r="D365" s="1" t="str">
        <f t="shared" si="8"/>
        <v>Kab. Kuantan Singingi</v>
      </c>
      <c r="F365" s="1" t="str">
        <f>IF(info!$B365=profilKelas!$F$8,ROW(),"")</f>
        <v/>
      </c>
    </row>
    <row r="366" spans="2:6" hidden="1" x14ac:dyDescent="0.3">
      <c r="B366" s="1" t="s">
        <v>57</v>
      </c>
      <c r="C366" s="1" t="s">
        <v>433</v>
      </c>
      <c r="D366" s="1" t="str">
        <f t="shared" si="8"/>
        <v>Kab. Pelalawan</v>
      </c>
      <c r="F366" s="1" t="str">
        <f>IF(info!$B366=profilKelas!$F$8,ROW(),"")</f>
        <v/>
      </c>
    </row>
    <row r="367" spans="2:6" hidden="1" x14ac:dyDescent="0.3">
      <c r="B367" s="1" t="s">
        <v>57</v>
      </c>
      <c r="C367" s="1" t="s">
        <v>434</v>
      </c>
      <c r="D367" s="1" t="str">
        <f t="shared" si="8"/>
        <v>Kab. Rokan Hilir</v>
      </c>
      <c r="F367" s="1" t="str">
        <f>IF(info!$B367=profilKelas!$F$8,ROW(),"")</f>
        <v/>
      </c>
    </row>
    <row r="368" spans="2:6" hidden="1" x14ac:dyDescent="0.3">
      <c r="B368" s="1" t="s">
        <v>57</v>
      </c>
      <c r="C368" s="1" t="s">
        <v>435</v>
      </c>
      <c r="D368" s="1" t="str">
        <f t="shared" si="8"/>
        <v>Kab. Rokan Hulu</v>
      </c>
      <c r="F368" s="1" t="str">
        <f>IF(info!$B368=profilKelas!$F$8,ROW(),"")</f>
        <v/>
      </c>
    </row>
    <row r="369" spans="2:6" hidden="1" x14ac:dyDescent="0.3">
      <c r="B369" s="1" t="s">
        <v>57</v>
      </c>
      <c r="C369" s="1" t="s">
        <v>436</v>
      </c>
      <c r="D369" s="1" t="str">
        <f t="shared" si="8"/>
        <v>Kab. Siak</v>
      </c>
      <c r="F369" s="1" t="str">
        <f>IF(info!$B369=profilKelas!$F$8,ROW(),"")</f>
        <v/>
      </c>
    </row>
    <row r="370" spans="2:6" hidden="1" x14ac:dyDescent="0.3">
      <c r="B370" s="1" t="s">
        <v>57</v>
      </c>
      <c r="C370" s="1" t="s">
        <v>430</v>
      </c>
      <c r="D370" s="1" t="str">
        <f t="shared" si="8"/>
        <v>Kota Dumai</v>
      </c>
      <c r="F370" s="1" t="str">
        <f>IF(info!$B370=profilKelas!$F$8,ROW(),"")</f>
        <v/>
      </c>
    </row>
    <row r="371" spans="2:6" hidden="1" x14ac:dyDescent="0.3">
      <c r="B371" s="1" t="s">
        <v>57</v>
      </c>
      <c r="C371" s="1" t="s">
        <v>431</v>
      </c>
      <c r="D371" s="1" t="str">
        <f t="shared" si="8"/>
        <v>Kota Pekanbaru</v>
      </c>
      <c r="F371" s="1" t="str">
        <f>IF(info!$B371=profilKelas!$F$8,ROW(),"")</f>
        <v/>
      </c>
    </row>
    <row r="372" spans="2:6" hidden="1" x14ac:dyDescent="0.3">
      <c r="B372" s="1" t="s">
        <v>58</v>
      </c>
      <c r="C372" s="1" t="s">
        <v>437</v>
      </c>
      <c r="D372" s="1" t="str">
        <f t="shared" si="8"/>
        <v>Kab. Majene</v>
      </c>
      <c r="F372" s="1" t="str">
        <f>IF(info!$B372=profilKelas!$F$8,ROW(),"")</f>
        <v/>
      </c>
    </row>
    <row r="373" spans="2:6" hidden="1" x14ac:dyDescent="0.3">
      <c r="B373" s="1" t="s">
        <v>58</v>
      </c>
      <c r="C373" s="1" t="s">
        <v>438</v>
      </c>
      <c r="D373" s="1" t="str">
        <f t="shared" si="8"/>
        <v>Kab. Mamasa</v>
      </c>
      <c r="F373" s="1" t="str">
        <f>IF(info!$B373=profilKelas!$F$8,ROW(),"")</f>
        <v/>
      </c>
    </row>
    <row r="374" spans="2:6" hidden="1" x14ac:dyDescent="0.3">
      <c r="B374" s="1" t="s">
        <v>58</v>
      </c>
      <c r="C374" s="1" t="s">
        <v>439</v>
      </c>
      <c r="D374" s="1" t="str">
        <f t="shared" si="8"/>
        <v>Kab. Mamuju</v>
      </c>
      <c r="F374" s="1" t="str">
        <f>IF(info!$B374=profilKelas!$F$8,ROW(),"")</f>
        <v/>
      </c>
    </row>
    <row r="375" spans="2:6" hidden="1" x14ac:dyDescent="0.3">
      <c r="B375" s="1" t="s">
        <v>58</v>
      </c>
      <c r="C375" s="1" t="s">
        <v>440</v>
      </c>
      <c r="D375" s="1" t="str">
        <f t="shared" si="8"/>
        <v>Kab. Mamuju Tengah</v>
      </c>
      <c r="F375" s="1" t="str">
        <f>IF(info!$B375=profilKelas!$F$8,ROW(),"")</f>
        <v/>
      </c>
    </row>
    <row r="376" spans="2:6" hidden="1" x14ac:dyDescent="0.3">
      <c r="B376" s="1" t="s">
        <v>58</v>
      </c>
      <c r="C376" s="1" t="s">
        <v>441</v>
      </c>
      <c r="D376" s="1" t="str">
        <f t="shared" si="8"/>
        <v>Kab. Pasangkayu</v>
      </c>
      <c r="F376" s="1" t="str">
        <f>IF(info!$B376=profilKelas!$F$8,ROW(),"")</f>
        <v/>
      </c>
    </row>
    <row r="377" spans="2:6" hidden="1" x14ac:dyDescent="0.3">
      <c r="B377" s="1" t="s">
        <v>58</v>
      </c>
      <c r="C377" s="1" t="s">
        <v>442</v>
      </c>
      <c r="D377" s="1" t="str">
        <f t="shared" si="8"/>
        <v>Kab. Polewali Mandar</v>
      </c>
      <c r="F377" s="1" t="str">
        <f>IF(info!$B377=profilKelas!$F$8,ROW(),"")</f>
        <v/>
      </c>
    </row>
    <row r="378" spans="2:6" hidden="1" x14ac:dyDescent="0.3">
      <c r="B378" s="1" t="s">
        <v>59</v>
      </c>
      <c r="C378" s="1" t="s">
        <v>443</v>
      </c>
      <c r="D378" s="1" t="str">
        <f t="shared" si="8"/>
        <v>Kab. Bantaeng</v>
      </c>
      <c r="F378" s="1" t="str">
        <f>IF(info!$B378=profilKelas!$F$8,ROW(),"")</f>
        <v/>
      </c>
    </row>
    <row r="379" spans="2:6" hidden="1" x14ac:dyDescent="0.3">
      <c r="B379" s="1" t="s">
        <v>59</v>
      </c>
      <c r="C379" s="1" t="s">
        <v>444</v>
      </c>
      <c r="D379" s="1" t="str">
        <f t="shared" si="8"/>
        <v>Kab. Barru</v>
      </c>
      <c r="F379" s="1" t="str">
        <f>IF(info!$B379=profilKelas!$F$8,ROW(),"")</f>
        <v/>
      </c>
    </row>
    <row r="380" spans="2:6" hidden="1" x14ac:dyDescent="0.3">
      <c r="B380" s="1" t="s">
        <v>59</v>
      </c>
      <c r="C380" s="1" t="s">
        <v>445</v>
      </c>
      <c r="D380" s="1" t="str">
        <f t="shared" si="8"/>
        <v>Kab. Bone</v>
      </c>
      <c r="F380" s="1" t="str">
        <f>IF(info!$B380=profilKelas!$F$8,ROW(),"")</f>
        <v/>
      </c>
    </row>
    <row r="381" spans="2:6" hidden="1" x14ac:dyDescent="0.3">
      <c r="B381" s="1" t="s">
        <v>59</v>
      </c>
      <c r="C381" s="1" t="s">
        <v>446</v>
      </c>
      <c r="D381" s="1" t="str">
        <f t="shared" si="8"/>
        <v>Kab. Bulukumba</v>
      </c>
      <c r="F381" s="1" t="str">
        <f>IF(info!$B381=profilKelas!$F$8,ROW(),"")</f>
        <v/>
      </c>
    </row>
    <row r="382" spans="2:6" hidden="1" x14ac:dyDescent="0.3">
      <c r="B382" s="1" t="s">
        <v>59</v>
      </c>
      <c r="C382" s="1" t="s">
        <v>447</v>
      </c>
      <c r="D382" s="1" t="str">
        <f t="shared" si="8"/>
        <v>Kab. Enrekang</v>
      </c>
      <c r="F382" s="1" t="str">
        <f>IF(info!$B382=profilKelas!$F$8,ROW(),"")</f>
        <v/>
      </c>
    </row>
    <row r="383" spans="2:6" hidden="1" x14ac:dyDescent="0.3">
      <c r="B383" s="1" t="s">
        <v>59</v>
      </c>
      <c r="C383" s="1" t="s">
        <v>448</v>
      </c>
      <c r="D383" s="1" t="str">
        <f t="shared" si="8"/>
        <v>Kab. Gowa</v>
      </c>
      <c r="F383" s="1" t="str">
        <f>IF(info!$B383=profilKelas!$F$8,ROW(),"")</f>
        <v/>
      </c>
    </row>
    <row r="384" spans="2:6" hidden="1" x14ac:dyDescent="0.3">
      <c r="B384" s="1" t="s">
        <v>59</v>
      </c>
      <c r="C384" s="1" t="s">
        <v>449</v>
      </c>
      <c r="D384" s="1" t="str">
        <f t="shared" si="8"/>
        <v>Kab. Jeneponto</v>
      </c>
      <c r="F384" s="1" t="str">
        <f>IF(info!$B384=profilKelas!$F$8,ROW(),"")</f>
        <v/>
      </c>
    </row>
    <row r="385" spans="2:6" hidden="1" x14ac:dyDescent="0.3">
      <c r="B385" s="1" t="s">
        <v>59</v>
      </c>
      <c r="C385" s="1" t="s">
        <v>450</v>
      </c>
      <c r="D385" s="1" t="str">
        <f t="shared" si="8"/>
        <v>Kab. Kepulauan Selayar</v>
      </c>
      <c r="F385" s="1" t="str">
        <f>IF(info!$B385=profilKelas!$F$8,ROW(),"")</f>
        <v/>
      </c>
    </row>
    <row r="386" spans="2:6" hidden="1" x14ac:dyDescent="0.3">
      <c r="B386" s="1" t="s">
        <v>59</v>
      </c>
      <c r="C386" s="1" t="s">
        <v>454</v>
      </c>
      <c r="D386" s="1" t="str">
        <f t="shared" ref="D386:D449" si="9">IF(LEFT(C386,4)="Kota",C386,IF(LEFT(C386,4)="Prov",C386,"Kab. "&amp;C386))</f>
        <v>Kab. Luwu</v>
      </c>
      <c r="F386" s="1" t="str">
        <f>IF(info!$B386=profilKelas!$F$8,ROW(),"")</f>
        <v/>
      </c>
    </row>
    <row r="387" spans="2:6" hidden="1" x14ac:dyDescent="0.3">
      <c r="B387" s="1" t="s">
        <v>59</v>
      </c>
      <c r="C387" s="1" t="s">
        <v>455</v>
      </c>
      <c r="D387" s="1" t="str">
        <f t="shared" si="9"/>
        <v>Kab. Luwu Timur</v>
      </c>
      <c r="F387" s="1" t="str">
        <f>IF(info!$B387=profilKelas!$F$8,ROW(),"")</f>
        <v/>
      </c>
    </row>
    <row r="388" spans="2:6" hidden="1" x14ac:dyDescent="0.3">
      <c r="B388" s="1" t="s">
        <v>59</v>
      </c>
      <c r="C388" s="1" t="s">
        <v>456</v>
      </c>
      <c r="D388" s="1" t="str">
        <f t="shared" si="9"/>
        <v>Kab. Luwu Utara</v>
      </c>
      <c r="F388" s="1" t="str">
        <f>IF(info!$B388=profilKelas!$F$8,ROW(),"")</f>
        <v/>
      </c>
    </row>
    <row r="389" spans="2:6" hidden="1" x14ac:dyDescent="0.3">
      <c r="B389" s="1" t="s">
        <v>59</v>
      </c>
      <c r="C389" s="1" t="s">
        <v>457</v>
      </c>
      <c r="D389" s="1" t="str">
        <f t="shared" si="9"/>
        <v>Kab. Maros</v>
      </c>
      <c r="F389" s="1" t="str">
        <f>IF(info!$B389=profilKelas!$F$8,ROW(),"")</f>
        <v/>
      </c>
    </row>
    <row r="390" spans="2:6" hidden="1" x14ac:dyDescent="0.3">
      <c r="B390" s="1" t="s">
        <v>59</v>
      </c>
      <c r="C390" s="1" t="s">
        <v>458</v>
      </c>
      <c r="D390" s="1" t="str">
        <f t="shared" si="9"/>
        <v>Kab. Pangkajene Kepulauan</v>
      </c>
      <c r="F390" s="1" t="str">
        <f>IF(info!$B390=profilKelas!$F$8,ROW(),"")</f>
        <v/>
      </c>
    </row>
    <row r="391" spans="2:6" hidden="1" x14ac:dyDescent="0.3">
      <c r="B391" s="1" t="s">
        <v>59</v>
      </c>
      <c r="C391" s="1" t="s">
        <v>459</v>
      </c>
      <c r="D391" s="1" t="str">
        <f t="shared" si="9"/>
        <v>Kab. Pinrang</v>
      </c>
      <c r="F391" s="1" t="str">
        <f>IF(info!$B391=profilKelas!$F$8,ROW(),"")</f>
        <v/>
      </c>
    </row>
    <row r="392" spans="2:6" hidden="1" x14ac:dyDescent="0.3">
      <c r="B392" s="1" t="s">
        <v>59</v>
      </c>
      <c r="C392" s="1" t="s">
        <v>460</v>
      </c>
      <c r="D392" s="1" t="str">
        <f t="shared" si="9"/>
        <v>Kab. Sidenreng Rappang</v>
      </c>
      <c r="F392" s="1" t="str">
        <f>IF(info!$B392=profilKelas!$F$8,ROW(),"")</f>
        <v/>
      </c>
    </row>
    <row r="393" spans="2:6" hidden="1" x14ac:dyDescent="0.3">
      <c r="B393" s="1" t="s">
        <v>59</v>
      </c>
      <c r="C393" s="1" t="s">
        <v>461</v>
      </c>
      <c r="D393" s="1" t="str">
        <f t="shared" si="9"/>
        <v>Kab. Sinjai</v>
      </c>
      <c r="F393" s="1" t="str">
        <f>IF(info!$B393=profilKelas!$F$8,ROW(),"")</f>
        <v/>
      </c>
    </row>
    <row r="394" spans="2:6" hidden="1" x14ac:dyDescent="0.3">
      <c r="B394" s="1" t="s">
        <v>59</v>
      </c>
      <c r="C394" s="1" t="s">
        <v>462</v>
      </c>
      <c r="D394" s="1" t="str">
        <f t="shared" si="9"/>
        <v>Kab. Soppeng</v>
      </c>
      <c r="F394" s="1" t="str">
        <f>IF(info!$B394=profilKelas!$F$8,ROW(),"")</f>
        <v/>
      </c>
    </row>
    <row r="395" spans="2:6" hidden="1" x14ac:dyDescent="0.3">
      <c r="B395" s="1" t="s">
        <v>59</v>
      </c>
      <c r="C395" s="1" t="s">
        <v>463</v>
      </c>
      <c r="D395" s="1" t="str">
        <f t="shared" si="9"/>
        <v>Kab. Takalar</v>
      </c>
      <c r="F395" s="1" t="str">
        <f>IF(info!$B395=profilKelas!$F$8,ROW(),"")</f>
        <v/>
      </c>
    </row>
    <row r="396" spans="2:6" hidden="1" x14ac:dyDescent="0.3">
      <c r="B396" s="1" t="s">
        <v>59</v>
      </c>
      <c r="C396" s="1" t="s">
        <v>464</v>
      </c>
      <c r="D396" s="1" t="str">
        <f t="shared" si="9"/>
        <v>Kab. Tana Toraja</v>
      </c>
      <c r="F396" s="1" t="str">
        <f>IF(info!$B396=profilKelas!$F$8,ROW(),"")</f>
        <v/>
      </c>
    </row>
    <row r="397" spans="2:6" hidden="1" x14ac:dyDescent="0.3">
      <c r="B397" s="1" t="s">
        <v>59</v>
      </c>
      <c r="C397" s="1" t="s">
        <v>465</v>
      </c>
      <c r="D397" s="1" t="str">
        <f t="shared" si="9"/>
        <v>Kab. Toraja Utara</v>
      </c>
      <c r="F397" s="1" t="str">
        <f>IF(info!$B397=profilKelas!$F$8,ROW(),"")</f>
        <v/>
      </c>
    </row>
    <row r="398" spans="2:6" hidden="1" x14ac:dyDescent="0.3">
      <c r="B398" s="1" t="s">
        <v>59</v>
      </c>
      <c r="C398" s="1" t="s">
        <v>466</v>
      </c>
      <c r="D398" s="1" t="str">
        <f t="shared" si="9"/>
        <v>Kab. Wajo</v>
      </c>
      <c r="F398" s="1" t="str">
        <f>IF(info!$B398=profilKelas!$F$8,ROW(),"")</f>
        <v/>
      </c>
    </row>
    <row r="399" spans="2:6" hidden="1" x14ac:dyDescent="0.3">
      <c r="B399" s="1" t="s">
        <v>59</v>
      </c>
      <c r="C399" s="1" t="s">
        <v>451</v>
      </c>
      <c r="D399" s="1" t="str">
        <f t="shared" si="9"/>
        <v>Kota Makassar</v>
      </c>
      <c r="F399" s="1" t="str">
        <f>IF(info!$B399=profilKelas!$F$8,ROW(),"")</f>
        <v/>
      </c>
    </row>
    <row r="400" spans="2:6" hidden="1" x14ac:dyDescent="0.3">
      <c r="B400" s="1" t="s">
        <v>59</v>
      </c>
      <c r="C400" s="1" t="s">
        <v>452</v>
      </c>
      <c r="D400" s="1" t="str">
        <f t="shared" si="9"/>
        <v>Kota Palopo</v>
      </c>
      <c r="F400" s="1" t="str">
        <f>IF(info!$B400=profilKelas!$F$8,ROW(),"")</f>
        <v/>
      </c>
    </row>
    <row r="401" spans="2:6" hidden="1" x14ac:dyDescent="0.3">
      <c r="B401" s="1" t="s">
        <v>59</v>
      </c>
      <c r="C401" s="1" t="s">
        <v>453</v>
      </c>
      <c r="D401" s="1" t="str">
        <f t="shared" si="9"/>
        <v>Kota Parepare</v>
      </c>
      <c r="F401" s="1" t="str">
        <f>IF(info!$B401=profilKelas!$F$8,ROW(),"")</f>
        <v/>
      </c>
    </row>
    <row r="402" spans="2:6" hidden="1" x14ac:dyDescent="0.3">
      <c r="B402" s="1" t="s">
        <v>60</v>
      </c>
      <c r="C402" s="1" t="s">
        <v>467</v>
      </c>
      <c r="D402" s="1" t="str">
        <f t="shared" si="9"/>
        <v>Kab. Banggai</v>
      </c>
      <c r="F402" s="1" t="str">
        <f>IF(info!$B402=profilKelas!$F$8,ROW(),"")</f>
        <v/>
      </c>
    </row>
    <row r="403" spans="2:6" hidden="1" x14ac:dyDescent="0.3">
      <c r="B403" s="1" t="s">
        <v>60</v>
      </c>
      <c r="C403" s="1" t="s">
        <v>468</v>
      </c>
      <c r="D403" s="1" t="str">
        <f t="shared" si="9"/>
        <v>Kab. Banggai Kepulauan</v>
      </c>
      <c r="F403" s="1" t="str">
        <f>IF(info!$B403=profilKelas!$F$8,ROW(),"")</f>
        <v/>
      </c>
    </row>
    <row r="404" spans="2:6" hidden="1" x14ac:dyDescent="0.3">
      <c r="B404" s="1" t="s">
        <v>60</v>
      </c>
      <c r="C404" s="1" t="s">
        <v>469</v>
      </c>
      <c r="D404" s="1" t="str">
        <f t="shared" si="9"/>
        <v>Kab. Banggai Laut</v>
      </c>
      <c r="F404" s="1" t="str">
        <f>IF(info!$B404=profilKelas!$F$8,ROW(),"")</f>
        <v/>
      </c>
    </row>
    <row r="405" spans="2:6" hidden="1" x14ac:dyDescent="0.3">
      <c r="B405" s="1" t="s">
        <v>60</v>
      </c>
      <c r="C405" s="1" t="s">
        <v>470</v>
      </c>
      <c r="D405" s="1" t="str">
        <f t="shared" si="9"/>
        <v>Kab. Buol</v>
      </c>
      <c r="F405" s="1" t="str">
        <f>IF(info!$B405=profilKelas!$F$8,ROW(),"")</f>
        <v/>
      </c>
    </row>
    <row r="406" spans="2:6" hidden="1" x14ac:dyDescent="0.3">
      <c r="B406" s="1" t="s">
        <v>60</v>
      </c>
      <c r="C406" s="1" t="s">
        <v>471</v>
      </c>
      <c r="D406" s="1" t="str">
        <f t="shared" si="9"/>
        <v>Kab. Donggala</v>
      </c>
      <c r="F406" s="1" t="str">
        <f>IF(info!$B406=profilKelas!$F$8,ROW(),"")</f>
        <v/>
      </c>
    </row>
    <row r="407" spans="2:6" hidden="1" x14ac:dyDescent="0.3">
      <c r="B407" s="1" t="s">
        <v>60</v>
      </c>
      <c r="C407" s="1" t="s">
        <v>473</v>
      </c>
      <c r="D407" s="1" t="str">
        <f t="shared" si="9"/>
        <v>Kab. Morowali</v>
      </c>
      <c r="F407" s="1" t="str">
        <f>IF(info!$B407=profilKelas!$F$8,ROW(),"")</f>
        <v/>
      </c>
    </row>
    <row r="408" spans="2:6" hidden="1" x14ac:dyDescent="0.3">
      <c r="B408" s="1" t="s">
        <v>60</v>
      </c>
      <c r="C408" s="1" t="s">
        <v>474</v>
      </c>
      <c r="D408" s="1" t="str">
        <f t="shared" si="9"/>
        <v>Kab. Morowali Utara</v>
      </c>
      <c r="F408" s="1" t="str">
        <f>IF(info!$B408=profilKelas!$F$8,ROW(),"")</f>
        <v/>
      </c>
    </row>
    <row r="409" spans="2:6" hidden="1" x14ac:dyDescent="0.3">
      <c r="B409" s="1" t="s">
        <v>60</v>
      </c>
      <c r="C409" s="1" t="s">
        <v>475</v>
      </c>
      <c r="D409" s="1" t="str">
        <f t="shared" si="9"/>
        <v>Kab. Parigi Moutong</v>
      </c>
      <c r="F409" s="1" t="str">
        <f>IF(info!$B409=profilKelas!$F$8,ROW(),"")</f>
        <v/>
      </c>
    </row>
    <row r="410" spans="2:6" hidden="1" x14ac:dyDescent="0.3">
      <c r="B410" s="1" t="s">
        <v>60</v>
      </c>
      <c r="C410" s="1" t="s">
        <v>476</v>
      </c>
      <c r="D410" s="1" t="str">
        <f t="shared" si="9"/>
        <v>Kab. Poso</v>
      </c>
      <c r="F410" s="1" t="str">
        <f>IF(info!$B410=profilKelas!$F$8,ROW(),"")</f>
        <v/>
      </c>
    </row>
    <row r="411" spans="2:6" hidden="1" x14ac:dyDescent="0.3">
      <c r="B411" s="1" t="s">
        <v>60</v>
      </c>
      <c r="C411" s="1" t="s">
        <v>477</v>
      </c>
      <c r="D411" s="1" t="str">
        <f t="shared" si="9"/>
        <v>Kab. Sigi</v>
      </c>
      <c r="F411" s="1" t="str">
        <f>IF(info!$B411=profilKelas!$F$8,ROW(),"")</f>
        <v/>
      </c>
    </row>
    <row r="412" spans="2:6" hidden="1" x14ac:dyDescent="0.3">
      <c r="B412" s="1" t="s">
        <v>60</v>
      </c>
      <c r="C412" s="1" t="s">
        <v>478</v>
      </c>
      <c r="D412" s="1" t="str">
        <f t="shared" si="9"/>
        <v>Kab. Tojo Una-Una</v>
      </c>
      <c r="F412" s="1" t="str">
        <f>IF(info!$B412=profilKelas!$F$8,ROW(),"")</f>
        <v/>
      </c>
    </row>
    <row r="413" spans="2:6" hidden="1" x14ac:dyDescent="0.3">
      <c r="B413" s="1" t="s">
        <v>60</v>
      </c>
      <c r="C413" s="1" t="s">
        <v>479</v>
      </c>
      <c r="D413" s="1" t="str">
        <f t="shared" si="9"/>
        <v>Kab. Tolitoli</v>
      </c>
      <c r="F413" s="1" t="str">
        <f>IF(info!$B413=profilKelas!$F$8,ROW(),"")</f>
        <v/>
      </c>
    </row>
    <row r="414" spans="2:6" hidden="1" x14ac:dyDescent="0.3">
      <c r="B414" s="1" t="s">
        <v>60</v>
      </c>
      <c r="C414" s="1" t="s">
        <v>472</v>
      </c>
      <c r="D414" s="1" t="str">
        <f t="shared" si="9"/>
        <v>Kota Palu</v>
      </c>
      <c r="F414" s="1" t="str">
        <f>IF(info!$B414=profilKelas!$F$8,ROW(),"")</f>
        <v/>
      </c>
    </row>
    <row r="415" spans="2:6" hidden="1" x14ac:dyDescent="0.3">
      <c r="B415" s="1" t="s">
        <v>61</v>
      </c>
      <c r="C415" s="1" t="s">
        <v>480</v>
      </c>
      <c r="D415" s="1" t="str">
        <f t="shared" si="9"/>
        <v>Kab. Bombana</v>
      </c>
      <c r="F415" s="1" t="str">
        <f>IF(info!$B415=profilKelas!$F$8,ROW(),"")</f>
        <v/>
      </c>
    </row>
    <row r="416" spans="2:6" hidden="1" x14ac:dyDescent="0.3">
      <c r="B416" s="1" t="s">
        <v>61</v>
      </c>
      <c r="C416" s="1" t="s">
        <v>481</v>
      </c>
      <c r="D416" s="1" t="str">
        <f t="shared" si="9"/>
        <v>Kab. Buton</v>
      </c>
      <c r="F416" s="1" t="str">
        <f>IF(info!$B416=profilKelas!$F$8,ROW(),"")</f>
        <v/>
      </c>
    </row>
    <row r="417" spans="2:6" hidden="1" x14ac:dyDescent="0.3">
      <c r="B417" s="1" t="s">
        <v>61</v>
      </c>
      <c r="C417" s="1" t="s">
        <v>482</v>
      </c>
      <c r="D417" s="1" t="str">
        <f t="shared" si="9"/>
        <v>Kab. Buton Selatan</v>
      </c>
      <c r="F417" s="1" t="str">
        <f>IF(info!$B417=profilKelas!$F$8,ROW(),"")</f>
        <v/>
      </c>
    </row>
    <row r="418" spans="2:6" hidden="1" x14ac:dyDescent="0.3">
      <c r="B418" s="1" t="s">
        <v>61</v>
      </c>
      <c r="C418" s="1" t="s">
        <v>483</v>
      </c>
      <c r="D418" s="1" t="str">
        <f t="shared" si="9"/>
        <v>Kab. Buton Tengah</v>
      </c>
      <c r="F418" s="1" t="str">
        <f>IF(info!$B418=profilKelas!$F$8,ROW(),"")</f>
        <v/>
      </c>
    </row>
    <row r="419" spans="2:6" hidden="1" x14ac:dyDescent="0.3">
      <c r="B419" s="1" t="s">
        <v>61</v>
      </c>
      <c r="C419" s="1" t="s">
        <v>484</v>
      </c>
      <c r="D419" s="1" t="str">
        <f t="shared" si="9"/>
        <v>Kab. Buton Utara</v>
      </c>
      <c r="F419" s="1" t="str">
        <f>IF(info!$B419=profilKelas!$F$8,ROW(),"")</f>
        <v/>
      </c>
    </row>
    <row r="420" spans="2:6" hidden="1" x14ac:dyDescent="0.3">
      <c r="B420" s="1" t="s">
        <v>61</v>
      </c>
      <c r="C420" s="1" t="s">
        <v>485</v>
      </c>
      <c r="D420" s="1" t="str">
        <f t="shared" si="9"/>
        <v>Kab. Kolaka</v>
      </c>
      <c r="F420" s="1" t="str">
        <f>IF(info!$B420=profilKelas!$F$8,ROW(),"")</f>
        <v/>
      </c>
    </row>
    <row r="421" spans="2:6" hidden="1" x14ac:dyDescent="0.3">
      <c r="B421" s="1" t="s">
        <v>61</v>
      </c>
      <c r="C421" s="1" t="s">
        <v>486</v>
      </c>
      <c r="D421" s="1" t="str">
        <f t="shared" si="9"/>
        <v>Kab. Kolaka Timur</v>
      </c>
      <c r="F421" s="1" t="str">
        <f>IF(info!$B421=profilKelas!$F$8,ROW(),"")</f>
        <v/>
      </c>
    </row>
    <row r="422" spans="2:6" hidden="1" x14ac:dyDescent="0.3">
      <c r="B422" s="1" t="s">
        <v>61</v>
      </c>
      <c r="C422" s="1" t="s">
        <v>487</v>
      </c>
      <c r="D422" s="1" t="str">
        <f t="shared" si="9"/>
        <v>Kab. Kolaka Utara</v>
      </c>
      <c r="F422" s="1" t="str">
        <f>IF(info!$B422=profilKelas!$F$8,ROW(),"")</f>
        <v/>
      </c>
    </row>
    <row r="423" spans="2:6" hidden="1" x14ac:dyDescent="0.3">
      <c r="B423" s="1" t="s">
        <v>61</v>
      </c>
      <c r="C423" s="1" t="s">
        <v>488</v>
      </c>
      <c r="D423" s="1" t="str">
        <f t="shared" si="9"/>
        <v>Kab. Konawe</v>
      </c>
      <c r="F423" s="1" t="str">
        <f>IF(info!$B423=profilKelas!$F$8,ROW(),"")</f>
        <v/>
      </c>
    </row>
    <row r="424" spans="2:6" hidden="1" x14ac:dyDescent="0.3">
      <c r="B424" s="1" t="s">
        <v>61</v>
      </c>
      <c r="C424" s="1" t="s">
        <v>489</v>
      </c>
      <c r="D424" s="1" t="str">
        <f t="shared" si="9"/>
        <v>Kab. Konawe Kepulauan</v>
      </c>
      <c r="F424" s="1" t="str">
        <f>IF(info!$B424=profilKelas!$F$8,ROW(),"")</f>
        <v/>
      </c>
    </row>
    <row r="425" spans="2:6" hidden="1" x14ac:dyDescent="0.3">
      <c r="B425" s="1" t="s">
        <v>61</v>
      </c>
      <c r="C425" s="1" t="s">
        <v>490</v>
      </c>
      <c r="D425" s="1" t="str">
        <f t="shared" si="9"/>
        <v>Kab. Konawe Selatan</v>
      </c>
      <c r="F425" s="1" t="str">
        <f>IF(info!$B425=profilKelas!$F$8,ROW(),"")</f>
        <v/>
      </c>
    </row>
    <row r="426" spans="2:6" hidden="1" x14ac:dyDescent="0.3">
      <c r="B426" s="1" t="s">
        <v>61</v>
      </c>
      <c r="C426" s="1" t="s">
        <v>491</v>
      </c>
      <c r="D426" s="1" t="str">
        <f t="shared" si="9"/>
        <v>Kab. Konawe Utara</v>
      </c>
      <c r="F426" s="1" t="str">
        <f>IF(info!$B426=profilKelas!$F$8,ROW(),"")</f>
        <v/>
      </c>
    </row>
    <row r="427" spans="2:6" hidden="1" x14ac:dyDescent="0.3">
      <c r="B427" s="1" t="s">
        <v>61</v>
      </c>
      <c r="C427" s="1" t="s">
        <v>494</v>
      </c>
      <c r="D427" s="1" t="str">
        <f t="shared" si="9"/>
        <v>Kab. Muna</v>
      </c>
      <c r="F427" s="1" t="str">
        <f>IF(info!$B427=profilKelas!$F$8,ROW(),"")</f>
        <v/>
      </c>
    </row>
    <row r="428" spans="2:6" hidden="1" x14ac:dyDescent="0.3">
      <c r="B428" s="1" t="s">
        <v>61</v>
      </c>
      <c r="C428" s="1" t="s">
        <v>495</v>
      </c>
      <c r="D428" s="1" t="str">
        <f t="shared" si="9"/>
        <v>Kab. Muna Barat</v>
      </c>
      <c r="F428" s="1" t="str">
        <f>IF(info!$B428=profilKelas!$F$8,ROW(),"")</f>
        <v/>
      </c>
    </row>
    <row r="429" spans="2:6" hidden="1" x14ac:dyDescent="0.3">
      <c r="B429" s="1" t="s">
        <v>61</v>
      </c>
      <c r="C429" s="1" t="s">
        <v>496</v>
      </c>
      <c r="D429" s="1" t="str">
        <f t="shared" si="9"/>
        <v>Kab. Wakatobi</v>
      </c>
      <c r="F429" s="1" t="str">
        <f>IF(info!$B429=profilKelas!$F$8,ROW(),"")</f>
        <v/>
      </c>
    </row>
    <row r="430" spans="2:6" hidden="1" x14ac:dyDescent="0.3">
      <c r="B430" s="1" t="s">
        <v>61</v>
      </c>
      <c r="C430" s="1" t="s">
        <v>492</v>
      </c>
      <c r="D430" s="1" t="str">
        <f t="shared" si="9"/>
        <v>Kota Baubau</v>
      </c>
      <c r="F430" s="1" t="str">
        <f>IF(info!$B430=profilKelas!$F$8,ROW(),"")</f>
        <v/>
      </c>
    </row>
    <row r="431" spans="2:6" hidden="1" x14ac:dyDescent="0.3">
      <c r="B431" s="1" t="s">
        <v>61</v>
      </c>
      <c r="C431" s="1" t="s">
        <v>493</v>
      </c>
      <c r="D431" s="1" t="str">
        <f t="shared" si="9"/>
        <v>Kota Kendari</v>
      </c>
      <c r="F431" s="1" t="str">
        <f>IF(info!$B431=profilKelas!$F$8,ROW(),"")</f>
        <v/>
      </c>
    </row>
    <row r="432" spans="2:6" hidden="1" x14ac:dyDescent="0.3">
      <c r="B432" s="1" t="s">
        <v>62</v>
      </c>
      <c r="C432" s="1" t="s">
        <v>497</v>
      </c>
      <c r="D432" s="1" t="str">
        <f t="shared" si="9"/>
        <v>Kab. Bolaang Mongondow</v>
      </c>
      <c r="F432" s="1" t="str">
        <f>IF(info!$B432=profilKelas!$F$8,ROW(),"")</f>
        <v/>
      </c>
    </row>
    <row r="433" spans="2:6" hidden="1" x14ac:dyDescent="0.3">
      <c r="B433" s="1" t="s">
        <v>62</v>
      </c>
      <c r="C433" s="1" t="s">
        <v>498</v>
      </c>
      <c r="D433" s="1" t="str">
        <f t="shared" si="9"/>
        <v>Kab. Bolaang Mongondow Selatan</v>
      </c>
      <c r="F433" s="1" t="str">
        <f>IF(info!$B433=profilKelas!$F$8,ROW(),"")</f>
        <v/>
      </c>
    </row>
    <row r="434" spans="2:6" hidden="1" x14ac:dyDescent="0.3">
      <c r="B434" s="1" t="s">
        <v>62</v>
      </c>
      <c r="C434" s="1" t="s">
        <v>499</v>
      </c>
      <c r="D434" s="1" t="str">
        <f t="shared" si="9"/>
        <v>Kab. Bolaang Mongondow Timur</v>
      </c>
      <c r="F434" s="1" t="str">
        <f>IF(info!$B434=profilKelas!$F$8,ROW(),"")</f>
        <v/>
      </c>
    </row>
    <row r="435" spans="2:6" hidden="1" x14ac:dyDescent="0.3">
      <c r="B435" s="1" t="s">
        <v>62</v>
      </c>
      <c r="C435" s="1" t="s">
        <v>500</v>
      </c>
      <c r="D435" s="1" t="str">
        <f t="shared" si="9"/>
        <v>Kab. Bolaang Mongondow Utara</v>
      </c>
      <c r="F435" s="1" t="str">
        <f>IF(info!$B435=profilKelas!$F$8,ROW(),"")</f>
        <v/>
      </c>
    </row>
    <row r="436" spans="2:6" hidden="1" x14ac:dyDescent="0.3">
      <c r="B436" s="1" t="s">
        <v>62</v>
      </c>
      <c r="C436" s="1" t="s">
        <v>501</v>
      </c>
      <c r="D436" s="1" t="str">
        <f t="shared" si="9"/>
        <v>Kab. Kepulauan Sangihe</v>
      </c>
      <c r="F436" s="1" t="str">
        <f>IF(info!$B436=profilKelas!$F$8,ROW(),"")</f>
        <v/>
      </c>
    </row>
    <row r="437" spans="2:6" hidden="1" x14ac:dyDescent="0.3">
      <c r="B437" s="1" t="s">
        <v>62</v>
      </c>
      <c r="C437" s="1" t="s">
        <v>502</v>
      </c>
      <c r="D437" s="1" t="str">
        <f t="shared" si="9"/>
        <v>Kab. Kepulauan Siau Tagulandang Biaro</v>
      </c>
      <c r="F437" s="1" t="str">
        <f>IF(info!$B437=profilKelas!$F$8,ROW(),"")</f>
        <v/>
      </c>
    </row>
    <row r="438" spans="2:6" hidden="1" x14ac:dyDescent="0.3">
      <c r="B438" s="1" t="s">
        <v>62</v>
      </c>
      <c r="C438" s="1" t="s">
        <v>503</v>
      </c>
      <c r="D438" s="1" t="str">
        <f t="shared" si="9"/>
        <v>Kab. Kepulauan Talaud</v>
      </c>
      <c r="F438" s="1" t="str">
        <f>IF(info!$B438=profilKelas!$F$8,ROW(),"")</f>
        <v/>
      </c>
    </row>
    <row r="439" spans="2:6" hidden="1" x14ac:dyDescent="0.3">
      <c r="B439" s="1" t="s">
        <v>62</v>
      </c>
      <c r="C439" s="1" t="s">
        <v>508</v>
      </c>
      <c r="D439" s="1" t="str">
        <f t="shared" si="9"/>
        <v>Kab. Minahasa</v>
      </c>
      <c r="F439" s="1" t="str">
        <f>IF(info!$B439=profilKelas!$F$8,ROW(),"")</f>
        <v/>
      </c>
    </row>
    <row r="440" spans="2:6" hidden="1" x14ac:dyDescent="0.3">
      <c r="B440" s="1" t="s">
        <v>62</v>
      </c>
      <c r="C440" s="1" t="s">
        <v>509</v>
      </c>
      <c r="D440" s="1" t="str">
        <f t="shared" si="9"/>
        <v>Kab. Minahasa Selatan</v>
      </c>
      <c r="F440" s="1" t="str">
        <f>IF(info!$B440=profilKelas!$F$8,ROW(),"")</f>
        <v/>
      </c>
    </row>
    <row r="441" spans="2:6" hidden="1" x14ac:dyDescent="0.3">
      <c r="B441" s="1" t="s">
        <v>62</v>
      </c>
      <c r="C441" s="1" t="s">
        <v>510</v>
      </c>
      <c r="D441" s="1" t="str">
        <f t="shared" si="9"/>
        <v>Kab. Minahasa Tenggara</v>
      </c>
      <c r="F441" s="1" t="str">
        <f>IF(info!$B441=profilKelas!$F$8,ROW(),"")</f>
        <v/>
      </c>
    </row>
    <row r="442" spans="2:6" hidden="1" x14ac:dyDescent="0.3">
      <c r="B442" s="1" t="s">
        <v>62</v>
      </c>
      <c r="C442" s="1" t="s">
        <v>511</v>
      </c>
      <c r="D442" s="1" t="str">
        <f t="shared" si="9"/>
        <v>Kab. Minahasa Utara</v>
      </c>
      <c r="F442" s="1" t="str">
        <f>IF(info!$B442=profilKelas!$F$8,ROW(),"")</f>
        <v/>
      </c>
    </row>
    <row r="443" spans="2:6" hidden="1" x14ac:dyDescent="0.3">
      <c r="B443" s="1" t="s">
        <v>62</v>
      </c>
      <c r="C443" s="1" t="s">
        <v>504</v>
      </c>
      <c r="D443" s="1" t="str">
        <f t="shared" si="9"/>
        <v>Kota Bitung</v>
      </c>
      <c r="F443" s="1" t="str">
        <f>IF(info!$B443=profilKelas!$F$8,ROW(),"")</f>
        <v/>
      </c>
    </row>
    <row r="444" spans="2:6" hidden="1" x14ac:dyDescent="0.3">
      <c r="B444" s="1" t="s">
        <v>62</v>
      </c>
      <c r="C444" s="1" t="s">
        <v>505</v>
      </c>
      <c r="D444" s="1" t="str">
        <f t="shared" si="9"/>
        <v>Kota Kotamobagu</v>
      </c>
      <c r="F444" s="1" t="str">
        <f>IF(info!$B444=profilKelas!$F$8,ROW(),"")</f>
        <v/>
      </c>
    </row>
    <row r="445" spans="2:6" hidden="1" x14ac:dyDescent="0.3">
      <c r="B445" s="1" t="s">
        <v>62</v>
      </c>
      <c r="C445" s="1" t="s">
        <v>506</v>
      </c>
      <c r="D445" s="1" t="str">
        <f t="shared" si="9"/>
        <v>Kota Manado</v>
      </c>
      <c r="F445" s="1" t="str">
        <f>IF(info!$B445=profilKelas!$F$8,ROW(),"")</f>
        <v/>
      </c>
    </row>
    <row r="446" spans="2:6" hidden="1" x14ac:dyDescent="0.3">
      <c r="B446" s="1" t="s">
        <v>62</v>
      </c>
      <c r="C446" s="1" t="s">
        <v>507</v>
      </c>
      <c r="D446" s="1" t="str">
        <f t="shared" si="9"/>
        <v>Kota Tomohon</v>
      </c>
      <c r="F446" s="1" t="str">
        <f>IF(info!$B446=profilKelas!$F$8,ROW(),"")</f>
        <v/>
      </c>
    </row>
    <row r="447" spans="2:6" hidden="1" x14ac:dyDescent="0.3">
      <c r="B447" s="1" t="s">
        <v>63</v>
      </c>
      <c r="C447" s="1" t="s">
        <v>512</v>
      </c>
      <c r="D447" s="1" t="str">
        <f t="shared" si="9"/>
        <v>Kab. Agam</v>
      </c>
      <c r="F447" s="1" t="str">
        <f>IF(info!$B447=profilKelas!$F$8,ROW(),"")</f>
        <v/>
      </c>
    </row>
    <row r="448" spans="2:6" hidden="1" x14ac:dyDescent="0.3">
      <c r="B448" s="1" t="s">
        <v>63</v>
      </c>
      <c r="C448" s="1" t="s">
        <v>513</v>
      </c>
      <c r="D448" s="1" t="str">
        <f t="shared" si="9"/>
        <v>Kab. Dharmasraya</v>
      </c>
      <c r="F448" s="1" t="str">
        <f>IF(info!$B448=profilKelas!$F$8,ROW(),"")</f>
        <v/>
      </c>
    </row>
    <row r="449" spans="2:6" hidden="1" x14ac:dyDescent="0.3">
      <c r="B449" s="1" t="s">
        <v>63</v>
      </c>
      <c r="C449" s="1" t="s">
        <v>514</v>
      </c>
      <c r="D449" s="1" t="str">
        <f t="shared" si="9"/>
        <v>Kab. Kepulauan Mentawai</v>
      </c>
      <c r="F449" s="1" t="str">
        <f>IF(info!$B449=profilKelas!$F$8,ROW(),"")</f>
        <v/>
      </c>
    </row>
    <row r="450" spans="2:6" hidden="1" x14ac:dyDescent="0.3">
      <c r="B450" s="1" t="s">
        <v>63</v>
      </c>
      <c r="C450" s="1" t="s">
        <v>522</v>
      </c>
      <c r="D450" s="1" t="str">
        <f t="shared" ref="D450:D513" si="10">IF(LEFT(C450,4)="Kota",C450,IF(LEFT(C450,4)="Prov",C450,"Kab. "&amp;C450))</f>
        <v>Kab. Lima Puluh Kota</v>
      </c>
      <c r="F450" s="1" t="str">
        <f>IF(info!$B450=profilKelas!$F$8,ROW(),"")</f>
        <v/>
      </c>
    </row>
    <row r="451" spans="2:6" hidden="1" x14ac:dyDescent="0.3">
      <c r="B451" s="1" t="s">
        <v>63</v>
      </c>
      <c r="C451" s="1" t="s">
        <v>523</v>
      </c>
      <c r="D451" s="1" t="str">
        <f t="shared" si="10"/>
        <v>Kab. Padang Pariaman</v>
      </c>
      <c r="F451" s="1" t="str">
        <f>IF(info!$B451=profilKelas!$F$8,ROW(),"")</f>
        <v/>
      </c>
    </row>
    <row r="452" spans="2:6" hidden="1" x14ac:dyDescent="0.3">
      <c r="B452" s="1" t="s">
        <v>63</v>
      </c>
      <c r="C452" s="1" t="s">
        <v>524</v>
      </c>
      <c r="D452" s="1" t="str">
        <f t="shared" si="10"/>
        <v>Kab. Pasaman</v>
      </c>
      <c r="F452" s="1" t="str">
        <f>IF(info!$B452=profilKelas!$F$8,ROW(),"")</f>
        <v/>
      </c>
    </row>
    <row r="453" spans="2:6" hidden="1" x14ac:dyDescent="0.3">
      <c r="B453" s="1" t="s">
        <v>63</v>
      </c>
      <c r="C453" s="1" t="s">
        <v>525</v>
      </c>
      <c r="D453" s="1" t="str">
        <f t="shared" si="10"/>
        <v>Kab. Pasaman Barat</v>
      </c>
      <c r="F453" s="1" t="str">
        <f>IF(info!$B453=profilKelas!$F$8,ROW(),"")</f>
        <v/>
      </c>
    </row>
    <row r="454" spans="2:6" hidden="1" x14ac:dyDescent="0.3">
      <c r="B454" s="1" t="s">
        <v>63</v>
      </c>
      <c r="C454" s="1" t="s">
        <v>526</v>
      </c>
      <c r="D454" s="1" t="str">
        <f t="shared" si="10"/>
        <v>Kab. Pesisir Selatan</v>
      </c>
      <c r="F454" s="1" t="str">
        <f>IF(info!$B454=profilKelas!$F$8,ROW(),"")</f>
        <v/>
      </c>
    </row>
    <row r="455" spans="2:6" hidden="1" x14ac:dyDescent="0.3">
      <c r="B455" s="1" t="s">
        <v>63</v>
      </c>
      <c r="C455" s="1" t="s">
        <v>527</v>
      </c>
      <c r="D455" s="1" t="str">
        <f t="shared" si="10"/>
        <v>Kab. Sijunjung</v>
      </c>
      <c r="F455" s="1" t="str">
        <f>IF(info!$B455=profilKelas!$F$8,ROW(),"")</f>
        <v/>
      </c>
    </row>
    <row r="456" spans="2:6" hidden="1" x14ac:dyDescent="0.3">
      <c r="B456" s="1" t="s">
        <v>63</v>
      </c>
      <c r="C456" s="1" t="s">
        <v>528</v>
      </c>
      <c r="D456" s="1" t="str">
        <f t="shared" si="10"/>
        <v>Kab. Solok</v>
      </c>
      <c r="F456" s="1" t="str">
        <f>IF(info!$B456=profilKelas!$F$8,ROW(),"")</f>
        <v/>
      </c>
    </row>
    <row r="457" spans="2:6" hidden="1" x14ac:dyDescent="0.3">
      <c r="B457" s="1" t="s">
        <v>63</v>
      </c>
      <c r="C457" s="1" t="s">
        <v>529</v>
      </c>
      <c r="D457" s="1" t="str">
        <f t="shared" si="10"/>
        <v>Kab. Solok Selatan</v>
      </c>
      <c r="F457" s="1" t="str">
        <f>IF(info!$B457=profilKelas!$F$8,ROW(),"")</f>
        <v/>
      </c>
    </row>
    <row r="458" spans="2:6" hidden="1" x14ac:dyDescent="0.3">
      <c r="B458" s="1" t="s">
        <v>63</v>
      </c>
      <c r="C458" s="1" t="s">
        <v>530</v>
      </c>
      <c r="D458" s="1" t="str">
        <f t="shared" si="10"/>
        <v>Kab. Tanah Datar</v>
      </c>
      <c r="F458" s="1" t="str">
        <f>IF(info!$B458=profilKelas!$F$8,ROW(),"")</f>
        <v/>
      </c>
    </row>
    <row r="459" spans="2:6" hidden="1" x14ac:dyDescent="0.3">
      <c r="B459" s="1" t="s">
        <v>63</v>
      </c>
      <c r="C459" s="1" t="s">
        <v>515</v>
      </c>
      <c r="D459" s="1" t="str">
        <f t="shared" si="10"/>
        <v>Kota Bukittinggi</v>
      </c>
      <c r="F459" s="1" t="str">
        <f>IF(info!$B459=profilKelas!$F$8,ROW(),"")</f>
        <v/>
      </c>
    </row>
    <row r="460" spans="2:6" hidden="1" x14ac:dyDescent="0.3">
      <c r="B460" s="1" t="s">
        <v>63</v>
      </c>
      <c r="C460" s="1" t="s">
        <v>516</v>
      </c>
      <c r="D460" s="1" t="str">
        <f t="shared" si="10"/>
        <v>Kota Padang</v>
      </c>
      <c r="F460" s="1" t="str">
        <f>IF(info!$B460=profilKelas!$F$8,ROW(),"")</f>
        <v/>
      </c>
    </row>
    <row r="461" spans="2:6" hidden="1" x14ac:dyDescent="0.3">
      <c r="B461" s="1" t="s">
        <v>63</v>
      </c>
      <c r="C461" s="1" t="s">
        <v>517</v>
      </c>
      <c r="D461" s="1" t="str">
        <f t="shared" si="10"/>
        <v>Kota Padang Panjang</v>
      </c>
      <c r="F461" s="1" t="str">
        <f>IF(info!$B461=profilKelas!$F$8,ROW(),"")</f>
        <v/>
      </c>
    </row>
    <row r="462" spans="2:6" hidden="1" x14ac:dyDescent="0.3">
      <c r="B462" s="1" t="s">
        <v>63</v>
      </c>
      <c r="C462" s="1" t="s">
        <v>518</v>
      </c>
      <c r="D462" s="1" t="str">
        <f t="shared" si="10"/>
        <v>Kota Pariaman</v>
      </c>
      <c r="F462" s="1" t="str">
        <f>IF(info!$B462=profilKelas!$F$8,ROW(),"")</f>
        <v/>
      </c>
    </row>
    <row r="463" spans="2:6" hidden="1" x14ac:dyDescent="0.3">
      <c r="B463" s="1" t="s">
        <v>63</v>
      </c>
      <c r="C463" s="1" t="s">
        <v>519</v>
      </c>
      <c r="D463" s="1" t="str">
        <f t="shared" si="10"/>
        <v>Kota Payakumbuh</v>
      </c>
      <c r="F463" s="1" t="str">
        <f>IF(info!$B463=profilKelas!$F$8,ROW(),"")</f>
        <v/>
      </c>
    </row>
    <row r="464" spans="2:6" hidden="1" x14ac:dyDescent="0.3">
      <c r="B464" s="1" t="s">
        <v>63</v>
      </c>
      <c r="C464" s="1" t="s">
        <v>520</v>
      </c>
      <c r="D464" s="1" t="str">
        <f t="shared" si="10"/>
        <v>Kota Sawahlunto</v>
      </c>
      <c r="F464" s="1" t="str">
        <f>IF(info!$B464=profilKelas!$F$8,ROW(),"")</f>
        <v/>
      </c>
    </row>
    <row r="465" spans="2:6" hidden="1" x14ac:dyDescent="0.3">
      <c r="B465" s="1" t="s">
        <v>63</v>
      </c>
      <c r="C465" s="1" t="s">
        <v>521</v>
      </c>
      <c r="D465" s="1" t="str">
        <f t="shared" si="10"/>
        <v>Kota Solok</v>
      </c>
      <c r="F465" s="1" t="str">
        <f>IF(info!$B465=profilKelas!$F$8,ROW(),"")</f>
        <v/>
      </c>
    </row>
    <row r="466" spans="2:6" hidden="1" x14ac:dyDescent="0.3">
      <c r="B466" s="1" t="s">
        <v>64</v>
      </c>
      <c r="C466" s="1" t="s">
        <v>531</v>
      </c>
      <c r="D466" s="1" t="str">
        <f t="shared" si="10"/>
        <v>Kab. Banyuasin</v>
      </c>
      <c r="F466" s="1" t="str">
        <f>IF(info!$B466=profilKelas!$F$8,ROW(),"")</f>
        <v/>
      </c>
    </row>
    <row r="467" spans="2:6" hidden="1" x14ac:dyDescent="0.3">
      <c r="B467" s="1" t="s">
        <v>64</v>
      </c>
      <c r="C467" s="1" t="s">
        <v>532</v>
      </c>
      <c r="D467" s="1" t="str">
        <f t="shared" si="10"/>
        <v>Kab. Empat Lawang</v>
      </c>
      <c r="F467" s="1" t="str">
        <f>IF(info!$B467=profilKelas!$F$8,ROW(),"")</f>
        <v/>
      </c>
    </row>
    <row r="468" spans="2:6" hidden="1" x14ac:dyDescent="0.3">
      <c r="B468" s="1" t="s">
        <v>64</v>
      </c>
      <c r="C468" s="1" t="s">
        <v>537</v>
      </c>
      <c r="D468" s="1" t="str">
        <f t="shared" si="10"/>
        <v>Kab. Lahat</v>
      </c>
      <c r="F468" s="1" t="str">
        <f>IF(info!$B468=profilKelas!$F$8,ROW(),"")</f>
        <v/>
      </c>
    </row>
    <row r="469" spans="2:6" hidden="1" x14ac:dyDescent="0.3">
      <c r="B469" s="1" t="s">
        <v>64</v>
      </c>
      <c r="C469" s="1" t="s">
        <v>538</v>
      </c>
      <c r="D469" s="1" t="str">
        <f t="shared" si="10"/>
        <v>Kab. Muara Enim</v>
      </c>
      <c r="F469" s="1" t="str">
        <f>IF(info!$B469=profilKelas!$F$8,ROW(),"")</f>
        <v/>
      </c>
    </row>
    <row r="470" spans="2:6" hidden="1" x14ac:dyDescent="0.3">
      <c r="B470" s="1" t="s">
        <v>64</v>
      </c>
      <c r="C470" s="1" t="s">
        <v>539</v>
      </c>
      <c r="D470" s="1" t="str">
        <f t="shared" si="10"/>
        <v>Kab. Musi Banyuasin</v>
      </c>
      <c r="F470" s="1" t="str">
        <f>IF(info!$B470=profilKelas!$F$8,ROW(),"")</f>
        <v/>
      </c>
    </row>
    <row r="471" spans="2:6" hidden="1" x14ac:dyDescent="0.3">
      <c r="B471" s="1" t="s">
        <v>64</v>
      </c>
      <c r="C471" s="1" t="s">
        <v>540</v>
      </c>
      <c r="D471" s="1" t="str">
        <f t="shared" si="10"/>
        <v>Kab. Musi Rawas</v>
      </c>
      <c r="F471" s="1" t="str">
        <f>IF(info!$B471=profilKelas!$F$8,ROW(),"")</f>
        <v/>
      </c>
    </row>
    <row r="472" spans="2:6" hidden="1" x14ac:dyDescent="0.3">
      <c r="B472" s="1" t="s">
        <v>64</v>
      </c>
      <c r="C472" s="1" t="s">
        <v>541</v>
      </c>
      <c r="D472" s="1" t="str">
        <f t="shared" si="10"/>
        <v>Kab. Musi Rawas Utara</v>
      </c>
      <c r="F472" s="1" t="str">
        <f>IF(info!$B472=profilKelas!$F$8,ROW(),"")</f>
        <v/>
      </c>
    </row>
    <row r="473" spans="2:6" hidden="1" x14ac:dyDescent="0.3">
      <c r="B473" s="1" t="s">
        <v>64</v>
      </c>
      <c r="C473" s="1" t="s">
        <v>542</v>
      </c>
      <c r="D473" s="1" t="str">
        <f t="shared" si="10"/>
        <v>Kab. Ogan Ilir</v>
      </c>
      <c r="F473" s="1" t="str">
        <f>IF(info!$B473=profilKelas!$F$8,ROW(),"")</f>
        <v/>
      </c>
    </row>
    <row r="474" spans="2:6" hidden="1" x14ac:dyDescent="0.3">
      <c r="B474" s="1" t="s">
        <v>64</v>
      </c>
      <c r="C474" s="1" t="s">
        <v>543</v>
      </c>
      <c r="D474" s="1" t="str">
        <f t="shared" si="10"/>
        <v>Kab. Ogan Komering Ilir</v>
      </c>
      <c r="F474" s="1" t="str">
        <f>IF(info!$B474=profilKelas!$F$8,ROW(),"")</f>
        <v/>
      </c>
    </row>
    <row r="475" spans="2:6" hidden="1" x14ac:dyDescent="0.3">
      <c r="B475" s="1" t="s">
        <v>64</v>
      </c>
      <c r="C475" s="1" t="s">
        <v>544</v>
      </c>
      <c r="D475" s="1" t="str">
        <f t="shared" si="10"/>
        <v>Kab. Ogan Komering Ulu</v>
      </c>
      <c r="F475" s="1" t="str">
        <f>IF(info!$B475=profilKelas!$F$8,ROW(),"")</f>
        <v/>
      </c>
    </row>
    <row r="476" spans="2:6" hidden="1" x14ac:dyDescent="0.3">
      <c r="B476" s="1" t="s">
        <v>64</v>
      </c>
      <c r="C476" s="1" t="s">
        <v>545</v>
      </c>
      <c r="D476" s="1" t="str">
        <f t="shared" si="10"/>
        <v>Kab. Ogan Komering Ulu Selatan</v>
      </c>
      <c r="F476" s="1" t="str">
        <f>IF(info!$B476=profilKelas!$F$8,ROW(),"")</f>
        <v/>
      </c>
    </row>
    <row r="477" spans="2:6" hidden="1" x14ac:dyDescent="0.3">
      <c r="B477" s="1" t="s">
        <v>64</v>
      </c>
      <c r="C477" s="1" t="s">
        <v>546</v>
      </c>
      <c r="D477" s="1" t="str">
        <f t="shared" si="10"/>
        <v>Kab. Ogan Komering Ulu Timur</v>
      </c>
      <c r="F477" s="1" t="str">
        <f>IF(info!$B477=profilKelas!$F$8,ROW(),"")</f>
        <v/>
      </c>
    </row>
    <row r="478" spans="2:6" hidden="1" x14ac:dyDescent="0.3">
      <c r="B478" s="1" t="s">
        <v>64</v>
      </c>
      <c r="C478" s="1" t="s">
        <v>547</v>
      </c>
      <c r="D478" s="1" t="str">
        <f t="shared" si="10"/>
        <v>Kab. Penukal Abab Lematang Ilir</v>
      </c>
      <c r="F478" s="1" t="str">
        <f>IF(info!$B478=profilKelas!$F$8,ROW(),"")</f>
        <v/>
      </c>
    </row>
    <row r="479" spans="2:6" hidden="1" x14ac:dyDescent="0.3">
      <c r="B479" s="1" t="s">
        <v>64</v>
      </c>
      <c r="C479" s="1" t="s">
        <v>533</v>
      </c>
      <c r="D479" s="1" t="str">
        <f t="shared" si="10"/>
        <v>Kota Lubuklinggau</v>
      </c>
      <c r="F479" s="1" t="str">
        <f>IF(info!$B479=profilKelas!$F$8,ROW(),"")</f>
        <v/>
      </c>
    </row>
    <row r="480" spans="2:6" hidden="1" x14ac:dyDescent="0.3">
      <c r="B480" s="1" t="s">
        <v>64</v>
      </c>
      <c r="C480" s="1" t="s">
        <v>534</v>
      </c>
      <c r="D480" s="1" t="str">
        <f t="shared" si="10"/>
        <v>Kota Pagar Alam</v>
      </c>
      <c r="F480" s="1" t="str">
        <f>IF(info!$B480=profilKelas!$F$8,ROW(),"")</f>
        <v/>
      </c>
    </row>
    <row r="481" spans="2:6" hidden="1" x14ac:dyDescent="0.3">
      <c r="B481" s="1" t="s">
        <v>64</v>
      </c>
      <c r="C481" s="1" t="s">
        <v>535</v>
      </c>
      <c r="D481" s="1" t="str">
        <f t="shared" si="10"/>
        <v>Kota Palembang</v>
      </c>
      <c r="F481" s="1" t="str">
        <f>IF(info!$B481=profilKelas!$F$8,ROW(),"")</f>
        <v/>
      </c>
    </row>
    <row r="482" spans="2:6" hidden="1" x14ac:dyDescent="0.3">
      <c r="B482" s="1" t="s">
        <v>64</v>
      </c>
      <c r="C482" s="1" t="s">
        <v>536</v>
      </c>
      <c r="D482" s="1" t="str">
        <f t="shared" si="10"/>
        <v>Kota Prabumulih</v>
      </c>
      <c r="F482" s="1" t="str">
        <f>IF(info!$B482=profilKelas!$F$8,ROW(),"")</f>
        <v/>
      </c>
    </row>
    <row r="483" spans="2:6" hidden="1" x14ac:dyDescent="0.3">
      <c r="B483" s="1" t="s">
        <v>65</v>
      </c>
      <c r="C483" s="1" t="s">
        <v>548</v>
      </c>
      <c r="D483" s="1" t="str">
        <f t="shared" si="10"/>
        <v>Kab. Asahan</v>
      </c>
      <c r="F483" s="1" t="str">
        <f>IF(info!$B483=profilKelas!$F$8,ROW(),"")</f>
        <v/>
      </c>
    </row>
    <row r="484" spans="2:6" hidden="1" x14ac:dyDescent="0.3">
      <c r="B484" s="1" t="s">
        <v>65</v>
      </c>
      <c r="C484" s="1" t="s">
        <v>549</v>
      </c>
      <c r="D484" s="1" t="str">
        <f t="shared" si="10"/>
        <v>Kab. Batu Bara</v>
      </c>
      <c r="F484" s="1" t="str">
        <f>IF(info!$B484=profilKelas!$F$8,ROW(),"")</f>
        <v/>
      </c>
    </row>
    <row r="485" spans="2:6" hidden="1" x14ac:dyDescent="0.3">
      <c r="B485" s="1" t="s">
        <v>65</v>
      </c>
      <c r="C485" s="1" t="s">
        <v>550</v>
      </c>
      <c r="D485" s="1" t="str">
        <f t="shared" si="10"/>
        <v>Kab. Dairi</v>
      </c>
      <c r="F485" s="1" t="str">
        <f>IF(info!$B485=profilKelas!$F$8,ROW(),"")</f>
        <v/>
      </c>
    </row>
    <row r="486" spans="2:6" hidden="1" x14ac:dyDescent="0.3">
      <c r="B486" s="1" t="s">
        <v>65</v>
      </c>
      <c r="C486" s="1" t="s">
        <v>551</v>
      </c>
      <c r="D486" s="1" t="str">
        <f t="shared" si="10"/>
        <v>Kab. Deli Serdang</v>
      </c>
      <c r="F486" s="1" t="str">
        <f>IF(info!$B486=profilKelas!$F$8,ROW(),"")</f>
        <v/>
      </c>
    </row>
    <row r="487" spans="2:6" hidden="1" x14ac:dyDescent="0.3">
      <c r="B487" s="1" t="s">
        <v>65</v>
      </c>
      <c r="C487" s="1" t="s">
        <v>552</v>
      </c>
      <c r="D487" s="1" t="str">
        <f t="shared" si="10"/>
        <v>Kab. Humbang Hasundutan</v>
      </c>
      <c r="F487" s="1" t="str">
        <f>IF(info!$B487=profilKelas!$F$8,ROW(),"")</f>
        <v/>
      </c>
    </row>
    <row r="488" spans="2:6" hidden="1" x14ac:dyDescent="0.3">
      <c r="B488" s="1" t="s">
        <v>65</v>
      </c>
      <c r="C488" s="1" t="s">
        <v>553</v>
      </c>
      <c r="D488" s="1" t="str">
        <f t="shared" si="10"/>
        <v>Kab. Karo</v>
      </c>
      <c r="F488" s="1" t="str">
        <f>IF(info!$B488=profilKelas!$F$8,ROW(),"")</f>
        <v/>
      </c>
    </row>
    <row r="489" spans="2:6" hidden="1" x14ac:dyDescent="0.3">
      <c r="B489" s="1" t="s">
        <v>65</v>
      </c>
      <c r="C489" s="1" t="s">
        <v>562</v>
      </c>
      <c r="D489" s="1" t="str">
        <f t="shared" si="10"/>
        <v>Kab. Labuhanbatu</v>
      </c>
      <c r="F489" s="1" t="str">
        <f>IF(info!$B489=profilKelas!$F$8,ROW(),"")</f>
        <v/>
      </c>
    </row>
    <row r="490" spans="2:6" hidden="1" x14ac:dyDescent="0.3">
      <c r="B490" s="1" t="s">
        <v>65</v>
      </c>
      <c r="C490" s="1" t="s">
        <v>563</v>
      </c>
      <c r="D490" s="1" t="str">
        <f t="shared" si="10"/>
        <v>Kab. Labuhanbatu Selatan</v>
      </c>
      <c r="F490" s="1" t="str">
        <f>IF(info!$B490=profilKelas!$F$8,ROW(),"")</f>
        <v/>
      </c>
    </row>
    <row r="491" spans="2:6" hidden="1" x14ac:dyDescent="0.3">
      <c r="B491" s="1" t="s">
        <v>65</v>
      </c>
      <c r="C491" s="1" t="s">
        <v>564</v>
      </c>
      <c r="D491" s="1" t="str">
        <f t="shared" si="10"/>
        <v>Kab. Labuhanbatu Utara</v>
      </c>
      <c r="F491" s="1" t="str">
        <f>IF(info!$B491=profilKelas!$F$8,ROW(),"")</f>
        <v/>
      </c>
    </row>
    <row r="492" spans="2:6" hidden="1" x14ac:dyDescent="0.3">
      <c r="B492" s="1" t="s">
        <v>65</v>
      </c>
      <c r="C492" s="1" t="s">
        <v>565</v>
      </c>
      <c r="D492" s="1" t="str">
        <f t="shared" si="10"/>
        <v>Kab. Langkat</v>
      </c>
      <c r="F492" s="1" t="str">
        <f>IF(info!$B492=profilKelas!$F$8,ROW(),"")</f>
        <v/>
      </c>
    </row>
    <row r="493" spans="2:6" hidden="1" x14ac:dyDescent="0.3">
      <c r="B493" s="1" t="s">
        <v>65</v>
      </c>
      <c r="C493" s="1" t="s">
        <v>566</v>
      </c>
      <c r="D493" s="1" t="str">
        <f t="shared" si="10"/>
        <v>Kab. Mandailing Natal</v>
      </c>
      <c r="F493" s="1" t="str">
        <f>IF(info!$B493=profilKelas!$F$8,ROW(),"")</f>
        <v/>
      </c>
    </row>
    <row r="494" spans="2:6" hidden="1" x14ac:dyDescent="0.3">
      <c r="B494" s="1" t="s">
        <v>65</v>
      </c>
      <c r="C494" s="1" t="s">
        <v>567</v>
      </c>
      <c r="D494" s="1" t="str">
        <f t="shared" si="10"/>
        <v>Kab. Nias</v>
      </c>
      <c r="F494" s="1" t="str">
        <f>IF(info!$B494=profilKelas!$F$8,ROW(),"")</f>
        <v/>
      </c>
    </row>
    <row r="495" spans="2:6" hidden="1" x14ac:dyDescent="0.3">
      <c r="B495" s="1" t="s">
        <v>65</v>
      </c>
      <c r="C495" s="1" t="s">
        <v>568</v>
      </c>
      <c r="D495" s="1" t="str">
        <f t="shared" si="10"/>
        <v>Kab. Nias Barat</v>
      </c>
      <c r="F495" s="1" t="str">
        <f>IF(info!$B495=profilKelas!$F$8,ROW(),"")</f>
        <v/>
      </c>
    </row>
    <row r="496" spans="2:6" hidden="1" x14ac:dyDescent="0.3">
      <c r="B496" s="1" t="s">
        <v>65</v>
      </c>
      <c r="C496" s="1" t="s">
        <v>569</v>
      </c>
      <c r="D496" s="1" t="str">
        <f t="shared" si="10"/>
        <v>Kab. Nias Selatan</v>
      </c>
      <c r="F496" s="1" t="str">
        <f>IF(info!$B496=profilKelas!$F$8,ROW(),"")</f>
        <v/>
      </c>
    </row>
    <row r="497" spans="2:6" hidden="1" x14ac:dyDescent="0.3">
      <c r="B497" s="1" t="s">
        <v>65</v>
      </c>
      <c r="C497" s="1" t="s">
        <v>570</v>
      </c>
      <c r="D497" s="1" t="str">
        <f t="shared" si="10"/>
        <v>Kab. Nias Utara</v>
      </c>
      <c r="F497" s="1" t="str">
        <f>IF(info!$B497=profilKelas!$F$8,ROW(),"")</f>
        <v/>
      </c>
    </row>
    <row r="498" spans="2:6" hidden="1" x14ac:dyDescent="0.3">
      <c r="B498" s="1" t="s">
        <v>65</v>
      </c>
      <c r="C498" s="1" t="s">
        <v>571</v>
      </c>
      <c r="D498" s="1" t="str">
        <f t="shared" si="10"/>
        <v>Kab. Padang Lawas</v>
      </c>
      <c r="F498" s="1" t="str">
        <f>IF(info!$B498=profilKelas!$F$8,ROW(),"")</f>
        <v/>
      </c>
    </row>
    <row r="499" spans="2:6" hidden="1" x14ac:dyDescent="0.3">
      <c r="B499" s="1" t="s">
        <v>65</v>
      </c>
      <c r="C499" s="1" t="s">
        <v>572</v>
      </c>
      <c r="D499" s="1" t="str">
        <f t="shared" si="10"/>
        <v>Kab. Padang Lawas Utara</v>
      </c>
      <c r="F499" s="1" t="str">
        <f>IF(info!$B499=profilKelas!$F$8,ROW(),"")</f>
        <v/>
      </c>
    </row>
    <row r="500" spans="2:6" hidden="1" x14ac:dyDescent="0.3">
      <c r="B500" s="1" t="s">
        <v>65</v>
      </c>
      <c r="C500" s="1" t="s">
        <v>573</v>
      </c>
      <c r="D500" s="1" t="str">
        <f t="shared" si="10"/>
        <v>Kab. Pakpak Bharat</v>
      </c>
      <c r="F500" s="1" t="str">
        <f>IF(info!$B500=profilKelas!$F$8,ROW(),"")</f>
        <v/>
      </c>
    </row>
    <row r="501" spans="2:6" hidden="1" x14ac:dyDescent="0.3">
      <c r="B501" s="1" t="s">
        <v>65</v>
      </c>
      <c r="C501" s="1" t="s">
        <v>574</v>
      </c>
      <c r="D501" s="1" t="str">
        <f t="shared" si="10"/>
        <v>Kab. Samosir</v>
      </c>
      <c r="F501" s="1" t="str">
        <f>IF(info!$B501=profilKelas!$F$8,ROW(),"")</f>
        <v/>
      </c>
    </row>
    <row r="502" spans="2:6" hidden="1" x14ac:dyDescent="0.3">
      <c r="B502" s="1" t="s">
        <v>65</v>
      </c>
      <c r="C502" s="1" t="s">
        <v>575</v>
      </c>
      <c r="D502" s="1" t="str">
        <f t="shared" si="10"/>
        <v>Kab. Serdang Bedagai</v>
      </c>
      <c r="F502" s="1" t="str">
        <f>IF(info!$B502=profilKelas!$F$8,ROW(),"")</f>
        <v/>
      </c>
    </row>
    <row r="503" spans="2:6" hidden="1" x14ac:dyDescent="0.3">
      <c r="B503" s="1" t="s">
        <v>65</v>
      </c>
      <c r="C503" s="1" t="s">
        <v>576</v>
      </c>
      <c r="D503" s="1" t="str">
        <f t="shared" si="10"/>
        <v>Kab. Simalungun</v>
      </c>
      <c r="F503" s="1" t="str">
        <f>IF(info!$B503=profilKelas!$F$8,ROW(),"")</f>
        <v/>
      </c>
    </row>
    <row r="504" spans="2:6" hidden="1" x14ac:dyDescent="0.3">
      <c r="B504" s="1" t="s">
        <v>65</v>
      </c>
      <c r="C504" s="1" t="s">
        <v>577</v>
      </c>
      <c r="D504" s="1" t="str">
        <f t="shared" si="10"/>
        <v>Kab. Tapanuli Selatan</v>
      </c>
      <c r="F504" s="1" t="str">
        <f>IF(info!$B504=profilKelas!$F$8,ROW(),"")</f>
        <v/>
      </c>
    </row>
    <row r="505" spans="2:6" hidden="1" x14ac:dyDescent="0.3">
      <c r="B505" s="1" t="s">
        <v>65</v>
      </c>
      <c r="C505" s="1" t="s">
        <v>578</v>
      </c>
      <c r="D505" s="1" t="str">
        <f t="shared" si="10"/>
        <v>Kab. Tapanuli Tengah</v>
      </c>
      <c r="F505" s="1" t="str">
        <f>IF(info!$B505=profilKelas!$F$8,ROW(),"")</f>
        <v/>
      </c>
    </row>
    <row r="506" spans="2:6" hidden="1" x14ac:dyDescent="0.3">
      <c r="B506" s="1" t="s">
        <v>65</v>
      </c>
      <c r="C506" s="1" t="s">
        <v>579</v>
      </c>
      <c r="D506" s="1" t="str">
        <f t="shared" si="10"/>
        <v>Kab. Tapanuli Utara</v>
      </c>
      <c r="F506" s="1" t="str">
        <f>IF(info!$B506=profilKelas!$F$8,ROW(),"")</f>
        <v/>
      </c>
    </row>
    <row r="507" spans="2:6" hidden="1" x14ac:dyDescent="0.3">
      <c r="B507" s="1" t="s">
        <v>65</v>
      </c>
      <c r="C507" s="1" t="s">
        <v>580</v>
      </c>
      <c r="D507" s="1" t="str">
        <f t="shared" si="10"/>
        <v>Kab. Toba</v>
      </c>
      <c r="F507" s="1" t="str">
        <f>IF(info!$B507=profilKelas!$F$8,ROW(),"")</f>
        <v/>
      </c>
    </row>
    <row r="508" spans="2:6" hidden="1" x14ac:dyDescent="0.3">
      <c r="B508" s="1" t="s">
        <v>65</v>
      </c>
      <c r="C508" s="1" t="s">
        <v>554</v>
      </c>
      <c r="D508" s="1" t="str">
        <f t="shared" si="10"/>
        <v>Kota Binjai</v>
      </c>
      <c r="F508" s="1" t="str">
        <f>IF(info!$B508=profilKelas!$F$8,ROW(),"")</f>
        <v/>
      </c>
    </row>
    <row r="509" spans="2:6" hidden="1" x14ac:dyDescent="0.3">
      <c r="B509" s="1" t="s">
        <v>65</v>
      </c>
      <c r="C509" s="1" t="s">
        <v>555</v>
      </c>
      <c r="D509" s="1" t="str">
        <f t="shared" si="10"/>
        <v>Kota Gunungsitoli</v>
      </c>
      <c r="F509" s="1" t="str">
        <f>IF(info!$B509=profilKelas!$F$8,ROW(),"")</f>
        <v/>
      </c>
    </row>
    <row r="510" spans="2:6" hidden="1" x14ac:dyDescent="0.3">
      <c r="B510" s="1" t="s">
        <v>65</v>
      </c>
      <c r="C510" s="1" t="s">
        <v>556</v>
      </c>
      <c r="D510" s="1" t="str">
        <f t="shared" si="10"/>
        <v>Kota Medan</v>
      </c>
      <c r="F510" s="1" t="str">
        <f>IF(info!$B510=profilKelas!$F$8,ROW(),"")</f>
        <v/>
      </c>
    </row>
    <row r="511" spans="2:6" hidden="1" x14ac:dyDescent="0.3">
      <c r="B511" s="1" t="s">
        <v>65</v>
      </c>
      <c r="C511" s="1" t="s">
        <v>557</v>
      </c>
      <c r="D511" s="1" t="str">
        <f t="shared" si="10"/>
        <v>Kota Padang Sidempuan</v>
      </c>
      <c r="F511" s="1" t="str">
        <f>IF(info!$B511=profilKelas!$F$8,ROW(),"")</f>
        <v/>
      </c>
    </row>
    <row r="512" spans="2:6" hidden="1" x14ac:dyDescent="0.3">
      <c r="B512" s="1" t="s">
        <v>65</v>
      </c>
      <c r="C512" s="1" t="s">
        <v>558</v>
      </c>
      <c r="D512" s="1" t="str">
        <f t="shared" si="10"/>
        <v>Kota Pematangsiantar</v>
      </c>
      <c r="F512" s="1" t="str">
        <f>IF(info!$B512=profilKelas!$F$8,ROW(),"")</f>
        <v/>
      </c>
    </row>
    <row r="513" spans="2:6" hidden="1" x14ac:dyDescent="0.3">
      <c r="B513" s="1" t="s">
        <v>65</v>
      </c>
      <c r="C513" s="1" t="s">
        <v>559</v>
      </c>
      <c r="D513" s="1" t="str">
        <f t="shared" si="10"/>
        <v>Kota Sibolga</v>
      </c>
      <c r="F513" s="1" t="str">
        <f>IF(info!$B513=profilKelas!$F$8,ROW(),"")</f>
        <v/>
      </c>
    </row>
    <row r="514" spans="2:6" hidden="1" x14ac:dyDescent="0.3">
      <c r="B514" s="1" t="s">
        <v>65</v>
      </c>
      <c r="C514" s="1" t="s">
        <v>560</v>
      </c>
      <c r="D514" s="1" t="str">
        <f t="shared" ref="D514:D515" si="11">IF(LEFT(C514,4)="Kota",C514,IF(LEFT(C514,4)="Prov",C514,"Kab. "&amp;C514))</f>
        <v>Kota Tanjungbalai</v>
      </c>
      <c r="F514" s="1" t="str">
        <f>IF(info!$B514=profilKelas!$F$8,ROW(),"")</f>
        <v/>
      </c>
    </row>
    <row r="515" spans="2:6" hidden="1" x14ac:dyDescent="0.3">
      <c r="B515" s="1" t="s">
        <v>65</v>
      </c>
      <c r="C515" s="1" t="s">
        <v>561</v>
      </c>
      <c r="D515" s="1" t="str">
        <f t="shared" si="11"/>
        <v>Kota Tebing Tinggi</v>
      </c>
      <c r="F515" s="1" t="str">
        <f>IF(info!$B515=profilKelas!$F$8,ROW(),"")</f>
        <v/>
      </c>
    </row>
  </sheetData>
  <sheetProtection algorithmName="SHA-512" hashValue="ZSfh9eKM19vuMMsxmbW3YMwSPzMAFI3fPOiFumj85EzR/yJsig0kHI7YqJbBFMV/GKjTBIP3CjOXquIoOUKy/w==" saltValue="XZT7ryDavI5DzE8Wf8zPFA==" spinCount="100000" sheet="1" objects="1" scenarios="1" formatCells="0" formatColumns="0" formatRows="0" insertColumns="0" insertRows="0" insertHyperlinks="0" deleteColumns="0" deleteRows="0" autoFilter="0"/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sProgress">
    <tabColor rgb="FFFF0000"/>
  </sheetPr>
  <dimension ref="A1:P47"/>
  <sheetViews>
    <sheetView showGridLines="0" showRowColHeaders="0" zoomScaleNormal="100" workbookViewId="0"/>
  </sheetViews>
  <sheetFormatPr defaultColWidth="0" defaultRowHeight="14.4" zeroHeight="1" x14ac:dyDescent="0.3"/>
  <cols>
    <col min="1" max="1" width="9.109375" style="1" customWidth="1"/>
    <col min="2" max="2" width="10.44140625" style="1" hidden="1" customWidth="1"/>
    <col min="3" max="3" width="12.109375" style="1" hidden="1" customWidth="1"/>
    <col min="4" max="4" width="10.44140625" style="1" hidden="1" customWidth="1"/>
    <col min="5" max="16" width="9.109375" style="1" hidden="1" customWidth="1"/>
    <col min="17" max="27" width="0" style="1" hidden="1" customWidth="1"/>
    <col min="28" max="16384" width="0" style="1" hidden="1"/>
  </cols>
  <sheetData>
    <row r="1" spans="1:4" x14ac:dyDescent="0.3">
      <c r="A1" s="1">
        <f>profilKelas!F14</f>
        <v>1</v>
      </c>
      <c r="B1" s="1" t="s">
        <v>997</v>
      </c>
      <c r="C1" s="1" t="s">
        <v>867</v>
      </c>
      <c r="D1" s="1" t="s">
        <v>866</v>
      </c>
    </row>
    <row r="2" spans="1:4" hidden="1" x14ac:dyDescent="0.3">
      <c r="A2" s="1">
        <v>1</v>
      </c>
      <c r="B2" s="1" t="s">
        <v>587</v>
      </c>
      <c r="C2" s="1">
        <f t="shared" ref="C2" ca="1" si="0">COUNTIF(INDIRECT(SUBSTITUTE("@@!AB13:AB57","@@",$B2)),"Siswa Tidak Aktif")+
COUNTIF(INDIRECT(SUBSTITUTE("@@!AB13:AB57","@@",$B2)),"Sudah Terbiasa")+
COUNTIF(INDIRECT(SUBSTITUTE("@@!AB13:AB57","@@",$B2)),"Belum Terbiasa")</f>
        <v>0</v>
      </c>
      <c r="D2" s="2">
        <f ca="1">IF($A$1=0,0,C2/$A$1)</f>
        <v>0</v>
      </c>
    </row>
    <row r="3" spans="1:4" hidden="1" x14ac:dyDescent="0.3">
      <c r="A3" s="1">
        <v>2</v>
      </c>
      <c r="B3" s="1" t="s">
        <v>588</v>
      </c>
      <c r="C3" s="1">
        <f ca="1">COUNTIF(INDIRECT(SUBSTITUTE("@@!AB13:AB57","@@",$B3)),"Siswa Tidak Aktif")+
COUNTIF(INDIRECT(SUBSTITUTE("@@!AB13:AB57","@@",$B3)),"Sudah Terbiasa")+
COUNTIF(INDIRECT(SUBSTITUTE("@@!AB13:AB57","@@",$B3)),"Belum Terbiasa")</f>
        <v>0</v>
      </c>
      <c r="D3" s="2">
        <f t="shared" ref="D3:D14" ca="1" si="1">IF($A$1=0,0,C3/$A$1)</f>
        <v>0</v>
      </c>
    </row>
    <row r="4" spans="1:4" hidden="1" x14ac:dyDescent="0.3">
      <c r="A4" s="1">
        <v>3</v>
      </c>
      <c r="B4" s="1" t="s">
        <v>589</v>
      </c>
      <c r="C4" s="1">
        <f t="shared" ref="C4:C7" ca="1" si="2">COUNTIF(INDIRECT(SUBSTITUTE("@@!AB13:AB57","@@",$B4)),"Siswa Tidak Aktif")+
COUNTIF(INDIRECT(SUBSTITUTE("@@!AB13:AB57","@@",$B4)),"Sudah Terbiasa")+
COUNTIF(INDIRECT(SUBSTITUTE("@@!AB13:AB57","@@",$B4)),"Belum Terbiasa")</f>
        <v>0</v>
      </c>
      <c r="D4" s="2">
        <f t="shared" ca="1" si="1"/>
        <v>0</v>
      </c>
    </row>
    <row r="5" spans="1:4" hidden="1" x14ac:dyDescent="0.3">
      <c r="A5" s="1">
        <v>4</v>
      </c>
      <c r="B5" s="1" t="s">
        <v>590</v>
      </c>
      <c r="C5" s="1">
        <f t="shared" ca="1" si="2"/>
        <v>0</v>
      </c>
      <c r="D5" s="2">
        <f t="shared" ca="1" si="1"/>
        <v>0</v>
      </c>
    </row>
    <row r="6" spans="1:4" hidden="1" x14ac:dyDescent="0.3">
      <c r="A6" s="1">
        <v>5</v>
      </c>
      <c r="B6" s="1" t="s">
        <v>591</v>
      </c>
      <c r="C6" s="1">
        <f t="shared" ca="1" si="2"/>
        <v>0</v>
      </c>
      <c r="D6" s="2">
        <f t="shared" ca="1" si="1"/>
        <v>0</v>
      </c>
    </row>
    <row r="7" spans="1:4" hidden="1" x14ac:dyDescent="0.3">
      <c r="A7" s="1">
        <v>6</v>
      </c>
      <c r="B7" s="1" t="s">
        <v>592</v>
      </c>
      <c r="C7" s="1">
        <f t="shared" ca="1" si="2"/>
        <v>0</v>
      </c>
      <c r="D7" s="2">
        <f t="shared" ca="1" si="1"/>
        <v>0</v>
      </c>
    </row>
    <row r="8" spans="1:4" hidden="1" x14ac:dyDescent="0.3">
      <c r="D8" s="2"/>
    </row>
    <row r="9" spans="1:4" hidden="1" x14ac:dyDescent="0.3">
      <c r="A9" s="1">
        <v>7</v>
      </c>
      <c r="B9" s="1" t="s">
        <v>21</v>
      </c>
      <c r="C9" s="1">
        <f t="shared" ref="C9:C14" ca="1" si="3">COUNTIF(INDIRECT(SUBSTITUTE("@@!AB13:AB57","@@",$B9)),"Siswa Tidak Aktif")+
COUNTIF(INDIRECT(SUBSTITUTE("@@!AB13:AB57","@@",$B9)),"Sudah Terbiasa")+
COUNTIF(INDIRECT(SUBSTITUTE("@@!AB13:AB57","@@",$B9)),"Belum Terbiasa")</f>
        <v>0</v>
      </c>
      <c r="D9" s="2">
        <f t="shared" ca="1" si="1"/>
        <v>0</v>
      </c>
    </row>
    <row r="10" spans="1:4" hidden="1" x14ac:dyDescent="0.3">
      <c r="A10" s="1">
        <v>8</v>
      </c>
      <c r="B10" s="1" t="s">
        <v>582</v>
      </c>
      <c r="C10" s="1">
        <f t="shared" ca="1" si="3"/>
        <v>0</v>
      </c>
      <c r="D10" s="2">
        <f t="shared" ca="1" si="1"/>
        <v>0</v>
      </c>
    </row>
    <row r="11" spans="1:4" hidden="1" x14ac:dyDescent="0.3">
      <c r="A11" s="1">
        <v>9</v>
      </c>
      <c r="B11" s="1" t="s">
        <v>583</v>
      </c>
      <c r="C11" s="1">
        <f t="shared" ca="1" si="3"/>
        <v>0</v>
      </c>
      <c r="D11" s="2">
        <f t="shared" ca="1" si="1"/>
        <v>0</v>
      </c>
    </row>
    <row r="12" spans="1:4" hidden="1" x14ac:dyDescent="0.3">
      <c r="A12" s="1">
        <v>10</v>
      </c>
      <c r="B12" s="1" t="s">
        <v>584</v>
      </c>
      <c r="C12" s="1">
        <f t="shared" ca="1" si="3"/>
        <v>0</v>
      </c>
      <c r="D12" s="2">
        <f t="shared" ca="1" si="1"/>
        <v>0</v>
      </c>
    </row>
    <row r="13" spans="1:4" hidden="1" x14ac:dyDescent="0.3">
      <c r="A13" s="1">
        <v>11</v>
      </c>
      <c r="B13" s="1" t="s">
        <v>585</v>
      </c>
      <c r="C13" s="1">
        <f t="shared" ca="1" si="3"/>
        <v>0</v>
      </c>
      <c r="D13" s="2">
        <f t="shared" ca="1" si="1"/>
        <v>0</v>
      </c>
    </row>
    <row r="14" spans="1:4" hidden="1" x14ac:dyDescent="0.3">
      <c r="A14" s="1">
        <v>12</v>
      </c>
      <c r="B14" s="1" t="s">
        <v>586</v>
      </c>
      <c r="C14" s="1">
        <f t="shared" ca="1" si="3"/>
        <v>0</v>
      </c>
      <c r="D14" s="2">
        <f t="shared" ca="1" si="1"/>
        <v>0</v>
      </c>
    </row>
    <row r="15" spans="1:4" hidden="1" x14ac:dyDescent="0.3">
      <c r="A15" s="1">
        <v>13</v>
      </c>
      <c r="B15" s="1" t="s">
        <v>941</v>
      </c>
    </row>
    <row r="16" spans="1:4" hidden="1" x14ac:dyDescent="0.3">
      <c r="A16" s="1">
        <v>14</v>
      </c>
      <c r="B16" s="1" t="s">
        <v>942</v>
      </c>
    </row>
    <row r="17" spans="1:3" hidden="1" x14ac:dyDescent="0.3">
      <c r="A17" s="1">
        <v>15</v>
      </c>
      <c r="B17" s="1" t="s">
        <v>938</v>
      </c>
    </row>
    <row r="19" spans="1:3" ht="15.6" hidden="1" customHeight="1" x14ac:dyDescent="0.3">
      <c r="B19" s="1" t="s">
        <v>918</v>
      </c>
      <c r="C19" s="2">
        <f>COUNTA(profilKelas!F5,profilKelas!F6,profilKelas!F8,profilKelas!F9,profilKelas!F10,profilKelas!F11,profilKelas!F12,profilKelas!F14,profilKelas!F15,profilKelas!F16)/10</f>
        <v>0.1</v>
      </c>
    </row>
    <row r="20" spans="1:3" hidden="1" x14ac:dyDescent="0.3">
      <c r="B20" s="1" t="s">
        <v>919</v>
      </c>
      <c r="C20" s="2">
        <f>IF(A1=0,,COUNTA(identitasMurid!C6:D51)/(A1*2))</f>
        <v>0</v>
      </c>
    </row>
    <row r="28" spans="1:3" ht="15.6" hidden="1" customHeight="1" x14ac:dyDescent="0.3"/>
    <row r="29" spans="1:3" ht="31.2" hidden="1" customHeight="1" x14ac:dyDescent="0.3"/>
    <row r="37" ht="15.6" hidden="1" customHeight="1" x14ac:dyDescent="0.3"/>
    <row r="38" ht="31.2" hidden="1" customHeight="1" x14ac:dyDescent="0.3"/>
    <row r="46" ht="15.6" hidden="1" customHeight="1" x14ac:dyDescent="0.3"/>
    <row r="47" ht="31.2" hidden="1" customHeight="1" x14ac:dyDescent="0.3"/>
  </sheetData>
  <sheetProtection algorithmName="SHA-512" hashValue="AMIcONp9lCkmf3maZ7PT/7I7CJmV8UTXywp6fIxzITCQUeyuceE9/FHga+D+ESN986MkhLw+4PDYDlYmv2tANw==" saltValue="AYRSsu3Kf77CS/kbp/yBxA==" spinCount="100000" sheet="1" objects="1" scenarios="1" formatCells="0" formatColumns="0" formatRows="0" insertColumns="0" insertRows="0" insertHyperlinks="0" deleteColumns="0" deleteRows="0" autoFilter="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s12M"/>
  <dimension ref="A1:FC1048576"/>
  <sheetViews>
    <sheetView showRowColHeaders="0" workbookViewId="0"/>
  </sheetViews>
  <sheetFormatPr defaultColWidth="0" defaultRowHeight="14.4" zeroHeight="1" x14ac:dyDescent="0.3"/>
  <cols>
    <col min="1" max="1" width="8.88671875" customWidth="1"/>
    <col min="2" max="2" width="8.88671875" hidden="1" customWidth="1"/>
    <col min="3" max="5" width="14.6640625" hidden="1" customWidth="1"/>
    <col min="6" max="6" width="16.5546875" hidden="1" customWidth="1"/>
    <col min="7" max="7" width="14.6640625" hidden="1" customWidth="1"/>
    <col min="8" max="8" width="17.33203125" hidden="1" customWidth="1"/>
    <col min="9" max="13" width="14.6640625" hidden="1" customWidth="1"/>
    <col min="14" max="14" width="16.5546875" hidden="1" customWidth="1"/>
    <col min="15" max="15" width="14.6640625" hidden="1" customWidth="1"/>
    <col min="16" max="16" width="17.33203125" hidden="1" customWidth="1"/>
    <col min="17" max="21" width="14.6640625" hidden="1" customWidth="1"/>
    <col min="22" max="22" width="16.5546875" hidden="1" customWidth="1"/>
    <col min="23" max="23" width="14.6640625" hidden="1" customWidth="1"/>
    <col min="24" max="24" width="17.33203125" hidden="1" customWidth="1"/>
    <col min="25" max="29" width="14.6640625" hidden="1" customWidth="1"/>
    <col min="30" max="30" width="16.5546875" hidden="1" customWidth="1"/>
    <col min="31" max="31" width="14.6640625" hidden="1" customWidth="1"/>
    <col min="32" max="32" width="17.33203125" hidden="1" customWidth="1"/>
    <col min="33" max="37" width="14.6640625" hidden="1" customWidth="1"/>
    <col min="38" max="38" width="16.5546875" hidden="1" customWidth="1"/>
    <col min="39" max="39" width="14.6640625" hidden="1" customWidth="1"/>
    <col min="40" max="40" width="17.33203125" hidden="1" customWidth="1"/>
    <col min="41" max="45" width="14.6640625" hidden="1" customWidth="1"/>
    <col min="46" max="46" width="16.5546875" hidden="1" customWidth="1"/>
    <col min="47" max="47" width="14.6640625" hidden="1" customWidth="1"/>
    <col min="48" max="48" width="17.33203125" hidden="1" customWidth="1"/>
    <col min="49" max="50" width="14.6640625" hidden="1" customWidth="1"/>
    <col min="51" max="51" width="14.6640625" style="109" hidden="1" customWidth="1"/>
    <col min="52" max="53" width="14.6640625" hidden="1" customWidth="1"/>
    <col min="54" max="54" width="16.5546875" hidden="1" customWidth="1"/>
    <col min="55" max="55" width="14.6640625" hidden="1" customWidth="1"/>
    <col min="56" max="56" width="17.33203125" hidden="1" customWidth="1"/>
    <col min="57" max="61" width="14.6640625" hidden="1" customWidth="1"/>
    <col min="62" max="62" width="16.5546875" hidden="1" customWidth="1"/>
    <col min="63" max="63" width="14.6640625" hidden="1" customWidth="1"/>
    <col min="64" max="64" width="17.33203125" hidden="1" customWidth="1"/>
    <col min="65" max="69" width="14.6640625" hidden="1" customWidth="1"/>
    <col min="70" max="70" width="16.5546875" hidden="1" customWidth="1"/>
    <col min="71" max="71" width="14.6640625" hidden="1" customWidth="1"/>
    <col min="72" max="72" width="17.33203125" hidden="1" customWidth="1"/>
    <col min="73" max="77" width="14.6640625" hidden="1" customWidth="1"/>
    <col min="78" max="78" width="16.5546875" hidden="1" customWidth="1"/>
    <col min="79" max="79" width="14.6640625" hidden="1" customWidth="1"/>
    <col min="80" max="80" width="17.33203125" hidden="1" customWidth="1"/>
    <col min="81" max="85" width="14.6640625" hidden="1" customWidth="1"/>
    <col min="86" max="86" width="16.5546875" hidden="1" customWidth="1"/>
    <col min="87" max="87" width="14.6640625" hidden="1" customWidth="1"/>
    <col min="88" max="88" width="17.33203125" hidden="1" customWidth="1"/>
    <col min="89" max="93" width="14.6640625" hidden="1" customWidth="1"/>
    <col min="94" max="94" width="16.5546875" hidden="1" customWidth="1"/>
    <col min="95" max="95" width="14.6640625" hidden="1" customWidth="1"/>
    <col min="96" max="96" width="17.33203125" hidden="1" customWidth="1"/>
    <col min="97" max="99" width="14.6640625" hidden="1" customWidth="1"/>
    <col min="100" max="135" width="0" hidden="1" customWidth="1"/>
    <col min="136" max="136" width="0" style="113" hidden="1" customWidth="1"/>
    <col min="137" max="147" width="0" hidden="1" customWidth="1"/>
    <col min="148" max="148" width="0" style="113" hidden="1" customWidth="1"/>
    <col min="149" max="159" width="0" hidden="1" customWidth="1"/>
    <col min="160" max="16384" width="8.88671875" hidden="1"/>
  </cols>
  <sheetData>
    <row r="1" spans="1:154" x14ac:dyDescent="0.3">
      <c r="A1" s="1">
        <f>profilKelas!F14</f>
        <v>1</v>
      </c>
      <c r="C1" t="s">
        <v>587</v>
      </c>
      <c r="K1" t="s">
        <v>588</v>
      </c>
      <c r="S1" t="s">
        <v>589</v>
      </c>
      <c r="AA1" t="s">
        <v>590</v>
      </c>
      <c r="AI1" t="s">
        <v>591</v>
      </c>
      <c r="AQ1" t="s">
        <v>592</v>
      </c>
      <c r="AY1" s="109" t="s">
        <v>21</v>
      </c>
      <c r="BG1" t="s">
        <v>582</v>
      </c>
      <c r="BO1" t="s">
        <v>583</v>
      </c>
      <c r="BW1" t="s">
        <v>584</v>
      </c>
      <c r="CE1" t="s">
        <v>585</v>
      </c>
      <c r="CM1" t="s">
        <v>586</v>
      </c>
      <c r="CV1" s="110" t="s">
        <v>944</v>
      </c>
      <c r="DD1" s="110" t="s">
        <v>943</v>
      </c>
      <c r="DL1" s="110" t="s">
        <v>939</v>
      </c>
      <c r="DT1" t="s">
        <v>985</v>
      </c>
      <c r="DV1" t="str" cm="1">
        <f t="array" aca="1" ref="DV1" ca="1">INDIRECT(ADDRESS(2,COLUMN(CW1)))</f>
        <v>TaatBeribadah</v>
      </c>
    </row>
    <row r="2" spans="1:154" hidden="1" x14ac:dyDescent="0.3">
      <c r="A2" t="s">
        <v>0</v>
      </c>
      <c r="B2" t="s">
        <v>1</v>
      </c>
      <c r="C2" t="s">
        <v>599</v>
      </c>
      <c r="D2" t="s">
        <v>600</v>
      </c>
      <c r="E2" t="s">
        <v>4</v>
      </c>
      <c r="F2" t="s">
        <v>601</v>
      </c>
      <c r="G2" t="s">
        <v>602</v>
      </c>
      <c r="H2" t="s">
        <v>603</v>
      </c>
      <c r="I2" t="s">
        <v>604</v>
      </c>
      <c r="J2" t="s">
        <v>11</v>
      </c>
      <c r="K2" t="s">
        <v>599</v>
      </c>
      <c r="L2" t="s">
        <v>600</v>
      </c>
      <c r="M2" t="s">
        <v>4</v>
      </c>
      <c r="N2" t="s">
        <v>601</v>
      </c>
      <c r="O2" t="s">
        <v>602</v>
      </c>
      <c r="P2" t="s">
        <v>603</v>
      </c>
      <c r="Q2" t="s">
        <v>604</v>
      </c>
      <c r="R2" t="s">
        <v>11</v>
      </c>
      <c r="S2" t="s">
        <v>599</v>
      </c>
      <c r="T2" t="s">
        <v>600</v>
      </c>
      <c r="U2" t="s">
        <v>4</v>
      </c>
      <c r="V2" t="s">
        <v>601</v>
      </c>
      <c r="W2" t="s">
        <v>602</v>
      </c>
      <c r="X2" t="s">
        <v>603</v>
      </c>
      <c r="Y2" t="s">
        <v>604</v>
      </c>
      <c r="Z2" t="s">
        <v>11</v>
      </c>
      <c r="AA2" t="s">
        <v>599</v>
      </c>
      <c r="AB2" t="s">
        <v>600</v>
      </c>
      <c r="AC2" t="s">
        <v>4</v>
      </c>
      <c r="AD2" t="s">
        <v>601</v>
      </c>
      <c r="AE2" t="s">
        <v>602</v>
      </c>
      <c r="AF2" t="s">
        <v>603</v>
      </c>
      <c r="AG2" t="s">
        <v>604</v>
      </c>
      <c r="AH2" t="s">
        <v>11</v>
      </c>
      <c r="AI2" t="s">
        <v>599</v>
      </c>
      <c r="AJ2" t="s">
        <v>600</v>
      </c>
      <c r="AK2" t="s">
        <v>4</v>
      </c>
      <c r="AL2" t="s">
        <v>601</v>
      </c>
      <c r="AM2" t="s">
        <v>602</v>
      </c>
      <c r="AN2" t="s">
        <v>603</v>
      </c>
      <c r="AO2" t="s">
        <v>604</v>
      </c>
      <c r="AP2" t="s">
        <v>11</v>
      </c>
      <c r="AQ2" t="s">
        <v>599</v>
      </c>
      <c r="AR2" t="s">
        <v>600</v>
      </c>
      <c r="AS2" t="s">
        <v>4</v>
      </c>
      <c r="AT2" t="s">
        <v>601</v>
      </c>
      <c r="AU2" t="s">
        <v>602</v>
      </c>
      <c r="AV2" t="s">
        <v>603</v>
      </c>
      <c r="AW2" t="s">
        <v>604</v>
      </c>
      <c r="AX2" t="s">
        <v>11</v>
      </c>
      <c r="AY2" s="109" t="s">
        <v>599</v>
      </c>
      <c r="AZ2" t="s">
        <v>600</v>
      </c>
      <c r="BA2" t="s">
        <v>4</v>
      </c>
      <c r="BB2" t="s">
        <v>601</v>
      </c>
      <c r="BC2" t="s">
        <v>602</v>
      </c>
      <c r="BD2" t="s">
        <v>603</v>
      </c>
      <c r="BE2" t="s">
        <v>604</v>
      </c>
      <c r="BF2" t="s">
        <v>11</v>
      </c>
      <c r="BG2" t="s">
        <v>599</v>
      </c>
      <c r="BH2" t="s">
        <v>600</v>
      </c>
      <c r="BI2" t="s">
        <v>4</v>
      </c>
      <c r="BJ2" t="s">
        <v>601</v>
      </c>
      <c r="BK2" t="s">
        <v>602</v>
      </c>
      <c r="BL2" t="s">
        <v>603</v>
      </c>
      <c r="BM2" t="s">
        <v>604</v>
      </c>
      <c r="BN2" t="s">
        <v>11</v>
      </c>
      <c r="BO2" t="s">
        <v>599</v>
      </c>
      <c r="BP2" t="s">
        <v>600</v>
      </c>
      <c r="BQ2" t="s">
        <v>4</v>
      </c>
      <c r="BR2" t="s">
        <v>601</v>
      </c>
      <c r="BS2" t="s">
        <v>602</v>
      </c>
      <c r="BT2" t="s">
        <v>603</v>
      </c>
      <c r="BU2" t="s">
        <v>604</v>
      </c>
      <c r="BV2" t="s">
        <v>11</v>
      </c>
      <c r="BW2" t="s">
        <v>599</v>
      </c>
      <c r="BX2" t="s">
        <v>600</v>
      </c>
      <c r="BY2" t="s">
        <v>4</v>
      </c>
      <c r="BZ2" t="s">
        <v>601</v>
      </c>
      <c r="CA2" t="s">
        <v>602</v>
      </c>
      <c r="CB2" t="s">
        <v>603</v>
      </c>
      <c r="CC2" t="s">
        <v>604</v>
      </c>
      <c r="CD2" t="s">
        <v>11</v>
      </c>
      <c r="CE2" t="s">
        <v>599</v>
      </c>
      <c r="CF2" t="s">
        <v>600</v>
      </c>
      <c r="CG2" t="s">
        <v>4</v>
      </c>
      <c r="CH2" t="s">
        <v>601</v>
      </c>
      <c r="CI2" t="s">
        <v>602</v>
      </c>
      <c r="CJ2" t="s">
        <v>603</v>
      </c>
      <c r="CK2" t="s">
        <v>604</v>
      </c>
      <c r="CL2" t="s">
        <v>11</v>
      </c>
      <c r="CM2" t="s">
        <v>599</v>
      </c>
      <c r="CN2" t="s">
        <v>600</v>
      </c>
      <c r="CO2" t="s">
        <v>4</v>
      </c>
      <c r="CP2" t="s">
        <v>601</v>
      </c>
      <c r="CQ2" t="s">
        <v>602</v>
      </c>
      <c r="CR2" t="s">
        <v>603</v>
      </c>
      <c r="CS2" t="s">
        <v>604</v>
      </c>
      <c r="CT2" t="s">
        <v>11</v>
      </c>
      <c r="CU2" t="s">
        <v>605</v>
      </c>
      <c r="CV2" t="s">
        <v>599</v>
      </c>
      <c r="CW2" t="s">
        <v>600</v>
      </c>
      <c r="CX2" t="s">
        <v>4</v>
      </c>
      <c r="CY2" t="s">
        <v>601</v>
      </c>
      <c r="CZ2" t="s">
        <v>602</v>
      </c>
      <c r="DA2" t="s">
        <v>603</v>
      </c>
      <c r="DB2" t="s">
        <v>604</v>
      </c>
      <c r="DC2" t="s">
        <v>11</v>
      </c>
      <c r="DD2" t="s">
        <v>599</v>
      </c>
      <c r="DE2" t="s">
        <v>600</v>
      </c>
      <c r="DF2" t="s">
        <v>4</v>
      </c>
      <c r="DG2" t="s">
        <v>601</v>
      </c>
      <c r="DH2" t="s">
        <v>602</v>
      </c>
      <c r="DI2" t="s">
        <v>603</v>
      </c>
      <c r="DJ2" t="s">
        <v>604</v>
      </c>
      <c r="DK2" t="s">
        <v>11</v>
      </c>
      <c r="DL2" t="s">
        <v>599</v>
      </c>
      <c r="DM2" t="s">
        <v>600</v>
      </c>
      <c r="DN2" t="s">
        <v>4</v>
      </c>
      <c r="DO2" t="s">
        <v>601</v>
      </c>
      <c r="DP2" t="s">
        <v>602</v>
      </c>
      <c r="DQ2" t="s">
        <v>603</v>
      </c>
      <c r="DR2" t="s">
        <v>604</v>
      </c>
      <c r="DS2" t="s">
        <v>11</v>
      </c>
      <c r="DU2" t="s">
        <v>950</v>
      </c>
      <c r="EG2" t="s">
        <v>951</v>
      </c>
      <c r="ES2" t="s">
        <v>952</v>
      </c>
    </row>
    <row r="3" spans="1:154" hidden="1" x14ac:dyDescent="0.3">
      <c r="A3">
        <f>IF(ROW(A1)&lt;=profilKelas!$F$14,ROW(A1),"")</f>
        <v>1</v>
      </c>
      <c r="B3" t="str">
        <f>IF(ISBLANK(identitasMurid!C6),"",identitasMurid!C6)</f>
        <v/>
      </c>
      <c r="C3" t="str" cm="1">
        <f t="array" aca="1" ref="C3:J47" ca="1">IFERROR(INDIRECT(SUBSTITUTE("@@!U13:AB57","@@",C1)),"")</f>
        <v>Nama Siswa Kosong</v>
      </c>
      <c r="D3" t="str">
        <f ca="1"/>
        <v>Nama Siswa Kosong</v>
      </c>
      <c r="E3" t="str">
        <f ca="1"/>
        <v>Nama Siswa Kosong</v>
      </c>
      <c r="F3" t="str">
        <f ca="1"/>
        <v>Nama Siswa Kosong</v>
      </c>
      <c r="G3" t="str">
        <f ca="1"/>
        <v>Nama Siswa Kosong</v>
      </c>
      <c r="H3" t="str">
        <f ca="1"/>
        <v>Nama Siswa Kosong</v>
      </c>
      <c r="I3" t="str">
        <f ca="1"/>
        <v>Nama Siswa Kosong</v>
      </c>
      <c r="J3" t="str">
        <f ca="1"/>
        <v>Nama Siswa Kosong</v>
      </c>
      <c r="K3" t="str" cm="1">
        <f t="array" aca="1" ref="K3:R47" ca="1">IFERROR(INDIRECT(SUBSTITUTE("@@!U13:AB57","@@",K1)),"")</f>
        <v>Nama Siswa Kosong</v>
      </c>
      <c r="L3" t="str">
        <f ca="1"/>
        <v>Nama Siswa Kosong</v>
      </c>
      <c r="M3" t="str">
        <f ca="1"/>
        <v>Nama Siswa Kosong</v>
      </c>
      <c r="N3" t="str">
        <f ca="1"/>
        <v>Nama Siswa Kosong</v>
      </c>
      <c r="O3" t="str">
        <f ca="1"/>
        <v>Nama Siswa Kosong</v>
      </c>
      <c r="P3" t="str">
        <f ca="1"/>
        <v>Nama Siswa Kosong</v>
      </c>
      <c r="Q3" t="str">
        <f ca="1"/>
        <v>Nama Siswa Kosong</v>
      </c>
      <c r="R3" t="str">
        <f ca="1"/>
        <v>Nama Siswa Kosong</v>
      </c>
      <c r="S3" t="str" cm="1">
        <f t="array" aca="1" ref="S3:Z47" ca="1">IFERROR(INDIRECT(SUBSTITUTE("@@!U13:AB57","@@",S1)),"")</f>
        <v>Nama Siswa Kosong</v>
      </c>
      <c r="T3" t="str">
        <f ca="1"/>
        <v>Nama Siswa Kosong</v>
      </c>
      <c r="U3" t="str">
        <f ca="1"/>
        <v>Nama Siswa Kosong</v>
      </c>
      <c r="V3" t="str">
        <f ca="1"/>
        <v>Nama Siswa Kosong</v>
      </c>
      <c r="W3" t="str">
        <f ca="1"/>
        <v>Nama Siswa Kosong</v>
      </c>
      <c r="X3" t="str">
        <f ca="1"/>
        <v>Nama Siswa Kosong</v>
      </c>
      <c r="Y3" t="str">
        <f ca="1"/>
        <v>Nama Siswa Kosong</v>
      </c>
      <c r="Z3" t="str">
        <f ca="1"/>
        <v>Nama Siswa Kosong</v>
      </c>
      <c r="AA3" t="str" cm="1">
        <f t="array" aca="1" ref="AA3:AH47" ca="1">IFERROR(INDIRECT(SUBSTITUTE("@@!U13:AB57","@@",AA1)),"")</f>
        <v>Nama Siswa Kosong</v>
      </c>
      <c r="AB3" t="str">
        <f ca="1"/>
        <v>Nama Siswa Kosong</v>
      </c>
      <c r="AC3" t="str">
        <f ca="1"/>
        <v>Nama Siswa Kosong</v>
      </c>
      <c r="AD3" t="str">
        <f ca="1"/>
        <v>Nama Siswa Kosong</v>
      </c>
      <c r="AE3" t="str">
        <f ca="1"/>
        <v>Nama Siswa Kosong</v>
      </c>
      <c r="AF3" t="str">
        <f ca="1"/>
        <v>Nama Siswa Kosong</v>
      </c>
      <c r="AG3" t="str">
        <f ca="1"/>
        <v>Nama Siswa Kosong</v>
      </c>
      <c r="AH3" t="str">
        <f ca="1"/>
        <v>Nama Siswa Kosong</v>
      </c>
      <c r="AI3" t="str" cm="1">
        <f t="array" aca="1" ref="AI3:AP47" ca="1">IFERROR(INDIRECT(SUBSTITUTE("@@!U13:AB57","@@",AI1)),"")</f>
        <v>Nama Siswa Kosong</v>
      </c>
      <c r="AJ3" t="str">
        <f ca="1"/>
        <v>Nama Siswa Kosong</v>
      </c>
      <c r="AK3" t="str">
        <f ca="1"/>
        <v>Nama Siswa Kosong</v>
      </c>
      <c r="AL3" t="str">
        <f ca="1"/>
        <v>Nama Siswa Kosong</v>
      </c>
      <c r="AM3" t="str">
        <f ca="1"/>
        <v>Nama Siswa Kosong</v>
      </c>
      <c r="AN3" t="str">
        <f ca="1"/>
        <v>Nama Siswa Kosong</v>
      </c>
      <c r="AO3" t="str">
        <f ca="1"/>
        <v>Nama Siswa Kosong</v>
      </c>
      <c r="AP3" t="str">
        <f ca="1"/>
        <v>Nama Siswa Kosong</v>
      </c>
      <c r="AQ3" t="str" cm="1">
        <f t="array" aca="1" ref="AQ3:AX47" ca="1">IFERROR(INDIRECT(SUBSTITUTE("@@!U13:AB57","@@",AQ1)),"")</f>
        <v>Nama Siswa Kosong</v>
      </c>
      <c r="AR3" t="str">
        <f ca="1"/>
        <v>Nama Siswa Kosong</v>
      </c>
      <c r="AS3" t="str">
        <f ca="1"/>
        <v>Nama Siswa Kosong</v>
      </c>
      <c r="AT3" t="str">
        <f ca="1"/>
        <v>Nama Siswa Kosong</v>
      </c>
      <c r="AU3" t="str">
        <f ca="1"/>
        <v>Nama Siswa Kosong</v>
      </c>
      <c r="AV3" t="str">
        <f ca="1"/>
        <v>Nama Siswa Kosong</v>
      </c>
      <c r="AW3" t="str">
        <f ca="1"/>
        <v>Nama Siswa Kosong</v>
      </c>
      <c r="AX3" t="str">
        <f ca="1"/>
        <v>Nama Siswa Kosong</v>
      </c>
      <c r="AY3" s="109" t="str" cm="1">
        <f t="array" aca="1" ref="AY3:BF47" ca="1">IFERROR(INDIRECT(SUBSTITUTE("@@!U13:AB57","@@",AY1)),"")</f>
        <v>Nama Siswa Kosong</v>
      </c>
      <c r="AZ3" t="str">
        <f ca="1"/>
        <v>Nama Siswa Kosong</v>
      </c>
      <c r="BA3" t="str">
        <f ca="1"/>
        <v>Nama Siswa Kosong</v>
      </c>
      <c r="BB3" t="str">
        <f ca="1"/>
        <v>Nama Siswa Kosong</v>
      </c>
      <c r="BC3" t="str">
        <f ca="1"/>
        <v>Nama Siswa Kosong</v>
      </c>
      <c r="BD3" t="str">
        <f ca="1"/>
        <v>Nama Siswa Kosong</v>
      </c>
      <c r="BE3" t="str">
        <f ca="1"/>
        <v>Nama Siswa Kosong</v>
      </c>
      <c r="BF3" t="str">
        <f ca="1"/>
        <v>Nama Siswa Kosong</v>
      </c>
      <c r="BG3" t="str" cm="1">
        <f t="array" aca="1" ref="BG3:BN47" ca="1">IFERROR(INDIRECT(SUBSTITUTE("@@!U13:AB57","@@",BG1)),"")</f>
        <v>Nama Siswa Kosong</v>
      </c>
      <c r="BH3" t="str">
        <f ca="1"/>
        <v>Nama Siswa Kosong</v>
      </c>
      <c r="BI3" t="str">
        <f ca="1"/>
        <v>Nama Siswa Kosong</v>
      </c>
      <c r="BJ3" t="str">
        <f ca="1"/>
        <v>Nama Siswa Kosong</v>
      </c>
      <c r="BK3" t="str">
        <f ca="1"/>
        <v>Nama Siswa Kosong</v>
      </c>
      <c r="BL3" t="str">
        <f ca="1"/>
        <v>Nama Siswa Kosong</v>
      </c>
      <c r="BM3" t="str">
        <f ca="1"/>
        <v>Nama Siswa Kosong</v>
      </c>
      <c r="BN3" t="str">
        <f ca="1"/>
        <v>Nama Siswa Kosong</v>
      </c>
      <c r="BO3" t="str" cm="1">
        <f t="array" aca="1" ref="BO3:BV47" ca="1">IFERROR(INDIRECT(SUBSTITUTE("@@!U13:AB57","@@",BO1)),"")</f>
        <v>Nama Siswa Kosong</v>
      </c>
      <c r="BP3" t="str">
        <f ca="1"/>
        <v>Nama Siswa Kosong</v>
      </c>
      <c r="BQ3" t="str">
        <f ca="1"/>
        <v>Nama Siswa Kosong</v>
      </c>
      <c r="BR3" t="str">
        <f ca="1"/>
        <v>Nama Siswa Kosong</v>
      </c>
      <c r="BS3" t="str">
        <f ca="1"/>
        <v>Nama Siswa Kosong</v>
      </c>
      <c r="BT3" t="str">
        <f ca="1"/>
        <v>Nama Siswa Kosong</v>
      </c>
      <c r="BU3" t="str">
        <f ca="1"/>
        <v>Nama Siswa Kosong</v>
      </c>
      <c r="BV3" t="str">
        <f ca="1"/>
        <v>Nama Siswa Kosong</v>
      </c>
      <c r="BW3" t="str" cm="1">
        <f t="array" aca="1" ref="BW3:CD47" ca="1">IFERROR(INDIRECT(SUBSTITUTE("@@!U13:AB57","@@",BW1)),"")</f>
        <v>Nama Siswa Kosong</v>
      </c>
      <c r="BX3" t="str">
        <f ca="1"/>
        <v>Nama Siswa Kosong</v>
      </c>
      <c r="BY3" t="str">
        <f ca="1"/>
        <v>Nama Siswa Kosong</v>
      </c>
      <c r="BZ3" t="str">
        <f ca="1"/>
        <v>Nama Siswa Kosong</v>
      </c>
      <c r="CA3" t="str">
        <f ca="1"/>
        <v>Nama Siswa Kosong</v>
      </c>
      <c r="CB3" t="str">
        <f ca="1"/>
        <v>Nama Siswa Kosong</v>
      </c>
      <c r="CC3" t="str">
        <f ca="1"/>
        <v>Nama Siswa Kosong</v>
      </c>
      <c r="CD3" t="str">
        <f ca="1"/>
        <v>Nama Siswa Kosong</v>
      </c>
      <c r="CE3" t="str" cm="1">
        <f t="array" aca="1" ref="CE3:CL47" ca="1">IFERROR(INDIRECT(SUBSTITUTE("@@!U13:AB57","@@",CE1)),"")</f>
        <v>Nama Siswa Kosong</v>
      </c>
      <c r="CF3" t="str">
        <f ca="1"/>
        <v>Nama Siswa Kosong</v>
      </c>
      <c r="CG3" t="str">
        <f ca="1"/>
        <v>Nama Siswa Kosong</v>
      </c>
      <c r="CH3" t="str">
        <f ca="1"/>
        <v>Nama Siswa Kosong</v>
      </c>
      <c r="CI3" t="str">
        <f ca="1"/>
        <v>Nama Siswa Kosong</v>
      </c>
      <c r="CJ3" t="str">
        <f ca="1"/>
        <v>Nama Siswa Kosong</v>
      </c>
      <c r="CK3" t="str">
        <f ca="1"/>
        <v>Nama Siswa Kosong</v>
      </c>
      <c r="CL3" t="str">
        <f ca="1"/>
        <v>Nama Siswa Kosong</v>
      </c>
      <c r="CM3" t="str" cm="1">
        <f t="array" aca="1" ref="CM3:CT47" ca="1">IFERROR(INDIRECT(SUBSTITUTE("@@!U13:AB57","@@",CM1)),"")</f>
        <v>Nama Siswa Kosong</v>
      </c>
      <c r="CN3" t="str">
        <f ca="1"/>
        <v>Nama Siswa Kosong</v>
      </c>
      <c r="CO3" t="str">
        <f ca="1"/>
        <v>Nama Siswa Kosong</v>
      </c>
      <c r="CP3" t="str">
        <f ca="1"/>
        <v>Nama Siswa Kosong</v>
      </c>
      <c r="CQ3" t="str">
        <f ca="1"/>
        <v>Nama Siswa Kosong</v>
      </c>
      <c r="CR3" t="str">
        <f ca="1"/>
        <v>Nama Siswa Kosong</v>
      </c>
      <c r="CS3" t="str">
        <f ca="1"/>
        <v>Nama Siswa Kosong</v>
      </c>
      <c r="CT3" t="str">
        <f ca="1"/>
        <v>Nama Siswa Kosong</v>
      </c>
      <c r="CU3" t="str">
        <f>IF(ISBLANK(identitasMurid!D6),"",identitasMurid!D6)</f>
        <v/>
      </c>
      <c r="CV3" t="str">
        <f>IFERROR(IF(LEN($B3)=0,"",
IF(
AND(C3="Siswa Tidak Aktif",K3="Siswa Tidak Aktif",S3="Siswa Tidak Aktif",AA3="Siswa Tidak Aktif",AI3="Siswa Tidak Aktif",AQ3="Siswa Tidak Aktif"),"Siswa Tidak Aktif",
IF(
AND(OR(C3="Sudah terbiasa",C3="Siswa Tidak Aktif"),OR(K3="Sudah terbiasa",K3="Siswa Tidak Aktif"),OR(S3="Sudah terbiasa",S3="Siswa Tidak Aktif"),OR(AA3="Sudah terbiasa",AA3="Siswa Tidak Aktif"),OR(AI3="Sudah terbiasa",AI3="Siswa Tidak Aktif"),OR(AQ3="Sudah terbiasa",AQ3="Siswa Tidak Aktif")),"Sudah terbiasa",
IF(
AND(C3="Sudah terbiasa",K3="Sudah terbiasa",S3="Sudah terbiasa",AA3="Sudah terbiasa",AI3="Sudah terbiasa",AQ3="Sudah terbiasa"),"Sudah terbiasa",
IF(
AND(C3="Belum terbiasa",K3="Belum terbiasa",S3="Belum terbiasa",AA3="Belum terbiasa",AI3="Belum terbiasa",AQ3="Belum terbiasa"),"Belum terbiasa",
IF(
OR(C3="Status siswa kosong",K3="Status siswa kosong",S3="Status siswa kosong",AA3="Status siswa kosong",AI3="Status siswa kosong",AQ3="Status siswa kosong"),"Data belum lengkap","Belum terbiasa")))))),
"Data belum lengkap")</f>
        <v/>
      </c>
      <c r="CW3" t="str">
        <f t="shared" ref="CW3:CW47" si="0">IFERROR(IF(LEN($B3)=0,"",
IF(
AND(D3="Siswa Tidak Aktif",L3="Siswa Tidak Aktif",T3="Siswa Tidak Aktif",AB3="Siswa Tidak Aktif",AJ3="Siswa Tidak Aktif",AR3="Siswa Tidak Aktif"),"Siswa Tidak Aktif",
IF(
AND(OR(D3="Sudah terbiasa",D3="Siswa Tidak Aktif"),OR(L3="Sudah terbiasa",L3="Siswa Tidak Aktif"),OR(T3="Sudah terbiasa",T3="Siswa Tidak Aktif"),OR(AB3="Sudah terbiasa",AB3="Siswa Tidak Aktif"),OR(AJ3="Sudah terbiasa",AJ3="Siswa Tidak Aktif"),OR(AR3="Sudah terbiasa",AR3="Siswa Tidak Aktif")),"Sudah terbiasa",
IF(
AND(D3="Sudah terbiasa",L3="Sudah terbiasa",T3="Sudah terbiasa",AB3="Sudah terbiasa",AJ3="Sudah terbiasa",AR3="Sudah terbiasa"),"Sudah terbiasa",
IF(
AND(D3="Belum terbiasa",L3="Belum terbiasa",T3="Belum terbiasa",AB3="Belum terbiasa",AJ3="Belum terbiasa",AR3="Belum terbiasa"),"Belum terbiasa",
IF(
OR(D3="Status siswa kosong",L3="Status siswa kosong",T3="Status siswa kosong",AB3="Status siswa kosong",AJ3="Status siswa kosong",AR3="Status siswa kosong"),"Data belum lengkap","Belum terbiasa")))))),
"Data belum lengkap")</f>
        <v/>
      </c>
      <c r="CX3" t="str">
        <f t="shared" ref="CX3:CX47" si="1">IFERROR(IF(LEN($B3)=0,"",
IF(
AND(E3="Siswa Tidak Aktif",M3="Siswa Tidak Aktif",U3="Siswa Tidak Aktif",AC3="Siswa Tidak Aktif",AK3="Siswa Tidak Aktif",AS3="Siswa Tidak Aktif"),"Siswa Tidak Aktif",
IF(
AND(OR(E3="Sudah terbiasa",E3="Siswa Tidak Aktif"),OR(M3="Sudah terbiasa",M3="Siswa Tidak Aktif"),OR(U3="Sudah terbiasa",U3="Siswa Tidak Aktif"),OR(AC3="Sudah terbiasa",AC3="Siswa Tidak Aktif"),OR(AK3="Sudah terbiasa",AK3="Siswa Tidak Aktif"),OR(AS3="Sudah terbiasa",AS3="Siswa Tidak Aktif")),"Sudah terbiasa",
IF(
AND(E3="Sudah terbiasa",M3="Sudah terbiasa",U3="Sudah terbiasa",AC3="Sudah terbiasa",AK3="Sudah terbiasa",AS3="Sudah terbiasa"),"Sudah terbiasa",
IF(
AND(E3="Belum terbiasa",M3="Belum terbiasa",U3="Belum terbiasa",AC3="Belum terbiasa",AK3="Belum terbiasa",AS3="Belum terbiasa"),"Belum terbiasa",
IF(
OR(E3="Status siswa kosong",M3="Status siswa kosong",U3="Status siswa kosong",AC3="Status siswa kosong",AK3="Status siswa kosong",AS3="Status siswa kosong"),"Data belum lengkap","Belum terbiasa")))))),
"Data belum lengkap")</f>
        <v/>
      </c>
      <c r="CY3" t="str">
        <f t="shared" ref="CY3:CY47" si="2">IFERROR(IF(LEN($B3)=0,"",
IF(
AND(F3="Siswa Tidak Aktif",N3="Siswa Tidak Aktif",V3="Siswa Tidak Aktif",AD3="Siswa Tidak Aktif",AL3="Siswa Tidak Aktif",AT3="Siswa Tidak Aktif"),"Siswa Tidak Aktif",
IF(
AND(OR(F3="Sudah terbiasa",F3="Siswa Tidak Aktif"),OR(N3="Sudah terbiasa",N3="Siswa Tidak Aktif"),OR(V3="Sudah terbiasa",V3="Siswa Tidak Aktif"),OR(AD3="Sudah terbiasa",AD3="Siswa Tidak Aktif"),OR(AL3="Sudah terbiasa",AL3="Siswa Tidak Aktif"),OR(AT3="Sudah terbiasa",AT3="Siswa Tidak Aktif")),"Sudah terbiasa",
IF(
AND(F3="Sudah terbiasa",N3="Sudah terbiasa",V3="Sudah terbiasa",AD3="Sudah terbiasa",AL3="Sudah terbiasa",AT3="Sudah terbiasa"),"Sudah terbiasa",
IF(
AND(F3="Belum terbiasa",N3="Belum terbiasa",V3="Belum terbiasa",AD3="Belum terbiasa",AL3="Belum terbiasa",AT3="Belum terbiasa"),"Belum terbiasa",
IF(
OR(F3="Status siswa kosong",N3="Status siswa kosong",V3="Status siswa kosong",AD3="Status siswa kosong",AL3="Status siswa kosong",AT3="Status siswa kosong"),"Data belum lengkap","Belum terbiasa")))))),
"Data belum lengkap")</f>
        <v/>
      </c>
      <c r="CZ3" t="str">
        <f t="shared" ref="CZ3:CZ47" si="3">IFERROR(IF(LEN($B3)=0,"",
IF(
AND(G3="Siswa Tidak Aktif",O3="Siswa Tidak Aktif",W3="Siswa Tidak Aktif",AE3="Siswa Tidak Aktif",AM3="Siswa Tidak Aktif",AU3="Siswa Tidak Aktif"),"Siswa Tidak Aktif",
IF(
AND(OR(G3="Sudah terbiasa",G3="Siswa Tidak Aktif"),OR(O3="Sudah terbiasa",O3="Siswa Tidak Aktif"),OR(W3="Sudah terbiasa",W3="Siswa Tidak Aktif"),OR(AE3="Sudah terbiasa",AE3="Siswa Tidak Aktif"),OR(AM3="Sudah terbiasa",AM3="Siswa Tidak Aktif"),OR(AU3="Sudah terbiasa",AU3="Siswa Tidak Aktif")),"Sudah terbiasa",
IF(
AND(G3="Sudah terbiasa",O3="Sudah terbiasa",W3="Sudah terbiasa",AE3="Sudah terbiasa",AM3="Sudah terbiasa",AU3="Sudah terbiasa"),"Sudah terbiasa",
IF(
AND(G3="Belum terbiasa",O3="Belum terbiasa",W3="Belum terbiasa",AE3="Belum terbiasa",AM3="Belum terbiasa",AU3="Belum terbiasa"),"Belum terbiasa",
IF(
OR(G3="Status siswa kosong",O3="Status siswa kosong",W3="Status siswa kosong",AE3="Status siswa kosong",AM3="Status siswa kosong",AU3="Status siswa kosong"),"Data belum lengkap","Belum terbiasa")))))),
"Data belum lengkap")</f>
        <v/>
      </c>
      <c r="DA3" t="str">
        <f t="shared" ref="DA3:DA47" si="4">IFERROR(IF(LEN($B3)=0,"",
IF(
AND(H3="Siswa Tidak Aktif",P3="Siswa Tidak Aktif",X3="Siswa Tidak Aktif",AF3="Siswa Tidak Aktif",AN3="Siswa Tidak Aktif",AV3="Siswa Tidak Aktif"),"Siswa Tidak Aktif",
IF(
AND(OR(H3="Sudah terbiasa",H3="Siswa Tidak Aktif"),OR(P3="Sudah terbiasa",P3="Siswa Tidak Aktif"),OR(X3="Sudah terbiasa",X3="Siswa Tidak Aktif"),OR(AF3="Sudah terbiasa",AF3="Siswa Tidak Aktif"),OR(AN3="Sudah terbiasa",AN3="Siswa Tidak Aktif"),OR(AV3="Sudah terbiasa",AV3="Siswa Tidak Aktif")),"Sudah terbiasa",
IF(
AND(H3="Sudah terbiasa",P3="Sudah terbiasa",X3="Sudah terbiasa",AF3="Sudah terbiasa",AN3="Sudah terbiasa",AV3="Sudah terbiasa"),"Sudah terbiasa",
IF(
AND(H3="Belum terbiasa",P3="Belum terbiasa",X3="Belum terbiasa",AF3="Belum terbiasa",AN3="Belum terbiasa",AV3="Belum terbiasa"),"Belum terbiasa",
IF(
OR(H3="Status siswa kosong",P3="Status siswa kosong",X3="Status siswa kosong",AF3="Status siswa kosong",AN3="Status siswa kosong",AV3="Status siswa kosong"),"Data belum lengkap","Belum terbiasa")))))),
"Data belum lengkap")</f>
        <v/>
      </c>
      <c r="DB3" t="str">
        <f t="shared" ref="DB3:DB47" si="5">IFERROR(IF(LEN($B3)=0,"",
IF(
AND(I3="Siswa Tidak Aktif",Q3="Siswa Tidak Aktif",Y3="Siswa Tidak Aktif",AG3="Siswa Tidak Aktif",AO3="Siswa Tidak Aktif",AW3="Siswa Tidak Aktif"),"Siswa Tidak Aktif",
IF(
AND(OR(I3="Sudah terbiasa",I3="Siswa Tidak Aktif"),OR(Q3="Sudah terbiasa",Q3="Siswa Tidak Aktif"),OR(Y3="Sudah terbiasa",Y3="Siswa Tidak Aktif"),OR(AG3="Sudah terbiasa",AG3="Siswa Tidak Aktif"),OR(AO3="Sudah terbiasa",AO3="Siswa Tidak Aktif"),OR(AW3="Sudah terbiasa",AW3="Siswa Tidak Aktif")),"Sudah terbiasa",
IF(
AND(I3="Sudah terbiasa",Q3="Sudah terbiasa",Y3="Sudah terbiasa",AG3="Sudah terbiasa",AO3="Sudah terbiasa",AW3="Sudah terbiasa"),"Sudah terbiasa",
IF(
AND(I3="Belum terbiasa",Q3="Belum terbiasa",Y3="Belum terbiasa",AG3="Belum terbiasa",AO3="Belum terbiasa",AW3="Belum terbiasa"),"Belum terbiasa",
IF(
OR(I3="Status siswa kosong",Q3="Status siswa kosong",Y3="Status siswa kosong",AG3="Status siswa kosong",AO3="Status siswa kosong",AW3="Status siswa kosong"),"Data belum lengkap","Belum terbiasa")))))),
"Data belum lengkap")</f>
        <v/>
      </c>
      <c r="DC3" t="str">
        <f t="shared" ref="DC3:DC47" si="6">IFERROR(IF(LEN($B3)=0,"",
IF(
AND(J3="Siswa Tidak Aktif",R3="Siswa Tidak Aktif",Z3="Siswa Tidak Aktif",AH3="Siswa Tidak Aktif",AP3="Siswa Tidak Aktif",AX3="Siswa Tidak Aktif"),"Siswa Tidak Aktif",
IF(
AND(OR(J3="Sudah terbiasa",J3="Siswa Tidak Aktif"),OR(R3="Sudah terbiasa",R3="Siswa Tidak Aktif"),OR(Z3="Sudah terbiasa",Z3="Siswa Tidak Aktif"),OR(AH3="Sudah terbiasa",AH3="Siswa Tidak Aktif"),OR(AP3="Sudah terbiasa",AP3="Siswa Tidak Aktif"),OR(AX3="Sudah terbiasa",AX3="Siswa Tidak Aktif")),"Sudah terbiasa",
IF(
AND(J3="Sudah terbiasa",R3="Sudah terbiasa",Z3="Sudah terbiasa",AH3="Sudah terbiasa",AP3="Sudah terbiasa",AX3="Sudah terbiasa"),"Sudah terbiasa",
IF(
AND(J3="Belum terbiasa",R3="Belum terbiasa",Z3="Belum terbiasa",AH3="Belum terbiasa",AP3="Belum terbiasa",AX3="Belum terbiasa"),"Belum terbiasa",
IF(
OR(J3="Status siswa kosong",R3="Status siswa kosong",Z3="Status siswa kosong",AH3="Status siswa kosong",AP3="Status siswa kosong",AX3="Status siswa kosong"),"Data belum lengkap","Belum terbiasa")))))),
"Data belum lengkap")</f>
        <v/>
      </c>
      <c r="DD3" t="str">
        <f>IFERROR(IF(LEN($B3)=0,"",
IF(
AND(AY3="Siswa Tidak Aktif",BG3="Siswa Tidak Aktif",BO3="Siswa Tidak Aktif",BW3="Siswa Tidak Aktif",CE3="Siswa Tidak Aktif",CM3="Siswa Tidak Aktif"),"Siswa Tidak Aktif",
IF(
AND(OR(AY3="Sudah terbiasa",AY3="Siswa Tidak Aktif"),OR(BG3="Sudah terbiasa",BG3="Siswa Tidak Aktif"),OR(BO3="Sudah terbiasa",BO3="Siswa Tidak Aktif"),OR(BW3="Sudah terbiasa",BW3="Siswa Tidak Aktif"),OR(CE3="Sudah terbiasa",CE3="Siswa Tidak Aktif"),OR(CM3="Sudah terbiasa",CM3="Siswa Tidak Aktif")),"Sudah terbiasa",
IF(
AND(AY3="Sudah terbiasa",BG3="Sudah terbiasa",BO3="Sudah terbiasa",BW3="Sudah terbiasa",CE3="Sudah terbiasa",CM3="Sudah terbiasa"),"Sudah terbiasa",
IF(
OR(AY3="Belum terbiasa",BG3="Belum terbiasa",BO3="Belum terbiasa",BW3="Belum terbiasa",CE3="Belum terbiasa",CM3="Belum terbiasa"),"Belum terbiasa",
IF(
OR(AY3="Status siswa kosong",BG3="Status siswa kosong",BO3="Status siswa kosong",BW3="Status siswa kosong",CE3="Status siswa kosong",CM3="Status siswa kosong"),"Data belum lengkap","Belum terbiasa")))))),
"Data belum lengkap")</f>
        <v/>
      </c>
      <c r="DE3" t="str">
        <f t="shared" ref="DE3:DE47" si="7">IFERROR(IF(LEN($B3)=0,"",
IF(
AND(AZ3="Siswa Tidak Aktif",BH3="Siswa Tidak Aktif",BP3="Siswa Tidak Aktif",BX3="Siswa Tidak Aktif",CF3="Siswa Tidak Aktif",CN3="Siswa Tidak Aktif"),"Siswa Tidak Aktif",
IF(
AND(OR(AZ3="Sudah terbiasa",AZ3="Siswa Tidak Aktif"),OR(BH3="Sudah terbiasa",BH3="Siswa Tidak Aktif"),OR(BP3="Sudah terbiasa",BP3="Siswa Tidak Aktif"),OR(BX3="Sudah terbiasa",BX3="Siswa Tidak Aktif"),OR(CF3="Sudah terbiasa",CF3="Siswa Tidak Aktif"),OR(CN3="Sudah terbiasa",CN3="Siswa Tidak Aktif")),"Sudah terbiasa",
IF(
AND(AZ3="Sudah terbiasa",BH3="Sudah terbiasa",BP3="Sudah terbiasa",BX3="Sudah terbiasa",CF3="Sudah terbiasa",CN3="Sudah terbiasa"),"Sudah terbiasa",
IF(
OR(AZ3="Belum terbiasa",BH3="Belum terbiasa",BP3="Belum terbiasa",BX3="Belum terbiasa",CF3="Belum terbiasa",CN3="Belum terbiasa"),"Belum terbiasa",
IF(
OR(AZ3="Status siswa kosong",BH3="Status siswa kosong",BP3="Status siswa kosong",BX3="Status siswa kosong",CF3="Status siswa kosong",CN3="Status siswa kosong"),"Data belum lengkap","Belum terbiasa")))))),
"Data belum lengkap")</f>
        <v/>
      </c>
      <c r="DF3" t="str">
        <f t="shared" ref="DF3:DF47" si="8">IFERROR(IF(LEN($B3)=0,"",
IF(
AND(BA3="Siswa Tidak Aktif",BI3="Siswa Tidak Aktif",BQ3="Siswa Tidak Aktif",BY3="Siswa Tidak Aktif",CG3="Siswa Tidak Aktif",CO3="Siswa Tidak Aktif"),"Siswa Tidak Aktif",
IF(
AND(OR(BA3="Sudah terbiasa",BA3="Siswa Tidak Aktif"),OR(BI3="Sudah terbiasa",BI3="Siswa Tidak Aktif"),OR(BQ3="Sudah terbiasa",BQ3="Siswa Tidak Aktif"),OR(BY3="Sudah terbiasa",BY3="Siswa Tidak Aktif"),OR(CG3="Sudah terbiasa",CG3="Siswa Tidak Aktif"),OR(CO3="Sudah terbiasa",CO3="Siswa Tidak Aktif")),"Sudah terbiasa",
IF(
AND(BA3="Sudah terbiasa",BI3="Sudah terbiasa",BQ3="Sudah terbiasa",BY3="Sudah terbiasa",CG3="Sudah terbiasa",CO3="Sudah terbiasa"),"Sudah terbiasa",
IF(
OR(BA3="Belum terbiasa",BI3="Belum terbiasa",BQ3="Belum terbiasa",BY3="Belum terbiasa",CG3="Belum terbiasa",CO3="Belum terbiasa"),"Belum terbiasa",
IF(
OR(BA3="Status siswa kosong",BI3="Status siswa kosong",BQ3="Status siswa kosong",BY3="Status siswa kosong",CG3="Status siswa kosong",CO3="Status siswa kosong"),"Data belum lengkap","Belum terbiasa")))))),
"Data belum lengkap")</f>
        <v/>
      </c>
      <c r="DG3" t="str">
        <f t="shared" ref="DG3:DG47" si="9">IFERROR(IF(LEN($B3)=0,"",
IF(
AND(BB3="Siswa Tidak Aktif",BJ3="Siswa Tidak Aktif",BR3="Siswa Tidak Aktif",BZ3="Siswa Tidak Aktif",CH3="Siswa Tidak Aktif",CP3="Siswa Tidak Aktif"),"Siswa Tidak Aktif",
IF(
AND(OR(BB3="Sudah terbiasa",BB3="Siswa Tidak Aktif"),OR(BJ3="Sudah terbiasa",BJ3="Siswa Tidak Aktif"),OR(BR3="Sudah terbiasa",BR3="Siswa Tidak Aktif"),OR(BZ3="Sudah terbiasa",BZ3="Siswa Tidak Aktif"),OR(CH3="Sudah terbiasa",CH3="Siswa Tidak Aktif"),OR(CP3="Sudah terbiasa",CP3="Siswa Tidak Aktif")),"Sudah terbiasa",
IF(
AND(BB3="Sudah terbiasa",BJ3="Sudah terbiasa",BR3="Sudah terbiasa",BZ3="Sudah terbiasa",CH3="Sudah terbiasa",CP3="Sudah terbiasa"),"Sudah terbiasa",
IF(
OR(BB3="Belum terbiasa",BJ3="Belum terbiasa",BR3="Belum terbiasa",BZ3="Belum terbiasa",CH3="Belum terbiasa",CP3="Belum terbiasa"),"Belum terbiasa",
IF(
OR(BB3="Status siswa kosong",BJ3="Status siswa kosong",BR3="Status siswa kosong",BZ3="Status siswa kosong",CH3="Status siswa kosong",CP3="Status siswa kosong"),"Data belum lengkap","Belum terbiasa")))))),
"Data belum lengkap")</f>
        <v/>
      </c>
      <c r="DH3" t="str">
        <f t="shared" ref="DH3:DH47" si="10">IFERROR(IF(LEN($B3)=0,"",
IF(
AND(BC3="Siswa Tidak Aktif",BK3="Siswa Tidak Aktif",BS3="Siswa Tidak Aktif",CA3="Siswa Tidak Aktif",CI3="Siswa Tidak Aktif",CQ3="Siswa Tidak Aktif"),"Siswa Tidak Aktif",
IF(
AND(OR(BC3="Sudah terbiasa",BC3="Siswa Tidak Aktif"),OR(BK3="Sudah terbiasa",BK3="Siswa Tidak Aktif"),OR(BS3="Sudah terbiasa",BS3="Siswa Tidak Aktif"),OR(CA3="Sudah terbiasa",CA3="Siswa Tidak Aktif"),OR(CI3="Sudah terbiasa",CI3="Siswa Tidak Aktif"),OR(CQ3="Sudah terbiasa",CQ3="Siswa Tidak Aktif")),"Sudah terbiasa",
IF(
AND(BC3="Sudah terbiasa",BK3="Sudah terbiasa",BS3="Sudah terbiasa",CA3="Sudah terbiasa",CI3="Sudah terbiasa",CQ3="Sudah terbiasa"),"Sudah terbiasa",
IF(
OR(BC3="Belum terbiasa",BK3="Belum terbiasa",BS3="Belum terbiasa",CA3="Belum terbiasa",CI3="Belum terbiasa",CQ3="Belum terbiasa"),"Belum terbiasa",
IF(
OR(BC3="Status siswa kosong",BK3="Status siswa kosong",BS3="Status siswa kosong",CA3="Status siswa kosong",CI3="Status siswa kosong",CQ3="Status siswa kosong"),"Data belum lengkap","Belum terbiasa")))))),
"Data belum lengkap")</f>
        <v/>
      </c>
      <c r="DI3" t="str">
        <f t="shared" ref="DI3:DI47" si="11">IFERROR(IF(LEN($B3)=0,"",
IF(
AND(BD3="Siswa Tidak Aktif",BL3="Siswa Tidak Aktif",BT3="Siswa Tidak Aktif",CB3="Siswa Tidak Aktif",CJ3="Siswa Tidak Aktif",CR3="Siswa Tidak Aktif"),"Siswa Tidak Aktif",
IF(
AND(OR(BD3="Sudah terbiasa",BD3="Siswa Tidak Aktif"),OR(BL3="Sudah terbiasa",BL3="Siswa Tidak Aktif"),OR(BT3="Sudah terbiasa",BT3="Siswa Tidak Aktif"),OR(CB3="Sudah terbiasa",CB3="Siswa Tidak Aktif"),OR(CJ3="Sudah terbiasa",CJ3="Siswa Tidak Aktif"),OR(CR3="Sudah terbiasa",CR3="Siswa Tidak Aktif")),"Sudah terbiasa",
IF(
AND(BD3="Sudah terbiasa",BL3="Sudah terbiasa",BT3="Sudah terbiasa",CB3="Sudah terbiasa",CJ3="Sudah terbiasa",CR3="Sudah terbiasa"),"Sudah terbiasa",
IF(
OR(BD3="Belum terbiasa",BL3="Belum terbiasa",BT3="Belum terbiasa",CB3="Belum terbiasa",CJ3="Belum terbiasa",CR3="Belum terbiasa"),"Belum terbiasa",
IF(
OR(BD3="Status siswa kosong",BL3="Status siswa kosong",BT3="Status siswa kosong",CB3="Status siswa kosong",CJ3="Status siswa kosong",CR3="Status siswa kosong"),"Data belum lengkap","Belum terbiasa")))))),
"Data belum lengkap")</f>
        <v/>
      </c>
      <c r="DJ3" t="str">
        <f t="shared" ref="DJ3:DJ47" si="12">IFERROR(IF(LEN($B3)=0,"",
IF(
AND(BE3="Siswa Tidak Aktif",BM3="Siswa Tidak Aktif",BU3="Siswa Tidak Aktif",CC3="Siswa Tidak Aktif",CK3="Siswa Tidak Aktif",CS3="Siswa Tidak Aktif"),"Siswa Tidak Aktif",
IF(
AND(OR(BE3="Sudah terbiasa",BE3="Siswa Tidak Aktif"),OR(BM3="Sudah terbiasa",BM3="Siswa Tidak Aktif"),OR(BU3="Sudah terbiasa",BU3="Siswa Tidak Aktif"),OR(CC3="Sudah terbiasa",CC3="Siswa Tidak Aktif"),OR(CK3="Sudah terbiasa",CK3="Siswa Tidak Aktif"),OR(CS3="Sudah terbiasa",CS3="Siswa Tidak Aktif")),"Sudah terbiasa",
IF(
AND(BE3="Sudah terbiasa",BM3="Sudah terbiasa",BU3="Sudah terbiasa",CC3="Sudah terbiasa",CK3="Sudah terbiasa",CS3="Sudah terbiasa"),"Sudah terbiasa",
IF(
OR(BE3="Belum terbiasa",BM3="Belum terbiasa",BU3="Belum terbiasa",CC3="Belum terbiasa",CK3="Belum terbiasa",CS3="Belum terbiasa"),"Belum terbiasa",
IF(
OR(BE3="Status siswa kosong",BM3="Status siswa kosong",BU3="Status siswa kosong",CC3="Status siswa kosong",CK3="Status siswa kosong",CS3="Status siswa kosong"),"Data belum lengkap","Belum terbiasa")))))),
"Data belum lengkap")</f>
        <v/>
      </c>
      <c r="DK3" t="str">
        <f t="shared" ref="DK3:DK47" si="13">IFERROR(IF(LEN($B3)=0,"",
IF(
AND(BF3="Siswa Tidak Aktif",BN3="Siswa Tidak Aktif",BV3="Siswa Tidak Aktif",CD3="Siswa Tidak Aktif",CL3="Siswa Tidak Aktif",CT3="Siswa Tidak Aktif"),"Siswa Tidak Aktif",
IF(
AND(OR(BF3="Sudah terbiasa",BF3="Siswa Tidak Aktif"),OR(BN3="Sudah terbiasa",BN3="Siswa Tidak Aktif"),OR(BV3="Sudah terbiasa",BV3="Siswa Tidak Aktif"),OR(CD3="Sudah terbiasa",CD3="Siswa Tidak Aktif"),OR(CL3="Sudah terbiasa",CL3="Siswa Tidak Aktif"),OR(CT3="Sudah terbiasa",CT3="Siswa Tidak Aktif")),"Sudah terbiasa",
IF(
AND(BF3="Sudah terbiasa",BN3="Sudah terbiasa",BV3="Sudah terbiasa",CD3="Sudah terbiasa",CL3="Sudah terbiasa",CT3="Sudah terbiasa"),"Sudah terbiasa",
IF(
OR(BF3="Belum terbiasa",BN3="Belum terbiasa",BV3="Belum terbiasa",CD3="Belum terbiasa",CL3="Belum terbiasa",CT3="Belum terbiasa"),"Belum terbiasa",
IF(
OR(BF3="Status siswa kosong",BN3="Status siswa kosong",BV3="Status siswa kosong",CD3="Status siswa kosong",CL3="Status siswa kosong",CT3="Status siswa kosong"),"Data belum lengkap","Belum terbiasa")))))),
"Data belum lengkap")</f>
        <v/>
      </c>
      <c r="DL3" t="str">
        <f>IFERROR(IF(LEN($B3)=0,"",
IF(
AND(C3="Siswa Tidak Aktif",K3="Siswa Tidak Aktif",S3="Siswa Tidak Aktif",AA3="Siswa Tidak Aktif",AI3="Siswa Tidak Aktif",AQ3="Siswa Tidak Aktif",AY3="Siswa Tidak Aktif",BG3="Siswa Tidak Aktif",BO3="Siswa Tidak Aktif",BW3="Siswa Tidak Aktif",CE3="Siswa Tidak Aktif",CM3="Siswa Tidak Aktif"),"Siswa Tidak Aktif",
IF(
AND(OR(C3="Sudah terbiasa",C3="Siswa Tidak Aktif"),OR(K3="Sudah terbiasa",K3="Siswa Tidak Aktif"),OR(S3="Sudah terbiasa",S3="Siswa Tidak Aktif"),OR(AA3="Sudah terbiasa",AA3="Siswa Tidak Aktif"),OR(AI3="Sudah terbiasa",AI3="Siswa Tidak Aktif"),OR(AQ3="Sudah terbiasa",AQ3="Siswa Tidak Aktif"),OR(AY3="Sudah terbiasa",AY3="Siswa Tidak Aktif"),OR(BG3="Sudah terbiasa",BG3="Siswa Tidak Aktif"),OR(BO3="Sudah terbiasa",BO3="Siswa Tidak Aktif"),OR(BW3="Sudah terbiasa",BW3="Siswa Tidak Aktif"),OR(CE3="Sudah terbiasa",CE3="Siswa Tidak Aktif"),OR(CM3="Sudah terbiasa",CM3="Siswa Tidak Aktif")),"Sudah terbiasa",
IF(
AND(C3="Sudah terbiasa",K3="Sudah terbiasa",S3="Sudah terbiasa",AA3="Sudah terbiasa",AI3="Sudah terbiasa",AQ3="Sudah terbiasa",AY3="Sudah terbiasa",BG3="Sudah terbiasa",BO3="Sudah terbiasa",BW3="Sudah terbiasa",CE3="Sudah terbiasa",CM3="Sudah terbiasa"),"Sudah terbiasa",
IF(
OR(C3="Status siswa kosong",K3="Status siswa kosong",S3="Status siswa kosong",AA3="Status siswa kosong",AI3="Status siswa kosong",AQ3="Status siswa kosong",AY3="Status siswa kosong",BG3="Status siswa kosong",BO3="Status siswa kosong",BW3="Status siswa kosong",CE3="Status siswa kosong",CM3="Status siswa kosong"),"Data belum lengkap",
IF(
OR(C3="Belum terbiasa",K3="Belum terbiasa",S3="Belum terbiasa",AA3="Belum terbiasa",AI3="Belum terbiasa",AQ3="Belum terbiasa",AY3="Belum terbiasa",BG3="Belum terbiasa",BO3="Belum terbiasa",BW3="Belum terbiasa",CE3="Belum terbiasa",CM3="Belum terbiasa"),"Belum terbiasa","Belum terbiasa"
)))))),
"Data belum lengkap")</f>
        <v/>
      </c>
      <c r="DM3" t="str">
        <f t="shared" ref="DM3:DM47" si="14">IFERROR(IF(LEN($B3)=0,"",
IF(
AND(D3="Siswa Tidak Aktif",L3="Siswa Tidak Aktif",T3="Siswa Tidak Aktif",AB3="Siswa Tidak Aktif",AJ3="Siswa Tidak Aktif",AR3="Siswa Tidak Aktif",AZ3="Siswa Tidak Aktif",BH3="Siswa Tidak Aktif",BP3="Siswa Tidak Aktif",BX3="Siswa Tidak Aktif",CF3="Siswa Tidak Aktif",CN3="Siswa Tidak Aktif"),"Siswa Tidak Aktif",
IF(
AND(OR(D3="Sudah terbiasa",D3="Siswa Tidak Aktif"),OR(L3="Sudah terbiasa",L3="Siswa Tidak Aktif"),OR(T3="Sudah terbiasa",T3="Siswa Tidak Aktif"),OR(AB3="Sudah terbiasa",AB3="Siswa Tidak Aktif"),OR(AJ3="Sudah terbiasa",AJ3="Siswa Tidak Aktif"),OR(AR3="Sudah terbiasa",AR3="Siswa Tidak Aktif"),OR(AZ3="Sudah terbiasa",AZ3="Siswa Tidak Aktif"),OR(BH3="Sudah terbiasa",BH3="Siswa Tidak Aktif"),OR(BP3="Sudah terbiasa",BP3="Siswa Tidak Aktif"),OR(BX3="Sudah terbiasa",BX3="Siswa Tidak Aktif"),OR(CF3="Sudah terbiasa",CF3="Siswa Tidak Aktif"),OR(CN3="Sudah terbiasa",CN3="Siswa Tidak Aktif")),"Sudah terbiasa",
IF(
AND(D3="Sudah terbiasa",L3="Sudah terbiasa",T3="Sudah terbiasa",AB3="Sudah terbiasa",AJ3="Sudah terbiasa",AR3="Sudah terbiasa",AZ3="Sudah terbiasa",BH3="Sudah terbiasa",BP3="Sudah terbiasa",BX3="Sudah terbiasa",CF3="Sudah terbiasa",CN3="Sudah terbiasa"),"Sudah terbiasa",
IF(
OR(D3="Status siswa kosong",L3="Status siswa kosong",T3="Status siswa kosong",AB3="Status siswa kosong",AJ3="Status siswa kosong",AR3="Status siswa kosong",AZ3="Status siswa kosong",BH3="Status siswa kosong",BP3="Status siswa kosong",BX3="Status siswa kosong",CF3="Status siswa kosong",CN3="Status siswa kosong"),"Data belum lengkap",
IF(
OR(D3="Belum terbiasa",L3="Belum terbiasa",T3="Belum terbiasa",AB3="Belum terbiasa",AJ3="Belum terbiasa",AR3="Belum terbiasa",AZ3="Belum terbiasa",BH3="Belum terbiasa",BP3="Belum terbiasa",BX3="Belum terbiasa",CF3="Belum terbiasa",CN3="Belum terbiasa"),"Belum terbiasa","Belum terbiasa"
)))))),
"Data belum lengkap")</f>
        <v/>
      </c>
      <c r="DN3" t="str">
        <f t="shared" ref="DN3:DN47" si="15">IFERROR(IF(LEN($B3)=0,"",
IF(
AND(E3="Siswa Tidak Aktif",M3="Siswa Tidak Aktif",U3="Siswa Tidak Aktif",AC3="Siswa Tidak Aktif",AK3="Siswa Tidak Aktif",AS3="Siswa Tidak Aktif",BA3="Siswa Tidak Aktif",BI3="Siswa Tidak Aktif",BQ3="Siswa Tidak Aktif",BY3="Siswa Tidak Aktif",CG3="Siswa Tidak Aktif",CO3="Siswa Tidak Aktif"),"Siswa Tidak Aktif",
IF(
AND(OR(E3="Sudah terbiasa",E3="Siswa Tidak Aktif"),OR(M3="Sudah terbiasa",M3="Siswa Tidak Aktif"),OR(U3="Sudah terbiasa",U3="Siswa Tidak Aktif"),OR(AC3="Sudah terbiasa",AC3="Siswa Tidak Aktif"),OR(AK3="Sudah terbiasa",AK3="Siswa Tidak Aktif"),OR(AS3="Sudah terbiasa",AS3="Siswa Tidak Aktif"),OR(BA3="Sudah terbiasa",BA3="Siswa Tidak Aktif"),OR(BI3="Sudah terbiasa",BI3="Siswa Tidak Aktif"),OR(BQ3="Sudah terbiasa",BQ3="Siswa Tidak Aktif"),OR(BY3="Sudah terbiasa",BY3="Siswa Tidak Aktif"),OR(CG3="Sudah terbiasa",CG3="Siswa Tidak Aktif"),OR(CO3="Sudah terbiasa",CO3="Siswa Tidak Aktif")),"Sudah terbiasa",
IF(
AND(E3="Sudah terbiasa",M3="Sudah terbiasa",U3="Sudah terbiasa",AC3="Sudah terbiasa",AK3="Sudah terbiasa",AS3="Sudah terbiasa",BA3="Sudah terbiasa",BI3="Sudah terbiasa",BQ3="Sudah terbiasa",BY3="Sudah terbiasa",CG3="Sudah terbiasa",CO3="Sudah terbiasa"),"Sudah terbiasa",
IF(
OR(E3="Status siswa kosong",M3="Status siswa kosong",U3="Status siswa kosong",AC3="Status siswa kosong",AK3="Status siswa kosong",AS3="Status siswa kosong",BA3="Status siswa kosong",BI3="Status siswa kosong",BQ3="Status siswa kosong",BY3="Status siswa kosong",CG3="Status siswa kosong",CO3="Status siswa kosong"),"Data belum lengkap",
IF(
OR(E3="Belum terbiasa",M3="Belum terbiasa",U3="Belum terbiasa",AC3="Belum terbiasa",AK3="Belum terbiasa",AS3="Belum terbiasa",BA3="Belum terbiasa",BI3="Belum terbiasa",BQ3="Belum terbiasa",BY3="Belum terbiasa",CG3="Belum terbiasa",CO3="Belum terbiasa"),"Belum terbiasa","Belum terbiasa"
)))))),
"Data belum lengkap")</f>
        <v/>
      </c>
      <c r="DO3" t="str">
        <f t="shared" ref="DO3:DO47" si="16">IFERROR(IF(LEN($B3)=0,"",
IF(
AND(F3="Siswa Tidak Aktif",N3="Siswa Tidak Aktif",V3="Siswa Tidak Aktif",AD3="Siswa Tidak Aktif",AL3="Siswa Tidak Aktif",AT3="Siswa Tidak Aktif",BB3="Siswa Tidak Aktif",BJ3="Siswa Tidak Aktif",BR3="Siswa Tidak Aktif",BZ3="Siswa Tidak Aktif",CH3="Siswa Tidak Aktif",CP3="Siswa Tidak Aktif"),"Siswa Tidak Aktif",
IF(
AND(OR(F3="Sudah terbiasa",F3="Siswa Tidak Aktif"),OR(N3="Sudah terbiasa",N3="Siswa Tidak Aktif"),OR(V3="Sudah terbiasa",V3="Siswa Tidak Aktif"),OR(AD3="Sudah terbiasa",AD3="Siswa Tidak Aktif"),OR(AL3="Sudah terbiasa",AL3="Siswa Tidak Aktif"),OR(AT3="Sudah terbiasa",AT3="Siswa Tidak Aktif"),OR(BB3="Sudah terbiasa",BB3="Siswa Tidak Aktif"),OR(BJ3="Sudah terbiasa",BJ3="Siswa Tidak Aktif"),OR(BR3="Sudah terbiasa",BR3="Siswa Tidak Aktif"),OR(BZ3="Sudah terbiasa",BZ3="Siswa Tidak Aktif"),OR(CH3="Sudah terbiasa",CH3="Siswa Tidak Aktif"),OR(CP3="Sudah terbiasa",CP3="Siswa Tidak Aktif")),"Sudah terbiasa",
IF(
AND(F3="Sudah terbiasa",N3="Sudah terbiasa",V3="Sudah terbiasa",AD3="Sudah terbiasa",AL3="Sudah terbiasa",AT3="Sudah terbiasa",BB3="Sudah terbiasa",BJ3="Sudah terbiasa",BR3="Sudah terbiasa",BZ3="Sudah terbiasa",CH3="Sudah terbiasa",CP3="Sudah terbiasa"),"Sudah terbiasa",
IF(
OR(F3="Status siswa kosong",N3="Status siswa kosong",V3="Status siswa kosong",AD3="Status siswa kosong",AL3="Status siswa kosong",AT3="Status siswa kosong",BB3="Status siswa kosong",BJ3="Status siswa kosong",BR3="Status siswa kosong",BZ3="Status siswa kosong",CH3="Status siswa kosong",CP3="Status siswa kosong"),"Data belum lengkap",
IF(
OR(F3="Belum terbiasa",N3="Belum terbiasa",V3="Belum terbiasa",AD3="Belum terbiasa",AL3="Belum terbiasa",AT3="Belum terbiasa",BB3="Belum terbiasa",BJ3="Belum terbiasa",BR3="Belum terbiasa",BZ3="Belum terbiasa",CH3="Belum terbiasa",CP3="Belum terbiasa"),"Belum terbiasa","Belum terbiasa"
)))))),
"Data belum lengkap")</f>
        <v/>
      </c>
      <c r="DP3" t="str">
        <f t="shared" ref="DP3:DP47" si="17">IFERROR(IF(LEN($B3)=0,"",
IF(
AND(G3="Siswa Tidak Aktif",O3="Siswa Tidak Aktif",W3="Siswa Tidak Aktif",AE3="Siswa Tidak Aktif",AM3="Siswa Tidak Aktif",AU3="Siswa Tidak Aktif",BC3="Siswa Tidak Aktif",BK3="Siswa Tidak Aktif",BS3="Siswa Tidak Aktif",CA3="Siswa Tidak Aktif",CI3="Siswa Tidak Aktif",CQ3="Siswa Tidak Aktif"),"Siswa Tidak Aktif",
IF(
AND(OR(G3="Sudah terbiasa",G3="Siswa Tidak Aktif"),OR(O3="Sudah terbiasa",O3="Siswa Tidak Aktif"),OR(W3="Sudah terbiasa",W3="Siswa Tidak Aktif"),OR(AE3="Sudah terbiasa",AE3="Siswa Tidak Aktif"),OR(AM3="Sudah terbiasa",AM3="Siswa Tidak Aktif"),OR(AU3="Sudah terbiasa",AU3="Siswa Tidak Aktif"),OR(BC3="Sudah terbiasa",BC3="Siswa Tidak Aktif"),OR(BK3="Sudah terbiasa",BK3="Siswa Tidak Aktif"),OR(BS3="Sudah terbiasa",BS3="Siswa Tidak Aktif"),OR(CA3="Sudah terbiasa",CA3="Siswa Tidak Aktif"),OR(CI3="Sudah terbiasa",CI3="Siswa Tidak Aktif"),OR(CQ3="Sudah terbiasa",CQ3="Siswa Tidak Aktif")),"Sudah terbiasa",
IF(
AND(G3="Sudah terbiasa",O3="Sudah terbiasa",W3="Sudah terbiasa",AE3="Sudah terbiasa",AM3="Sudah terbiasa",AU3="Sudah terbiasa",BC3="Sudah terbiasa",BK3="Sudah terbiasa",BS3="Sudah terbiasa",CA3="Sudah terbiasa",CI3="Sudah terbiasa",CQ3="Sudah terbiasa"),"Sudah terbiasa",
IF(
OR(G3="Status siswa kosong",O3="Status siswa kosong",W3="Status siswa kosong",AE3="Status siswa kosong",AM3="Status siswa kosong",AU3="Status siswa kosong",BC3="Status siswa kosong",BK3="Status siswa kosong",BS3="Status siswa kosong",CA3="Status siswa kosong",CI3="Status siswa kosong",CQ3="Status siswa kosong"),"Data belum lengkap",
IF(
OR(G3="Belum terbiasa",O3="Belum terbiasa",W3="Belum terbiasa",AE3="Belum terbiasa",AM3="Belum terbiasa",AU3="Belum terbiasa",BC3="Belum terbiasa",BK3="Belum terbiasa",BS3="Belum terbiasa",CA3="Belum terbiasa",CI3="Belum terbiasa",CQ3="Belum terbiasa"),"Belum terbiasa","Belum terbiasa"
)))))),
"Data belum lengkap")</f>
        <v/>
      </c>
      <c r="DQ3" t="str">
        <f t="shared" ref="DQ3:DQ47" si="18">IFERROR(IF(LEN($B3)=0,"",
IF(
AND(H3="Siswa Tidak Aktif",P3="Siswa Tidak Aktif",X3="Siswa Tidak Aktif",AF3="Siswa Tidak Aktif",AN3="Siswa Tidak Aktif",AV3="Siswa Tidak Aktif",BD3="Siswa Tidak Aktif",BL3="Siswa Tidak Aktif",BT3="Siswa Tidak Aktif",CB3="Siswa Tidak Aktif",CJ3="Siswa Tidak Aktif",CR3="Siswa Tidak Aktif"),"Siswa Tidak Aktif",
IF(
AND(OR(H3="Sudah terbiasa",H3="Siswa Tidak Aktif"),OR(P3="Sudah terbiasa",P3="Siswa Tidak Aktif"),OR(X3="Sudah terbiasa",X3="Siswa Tidak Aktif"),OR(AF3="Sudah terbiasa",AF3="Siswa Tidak Aktif"),OR(AN3="Sudah terbiasa",AN3="Siswa Tidak Aktif"),OR(AV3="Sudah terbiasa",AV3="Siswa Tidak Aktif"),OR(BD3="Sudah terbiasa",BD3="Siswa Tidak Aktif"),OR(BL3="Sudah terbiasa",BL3="Siswa Tidak Aktif"),OR(BT3="Sudah terbiasa",BT3="Siswa Tidak Aktif"),OR(CB3="Sudah terbiasa",CB3="Siswa Tidak Aktif"),OR(CJ3="Sudah terbiasa",CJ3="Siswa Tidak Aktif"),OR(CR3="Sudah terbiasa",CR3="Siswa Tidak Aktif")),"Sudah terbiasa",
IF(
AND(H3="Sudah terbiasa",P3="Sudah terbiasa",X3="Sudah terbiasa",AF3="Sudah terbiasa",AN3="Sudah terbiasa",AV3="Sudah terbiasa",BD3="Sudah terbiasa",BL3="Sudah terbiasa",BT3="Sudah terbiasa",CB3="Sudah terbiasa",CJ3="Sudah terbiasa",CR3="Sudah terbiasa"),"Sudah terbiasa",
IF(
OR(H3="Status siswa kosong",P3="Status siswa kosong",X3="Status siswa kosong",AF3="Status siswa kosong",AN3="Status siswa kosong",AV3="Status siswa kosong",BD3="Status siswa kosong",BL3="Status siswa kosong",BT3="Status siswa kosong",CB3="Status siswa kosong",CJ3="Status siswa kosong",CR3="Status siswa kosong"),"Data belum lengkap",
IF(
OR(H3="Belum terbiasa",P3="Belum terbiasa",X3="Belum terbiasa",AF3="Belum terbiasa",AN3="Belum terbiasa",AV3="Belum terbiasa",BD3="Belum terbiasa",BL3="Belum terbiasa",BT3="Belum terbiasa",CB3="Belum terbiasa",CJ3="Belum terbiasa",CR3="Belum terbiasa"),"Belum terbiasa","Belum terbiasa"
)))))),
"Data belum lengkap")</f>
        <v/>
      </c>
      <c r="DR3" t="str">
        <f t="shared" ref="DR3:DR47" si="19">IFERROR(IF(LEN($B3)=0,"",
IF(
AND(I3="Siswa Tidak Aktif",Q3="Siswa Tidak Aktif",Y3="Siswa Tidak Aktif",AG3="Siswa Tidak Aktif",AO3="Siswa Tidak Aktif",AW3="Siswa Tidak Aktif",BE3="Siswa Tidak Aktif",BM3="Siswa Tidak Aktif",BU3="Siswa Tidak Aktif",CC3="Siswa Tidak Aktif",CK3="Siswa Tidak Aktif",CS3="Siswa Tidak Aktif"),"Siswa Tidak Aktif",
IF(
AND(OR(I3="Sudah terbiasa",I3="Siswa Tidak Aktif"),OR(Q3="Sudah terbiasa",Q3="Siswa Tidak Aktif"),OR(Y3="Sudah terbiasa",Y3="Siswa Tidak Aktif"),OR(AG3="Sudah terbiasa",AG3="Siswa Tidak Aktif"),OR(AO3="Sudah terbiasa",AO3="Siswa Tidak Aktif"),OR(AW3="Sudah terbiasa",AW3="Siswa Tidak Aktif"),OR(BE3="Sudah terbiasa",BE3="Siswa Tidak Aktif"),OR(BM3="Sudah terbiasa",BM3="Siswa Tidak Aktif"),OR(BU3="Sudah terbiasa",BU3="Siswa Tidak Aktif"),OR(CC3="Sudah terbiasa",CC3="Siswa Tidak Aktif"),OR(CK3="Sudah terbiasa",CK3="Siswa Tidak Aktif"),OR(CS3="Sudah terbiasa",CS3="Siswa Tidak Aktif")),"Sudah terbiasa",
IF(
AND(I3="Sudah terbiasa",Q3="Sudah terbiasa",Y3="Sudah terbiasa",AG3="Sudah terbiasa",AO3="Sudah terbiasa",AW3="Sudah terbiasa",BE3="Sudah terbiasa",BM3="Sudah terbiasa",BU3="Sudah terbiasa",CC3="Sudah terbiasa",CK3="Sudah terbiasa",CS3="Sudah terbiasa"),"Sudah terbiasa",
IF(
OR(I3="Status siswa kosong",Q3="Status siswa kosong",Y3="Status siswa kosong",AG3="Status siswa kosong",AO3="Status siswa kosong",AW3="Status siswa kosong",BE3="Status siswa kosong",BM3="Status siswa kosong",BU3="Status siswa kosong",CC3="Status siswa kosong",CK3="Status siswa kosong",CS3="Status siswa kosong"),"Data belum lengkap",
IF(
OR(I3="Belum terbiasa",Q3="Belum terbiasa",Y3="Belum terbiasa",AG3="Belum terbiasa",AO3="Belum terbiasa",AW3="Belum terbiasa",BE3="Belum terbiasa",BM3="Belum terbiasa",BU3="Belum terbiasa",CC3="Belum terbiasa",CK3="Belum terbiasa",CS3="Belum terbiasa"),"Belum terbiasa","Belum terbiasa"
)))))),
"Data belum lengkap")</f>
        <v/>
      </c>
      <c r="DS3" t="str">
        <f t="shared" ref="DS3:DS47" si="20">IFERROR(IF(LEN($B3)=0,"",
IF(
AND(J3="Siswa Tidak Aktif",R3="Siswa Tidak Aktif",Z3="Siswa Tidak Aktif",AH3="Siswa Tidak Aktif",AP3="Siswa Tidak Aktif",AX3="Siswa Tidak Aktif",BF3="Siswa Tidak Aktif",BN3="Siswa Tidak Aktif",BV3="Siswa Tidak Aktif",CD3="Siswa Tidak Aktif",CL3="Siswa Tidak Aktif",CT3="Siswa Tidak Aktif"),"Siswa Tidak Aktif",
IF(
AND(OR(J3="Sudah terbiasa",J3="Siswa Tidak Aktif"),OR(R3="Sudah terbiasa",R3="Siswa Tidak Aktif"),OR(Z3="Sudah terbiasa",Z3="Siswa Tidak Aktif"),OR(AH3="Sudah terbiasa",AH3="Siswa Tidak Aktif"),OR(AP3="Sudah terbiasa",AP3="Siswa Tidak Aktif"),OR(AX3="Sudah terbiasa",AX3="Siswa Tidak Aktif"),OR(BF3="Sudah terbiasa",BF3="Siswa Tidak Aktif"),OR(BN3="Sudah terbiasa",BN3="Siswa Tidak Aktif"),OR(BV3="Sudah terbiasa",BV3="Siswa Tidak Aktif"),OR(CD3="Sudah terbiasa",CD3="Siswa Tidak Aktif"),OR(CL3="Sudah terbiasa",CL3="Siswa Tidak Aktif"),OR(CT3="Sudah terbiasa",CT3="Siswa Tidak Aktif")),"Sudah terbiasa",
IF(
AND(J3="Sudah terbiasa",R3="Sudah terbiasa",Z3="Sudah terbiasa",AH3="Sudah terbiasa",AP3="Sudah terbiasa",AX3="Sudah terbiasa",BF3="Sudah terbiasa",BN3="Sudah terbiasa",BV3="Sudah terbiasa",CD3="Sudah terbiasa",CL3="Sudah terbiasa",CT3="Sudah terbiasa"),"Sudah terbiasa",
IF(
OR(J3="Status siswa kosong",R3="Status siswa kosong",Z3="Status siswa kosong",AH3="Status siswa kosong",AP3="Status siswa kosong",AX3="Status siswa kosong",BF3="Status siswa kosong",BN3="Status siswa kosong",BV3="Status siswa kosong",CD3="Status siswa kosong",CL3="Status siswa kosong",CT3="Status siswa kosong"),"Data belum lengkap",
IF(
OR(J3="Belum terbiasa",R3="Belum terbiasa",Z3="Belum terbiasa",AH3="Belum terbiasa",AP3="Belum terbiasa",AX3="Belum terbiasa",BF3="Belum terbiasa",BN3="Belum terbiasa",BV3="Belum terbiasa",CD3="Belum terbiasa",CL3="Belum terbiasa",CT3="Belum terbiasa"),"Belum terbiasa","Belum terbiasa"
)))))),
"Data belum lengkap")</f>
        <v/>
      </c>
      <c r="EF3" s="114" t="str" cm="1">
        <f t="array" aca="1" ref="EF3:EF47" ca="1">INDIRECT(ADDRESS(3,COLUMN('12Month'!CV1))&amp;":"&amp;ADDRESS(47,COLUMN('12Month'!CV1)))</f>
        <v/>
      </c>
      <c r="ER3" s="114"/>
    </row>
    <row r="4" spans="1:154" hidden="1" x14ac:dyDescent="0.3">
      <c r="A4" t="str">
        <f>IF(ROW(A2)&lt;=profilKelas!$F$14,ROW(A2),"")</f>
        <v/>
      </c>
      <c r="B4" t="str">
        <f>IF(ISBLANK(identitasMurid!C7),"",identitasMurid!C7)</f>
        <v/>
      </c>
      <c r="C4" t="str">
        <f ca="1"/>
        <v/>
      </c>
      <c r="D4" t="str">
        <f ca="1"/>
        <v/>
      </c>
      <c r="E4" t="str">
        <f ca="1"/>
        <v/>
      </c>
      <c r="F4" t="str">
        <f ca="1"/>
        <v/>
      </c>
      <c r="G4" t="str">
        <f ca="1"/>
        <v/>
      </c>
      <c r="H4" t="str">
        <f ca="1"/>
        <v/>
      </c>
      <c r="I4" t="str">
        <f ca="1"/>
        <v/>
      </c>
      <c r="J4" t="str">
        <f ca="1"/>
        <v/>
      </c>
      <c r="K4" t="str">
        <f ca="1"/>
        <v/>
      </c>
      <c r="L4" t="str">
        <f ca="1"/>
        <v/>
      </c>
      <c r="M4" t="str">
        <f ca="1"/>
        <v/>
      </c>
      <c r="N4" t="str">
        <f ca="1"/>
        <v/>
      </c>
      <c r="O4" t="str">
        <f ca="1"/>
        <v/>
      </c>
      <c r="P4" t="str">
        <f ca="1"/>
        <v/>
      </c>
      <c r="Q4" t="str">
        <f ca="1"/>
        <v/>
      </c>
      <c r="R4" t="str">
        <f ca="1"/>
        <v/>
      </c>
      <c r="S4" t="str">
        <f ca="1"/>
        <v/>
      </c>
      <c r="T4" t="str">
        <f ca="1"/>
        <v/>
      </c>
      <c r="U4" t="str">
        <f ca="1"/>
        <v/>
      </c>
      <c r="V4" t="str">
        <f ca="1"/>
        <v/>
      </c>
      <c r="W4" t="str">
        <f ca="1"/>
        <v/>
      </c>
      <c r="X4" t="str">
        <f ca="1"/>
        <v/>
      </c>
      <c r="Y4" t="str">
        <f ca="1"/>
        <v/>
      </c>
      <c r="Z4" t="str">
        <f ca="1"/>
        <v/>
      </c>
      <c r="AA4" t="str">
        <f ca="1"/>
        <v/>
      </c>
      <c r="AB4" t="str">
        <f ca="1"/>
        <v/>
      </c>
      <c r="AC4" t="str">
        <f ca="1"/>
        <v/>
      </c>
      <c r="AD4" t="str">
        <f ca="1"/>
        <v/>
      </c>
      <c r="AE4" t="str">
        <f ca="1"/>
        <v/>
      </c>
      <c r="AF4" t="str">
        <f ca="1"/>
        <v/>
      </c>
      <c r="AG4" t="str">
        <f ca="1"/>
        <v/>
      </c>
      <c r="AH4" t="str">
        <f ca="1"/>
        <v/>
      </c>
      <c r="AI4" t="str">
        <f ca="1"/>
        <v/>
      </c>
      <c r="AJ4" t="str">
        <f ca="1"/>
        <v/>
      </c>
      <c r="AK4" t="str">
        <f ca="1"/>
        <v/>
      </c>
      <c r="AL4" t="str">
        <f ca="1"/>
        <v/>
      </c>
      <c r="AM4" t="str">
        <f ca="1"/>
        <v/>
      </c>
      <c r="AN4" t="str">
        <f ca="1"/>
        <v/>
      </c>
      <c r="AO4" t="str">
        <f ca="1"/>
        <v/>
      </c>
      <c r="AP4" t="str">
        <f ca="1"/>
        <v/>
      </c>
      <c r="AQ4" t="str">
        <f ca="1"/>
        <v/>
      </c>
      <c r="AR4" t="str">
        <f ca="1"/>
        <v/>
      </c>
      <c r="AS4" t="str">
        <f ca="1"/>
        <v/>
      </c>
      <c r="AT4" t="str">
        <f ca="1"/>
        <v/>
      </c>
      <c r="AU4" t="str">
        <f ca="1"/>
        <v/>
      </c>
      <c r="AV4" t="str">
        <f ca="1"/>
        <v/>
      </c>
      <c r="AW4" t="str">
        <f ca="1"/>
        <v/>
      </c>
      <c r="AX4" t="str">
        <f ca="1"/>
        <v/>
      </c>
      <c r="AY4" s="109" t="str">
        <f ca="1"/>
        <v/>
      </c>
      <c r="AZ4" t="str">
        <f ca="1"/>
        <v/>
      </c>
      <c r="BA4" t="str">
        <f ca="1"/>
        <v/>
      </c>
      <c r="BB4" t="str">
        <f ca="1"/>
        <v/>
      </c>
      <c r="BC4" t="str">
        <f ca="1"/>
        <v/>
      </c>
      <c r="BD4" t="str">
        <f ca="1"/>
        <v/>
      </c>
      <c r="BE4" t="str">
        <f ca="1"/>
        <v/>
      </c>
      <c r="BF4" t="str">
        <f ca="1"/>
        <v/>
      </c>
      <c r="BG4" t="str">
        <f ca="1"/>
        <v/>
      </c>
      <c r="BH4" t="str">
        <f ca="1"/>
        <v/>
      </c>
      <c r="BI4" t="str">
        <f ca="1"/>
        <v/>
      </c>
      <c r="BJ4" t="str">
        <f ca="1"/>
        <v/>
      </c>
      <c r="BK4" t="str">
        <f ca="1"/>
        <v/>
      </c>
      <c r="BL4" t="str">
        <f ca="1"/>
        <v/>
      </c>
      <c r="BM4" t="str">
        <f ca="1"/>
        <v/>
      </c>
      <c r="BN4" t="str">
        <f ca="1"/>
        <v/>
      </c>
      <c r="BO4" t="str">
        <f ca="1"/>
        <v/>
      </c>
      <c r="BP4" t="str">
        <f ca="1"/>
        <v/>
      </c>
      <c r="BQ4" t="str">
        <f ca="1"/>
        <v/>
      </c>
      <c r="BR4" t="str">
        <f ca="1"/>
        <v/>
      </c>
      <c r="BS4" t="str">
        <f ca="1"/>
        <v/>
      </c>
      <c r="BT4" t="str">
        <f ca="1"/>
        <v/>
      </c>
      <c r="BU4" t="str">
        <f ca="1"/>
        <v/>
      </c>
      <c r="BV4" t="str">
        <f ca="1"/>
        <v/>
      </c>
      <c r="BW4" t="str">
        <f ca="1"/>
        <v/>
      </c>
      <c r="BX4" t="str">
        <f ca="1"/>
        <v/>
      </c>
      <c r="BY4" t="str">
        <f ca="1"/>
        <v/>
      </c>
      <c r="BZ4" t="str">
        <f ca="1"/>
        <v/>
      </c>
      <c r="CA4" t="str">
        <f ca="1"/>
        <v/>
      </c>
      <c r="CB4" t="str">
        <f ca="1"/>
        <v/>
      </c>
      <c r="CC4" t="str">
        <f ca="1"/>
        <v/>
      </c>
      <c r="CD4" t="str">
        <f ca="1"/>
        <v/>
      </c>
      <c r="CE4" t="str">
        <f ca="1"/>
        <v/>
      </c>
      <c r="CF4" t="str">
        <f ca="1"/>
        <v/>
      </c>
      <c r="CG4" t="str">
        <f ca="1"/>
        <v/>
      </c>
      <c r="CH4" t="str">
        <f ca="1"/>
        <v/>
      </c>
      <c r="CI4" t="str">
        <f ca="1"/>
        <v/>
      </c>
      <c r="CJ4" t="str">
        <f ca="1"/>
        <v/>
      </c>
      <c r="CK4" t="str">
        <f ca="1"/>
        <v/>
      </c>
      <c r="CL4" t="str">
        <f ca="1"/>
        <v/>
      </c>
      <c r="CM4" t="str">
        <f ca="1"/>
        <v/>
      </c>
      <c r="CN4" t="str">
        <f ca="1"/>
        <v/>
      </c>
      <c r="CO4" t="str">
        <f ca="1"/>
        <v/>
      </c>
      <c r="CP4" t="str">
        <f ca="1"/>
        <v/>
      </c>
      <c r="CQ4" t="str">
        <f ca="1"/>
        <v/>
      </c>
      <c r="CR4" t="str">
        <f ca="1"/>
        <v/>
      </c>
      <c r="CS4" t="str">
        <f ca="1"/>
        <v/>
      </c>
      <c r="CT4" t="str">
        <f ca="1"/>
        <v/>
      </c>
      <c r="CU4" t="str">
        <f>IF(ISBLANK(identitasMurid!D7),"",identitasMurid!D7)</f>
        <v/>
      </c>
      <c r="CV4" t="str">
        <f t="shared" ref="CV4:CV47" si="21">IFERROR(IF(LEN($B4)=0,"",
IF(
AND(C4="Siswa Tidak Aktif",K4="Siswa Tidak Aktif",S4="Siswa Tidak Aktif",AA4="Siswa Tidak Aktif",AI4="Siswa Tidak Aktif",AQ4="Siswa Tidak Aktif"),"Siswa Tidak Aktif",
IF(
AND(OR(C4="Sudah terbiasa",C4="Siswa Tidak Aktif"),OR(K4="Sudah terbiasa",K4="Siswa Tidak Aktif"),OR(S4="Sudah terbiasa",S4="Siswa Tidak Aktif"),OR(AA4="Sudah terbiasa",AA4="Siswa Tidak Aktif"),OR(AI4="Sudah terbiasa",AI4="Siswa Tidak Aktif"),OR(AQ4="Sudah terbiasa",AQ4="Siswa Tidak Aktif")),"Sudah terbiasa",
IF(
AND(C4="Sudah terbiasa",K4="Sudah terbiasa",S4="Sudah terbiasa",AA4="Sudah terbiasa",AI4="Sudah terbiasa",AQ4="Sudah terbiasa"),"Sudah terbiasa",
IF(
AND(C4="Belum terbiasa",K4="Belum terbiasa",S4="Belum terbiasa",AA4="Belum terbiasa",AI4="Belum terbiasa",AQ4="Belum terbiasa"),"Belum terbiasa",
IF(
OR(C4="Status siswa kosong",K4="Status siswa kosong",S4="Status siswa kosong",AA4="Status siswa kosong",AI4="Status siswa kosong",AQ4="Status siswa kosong"),"Data belum lengkap","Belum terbiasa")))))),
"Data belum lengkap")</f>
        <v/>
      </c>
      <c r="CW4" t="str">
        <f t="shared" si="0"/>
        <v/>
      </c>
      <c r="CX4" t="str">
        <f t="shared" si="1"/>
        <v/>
      </c>
      <c r="CY4" t="str">
        <f t="shared" si="2"/>
        <v/>
      </c>
      <c r="CZ4" t="str">
        <f t="shared" si="3"/>
        <v/>
      </c>
      <c r="DA4" t="str">
        <f t="shared" si="4"/>
        <v/>
      </c>
      <c r="DB4" t="str">
        <f t="shared" si="5"/>
        <v/>
      </c>
      <c r="DC4" t="str">
        <f t="shared" si="6"/>
        <v/>
      </c>
      <c r="DD4" t="str">
        <f t="shared" ref="DD4:DD47" si="22">IFERROR(IF(LEN($B4)=0,"",
IF(
AND(AY4="Siswa Tidak Aktif",BG4="Siswa Tidak Aktif",BO4="Siswa Tidak Aktif",BW4="Siswa Tidak Aktif",CE4="Siswa Tidak Aktif",CM4="Siswa Tidak Aktif"),"Siswa Tidak Aktif",
IF(
AND(OR(AY4="Sudah terbiasa",AY4="Siswa Tidak Aktif"),OR(BG4="Sudah terbiasa",BG4="Siswa Tidak Aktif"),OR(BO4="Sudah terbiasa",BO4="Siswa Tidak Aktif"),OR(BW4="Sudah terbiasa",BW4="Siswa Tidak Aktif"),OR(CE4="Sudah terbiasa",CE4="Siswa Tidak Aktif"),OR(CM4="Sudah terbiasa",CM4="Siswa Tidak Aktif")),"Sudah terbiasa",
IF(
AND(AY4="Sudah terbiasa",BG4="Sudah terbiasa",BO4="Sudah terbiasa",BW4="Sudah terbiasa",CE4="Sudah terbiasa",CM4="Sudah terbiasa"),"Sudah terbiasa",
IF(
OR(AY4="Belum terbiasa",BG4="Belum terbiasa",BO4="Belum terbiasa",BW4="Belum terbiasa",CE4="Belum terbiasa",CM4="Belum terbiasa"),"Belum terbiasa",
IF(
OR(AY4="Status siswa kosong",BG4="Status siswa kosong",BO4="Status siswa kosong",BW4="Status siswa kosong",CE4="Status siswa kosong",CM4="Status siswa kosong"),"Data belum lengkap","Belum terbiasa")))))),
"Data belum lengkap")</f>
        <v/>
      </c>
      <c r="DE4" t="str">
        <f t="shared" si="7"/>
        <v/>
      </c>
      <c r="DF4" t="str">
        <f t="shared" si="8"/>
        <v/>
      </c>
      <c r="DG4" t="str">
        <f t="shared" si="9"/>
        <v/>
      </c>
      <c r="DH4" t="str">
        <f t="shared" si="10"/>
        <v/>
      </c>
      <c r="DI4" t="str">
        <f t="shared" si="11"/>
        <v/>
      </c>
      <c r="DJ4" t="str">
        <f t="shared" si="12"/>
        <v/>
      </c>
      <c r="DK4" t="str">
        <f t="shared" si="13"/>
        <v/>
      </c>
      <c r="DL4" t="str">
        <f t="shared" ref="DL4:DL47" si="23">IFERROR(IF(LEN($B4)=0,"",
IF(
AND(C4="Siswa Tidak Aktif",K4="Siswa Tidak Aktif",S4="Siswa Tidak Aktif",AA4="Siswa Tidak Aktif",AI4="Siswa Tidak Aktif",AQ4="Siswa Tidak Aktif",AY4="Siswa Tidak Aktif",BG4="Siswa Tidak Aktif",BO4="Siswa Tidak Aktif",BW4="Siswa Tidak Aktif",CE4="Siswa Tidak Aktif",CM4="Siswa Tidak Aktif"),"Siswa Tidak Aktif",
IF(
AND(OR(C4="Sudah terbiasa",C4="Siswa Tidak Aktif"),OR(K4="Sudah terbiasa",K4="Siswa Tidak Aktif"),OR(S4="Sudah terbiasa",S4="Siswa Tidak Aktif"),OR(AA4="Sudah terbiasa",AA4="Siswa Tidak Aktif"),OR(AI4="Sudah terbiasa",AI4="Siswa Tidak Aktif"),OR(AQ4="Sudah terbiasa",AQ4="Siswa Tidak Aktif"),OR(AY4="Sudah terbiasa",AY4="Siswa Tidak Aktif"),OR(BG4="Sudah terbiasa",BG4="Siswa Tidak Aktif"),OR(BO4="Sudah terbiasa",BO4="Siswa Tidak Aktif"),OR(BW4="Sudah terbiasa",BW4="Siswa Tidak Aktif"),OR(CE4="Sudah terbiasa",CE4="Siswa Tidak Aktif"),OR(CM4="Sudah terbiasa",CM4="Siswa Tidak Aktif")),"Sudah terbiasa",
IF(
AND(C4="Sudah terbiasa",K4="Sudah terbiasa",S4="Sudah terbiasa",AA4="Sudah terbiasa",AI4="Sudah terbiasa",AQ4="Sudah terbiasa",AY4="Sudah terbiasa",BG4="Sudah terbiasa",BO4="Sudah terbiasa",BW4="Sudah terbiasa",CE4="Sudah terbiasa",CM4="Sudah terbiasa"),"Sudah terbiasa",
IF(
OR(C4="Status siswa kosong",K4="Status siswa kosong",S4="Status siswa kosong",AA4="Status siswa kosong",AI4="Status siswa kosong",AQ4="Status siswa kosong",AY4="Status siswa kosong",BG4="Status siswa kosong",BO4="Status siswa kosong",BW4="Status siswa kosong",CE4="Status siswa kosong",CM4="Status siswa kosong"),"Data belum lengkap",
IF(
OR(C4="Belum terbiasa",K4="Belum terbiasa",S4="Belum terbiasa",AA4="Belum terbiasa",AI4="Belum terbiasa",AQ4="Belum terbiasa",AY4="Belum terbiasa",BG4="Belum terbiasa",BO4="Belum terbiasa",BW4="Belum terbiasa",CE4="Belum terbiasa",CM4="Belum terbiasa"),"Belum terbiasa","Belum terbiasa"
)))))),
"Data belum lengkap")</f>
        <v/>
      </c>
      <c r="DM4" t="str">
        <f t="shared" si="14"/>
        <v/>
      </c>
      <c r="DN4" t="str">
        <f t="shared" si="15"/>
        <v/>
      </c>
      <c r="DO4" t="str">
        <f t="shared" si="16"/>
        <v/>
      </c>
      <c r="DP4" t="str">
        <f t="shared" si="17"/>
        <v/>
      </c>
      <c r="DQ4" t="str">
        <f t="shared" si="18"/>
        <v/>
      </c>
      <c r="DR4" t="str">
        <f t="shared" si="19"/>
        <v/>
      </c>
      <c r="DS4" t="str">
        <f t="shared" si="20"/>
        <v/>
      </c>
      <c r="EF4" s="114" t="str">
        <f ca="1"/>
        <v/>
      </c>
    </row>
    <row r="5" spans="1:154" hidden="1" x14ac:dyDescent="0.3">
      <c r="A5" t="str">
        <f>IF(ROW(A3)&lt;=profilKelas!$F$14,ROW(A3),"")</f>
        <v/>
      </c>
      <c r="B5" t="str">
        <f>IF(ISBLANK(identitasMurid!C8),"",identitasMurid!C8)</f>
        <v/>
      </c>
      <c r="C5" t="str">
        <f ca="1"/>
        <v/>
      </c>
      <c r="D5" t="str">
        <f ca="1"/>
        <v/>
      </c>
      <c r="E5" t="str">
        <f ca="1"/>
        <v/>
      </c>
      <c r="F5" t="str">
        <f ca="1"/>
        <v/>
      </c>
      <c r="G5" t="str">
        <f ca="1"/>
        <v/>
      </c>
      <c r="H5" t="str">
        <f ca="1"/>
        <v/>
      </c>
      <c r="I5" t="str">
        <f ca="1"/>
        <v/>
      </c>
      <c r="J5" t="str">
        <f ca="1"/>
        <v/>
      </c>
      <c r="K5" t="str">
        <f ca="1"/>
        <v/>
      </c>
      <c r="L5" t="str">
        <f ca="1"/>
        <v/>
      </c>
      <c r="M5" t="str">
        <f ca="1"/>
        <v/>
      </c>
      <c r="N5" t="str">
        <f ca="1"/>
        <v/>
      </c>
      <c r="O5" t="str">
        <f ca="1"/>
        <v/>
      </c>
      <c r="P5" t="str">
        <f ca="1"/>
        <v/>
      </c>
      <c r="Q5" t="str">
        <f ca="1"/>
        <v/>
      </c>
      <c r="R5" t="str">
        <f ca="1"/>
        <v/>
      </c>
      <c r="S5" t="str">
        <f ca="1"/>
        <v/>
      </c>
      <c r="T5" t="str">
        <f ca="1"/>
        <v/>
      </c>
      <c r="U5" t="str">
        <f ca="1"/>
        <v/>
      </c>
      <c r="V5" t="str">
        <f ca="1"/>
        <v/>
      </c>
      <c r="W5" t="str">
        <f ca="1"/>
        <v/>
      </c>
      <c r="X5" t="str">
        <f ca="1"/>
        <v/>
      </c>
      <c r="Y5" t="str">
        <f ca="1"/>
        <v/>
      </c>
      <c r="Z5" t="str">
        <f ca="1"/>
        <v/>
      </c>
      <c r="AA5" t="str">
        <f ca="1"/>
        <v/>
      </c>
      <c r="AB5" t="str">
        <f ca="1"/>
        <v/>
      </c>
      <c r="AC5" t="str">
        <f ca="1"/>
        <v/>
      </c>
      <c r="AD5" t="str">
        <f ca="1"/>
        <v/>
      </c>
      <c r="AE5" t="str">
        <f ca="1"/>
        <v/>
      </c>
      <c r="AF5" t="str">
        <f ca="1"/>
        <v/>
      </c>
      <c r="AG5" t="str">
        <f ca="1"/>
        <v/>
      </c>
      <c r="AH5" t="str">
        <f ca="1"/>
        <v/>
      </c>
      <c r="AI5" t="str">
        <f ca="1"/>
        <v/>
      </c>
      <c r="AJ5" t="str">
        <f ca="1"/>
        <v/>
      </c>
      <c r="AK5" t="str">
        <f ca="1"/>
        <v/>
      </c>
      <c r="AL5" t="str">
        <f ca="1"/>
        <v/>
      </c>
      <c r="AM5" t="str">
        <f ca="1"/>
        <v/>
      </c>
      <c r="AN5" t="str">
        <f ca="1"/>
        <v/>
      </c>
      <c r="AO5" t="str">
        <f ca="1"/>
        <v/>
      </c>
      <c r="AP5" t="str">
        <f ca="1"/>
        <v/>
      </c>
      <c r="AQ5" t="str">
        <f ca="1"/>
        <v/>
      </c>
      <c r="AR5" t="str">
        <f ca="1"/>
        <v/>
      </c>
      <c r="AS5" t="str">
        <f ca="1"/>
        <v/>
      </c>
      <c r="AT5" t="str">
        <f ca="1"/>
        <v/>
      </c>
      <c r="AU5" t="str">
        <f ca="1"/>
        <v/>
      </c>
      <c r="AV5" t="str">
        <f ca="1"/>
        <v/>
      </c>
      <c r="AW5" t="str">
        <f ca="1"/>
        <v/>
      </c>
      <c r="AX5" t="str">
        <f ca="1"/>
        <v/>
      </c>
      <c r="AY5" s="109" t="str">
        <f ca="1"/>
        <v/>
      </c>
      <c r="AZ5" t="str">
        <f ca="1"/>
        <v/>
      </c>
      <c r="BA5" t="str">
        <f ca="1"/>
        <v/>
      </c>
      <c r="BB5" t="str">
        <f ca="1"/>
        <v/>
      </c>
      <c r="BC5" t="str">
        <f ca="1"/>
        <v/>
      </c>
      <c r="BD5" t="str">
        <f ca="1"/>
        <v/>
      </c>
      <c r="BE5" t="str">
        <f ca="1"/>
        <v/>
      </c>
      <c r="BF5" t="str">
        <f ca="1"/>
        <v/>
      </c>
      <c r="BG5" t="str">
        <f ca="1"/>
        <v/>
      </c>
      <c r="BH5" t="str">
        <f ca="1"/>
        <v/>
      </c>
      <c r="BI5" t="str">
        <f ca="1"/>
        <v/>
      </c>
      <c r="BJ5" t="str">
        <f ca="1"/>
        <v/>
      </c>
      <c r="BK5" t="str">
        <f ca="1"/>
        <v/>
      </c>
      <c r="BL5" t="str">
        <f ca="1"/>
        <v/>
      </c>
      <c r="BM5" t="str">
        <f ca="1"/>
        <v/>
      </c>
      <c r="BN5" t="str">
        <f ca="1"/>
        <v/>
      </c>
      <c r="BO5" t="str">
        <f ca="1"/>
        <v/>
      </c>
      <c r="BP5" t="str">
        <f ca="1"/>
        <v/>
      </c>
      <c r="BQ5" t="str">
        <f ca="1"/>
        <v/>
      </c>
      <c r="BR5" t="str">
        <f ca="1"/>
        <v/>
      </c>
      <c r="BS5" t="str">
        <f ca="1"/>
        <v/>
      </c>
      <c r="BT5" t="str">
        <f ca="1"/>
        <v/>
      </c>
      <c r="BU5" t="str">
        <f ca="1"/>
        <v/>
      </c>
      <c r="BV5" t="str">
        <f ca="1"/>
        <v/>
      </c>
      <c r="BW5" t="str">
        <f ca="1"/>
        <v/>
      </c>
      <c r="BX5" t="str">
        <f ca="1"/>
        <v/>
      </c>
      <c r="BY5" t="str">
        <f ca="1"/>
        <v/>
      </c>
      <c r="BZ5" t="str">
        <f ca="1"/>
        <v/>
      </c>
      <c r="CA5" t="str">
        <f ca="1"/>
        <v/>
      </c>
      <c r="CB5" t="str">
        <f ca="1"/>
        <v/>
      </c>
      <c r="CC5" t="str">
        <f ca="1"/>
        <v/>
      </c>
      <c r="CD5" t="str">
        <f ca="1"/>
        <v/>
      </c>
      <c r="CE5" t="str">
        <f ca="1"/>
        <v/>
      </c>
      <c r="CF5" t="str">
        <f ca="1"/>
        <v/>
      </c>
      <c r="CG5" t="str">
        <f ca="1"/>
        <v/>
      </c>
      <c r="CH5" t="str">
        <f ca="1"/>
        <v/>
      </c>
      <c r="CI5" t="str">
        <f ca="1"/>
        <v/>
      </c>
      <c r="CJ5" t="str">
        <f ca="1"/>
        <v/>
      </c>
      <c r="CK5" t="str">
        <f ca="1"/>
        <v/>
      </c>
      <c r="CL5" t="str">
        <f ca="1"/>
        <v/>
      </c>
      <c r="CM5" t="str">
        <f ca="1"/>
        <v/>
      </c>
      <c r="CN5" t="str">
        <f ca="1"/>
        <v/>
      </c>
      <c r="CO5" t="str">
        <f ca="1"/>
        <v/>
      </c>
      <c r="CP5" t="str">
        <f ca="1"/>
        <v/>
      </c>
      <c r="CQ5" t="str">
        <f ca="1"/>
        <v/>
      </c>
      <c r="CR5" t="str">
        <f ca="1"/>
        <v/>
      </c>
      <c r="CS5" t="str">
        <f ca="1"/>
        <v/>
      </c>
      <c r="CT5" t="str">
        <f ca="1"/>
        <v/>
      </c>
      <c r="CU5" t="str">
        <f>IF(ISBLANK(identitasMurid!D8),"",identitasMurid!D8)</f>
        <v/>
      </c>
      <c r="CV5" t="str">
        <f t="shared" si="21"/>
        <v/>
      </c>
      <c r="CW5" t="str">
        <f t="shared" si="0"/>
        <v/>
      </c>
      <c r="CX5" t="str">
        <f t="shared" si="1"/>
        <v/>
      </c>
      <c r="CY5" t="str">
        <f t="shared" si="2"/>
        <v/>
      </c>
      <c r="CZ5" t="str">
        <f t="shared" si="3"/>
        <v/>
      </c>
      <c r="DA5" t="str">
        <f t="shared" si="4"/>
        <v/>
      </c>
      <c r="DB5" t="str">
        <f t="shared" si="5"/>
        <v/>
      </c>
      <c r="DC5" t="str">
        <f t="shared" si="6"/>
        <v/>
      </c>
      <c r="DD5" t="str">
        <f t="shared" si="22"/>
        <v/>
      </c>
      <c r="DE5" t="str">
        <f t="shared" si="7"/>
        <v/>
      </c>
      <c r="DF5" t="str">
        <f t="shared" si="8"/>
        <v/>
      </c>
      <c r="DG5" t="str">
        <f t="shared" si="9"/>
        <v/>
      </c>
      <c r="DH5" t="str">
        <f t="shared" si="10"/>
        <v/>
      </c>
      <c r="DI5" t="str">
        <f t="shared" si="11"/>
        <v/>
      </c>
      <c r="DJ5" t="str">
        <f t="shared" si="12"/>
        <v/>
      </c>
      <c r="DK5" t="str">
        <f t="shared" si="13"/>
        <v/>
      </c>
      <c r="DL5" t="str">
        <f t="shared" si="23"/>
        <v/>
      </c>
      <c r="DM5" t="str">
        <f t="shared" si="14"/>
        <v/>
      </c>
      <c r="DN5" t="str">
        <f t="shared" si="15"/>
        <v/>
      </c>
      <c r="DO5" t="str">
        <f t="shared" si="16"/>
        <v/>
      </c>
      <c r="DP5" t="str">
        <f t="shared" si="17"/>
        <v/>
      </c>
      <c r="DQ5" t="str">
        <f t="shared" si="18"/>
        <v/>
      </c>
      <c r="DR5" t="str">
        <f t="shared" si="19"/>
        <v/>
      </c>
      <c r="DS5" t="str">
        <f t="shared" si="20"/>
        <v/>
      </c>
      <c r="DU5" t="s">
        <v>862</v>
      </c>
      <c r="DW5" t="s">
        <v>945</v>
      </c>
      <c r="EF5" s="114" t="str">
        <f ca="1"/>
        <v/>
      </c>
      <c r="EG5" t="s">
        <v>862</v>
      </c>
      <c r="EI5" t="s">
        <v>945</v>
      </c>
      <c r="ES5" t="s">
        <v>862</v>
      </c>
      <c r="EU5" t="s">
        <v>945</v>
      </c>
    </row>
    <row r="6" spans="1:154" hidden="1" x14ac:dyDescent="0.3">
      <c r="A6" t="str">
        <f>IF(ROW(A4)&lt;=profilKelas!$F$14,ROW(A4),"")</f>
        <v/>
      </c>
      <c r="B6" t="str">
        <f>IF(ISBLANK(identitasMurid!C9),"",identitasMurid!C9)</f>
        <v/>
      </c>
      <c r="C6" t="str">
        <f ca="1"/>
        <v/>
      </c>
      <c r="D6" t="str">
        <f ca="1"/>
        <v/>
      </c>
      <c r="E6" t="str">
        <f ca="1"/>
        <v/>
      </c>
      <c r="F6" t="str">
        <f ca="1"/>
        <v/>
      </c>
      <c r="G6" t="str">
        <f ca="1"/>
        <v/>
      </c>
      <c r="H6" t="str">
        <f ca="1"/>
        <v/>
      </c>
      <c r="I6" t="str">
        <f ca="1"/>
        <v/>
      </c>
      <c r="J6" t="str">
        <f ca="1"/>
        <v/>
      </c>
      <c r="K6" t="str">
        <f ca="1"/>
        <v/>
      </c>
      <c r="L6" t="str">
        <f ca="1"/>
        <v/>
      </c>
      <c r="M6" t="str">
        <f ca="1"/>
        <v/>
      </c>
      <c r="N6" t="str">
        <f ca="1"/>
        <v/>
      </c>
      <c r="O6" t="str">
        <f ca="1"/>
        <v/>
      </c>
      <c r="P6" t="str">
        <f ca="1"/>
        <v/>
      </c>
      <c r="Q6" t="str">
        <f ca="1"/>
        <v/>
      </c>
      <c r="R6" t="str">
        <f ca="1"/>
        <v/>
      </c>
      <c r="S6" t="str">
        <f ca="1"/>
        <v/>
      </c>
      <c r="T6" t="str">
        <f ca="1"/>
        <v/>
      </c>
      <c r="U6" t="str">
        <f ca="1"/>
        <v/>
      </c>
      <c r="V6" t="str">
        <f ca="1"/>
        <v/>
      </c>
      <c r="W6" t="str">
        <f ca="1"/>
        <v/>
      </c>
      <c r="X6" t="str">
        <f ca="1"/>
        <v/>
      </c>
      <c r="Y6" t="str">
        <f ca="1"/>
        <v/>
      </c>
      <c r="Z6" t="str">
        <f ca="1"/>
        <v/>
      </c>
      <c r="AA6" t="str">
        <f ca="1"/>
        <v/>
      </c>
      <c r="AB6" t="str">
        <f ca="1"/>
        <v/>
      </c>
      <c r="AC6" t="str">
        <f ca="1"/>
        <v/>
      </c>
      <c r="AD6" t="str">
        <f ca="1"/>
        <v/>
      </c>
      <c r="AE6" t="str">
        <f ca="1"/>
        <v/>
      </c>
      <c r="AF6" t="str">
        <f ca="1"/>
        <v/>
      </c>
      <c r="AG6" t="str">
        <f ca="1"/>
        <v/>
      </c>
      <c r="AH6" t="str">
        <f ca="1"/>
        <v/>
      </c>
      <c r="AI6" t="str">
        <f ca="1"/>
        <v/>
      </c>
      <c r="AJ6" t="str">
        <f ca="1"/>
        <v/>
      </c>
      <c r="AK6" t="str">
        <f ca="1"/>
        <v/>
      </c>
      <c r="AL6" t="str">
        <f ca="1"/>
        <v/>
      </c>
      <c r="AM6" t="str">
        <f ca="1"/>
        <v/>
      </c>
      <c r="AN6" t="str">
        <f ca="1"/>
        <v/>
      </c>
      <c r="AO6" t="str">
        <f ca="1"/>
        <v/>
      </c>
      <c r="AP6" t="str">
        <f ca="1"/>
        <v/>
      </c>
      <c r="AQ6" t="str">
        <f ca="1"/>
        <v/>
      </c>
      <c r="AR6" t="str">
        <f ca="1"/>
        <v/>
      </c>
      <c r="AS6" t="str">
        <f ca="1"/>
        <v/>
      </c>
      <c r="AT6" t="str">
        <f ca="1"/>
        <v/>
      </c>
      <c r="AU6" t="str">
        <f ca="1"/>
        <v/>
      </c>
      <c r="AV6" t="str">
        <f ca="1"/>
        <v/>
      </c>
      <c r="AW6" t="str">
        <f ca="1"/>
        <v/>
      </c>
      <c r="AX6" t="str">
        <f ca="1"/>
        <v/>
      </c>
      <c r="AY6" s="109" t="str">
        <f ca="1"/>
        <v/>
      </c>
      <c r="AZ6" t="str">
        <f ca="1"/>
        <v/>
      </c>
      <c r="BA6" t="str">
        <f ca="1"/>
        <v/>
      </c>
      <c r="BB6" t="str">
        <f ca="1"/>
        <v/>
      </c>
      <c r="BC6" t="str">
        <f ca="1"/>
        <v/>
      </c>
      <c r="BD6" t="str">
        <f ca="1"/>
        <v/>
      </c>
      <c r="BE6" t="str">
        <f ca="1"/>
        <v/>
      </c>
      <c r="BF6" t="str">
        <f ca="1"/>
        <v/>
      </c>
      <c r="BG6" t="str">
        <f ca="1"/>
        <v/>
      </c>
      <c r="BH6" t="str">
        <f ca="1"/>
        <v/>
      </c>
      <c r="BI6" t="str">
        <f ca="1"/>
        <v/>
      </c>
      <c r="BJ6" t="str">
        <f ca="1"/>
        <v/>
      </c>
      <c r="BK6" t="str">
        <f ca="1"/>
        <v/>
      </c>
      <c r="BL6" t="str">
        <f ca="1"/>
        <v/>
      </c>
      <c r="BM6" t="str">
        <f ca="1"/>
        <v/>
      </c>
      <c r="BN6" t="str">
        <f ca="1"/>
        <v/>
      </c>
      <c r="BO6" t="str">
        <f ca="1"/>
        <v/>
      </c>
      <c r="BP6" t="str">
        <f ca="1"/>
        <v/>
      </c>
      <c r="BQ6" t="str">
        <f ca="1"/>
        <v/>
      </c>
      <c r="BR6" t="str">
        <f ca="1"/>
        <v/>
      </c>
      <c r="BS6" t="str">
        <f ca="1"/>
        <v/>
      </c>
      <c r="BT6" t="str">
        <f ca="1"/>
        <v/>
      </c>
      <c r="BU6" t="str">
        <f ca="1"/>
        <v/>
      </c>
      <c r="BV6" t="str">
        <f ca="1"/>
        <v/>
      </c>
      <c r="BW6" t="str">
        <f ca="1"/>
        <v/>
      </c>
      <c r="BX6" t="str">
        <f ca="1"/>
        <v/>
      </c>
      <c r="BY6" t="str">
        <f ca="1"/>
        <v/>
      </c>
      <c r="BZ6" t="str">
        <f ca="1"/>
        <v/>
      </c>
      <c r="CA6" t="str">
        <f ca="1"/>
        <v/>
      </c>
      <c r="CB6" t="str">
        <f ca="1"/>
        <v/>
      </c>
      <c r="CC6" t="str">
        <f ca="1"/>
        <v/>
      </c>
      <c r="CD6" t="str">
        <f ca="1"/>
        <v/>
      </c>
      <c r="CE6" t="str">
        <f ca="1"/>
        <v/>
      </c>
      <c r="CF6" t="str">
        <f ca="1"/>
        <v/>
      </c>
      <c r="CG6" t="str">
        <f ca="1"/>
        <v/>
      </c>
      <c r="CH6" t="str">
        <f ca="1"/>
        <v/>
      </c>
      <c r="CI6" t="str">
        <f ca="1"/>
        <v/>
      </c>
      <c r="CJ6" t="str">
        <f ca="1"/>
        <v/>
      </c>
      <c r="CK6" t="str">
        <f ca="1"/>
        <v/>
      </c>
      <c r="CL6" t="str">
        <f ca="1"/>
        <v/>
      </c>
      <c r="CM6" t="str">
        <f ca="1"/>
        <v/>
      </c>
      <c r="CN6" t="str">
        <f ca="1"/>
        <v/>
      </c>
      <c r="CO6" t="str">
        <f ca="1"/>
        <v/>
      </c>
      <c r="CP6" t="str">
        <f ca="1"/>
        <v/>
      </c>
      <c r="CQ6" t="str">
        <f ca="1"/>
        <v/>
      </c>
      <c r="CR6" t="str">
        <f ca="1"/>
        <v/>
      </c>
      <c r="CS6" t="str">
        <f ca="1"/>
        <v/>
      </c>
      <c r="CT6" t="str">
        <f ca="1"/>
        <v/>
      </c>
      <c r="CU6" t="str">
        <f>IF(ISBLANK(identitasMurid!D9),"",identitasMurid!D9)</f>
        <v/>
      </c>
      <c r="CV6" t="str">
        <f t="shared" si="21"/>
        <v/>
      </c>
      <c r="CW6" t="str">
        <f t="shared" si="0"/>
        <v/>
      </c>
      <c r="CX6" t="str">
        <f t="shared" si="1"/>
        <v/>
      </c>
      <c r="CY6" t="str">
        <f t="shared" si="2"/>
        <v/>
      </c>
      <c r="CZ6" t="str">
        <f t="shared" si="3"/>
        <v/>
      </c>
      <c r="DA6" t="str">
        <f t="shared" si="4"/>
        <v/>
      </c>
      <c r="DB6" t="str">
        <f t="shared" si="5"/>
        <v/>
      </c>
      <c r="DC6" t="str">
        <f t="shared" si="6"/>
        <v/>
      </c>
      <c r="DD6" t="str">
        <f t="shared" si="22"/>
        <v/>
      </c>
      <c r="DE6" t="str">
        <f t="shared" si="7"/>
        <v/>
      </c>
      <c r="DF6" t="str">
        <f t="shared" si="8"/>
        <v/>
      </c>
      <c r="DG6" t="str">
        <f t="shared" si="9"/>
        <v/>
      </c>
      <c r="DH6" t="str">
        <f t="shared" si="10"/>
        <v/>
      </c>
      <c r="DI6" t="str">
        <f t="shared" si="11"/>
        <v/>
      </c>
      <c r="DJ6" t="str">
        <f t="shared" si="12"/>
        <v/>
      </c>
      <c r="DK6" t="str">
        <f t="shared" si="13"/>
        <v/>
      </c>
      <c r="DL6" t="str">
        <f t="shared" si="23"/>
        <v/>
      </c>
      <c r="DM6" t="str">
        <f t="shared" si="14"/>
        <v/>
      </c>
      <c r="DN6" t="str">
        <f t="shared" si="15"/>
        <v/>
      </c>
      <c r="DO6" t="str">
        <f t="shared" si="16"/>
        <v/>
      </c>
      <c r="DP6" t="str">
        <f t="shared" si="17"/>
        <v/>
      </c>
      <c r="DQ6" t="str">
        <f t="shared" si="18"/>
        <v/>
      </c>
      <c r="DR6" t="str">
        <f t="shared" si="19"/>
        <v/>
      </c>
      <c r="DS6" t="str">
        <f t="shared" si="20"/>
        <v/>
      </c>
      <c r="DU6" t="s">
        <v>863</v>
      </c>
      <c r="DW6" t="s">
        <v>946</v>
      </c>
      <c r="EF6" s="114" t="str">
        <f ca="1"/>
        <v/>
      </c>
      <c r="EG6" t="s">
        <v>863</v>
      </c>
      <c r="EI6" t="s">
        <v>946</v>
      </c>
      <c r="ES6" t="s">
        <v>863</v>
      </c>
      <c r="EU6" t="s">
        <v>946</v>
      </c>
    </row>
    <row r="7" spans="1:154" hidden="1" x14ac:dyDescent="0.3">
      <c r="A7" t="str">
        <f>IF(ROW(A5)&lt;=profilKelas!$F$14,ROW(A5),"")</f>
        <v/>
      </c>
      <c r="B7" t="str">
        <f>IF(ISBLANK(identitasMurid!C10),"",identitasMurid!C10)</f>
        <v/>
      </c>
      <c r="C7" t="str">
        <f ca="1"/>
        <v/>
      </c>
      <c r="D7" t="str">
        <f ca="1"/>
        <v/>
      </c>
      <c r="E7" t="str">
        <f ca="1"/>
        <v/>
      </c>
      <c r="F7" t="str">
        <f ca="1"/>
        <v/>
      </c>
      <c r="G7" t="str">
        <f ca="1"/>
        <v/>
      </c>
      <c r="H7" t="str">
        <f ca="1"/>
        <v/>
      </c>
      <c r="I7" t="str">
        <f ca="1"/>
        <v/>
      </c>
      <c r="J7" t="str">
        <f ca="1"/>
        <v/>
      </c>
      <c r="K7" t="str">
        <f ca="1"/>
        <v/>
      </c>
      <c r="L7" t="str">
        <f ca="1"/>
        <v/>
      </c>
      <c r="M7" t="str">
        <f ca="1"/>
        <v/>
      </c>
      <c r="N7" t="str">
        <f ca="1"/>
        <v/>
      </c>
      <c r="O7" t="str">
        <f ca="1"/>
        <v/>
      </c>
      <c r="P7" t="str">
        <f ca="1"/>
        <v/>
      </c>
      <c r="Q7" t="str">
        <f ca="1"/>
        <v/>
      </c>
      <c r="R7" t="str">
        <f ca="1"/>
        <v/>
      </c>
      <c r="S7" t="str">
        <f ca="1"/>
        <v/>
      </c>
      <c r="T7" t="str">
        <f ca="1"/>
        <v/>
      </c>
      <c r="U7" t="str">
        <f ca="1"/>
        <v/>
      </c>
      <c r="V7" t="str">
        <f ca="1"/>
        <v/>
      </c>
      <c r="W7" t="str">
        <f ca="1"/>
        <v/>
      </c>
      <c r="X7" t="str">
        <f ca="1"/>
        <v/>
      </c>
      <c r="Y7" t="str">
        <f ca="1"/>
        <v/>
      </c>
      <c r="Z7" t="str">
        <f ca="1"/>
        <v/>
      </c>
      <c r="AA7" t="str">
        <f ca="1"/>
        <v/>
      </c>
      <c r="AB7" t="str">
        <f ca="1"/>
        <v/>
      </c>
      <c r="AC7" t="str">
        <f ca="1"/>
        <v/>
      </c>
      <c r="AD7" t="str">
        <f ca="1"/>
        <v/>
      </c>
      <c r="AE7" t="str">
        <f ca="1"/>
        <v/>
      </c>
      <c r="AF7" t="str">
        <f ca="1"/>
        <v/>
      </c>
      <c r="AG7" t="str">
        <f ca="1"/>
        <v/>
      </c>
      <c r="AH7" t="str">
        <f ca="1"/>
        <v/>
      </c>
      <c r="AI7" t="str">
        <f ca="1"/>
        <v/>
      </c>
      <c r="AJ7" t="str">
        <f ca="1"/>
        <v/>
      </c>
      <c r="AK7" t="str">
        <f ca="1"/>
        <v/>
      </c>
      <c r="AL7" t="str">
        <f ca="1"/>
        <v/>
      </c>
      <c r="AM7" t="str">
        <f ca="1"/>
        <v/>
      </c>
      <c r="AN7" t="str">
        <f ca="1"/>
        <v/>
      </c>
      <c r="AO7" t="str">
        <f ca="1"/>
        <v/>
      </c>
      <c r="AP7" t="str">
        <f ca="1"/>
        <v/>
      </c>
      <c r="AQ7" t="str">
        <f ca="1"/>
        <v/>
      </c>
      <c r="AR7" t="str">
        <f ca="1"/>
        <v/>
      </c>
      <c r="AS7" t="str">
        <f ca="1"/>
        <v/>
      </c>
      <c r="AT7" t="str">
        <f ca="1"/>
        <v/>
      </c>
      <c r="AU7" t="str">
        <f ca="1"/>
        <v/>
      </c>
      <c r="AV7" t="str">
        <f ca="1"/>
        <v/>
      </c>
      <c r="AW7" t="str">
        <f ca="1"/>
        <v/>
      </c>
      <c r="AX7" t="str">
        <f ca="1"/>
        <v/>
      </c>
      <c r="AY7" s="109" t="str">
        <f ca="1"/>
        <v/>
      </c>
      <c r="AZ7" t="str">
        <f ca="1"/>
        <v/>
      </c>
      <c r="BA7" t="str">
        <f ca="1"/>
        <v/>
      </c>
      <c r="BB7" t="str">
        <f ca="1"/>
        <v/>
      </c>
      <c r="BC7" t="str">
        <f ca="1"/>
        <v/>
      </c>
      <c r="BD7" t="str">
        <f ca="1"/>
        <v/>
      </c>
      <c r="BE7" t="str">
        <f ca="1"/>
        <v/>
      </c>
      <c r="BF7" t="str">
        <f ca="1"/>
        <v/>
      </c>
      <c r="BG7" t="str">
        <f ca="1"/>
        <v/>
      </c>
      <c r="BH7" t="str">
        <f ca="1"/>
        <v/>
      </c>
      <c r="BI7" t="str">
        <f ca="1"/>
        <v/>
      </c>
      <c r="BJ7" t="str">
        <f ca="1"/>
        <v/>
      </c>
      <c r="BK7" t="str">
        <f ca="1"/>
        <v/>
      </c>
      <c r="BL7" t="str">
        <f ca="1"/>
        <v/>
      </c>
      <c r="BM7" t="str">
        <f ca="1"/>
        <v/>
      </c>
      <c r="BN7" t="str">
        <f ca="1"/>
        <v/>
      </c>
      <c r="BO7" t="str">
        <f ca="1"/>
        <v/>
      </c>
      <c r="BP7" t="str">
        <f ca="1"/>
        <v/>
      </c>
      <c r="BQ7" t="str">
        <f ca="1"/>
        <v/>
      </c>
      <c r="BR7" t="str">
        <f ca="1"/>
        <v/>
      </c>
      <c r="BS7" t="str">
        <f ca="1"/>
        <v/>
      </c>
      <c r="BT7" t="str">
        <f ca="1"/>
        <v/>
      </c>
      <c r="BU7" t="str">
        <f ca="1"/>
        <v/>
      </c>
      <c r="BV7" t="str">
        <f ca="1"/>
        <v/>
      </c>
      <c r="BW7" t="str">
        <f ca="1"/>
        <v/>
      </c>
      <c r="BX7" t="str">
        <f ca="1"/>
        <v/>
      </c>
      <c r="BY7" t="str">
        <f ca="1"/>
        <v/>
      </c>
      <c r="BZ7" t="str">
        <f ca="1"/>
        <v/>
      </c>
      <c r="CA7" t="str">
        <f ca="1"/>
        <v/>
      </c>
      <c r="CB7" t="str">
        <f ca="1"/>
        <v/>
      </c>
      <c r="CC7" t="str">
        <f ca="1"/>
        <v/>
      </c>
      <c r="CD7" t="str">
        <f ca="1"/>
        <v/>
      </c>
      <c r="CE7" t="str">
        <f ca="1"/>
        <v/>
      </c>
      <c r="CF7" t="str">
        <f ca="1"/>
        <v/>
      </c>
      <c r="CG7" t="str">
        <f ca="1"/>
        <v/>
      </c>
      <c r="CH7" t="str">
        <f ca="1"/>
        <v/>
      </c>
      <c r="CI7" t="str">
        <f ca="1"/>
        <v/>
      </c>
      <c r="CJ7" t="str">
        <f ca="1"/>
        <v/>
      </c>
      <c r="CK7" t="str">
        <f ca="1"/>
        <v/>
      </c>
      <c r="CL7" t="str">
        <f ca="1"/>
        <v/>
      </c>
      <c r="CM7" t="str">
        <f ca="1"/>
        <v/>
      </c>
      <c r="CN7" t="str">
        <f ca="1"/>
        <v/>
      </c>
      <c r="CO7" t="str">
        <f ca="1"/>
        <v/>
      </c>
      <c r="CP7" t="str">
        <f ca="1"/>
        <v/>
      </c>
      <c r="CQ7" t="str">
        <f ca="1"/>
        <v/>
      </c>
      <c r="CR7" t="str">
        <f ca="1"/>
        <v/>
      </c>
      <c r="CS7" t="str">
        <f ca="1"/>
        <v/>
      </c>
      <c r="CT7" t="str">
        <f ca="1"/>
        <v/>
      </c>
      <c r="CU7" t="str">
        <f>IF(ISBLANK(identitasMurid!D10),"",identitasMurid!D10)</f>
        <v/>
      </c>
      <c r="CV7" t="str">
        <f t="shared" si="21"/>
        <v/>
      </c>
      <c r="CW7" t="str">
        <f t="shared" si="0"/>
        <v/>
      </c>
      <c r="CX7" t="str">
        <f t="shared" si="1"/>
        <v/>
      </c>
      <c r="CY7" t="str">
        <f t="shared" si="2"/>
        <v/>
      </c>
      <c r="CZ7" t="str">
        <f t="shared" si="3"/>
        <v/>
      </c>
      <c r="DA7" t="str">
        <f t="shared" si="4"/>
        <v/>
      </c>
      <c r="DB7" t="str">
        <f t="shared" si="5"/>
        <v/>
      </c>
      <c r="DC7" t="str">
        <f t="shared" si="6"/>
        <v/>
      </c>
      <c r="DD7" t="str">
        <f t="shared" si="22"/>
        <v/>
      </c>
      <c r="DE7" t="str">
        <f t="shared" si="7"/>
        <v/>
      </c>
      <c r="DF7" t="str">
        <f t="shared" si="8"/>
        <v/>
      </c>
      <c r="DG7" t="str">
        <f t="shared" si="9"/>
        <v/>
      </c>
      <c r="DH7" t="str">
        <f t="shared" si="10"/>
        <v/>
      </c>
      <c r="DI7" t="str">
        <f t="shared" si="11"/>
        <v/>
      </c>
      <c r="DJ7" t="str">
        <f t="shared" si="12"/>
        <v/>
      </c>
      <c r="DK7" t="str">
        <f t="shared" si="13"/>
        <v/>
      </c>
      <c r="DL7" t="str">
        <f t="shared" si="23"/>
        <v/>
      </c>
      <c r="DM7" t="str">
        <f t="shared" si="14"/>
        <v/>
      </c>
      <c r="DN7" t="str">
        <f t="shared" si="15"/>
        <v/>
      </c>
      <c r="DO7" t="str">
        <f t="shared" si="16"/>
        <v/>
      </c>
      <c r="DP7" t="str">
        <f t="shared" si="17"/>
        <v/>
      </c>
      <c r="DQ7" t="str">
        <f t="shared" si="18"/>
        <v/>
      </c>
      <c r="DR7" t="str">
        <f t="shared" si="19"/>
        <v/>
      </c>
      <c r="DS7" t="str">
        <f t="shared" si="20"/>
        <v/>
      </c>
      <c r="DU7" t="s">
        <v>928</v>
      </c>
      <c r="DW7" t="s">
        <v>947</v>
      </c>
      <c r="EF7" s="114" t="str">
        <f ca="1"/>
        <v/>
      </c>
      <c r="EG7" t="s">
        <v>928</v>
      </c>
      <c r="EI7" t="s">
        <v>947</v>
      </c>
      <c r="ES7" t="s">
        <v>928</v>
      </c>
      <c r="EU7" t="s">
        <v>947</v>
      </c>
    </row>
    <row r="8" spans="1:154" hidden="1" x14ac:dyDescent="0.3">
      <c r="A8" t="str">
        <f>IF(ROW(A6)&lt;=profilKelas!$F$14,ROW(A6),"")</f>
        <v/>
      </c>
      <c r="B8" t="str">
        <f>IF(ISBLANK(identitasMurid!C11),"",identitasMurid!C11)</f>
        <v/>
      </c>
      <c r="C8" t="str">
        <f ca="1"/>
        <v/>
      </c>
      <c r="D8" t="str">
        <f ca="1"/>
        <v/>
      </c>
      <c r="E8" t="str">
        <f ca="1"/>
        <v/>
      </c>
      <c r="F8" t="str">
        <f ca="1"/>
        <v/>
      </c>
      <c r="G8" t="str">
        <f ca="1"/>
        <v/>
      </c>
      <c r="H8" t="str">
        <f ca="1"/>
        <v/>
      </c>
      <c r="I8" t="str">
        <f ca="1"/>
        <v/>
      </c>
      <c r="J8" t="str">
        <f ca="1"/>
        <v/>
      </c>
      <c r="K8" t="str">
        <f ca="1"/>
        <v/>
      </c>
      <c r="L8" t="str">
        <f ca="1"/>
        <v/>
      </c>
      <c r="M8" t="str">
        <f ca="1"/>
        <v/>
      </c>
      <c r="N8" t="str">
        <f ca="1"/>
        <v/>
      </c>
      <c r="O8" t="str">
        <f ca="1"/>
        <v/>
      </c>
      <c r="P8" t="str">
        <f ca="1"/>
        <v/>
      </c>
      <c r="Q8" t="str">
        <f ca="1"/>
        <v/>
      </c>
      <c r="R8" t="str">
        <f ca="1"/>
        <v/>
      </c>
      <c r="S8" t="str">
        <f ca="1"/>
        <v/>
      </c>
      <c r="T8" t="str">
        <f ca="1"/>
        <v/>
      </c>
      <c r="U8" t="str">
        <f ca="1"/>
        <v/>
      </c>
      <c r="V8" t="str">
        <f ca="1"/>
        <v/>
      </c>
      <c r="W8" t="str">
        <f ca="1"/>
        <v/>
      </c>
      <c r="X8" t="str">
        <f ca="1"/>
        <v/>
      </c>
      <c r="Y8" t="str">
        <f ca="1"/>
        <v/>
      </c>
      <c r="Z8" t="str">
        <f ca="1"/>
        <v/>
      </c>
      <c r="AA8" t="str">
        <f ca="1"/>
        <v/>
      </c>
      <c r="AB8" t="str">
        <f ca="1"/>
        <v/>
      </c>
      <c r="AC8" t="str">
        <f ca="1"/>
        <v/>
      </c>
      <c r="AD8" t="str">
        <f ca="1"/>
        <v/>
      </c>
      <c r="AE8" t="str">
        <f ca="1"/>
        <v/>
      </c>
      <c r="AF8" t="str">
        <f ca="1"/>
        <v/>
      </c>
      <c r="AG8" t="str">
        <f ca="1"/>
        <v/>
      </c>
      <c r="AH8" t="str">
        <f ca="1"/>
        <v/>
      </c>
      <c r="AI8" t="str">
        <f ca="1"/>
        <v/>
      </c>
      <c r="AJ8" t="str">
        <f ca="1"/>
        <v/>
      </c>
      <c r="AK8" t="str">
        <f ca="1"/>
        <v/>
      </c>
      <c r="AL8" t="str">
        <f ca="1"/>
        <v/>
      </c>
      <c r="AM8" t="str">
        <f ca="1"/>
        <v/>
      </c>
      <c r="AN8" t="str">
        <f ca="1"/>
        <v/>
      </c>
      <c r="AO8" t="str">
        <f ca="1"/>
        <v/>
      </c>
      <c r="AP8" t="str">
        <f ca="1"/>
        <v/>
      </c>
      <c r="AQ8" t="str">
        <f ca="1"/>
        <v/>
      </c>
      <c r="AR8" t="str">
        <f ca="1"/>
        <v/>
      </c>
      <c r="AS8" t="str">
        <f ca="1"/>
        <v/>
      </c>
      <c r="AT8" t="str">
        <f ca="1"/>
        <v/>
      </c>
      <c r="AU8" t="str">
        <f ca="1"/>
        <v/>
      </c>
      <c r="AV8" t="str">
        <f ca="1"/>
        <v/>
      </c>
      <c r="AW8" t="str">
        <f ca="1"/>
        <v/>
      </c>
      <c r="AX8" t="str">
        <f ca="1"/>
        <v/>
      </c>
      <c r="AY8" s="109" t="str">
        <f ca="1"/>
        <v/>
      </c>
      <c r="AZ8" t="str">
        <f ca="1"/>
        <v/>
      </c>
      <c r="BA8" t="str">
        <f ca="1"/>
        <v/>
      </c>
      <c r="BB8" t="str">
        <f ca="1"/>
        <v/>
      </c>
      <c r="BC8" t="str">
        <f ca="1"/>
        <v/>
      </c>
      <c r="BD8" t="str">
        <f ca="1"/>
        <v/>
      </c>
      <c r="BE8" t="str">
        <f ca="1"/>
        <v/>
      </c>
      <c r="BF8" t="str">
        <f ca="1"/>
        <v/>
      </c>
      <c r="BG8" t="str">
        <f ca="1"/>
        <v/>
      </c>
      <c r="BH8" t="str">
        <f ca="1"/>
        <v/>
      </c>
      <c r="BI8" t="str">
        <f ca="1"/>
        <v/>
      </c>
      <c r="BJ8" t="str">
        <f ca="1"/>
        <v/>
      </c>
      <c r="BK8" t="str">
        <f ca="1"/>
        <v/>
      </c>
      <c r="BL8" t="str">
        <f ca="1"/>
        <v/>
      </c>
      <c r="BM8" t="str">
        <f ca="1"/>
        <v/>
      </c>
      <c r="BN8" t="str">
        <f ca="1"/>
        <v/>
      </c>
      <c r="BO8" t="str">
        <f ca="1"/>
        <v/>
      </c>
      <c r="BP8" t="str">
        <f ca="1"/>
        <v/>
      </c>
      <c r="BQ8" t="str">
        <f ca="1"/>
        <v/>
      </c>
      <c r="BR8" t="str">
        <f ca="1"/>
        <v/>
      </c>
      <c r="BS8" t="str">
        <f ca="1"/>
        <v/>
      </c>
      <c r="BT8" t="str">
        <f ca="1"/>
        <v/>
      </c>
      <c r="BU8" t="str">
        <f ca="1"/>
        <v/>
      </c>
      <c r="BV8" t="str">
        <f ca="1"/>
        <v/>
      </c>
      <c r="BW8" t="str">
        <f ca="1"/>
        <v/>
      </c>
      <c r="BX8" t="str">
        <f ca="1"/>
        <v/>
      </c>
      <c r="BY8" t="str">
        <f ca="1"/>
        <v/>
      </c>
      <c r="BZ8" t="str">
        <f ca="1"/>
        <v/>
      </c>
      <c r="CA8" t="str">
        <f ca="1"/>
        <v/>
      </c>
      <c r="CB8" t="str">
        <f ca="1"/>
        <v/>
      </c>
      <c r="CC8" t="str">
        <f ca="1"/>
        <v/>
      </c>
      <c r="CD8" t="str">
        <f ca="1"/>
        <v/>
      </c>
      <c r="CE8" t="str">
        <f ca="1"/>
        <v/>
      </c>
      <c r="CF8" t="str">
        <f ca="1"/>
        <v/>
      </c>
      <c r="CG8" t="str">
        <f ca="1"/>
        <v/>
      </c>
      <c r="CH8" t="str">
        <f ca="1"/>
        <v/>
      </c>
      <c r="CI8" t="str">
        <f ca="1"/>
        <v/>
      </c>
      <c r="CJ8" t="str">
        <f ca="1"/>
        <v/>
      </c>
      <c r="CK8" t="str">
        <f ca="1"/>
        <v/>
      </c>
      <c r="CL8" t="str">
        <f ca="1"/>
        <v/>
      </c>
      <c r="CM8" t="str">
        <f ca="1"/>
        <v/>
      </c>
      <c r="CN8" t="str">
        <f ca="1"/>
        <v/>
      </c>
      <c r="CO8" t="str">
        <f ca="1"/>
        <v/>
      </c>
      <c r="CP8" t="str">
        <f ca="1"/>
        <v/>
      </c>
      <c r="CQ8" t="str">
        <f ca="1"/>
        <v/>
      </c>
      <c r="CR8" t="str">
        <f ca="1"/>
        <v/>
      </c>
      <c r="CS8" t="str">
        <f ca="1"/>
        <v/>
      </c>
      <c r="CT8" t="str">
        <f ca="1"/>
        <v/>
      </c>
      <c r="CU8" t="str">
        <f>IF(ISBLANK(identitasMurid!D11),"",identitasMurid!D11)</f>
        <v/>
      </c>
      <c r="CV8" t="str">
        <f t="shared" si="21"/>
        <v/>
      </c>
      <c r="CW8" t="str">
        <f t="shared" si="0"/>
        <v/>
      </c>
      <c r="CX8" t="str">
        <f t="shared" si="1"/>
        <v/>
      </c>
      <c r="CY8" t="str">
        <f t="shared" si="2"/>
        <v/>
      </c>
      <c r="CZ8" t="str">
        <f t="shared" si="3"/>
        <v/>
      </c>
      <c r="DA8" t="str">
        <f t="shared" si="4"/>
        <v/>
      </c>
      <c r="DB8" t="str">
        <f t="shared" si="5"/>
        <v/>
      </c>
      <c r="DC8" t="str">
        <f t="shared" si="6"/>
        <v/>
      </c>
      <c r="DD8" t="str">
        <f t="shared" si="22"/>
        <v/>
      </c>
      <c r="DE8" t="str">
        <f t="shared" si="7"/>
        <v/>
      </c>
      <c r="DF8" t="str">
        <f t="shared" si="8"/>
        <v/>
      </c>
      <c r="DG8" t="str">
        <f t="shared" si="9"/>
        <v/>
      </c>
      <c r="DH8" t="str">
        <f t="shared" si="10"/>
        <v/>
      </c>
      <c r="DI8" t="str">
        <f t="shared" si="11"/>
        <v/>
      </c>
      <c r="DJ8" t="str">
        <f t="shared" si="12"/>
        <v/>
      </c>
      <c r="DK8" t="str">
        <f t="shared" si="13"/>
        <v/>
      </c>
      <c r="DL8" t="str">
        <f t="shared" si="23"/>
        <v/>
      </c>
      <c r="DM8" t="str">
        <f t="shared" si="14"/>
        <v/>
      </c>
      <c r="DN8" t="str">
        <f t="shared" si="15"/>
        <v/>
      </c>
      <c r="DO8" t="str">
        <f t="shared" si="16"/>
        <v/>
      </c>
      <c r="DP8" t="str">
        <f t="shared" si="17"/>
        <v/>
      </c>
      <c r="DQ8" t="str">
        <f t="shared" si="18"/>
        <v/>
      </c>
      <c r="DR8" t="str">
        <f t="shared" si="19"/>
        <v/>
      </c>
      <c r="DS8" t="str">
        <f t="shared" si="20"/>
        <v/>
      </c>
      <c r="DU8" t="s">
        <v>948</v>
      </c>
      <c r="DW8" t="s">
        <v>949</v>
      </c>
      <c r="EF8" s="114" t="str">
        <f ca="1"/>
        <v/>
      </c>
      <c r="EG8" t="s">
        <v>948</v>
      </c>
      <c r="EI8" t="s">
        <v>949</v>
      </c>
      <c r="ES8" t="s">
        <v>948</v>
      </c>
      <c r="EU8" t="s">
        <v>949</v>
      </c>
    </row>
    <row r="9" spans="1:154" hidden="1" x14ac:dyDescent="0.3">
      <c r="A9" t="str">
        <f>IF(ROW(A7)&lt;=profilKelas!$F$14,ROW(A7),"")</f>
        <v/>
      </c>
      <c r="B9" t="str">
        <f>IF(ISBLANK(identitasMurid!C12),"",identitasMurid!C12)</f>
        <v/>
      </c>
      <c r="C9" t="str">
        <f ca="1"/>
        <v/>
      </c>
      <c r="D9" t="str">
        <f ca="1"/>
        <v/>
      </c>
      <c r="E9" t="str">
        <f ca="1"/>
        <v/>
      </c>
      <c r="F9" t="str">
        <f ca="1"/>
        <v/>
      </c>
      <c r="G9" t="str">
        <f ca="1"/>
        <v/>
      </c>
      <c r="H9" t="str">
        <f ca="1"/>
        <v/>
      </c>
      <c r="I9" t="str">
        <f ca="1"/>
        <v/>
      </c>
      <c r="J9" t="str">
        <f ca="1"/>
        <v/>
      </c>
      <c r="K9" t="str">
        <f ca="1"/>
        <v/>
      </c>
      <c r="L9" t="str">
        <f ca="1"/>
        <v/>
      </c>
      <c r="M9" t="str">
        <f ca="1"/>
        <v/>
      </c>
      <c r="N9" t="str">
        <f ca="1"/>
        <v/>
      </c>
      <c r="O9" t="str">
        <f ca="1"/>
        <v/>
      </c>
      <c r="P9" t="str">
        <f ca="1"/>
        <v/>
      </c>
      <c r="Q9" t="str">
        <f ca="1"/>
        <v/>
      </c>
      <c r="R9" t="str">
        <f ca="1"/>
        <v/>
      </c>
      <c r="S9" t="str">
        <f ca="1"/>
        <v/>
      </c>
      <c r="T9" t="str">
        <f ca="1"/>
        <v/>
      </c>
      <c r="U9" t="str">
        <f ca="1"/>
        <v/>
      </c>
      <c r="V9" t="str">
        <f ca="1"/>
        <v/>
      </c>
      <c r="W9" t="str">
        <f ca="1"/>
        <v/>
      </c>
      <c r="X9" t="str">
        <f ca="1"/>
        <v/>
      </c>
      <c r="Y9" t="str">
        <f ca="1"/>
        <v/>
      </c>
      <c r="Z9" t="str">
        <f ca="1"/>
        <v/>
      </c>
      <c r="AA9" t="str">
        <f ca="1"/>
        <v/>
      </c>
      <c r="AB9" t="str">
        <f ca="1"/>
        <v/>
      </c>
      <c r="AC9" t="str">
        <f ca="1"/>
        <v/>
      </c>
      <c r="AD9" t="str">
        <f ca="1"/>
        <v/>
      </c>
      <c r="AE9" t="str">
        <f ca="1"/>
        <v/>
      </c>
      <c r="AF9" t="str">
        <f ca="1"/>
        <v/>
      </c>
      <c r="AG9" t="str">
        <f ca="1"/>
        <v/>
      </c>
      <c r="AH9" t="str">
        <f ca="1"/>
        <v/>
      </c>
      <c r="AI9" t="str">
        <f ca="1"/>
        <v/>
      </c>
      <c r="AJ9" t="str">
        <f ca="1"/>
        <v/>
      </c>
      <c r="AK9" t="str">
        <f ca="1"/>
        <v/>
      </c>
      <c r="AL9" t="str">
        <f ca="1"/>
        <v/>
      </c>
      <c r="AM9" t="str">
        <f ca="1"/>
        <v/>
      </c>
      <c r="AN9" t="str">
        <f ca="1"/>
        <v/>
      </c>
      <c r="AO9" t="str">
        <f ca="1"/>
        <v/>
      </c>
      <c r="AP9" t="str">
        <f ca="1"/>
        <v/>
      </c>
      <c r="AQ9" t="str">
        <f ca="1"/>
        <v/>
      </c>
      <c r="AR9" t="str">
        <f ca="1"/>
        <v/>
      </c>
      <c r="AS9" t="str">
        <f ca="1"/>
        <v/>
      </c>
      <c r="AT9" t="str">
        <f ca="1"/>
        <v/>
      </c>
      <c r="AU9" t="str">
        <f ca="1"/>
        <v/>
      </c>
      <c r="AV9" t="str">
        <f ca="1"/>
        <v/>
      </c>
      <c r="AW9" t="str">
        <f ca="1"/>
        <v/>
      </c>
      <c r="AX9" t="str">
        <f ca="1"/>
        <v/>
      </c>
      <c r="AY9" s="109" t="str">
        <f ca="1"/>
        <v/>
      </c>
      <c r="AZ9" t="str">
        <f ca="1"/>
        <v/>
      </c>
      <c r="BA9" t="str">
        <f ca="1"/>
        <v/>
      </c>
      <c r="BB9" t="str">
        <f ca="1"/>
        <v/>
      </c>
      <c r="BC9" t="str">
        <f ca="1"/>
        <v/>
      </c>
      <c r="BD9" t="str">
        <f ca="1"/>
        <v/>
      </c>
      <c r="BE9" t="str">
        <f ca="1"/>
        <v/>
      </c>
      <c r="BF9" t="str">
        <f ca="1"/>
        <v/>
      </c>
      <c r="BG9" t="str">
        <f ca="1"/>
        <v/>
      </c>
      <c r="BH9" t="str">
        <f ca="1"/>
        <v/>
      </c>
      <c r="BI9" t="str">
        <f ca="1"/>
        <v/>
      </c>
      <c r="BJ9" t="str">
        <f ca="1"/>
        <v/>
      </c>
      <c r="BK9" t="str">
        <f ca="1"/>
        <v/>
      </c>
      <c r="BL9" t="str">
        <f ca="1"/>
        <v/>
      </c>
      <c r="BM9" t="str">
        <f ca="1"/>
        <v/>
      </c>
      <c r="BN9" t="str">
        <f ca="1"/>
        <v/>
      </c>
      <c r="BO9" t="str">
        <f ca="1"/>
        <v/>
      </c>
      <c r="BP9" t="str">
        <f ca="1"/>
        <v/>
      </c>
      <c r="BQ9" t="str">
        <f ca="1"/>
        <v/>
      </c>
      <c r="BR9" t="str">
        <f ca="1"/>
        <v/>
      </c>
      <c r="BS9" t="str">
        <f ca="1"/>
        <v/>
      </c>
      <c r="BT9" t="str">
        <f ca="1"/>
        <v/>
      </c>
      <c r="BU9" t="str">
        <f ca="1"/>
        <v/>
      </c>
      <c r="BV9" t="str">
        <f ca="1"/>
        <v/>
      </c>
      <c r="BW9" t="str">
        <f ca="1"/>
        <v/>
      </c>
      <c r="BX9" t="str">
        <f ca="1"/>
        <v/>
      </c>
      <c r="BY9" t="str">
        <f ca="1"/>
        <v/>
      </c>
      <c r="BZ9" t="str">
        <f ca="1"/>
        <v/>
      </c>
      <c r="CA9" t="str">
        <f ca="1"/>
        <v/>
      </c>
      <c r="CB9" t="str">
        <f ca="1"/>
        <v/>
      </c>
      <c r="CC9" t="str">
        <f ca="1"/>
        <v/>
      </c>
      <c r="CD9" t="str">
        <f ca="1"/>
        <v/>
      </c>
      <c r="CE9" t="str">
        <f ca="1"/>
        <v/>
      </c>
      <c r="CF9" t="str">
        <f ca="1"/>
        <v/>
      </c>
      <c r="CG9" t="str">
        <f ca="1"/>
        <v/>
      </c>
      <c r="CH9" t="str">
        <f ca="1"/>
        <v/>
      </c>
      <c r="CI9" t="str">
        <f ca="1"/>
        <v/>
      </c>
      <c r="CJ9" t="str">
        <f ca="1"/>
        <v/>
      </c>
      <c r="CK9" t="str">
        <f ca="1"/>
        <v/>
      </c>
      <c r="CL9" t="str">
        <f ca="1"/>
        <v/>
      </c>
      <c r="CM9" t="str">
        <f ca="1"/>
        <v/>
      </c>
      <c r="CN9" t="str">
        <f ca="1"/>
        <v/>
      </c>
      <c r="CO9" t="str">
        <f ca="1"/>
        <v/>
      </c>
      <c r="CP9" t="str">
        <f ca="1"/>
        <v/>
      </c>
      <c r="CQ9" t="str">
        <f ca="1"/>
        <v/>
      </c>
      <c r="CR9" t="str">
        <f ca="1"/>
        <v/>
      </c>
      <c r="CS9" t="str">
        <f ca="1"/>
        <v/>
      </c>
      <c r="CT9" t="str">
        <f ca="1"/>
        <v/>
      </c>
      <c r="CU9" t="str">
        <f>IF(ISBLANK(identitasMurid!D12),"",identitasMurid!D12)</f>
        <v/>
      </c>
      <c r="CV9" t="str">
        <f t="shared" si="21"/>
        <v/>
      </c>
      <c r="CW9" t="str">
        <f t="shared" si="0"/>
        <v/>
      </c>
      <c r="CX9" t="str">
        <f t="shared" si="1"/>
        <v/>
      </c>
      <c r="CY9" t="str">
        <f t="shared" si="2"/>
        <v/>
      </c>
      <c r="CZ9" t="str">
        <f t="shared" si="3"/>
        <v/>
      </c>
      <c r="DA9" t="str">
        <f t="shared" si="4"/>
        <v/>
      </c>
      <c r="DB9" t="str">
        <f t="shared" si="5"/>
        <v/>
      </c>
      <c r="DC9" t="str">
        <f t="shared" si="6"/>
        <v/>
      </c>
      <c r="DD9" t="str">
        <f t="shared" si="22"/>
        <v/>
      </c>
      <c r="DE9" t="str">
        <f t="shared" si="7"/>
        <v/>
      </c>
      <c r="DF9" t="str">
        <f t="shared" si="8"/>
        <v/>
      </c>
      <c r="DG9" t="str">
        <f t="shared" si="9"/>
        <v/>
      </c>
      <c r="DH9" t="str">
        <f t="shared" si="10"/>
        <v/>
      </c>
      <c r="DI9" t="str">
        <f t="shared" si="11"/>
        <v/>
      </c>
      <c r="DJ9" t="str">
        <f t="shared" si="12"/>
        <v/>
      </c>
      <c r="DK9" t="str">
        <f t="shared" si="13"/>
        <v/>
      </c>
      <c r="DL9" t="str">
        <f t="shared" si="23"/>
        <v/>
      </c>
      <c r="DM9" t="str">
        <f t="shared" si="14"/>
        <v/>
      </c>
      <c r="DN9" t="str">
        <f t="shared" si="15"/>
        <v/>
      </c>
      <c r="DO9" t="str">
        <f t="shared" si="16"/>
        <v/>
      </c>
      <c r="DP9" t="str">
        <f t="shared" si="17"/>
        <v/>
      </c>
      <c r="DQ9" t="str">
        <f t="shared" si="18"/>
        <v/>
      </c>
      <c r="DR9" t="str">
        <f t="shared" si="19"/>
        <v/>
      </c>
      <c r="DS9" t="str">
        <f t="shared" si="20"/>
        <v/>
      </c>
      <c r="EF9" s="114" t="str">
        <f ca="1"/>
        <v/>
      </c>
    </row>
    <row r="10" spans="1:154" hidden="1" x14ac:dyDescent="0.3">
      <c r="A10" t="str">
        <f>IF(ROW(A8)&lt;=profilKelas!$F$14,ROW(A8),"")</f>
        <v/>
      </c>
      <c r="B10" t="str">
        <f>IF(ISBLANK(identitasMurid!C13),"",identitasMurid!C13)</f>
        <v/>
      </c>
      <c r="C10" t="str">
        <f ca="1"/>
        <v/>
      </c>
      <c r="D10" t="str">
        <f ca="1"/>
        <v/>
      </c>
      <c r="E10" t="str">
        <f ca="1"/>
        <v/>
      </c>
      <c r="F10" t="str">
        <f ca="1"/>
        <v/>
      </c>
      <c r="G10" t="str">
        <f ca="1"/>
        <v/>
      </c>
      <c r="H10" t="str">
        <f ca="1"/>
        <v/>
      </c>
      <c r="I10" t="str">
        <f ca="1"/>
        <v/>
      </c>
      <c r="J10" t="str">
        <f ca="1"/>
        <v/>
      </c>
      <c r="K10" t="str">
        <f ca="1"/>
        <v/>
      </c>
      <c r="L10" t="str">
        <f ca="1"/>
        <v/>
      </c>
      <c r="M10" t="str">
        <f ca="1"/>
        <v/>
      </c>
      <c r="N10" t="str">
        <f ca="1"/>
        <v/>
      </c>
      <c r="O10" t="str">
        <f ca="1"/>
        <v/>
      </c>
      <c r="P10" t="str">
        <f ca="1"/>
        <v/>
      </c>
      <c r="Q10" t="str">
        <f ca="1"/>
        <v/>
      </c>
      <c r="R10" t="str">
        <f ca="1"/>
        <v/>
      </c>
      <c r="S10" t="str">
        <f ca="1"/>
        <v/>
      </c>
      <c r="T10" t="str">
        <f ca="1"/>
        <v/>
      </c>
      <c r="U10" t="str">
        <f ca="1"/>
        <v/>
      </c>
      <c r="V10" t="str">
        <f ca="1"/>
        <v/>
      </c>
      <c r="W10" t="str">
        <f ca="1"/>
        <v/>
      </c>
      <c r="X10" t="str">
        <f ca="1"/>
        <v/>
      </c>
      <c r="Y10" t="str">
        <f ca="1"/>
        <v/>
      </c>
      <c r="Z10" t="str">
        <f ca="1"/>
        <v/>
      </c>
      <c r="AA10" t="str">
        <f ca="1"/>
        <v/>
      </c>
      <c r="AB10" t="str">
        <f ca="1"/>
        <v/>
      </c>
      <c r="AC10" t="str">
        <f ca="1"/>
        <v/>
      </c>
      <c r="AD10" t="str">
        <f ca="1"/>
        <v/>
      </c>
      <c r="AE10" t="str">
        <f ca="1"/>
        <v/>
      </c>
      <c r="AF10" t="str">
        <f ca="1"/>
        <v/>
      </c>
      <c r="AG10" t="str">
        <f ca="1"/>
        <v/>
      </c>
      <c r="AH10" t="str">
        <f ca="1"/>
        <v/>
      </c>
      <c r="AI10" t="str">
        <f ca="1"/>
        <v/>
      </c>
      <c r="AJ10" t="str">
        <f ca="1"/>
        <v/>
      </c>
      <c r="AK10" t="str">
        <f ca="1"/>
        <v/>
      </c>
      <c r="AL10" t="str">
        <f ca="1"/>
        <v/>
      </c>
      <c r="AM10" t="str">
        <f ca="1"/>
        <v/>
      </c>
      <c r="AN10" t="str">
        <f ca="1"/>
        <v/>
      </c>
      <c r="AO10" t="str">
        <f ca="1"/>
        <v/>
      </c>
      <c r="AP10" t="str">
        <f ca="1"/>
        <v/>
      </c>
      <c r="AQ10" t="str">
        <f ca="1"/>
        <v/>
      </c>
      <c r="AR10" t="str">
        <f ca="1"/>
        <v/>
      </c>
      <c r="AS10" t="str">
        <f ca="1"/>
        <v/>
      </c>
      <c r="AT10" t="str">
        <f ca="1"/>
        <v/>
      </c>
      <c r="AU10" t="str">
        <f ca="1"/>
        <v/>
      </c>
      <c r="AV10" t="str">
        <f ca="1"/>
        <v/>
      </c>
      <c r="AW10" t="str">
        <f ca="1"/>
        <v/>
      </c>
      <c r="AX10" t="str">
        <f ca="1"/>
        <v/>
      </c>
      <c r="AY10" s="109" t="str">
        <f ca="1"/>
        <v/>
      </c>
      <c r="AZ10" t="str">
        <f ca="1"/>
        <v/>
      </c>
      <c r="BA10" t="str">
        <f ca="1"/>
        <v/>
      </c>
      <c r="BB10" t="str">
        <f ca="1"/>
        <v/>
      </c>
      <c r="BC10" t="str">
        <f ca="1"/>
        <v/>
      </c>
      <c r="BD10" t="str">
        <f ca="1"/>
        <v/>
      </c>
      <c r="BE10" t="str">
        <f ca="1"/>
        <v/>
      </c>
      <c r="BF10" t="str">
        <f ca="1"/>
        <v/>
      </c>
      <c r="BG10" t="str">
        <f ca="1"/>
        <v/>
      </c>
      <c r="BH10" t="str">
        <f ca="1"/>
        <v/>
      </c>
      <c r="BI10" t="str">
        <f ca="1"/>
        <v/>
      </c>
      <c r="BJ10" t="str">
        <f ca="1"/>
        <v/>
      </c>
      <c r="BK10" t="str">
        <f ca="1"/>
        <v/>
      </c>
      <c r="BL10" t="str">
        <f ca="1"/>
        <v/>
      </c>
      <c r="BM10" t="str">
        <f ca="1"/>
        <v/>
      </c>
      <c r="BN10" t="str">
        <f ca="1"/>
        <v/>
      </c>
      <c r="BO10" t="str">
        <f ca="1"/>
        <v/>
      </c>
      <c r="BP10" t="str">
        <f ca="1"/>
        <v/>
      </c>
      <c r="BQ10" t="str">
        <f ca="1"/>
        <v/>
      </c>
      <c r="BR10" t="str">
        <f ca="1"/>
        <v/>
      </c>
      <c r="BS10" t="str">
        <f ca="1"/>
        <v/>
      </c>
      <c r="BT10" t="str">
        <f ca="1"/>
        <v/>
      </c>
      <c r="BU10" t="str">
        <f ca="1"/>
        <v/>
      </c>
      <c r="BV10" t="str">
        <f ca="1"/>
        <v/>
      </c>
      <c r="BW10" t="str">
        <f ca="1"/>
        <v/>
      </c>
      <c r="BX10" t="str">
        <f ca="1"/>
        <v/>
      </c>
      <c r="BY10" t="str">
        <f ca="1"/>
        <v/>
      </c>
      <c r="BZ10" t="str">
        <f ca="1"/>
        <v/>
      </c>
      <c r="CA10" t="str">
        <f ca="1"/>
        <v/>
      </c>
      <c r="CB10" t="str">
        <f ca="1"/>
        <v/>
      </c>
      <c r="CC10" t="str">
        <f ca="1"/>
        <v/>
      </c>
      <c r="CD10" t="str">
        <f ca="1"/>
        <v/>
      </c>
      <c r="CE10" t="str">
        <f ca="1"/>
        <v/>
      </c>
      <c r="CF10" t="str">
        <f ca="1"/>
        <v/>
      </c>
      <c r="CG10" t="str">
        <f ca="1"/>
        <v/>
      </c>
      <c r="CH10" t="str">
        <f ca="1"/>
        <v/>
      </c>
      <c r="CI10" t="str">
        <f ca="1"/>
        <v/>
      </c>
      <c r="CJ10" t="str">
        <f ca="1"/>
        <v/>
      </c>
      <c r="CK10" t="str">
        <f ca="1"/>
        <v/>
      </c>
      <c r="CL10" t="str">
        <f ca="1"/>
        <v/>
      </c>
      <c r="CM10" t="str">
        <f ca="1"/>
        <v/>
      </c>
      <c r="CN10" t="str">
        <f ca="1"/>
        <v/>
      </c>
      <c r="CO10" t="str">
        <f ca="1"/>
        <v/>
      </c>
      <c r="CP10" t="str">
        <f ca="1"/>
        <v/>
      </c>
      <c r="CQ10" t="str">
        <f ca="1"/>
        <v/>
      </c>
      <c r="CR10" t="str">
        <f ca="1"/>
        <v/>
      </c>
      <c r="CS10" t="str">
        <f ca="1"/>
        <v/>
      </c>
      <c r="CT10" t="str">
        <f ca="1"/>
        <v/>
      </c>
      <c r="CU10" t="str">
        <f>IF(ISBLANK(identitasMurid!D13),"",identitasMurid!D13)</f>
        <v/>
      </c>
      <c r="CV10" t="str">
        <f t="shared" si="21"/>
        <v/>
      </c>
      <c r="CW10" t="str">
        <f t="shared" si="0"/>
        <v/>
      </c>
      <c r="CX10" t="str">
        <f t="shared" si="1"/>
        <v/>
      </c>
      <c r="CY10" t="str">
        <f t="shared" si="2"/>
        <v/>
      </c>
      <c r="CZ10" t="str">
        <f t="shared" si="3"/>
        <v/>
      </c>
      <c r="DA10" t="str">
        <f t="shared" si="4"/>
        <v/>
      </c>
      <c r="DB10" t="str">
        <f t="shared" si="5"/>
        <v/>
      </c>
      <c r="DC10" t="str">
        <f t="shared" si="6"/>
        <v/>
      </c>
      <c r="DD10" t="str">
        <f t="shared" si="22"/>
        <v/>
      </c>
      <c r="DE10" t="str">
        <f t="shared" si="7"/>
        <v/>
      </c>
      <c r="DF10" t="str">
        <f t="shared" si="8"/>
        <v/>
      </c>
      <c r="DG10" t="str">
        <f t="shared" si="9"/>
        <v/>
      </c>
      <c r="DH10" t="str">
        <f t="shared" si="10"/>
        <v/>
      </c>
      <c r="DI10" t="str">
        <f t="shared" si="11"/>
        <v/>
      </c>
      <c r="DJ10" t="str">
        <f t="shared" si="12"/>
        <v/>
      </c>
      <c r="DK10" t="str">
        <f t="shared" si="13"/>
        <v/>
      </c>
      <c r="DL10" t="str">
        <f t="shared" si="23"/>
        <v/>
      </c>
      <c r="DM10" t="str">
        <f t="shared" si="14"/>
        <v/>
      </c>
      <c r="DN10" t="str">
        <f t="shared" si="15"/>
        <v/>
      </c>
      <c r="DO10" t="str">
        <f t="shared" si="16"/>
        <v/>
      </c>
      <c r="DP10" t="str">
        <f t="shared" si="17"/>
        <v/>
      </c>
      <c r="DQ10" t="str">
        <f t="shared" si="18"/>
        <v/>
      </c>
      <c r="DR10" t="str">
        <f t="shared" si="19"/>
        <v/>
      </c>
      <c r="DS10" t="str">
        <f t="shared" si="20"/>
        <v/>
      </c>
      <c r="DU10" t="s">
        <v>0</v>
      </c>
      <c r="DV10" t="s">
        <v>831</v>
      </c>
      <c r="DW10" t="s">
        <v>833</v>
      </c>
      <c r="DX10" t="s">
        <v>596</v>
      </c>
      <c r="EF10" s="114" t="str">
        <f ca="1"/>
        <v/>
      </c>
      <c r="EG10" t="s">
        <v>0</v>
      </c>
      <c r="EH10" t="s">
        <v>831</v>
      </c>
      <c r="EI10" t="s">
        <v>833</v>
      </c>
      <c r="EJ10" t="s">
        <v>596</v>
      </c>
      <c r="ES10" t="s">
        <v>0</v>
      </c>
      <c r="ET10" t="s">
        <v>831</v>
      </c>
      <c r="EU10" t="s">
        <v>833</v>
      </c>
      <c r="EV10" t="s">
        <v>596</v>
      </c>
    </row>
    <row r="11" spans="1:154" hidden="1" x14ac:dyDescent="0.3">
      <c r="A11" t="str">
        <f>IF(ROW(A9)&lt;=profilKelas!$F$14,ROW(A9),"")</f>
        <v/>
      </c>
      <c r="B11" t="str">
        <f>IF(ISBLANK(identitasMurid!C14),"",identitasMurid!C14)</f>
        <v/>
      </c>
      <c r="C11" t="str">
        <f ca="1"/>
        <v/>
      </c>
      <c r="D11" t="str">
        <f ca="1"/>
        <v/>
      </c>
      <c r="E11" t="str">
        <f ca="1"/>
        <v/>
      </c>
      <c r="F11" t="str">
        <f ca="1"/>
        <v/>
      </c>
      <c r="G11" t="str">
        <f ca="1"/>
        <v/>
      </c>
      <c r="H11" t="str">
        <f ca="1"/>
        <v/>
      </c>
      <c r="I11" t="str">
        <f ca="1"/>
        <v/>
      </c>
      <c r="J11" t="str">
        <f ca="1"/>
        <v/>
      </c>
      <c r="K11" t="str">
        <f ca="1"/>
        <v/>
      </c>
      <c r="L11" t="str">
        <f ca="1"/>
        <v/>
      </c>
      <c r="M11" t="str">
        <f ca="1"/>
        <v/>
      </c>
      <c r="N11" t="str">
        <f ca="1"/>
        <v/>
      </c>
      <c r="O11" t="str">
        <f ca="1"/>
        <v/>
      </c>
      <c r="P11" t="str">
        <f ca="1"/>
        <v/>
      </c>
      <c r="Q11" t="str">
        <f ca="1"/>
        <v/>
      </c>
      <c r="R11" t="str">
        <f ca="1"/>
        <v/>
      </c>
      <c r="S11" t="str">
        <f ca="1"/>
        <v/>
      </c>
      <c r="T11" t="str">
        <f ca="1"/>
        <v/>
      </c>
      <c r="U11" t="str">
        <f ca="1"/>
        <v/>
      </c>
      <c r="V11" t="str">
        <f ca="1"/>
        <v/>
      </c>
      <c r="W11" t="str">
        <f ca="1"/>
        <v/>
      </c>
      <c r="X11" t="str">
        <f ca="1"/>
        <v/>
      </c>
      <c r="Y11" t="str">
        <f ca="1"/>
        <v/>
      </c>
      <c r="Z11" t="str">
        <f ca="1"/>
        <v/>
      </c>
      <c r="AA11" t="str">
        <f ca="1"/>
        <v/>
      </c>
      <c r="AB11" t="str">
        <f ca="1"/>
        <v/>
      </c>
      <c r="AC11" t="str">
        <f ca="1"/>
        <v/>
      </c>
      <c r="AD11" t="str">
        <f ca="1"/>
        <v/>
      </c>
      <c r="AE11" t="str">
        <f ca="1"/>
        <v/>
      </c>
      <c r="AF11" t="str">
        <f ca="1"/>
        <v/>
      </c>
      <c r="AG11" t="str">
        <f ca="1"/>
        <v/>
      </c>
      <c r="AH11" t="str">
        <f ca="1"/>
        <v/>
      </c>
      <c r="AI11" t="str">
        <f ca="1"/>
        <v/>
      </c>
      <c r="AJ11" t="str">
        <f ca="1"/>
        <v/>
      </c>
      <c r="AK11" t="str">
        <f ca="1"/>
        <v/>
      </c>
      <c r="AL11" t="str">
        <f ca="1"/>
        <v/>
      </c>
      <c r="AM11" t="str">
        <f ca="1"/>
        <v/>
      </c>
      <c r="AN11" t="str">
        <f ca="1"/>
        <v/>
      </c>
      <c r="AO11" t="str">
        <f ca="1"/>
        <v/>
      </c>
      <c r="AP11" t="str">
        <f ca="1"/>
        <v/>
      </c>
      <c r="AQ11" t="str">
        <f ca="1"/>
        <v/>
      </c>
      <c r="AR11" t="str">
        <f ca="1"/>
        <v/>
      </c>
      <c r="AS11" t="str">
        <f ca="1"/>
        <v/>
      </c>
      <c r="AT11" t="str">
        <f ca="1"/>
        <v/>
      </c>
      <c r="AU11" t="str">
        <f ca="1"/>
        <v/>
      </c>
      <c r="AV11" t="str">
        <f ca="1"/>
        <v/>
      </c>
      <c r="AW11" t="str">
        <f ca="1"/>
        <v/>
      </c>
      <c r="AX11" t="str">
        <f ca="1"/>
        <v/>
      </c>
      <c r="AY11" s="109" t="str">
        <f ca="1"/>
        <v/>
      </c>
      <c r="AZ11" t="str">
        <f ca="1"/>
        <v/>
      </c>
      <c r="BA11" t="str">
        <f ca="1"/>
        <v/>
      </c>
      <c r="BB11" t="str">
        <f ca="1"/>
        <v/>
      </c>
      <c r="BC11" t="str">
        <f ca="1"/>
        <v/>
      </c>
      <c r="BD11" t="str">
        <f ca="1"/>
        <v/>
      </c>
      <c r="BE11" t="str">
        <f ca="1"/>
        <v/>
      </c>
      <c r="BF11" t="str">
        <f ca="1"/>
        <v/>
      </c>
      <c r="BG11" t="str">
        <f ca="1"/>
        <v/>
      </c>
      <c r="BH11" t="str">
        <f ca="1"/>
        <v/>
      </c>
      <c r="BI11" t="str">
        <f ca="1"/>
        <v/>
      </c>
      <c r="BJ11" t="str">
        <f ca="1"/>
        <v/>
      </c>
      <c r="BK11" t="str">
        <f ca="1"/>
        <v/>
      </c>
      <c r="BL11" t="str">
        <f ca="1"/>
        <v/>
      </c>
      <c r="BM11" t="str">
        <f ca="1"/>
        <v/>
      </c>
      <c r="BN11" t="str">
        <f ca="1"/>
        <v/>
      </c>
      <c r="BO11" t="str">
        <f ca="1"/>
        <v/>
      </c>
      <c r="BP11" t="str">
        <f ca="1"/>
        <v/>
      </c>
      <c r="BQ11" t="str">
        <f ca="1"/>
        <v/>
      </c>
      <c r="BR11" t="str">
        <f ca="1"/>
        <v/>
      </c>
      <c r="BS11" t="str">
        <f ca="1"/>
        <v/>
      </c>
      <c r="BT11" t="str">
        <f ca="1"/>
        <v/>
      </c>
      <c r="BU11" t="str">
        <f ca="1"/>
        <v/>
      </c>
      <c r="BV11" t="str">
        <f ca="1"/>
        <v/>
      </c>
      <c r="BW11" t="str">
        <f ca="1"/>
        <v/>
      </c>
      <c r="BX11" t="str">
        <f ca="1"/>
        <v/>
      </c>
      <c r="BY11" t="str">
        <f ca="1"/>
        <v/>
      </c>
      <c r="BZ11" t="str">
        <f ca="1"/>
        <v/>
      </c>
      <c r="CA11" t="str">
        <f ca="1"/>
        <v/>
      </c>
      <c r="CB11" t="str">
        <f ca="1"/>
        <v/>
      </c>
      <c r="CC11" t="str">
        <f ca="1"/>
        <v/>
      </c>
      <c r="CD11" t="str">
        <f ca="1"/>
        <v/>
      </c>
      <c r="CE11" t="str">
        <f ca="1"/>
        <v/>
      </c>
      <c r="CF11" t="str">
        <f ca="1"/>
        <v/>
      </c>
      <c r="CG11" t="str">
        <f ca="1"/>
        <v/>
      </c>
      <c r="CH11" t="str">
        <f ca="1"/>
        <v/>
      </c>
      <c r="CI11" t="str">
        <f ca="1"/>
        <v/>
      </c>
      <c r="CJ11" t="str">
        <f ca="1"/>
        <v/>
      </c>
      <c r="CK11" t="str">
        <f ca="1"/>
        <v/>
      </c>
      <c r="CL11" t="str">
        <f ca="1"/>
        <v/>
      </c>
      <c r="CM11" t="str">
        <f ca="1"/>
        <v/>
      </c>
      <c r="CN11" t="str">
        <f ca="1"/>
        <v/>
      </c>
      <c r="CO11" t="str">
        <f ca="1"/>
        <v/>
      </c>
      <c r="CP11" t="str">
        <f ca="1"/>
        <v/>
      </c>
      <c r="CQ11" t="str">
        <f ca="1"/>
        <v/>
      </c>
      <c r="CR11" t="str">
        <f ca="1"/>
        <v/>
      </c>
      <c r="CS11" t="str">
        <f ca="1"/>
        <v/>
      </c>
      <c r="CT11" t="str">
        <f ca="1"/>
        <v/>
      </c>
      <c r="CU11" t="str">
        <f>IF(ISBLANK(identitasMurid!D14),"",identitasMurid!D14)</f>
        <v/>
      </c>
      <c r="CV11" t="str">
        <f t="shared" si="21"/>
        <v/>
      </c>
      <c r="CW11" t="str">
        <f t="shared" si="0"/>
        <v/>
      </c>
      <c r="CX11" t="str">
        <f t="shared" si="1"/>
        <v/>
      </c>
      <c r="CY11" t="str">
        <f t="shared" si="2"/>
        <v/>
      </c>
      <c r="CZ11" t="str">
        <f t="shared" si="3"/>
        <v/>
      </c>
      <c r="DA11" t="str">
        <f t="shared" si="4"/>
        <v/>
      </c>
      <c r="DB11" t="str">
        <f t="shared" si="5"/>
        <v/>
      </c>
      <c r="DC11" t="str">
        <f t="shared" si="6"/>
        <v/>
      </c>
      <c r="DD11" t="str">
        <f t="shared" si="22"/>
        <v/>
      </c>
      <c r="DE11" t="str">
        <f t="shared" si="7"/>
        <v/>
      </c>
      <c r="DF11" t="str">
        <f t="shared" si="8"/>
        <v/>
      </c>
      <c r="DG11" t="str">
        <f t="shared" si="9"/>
        <v/>
      </c>
      <c r="DH11" t="str">
        <f t="shared" si="10"/>
        <v/>
      </c>
      <c r="DI11" t="str">
        <f t="shared" si="11"/>
        <v/>
      </c>
      <c r="DJ11" t="str">
        <f t="shared" si="12"/>
        <v/>
      </c>
      <c r="DK11" t="str">
        <f t="shared" si="13"/>
        <v/>
      </c>
      <c r="DL11" t="str">
        <f t="shared" si="23"/>
        <v/>
      </c>
      <c r="DM11" t="str">
        <f t="shared" si="14"/>
        <v/>
      </c>
      <c r="DN11" t="str">
        <f t="shared" si="15"/>
        <v/>
      </c>
      <c r="DO11" t="str">
        <f t="shared" si="16"/>
        <v/>
      </c>
      <c r="DP11" t="str">
        <f t="shared" si="17"/>
        <v/>
      </c>
      <c r="DQ11" t="str">
        <f t="shared" si="18"/>
        <v/>
      </c>
      <c r="DR11" t="str">
        <f t="shared" si="19"/>
        <v/>
      </c>
      <c r="DS11" t="str">
        <f t="shared" si="20"/>
        <v/>
      </c>
      <c r="DX11" t="s">
        <v>597</v>
      </c>
      <c r="DZ11" t="s">
        <v>598</v>
      </c>
      <c r="EF11" s="114" t="str">
        <f ca="1"/>
        <v/>
      </c>
      <c r="EJ11" t="s">
        <v>597</v>
      </c>
      <c r="EL11" t="s">
        <v>598</v>
      </c>
      <c r="EV11" t="s">
        <v>597</v>
      </c>
      <c r="EX11" t="s">
        <v>598</v>
      </c>
    </row>
    <row r="12" spans="1:154" hidden="1" x14ac:dyDescent="0.3">
      <c r="A12" t="str">
        <f>IF(ROW(A10)&lt;=profilKelas!$F$14,ROW(A10),"")</f>
        <v/>
      </c>
      <c r="B12" t="str">
        <f>IF(ISBLANK(identitasMurid!C15),"",identitasMurid!C15)</f>
        <v/>
      </c>
      <c r="C12" t="str">
        <f ca="1"/>
        <v/>
      </c>
      <c r="D12" t="str">
        <f ca="1"/>
        <v/>
      </c>
      <c r="E12" t="str">
        <f ca="1"/>
        <v/>
      </c>
      <c r="F12" t="str">
        <f ca="1"/>
        <v/>
      </c>
      <c r="G12" t="str">
        <f ca="1"/>
        <v/>
      </c>
      <c r="H12" t="str">
        <f ca="1"/>
        <v/>
      </c>
      <c r="I12" t="str">
        <f ca="1"/>
        <v/>
      </c>
      <c r="J12" t="str">
        <f ca="1"/>
        <v/>
      </c>
      <c r="K12" t="str">
        <f ca="1"/>
        <v/>
      </c>
      <c r="L12" t="str">
        <f ca="1"/>
        <v/>
      </c>
      <c r="M12" t="str">
        <f ca="1"/>
        <v/>
      </c>
      <c r="N12" t="str">
        <f ca="1"/>
        <v/>
      </c>
      <c r="O12" t="str">
        <f ca="1"/>
        <v/>
      </c>
      <c r="P12" t="str">
        <f ca="1"/>
        <v/>
      </c>
      <c r="Q12" t="str">
        <f ca="1"/>
        <v/>
      </c>
      <c r="R12" t="str">
        <f ca="1"/>
        <v/>
      </c>
      <c r="S12" t="str">
        <f ca="1"/>
        <v/>
      </c>
      <c r="T12" t="str">
        <f ca="1"/>
        <v/>
      </c>
      <c r="U12" t="str">
        <f ca="1"/>
        <v/>
      </c>
      <c r="V12" t="str">
        <f ca="1"/>
        <v/>
      </c>
      <c r="W12" t="str">
        <f ca="1"/>
        <v/>
      </c>
      <c r="X12" t="str">
        <f ca="1"/>
        <v/>
      </c>
      <c r="Y12" t="str">
        <f ca="1"/>
        <v/>
      </c>
      <c r="Z12" t="str">
        <f ca="1"/>
        <v/>
      </c>
      <c r="AA12" t="str">
        <f ca="1"/>
        <v/>
      </c>
      <c r="AB12" t="str">
        <f ca="1"/>
        <v/>
      </c>
      <c r="AC12" t="str">
        <f ca="1"/>
        <v/>
      </c>
      <c r="AD12" t="str">
        <f ca="1"/>
        <v/>
      </c>
      <c r="AE12" t="str">
        <f ca="1"/>
        <v/>
      </c>
      <c r="AF12" t="str">
        <f ca="1"/>
        <v/>
      </c>
      <c r="AG12" t="str">
        <f ca="1"/>
        <v/>
      </c>
      <c r="AH12" t="str">
        <f ca="1"/>
        <v/>
      </c>
      <c r="AI12" t="str">
        <f ca="1"/>
        <v/>
      </c>
      <c r="AJ12" t="str">
        <f ca="1"/>
        <v/>
      </c>
      <c r="AK12" t="str">
        <f ca="1"/>
        <v/>
      </c>
      <c r="AL12" t="str">
        <f ca="1"/>
        <v/>
      </c>
      <c r="AM12" t="str">
        <f ca="1"/>
        <v/>
      </c>
      <c r="AN12" t="str">
        <f ca="1"/>
        <v/>
      </c>
      <c r="AO12" t="str">
        <f ca="1"/>
        <v/>
      </c>
      <c r="AP12" t="str">
        <f ca="1"/>
        <v/>
      </c>
      <c r="AQ12" t="str">
        <f ca="1"/>
        <v/>
      </c>
      <c r="AR12" t="str">
        <f ca="1"/>
        <v/>
      </c>
      <c r="AS12" t="str">
        <f ca="1"/>
        <v/>
      </c>
      <c r="AT12" t="str">
        <f ca="1"/>
        <v/>
      </c>
      <c r="AU12" t="str">
        <f ca="1"/>
        <v/>
      </c>
      <c r="AV12" t="str">
        <f ca="1"/>
        <v/>
      </c>
      <c r="AW12" t="str">
        <f ca="1"/>
        <v/>
      </c>
      <c r="AX12" t="str">
        <f ca="1"/>
        <v/>
      </c>
      <c r="AY12" s="109" t="str">
        <f ca="1"/>
        <v/>
      </c>
      <c r="AZ12" t="str">
        <f ca="1"/>
        <v/>
      </c>
      <c r="BA12" t="str">
        <f ca="1"/>
        <v/>
      </c>
      <c r="BB12" t="str">
        <f ca="1"/>
        <v/>
      </c>
      <c r="BC12" t="str">
        <f ca="1"/>
        <v/>
      </c>
      <c r="BD12" t="str">
        <f ca="1"/>
        <v/>
      </c>
      <c r="BE12" t="str">
        <f ca="1"/>
        <v/>
      </c>
      <c r="BF12" t="str">
        <f ca="1"/>
        <v/>
      </c>
      <c r="BG12" t="str">
        <f ca="1"/>
        <v/>
      </c>
      <c r="BH12" t="str">
        <f ca="1"/>
        <v/>
      </c>
      <c r="BI12" t="str">
        <f ca="1"/>
        <v/>
      </c>
      <c r="BJ12" t="str">
        <f ca="1"/>
        <v/>
      </c>
      <c r="BK12" t="str">
        <f ca="1"/>
        <v/>
      </c>
      <c r="BL12" t="str">
        <f ca="1"/>
        <v/>
      </c>
      <c r="BM12" t="str">
        <f ca="1"/>
        <v/>
      </c>
      <c r="BN12" t="str">
        <f ca="1"/>
        <v/>
      </c>
      <c r="BO12" t="str">
        <f ca="1"/>
        <v/>
      </c>
      <c r="BP12" t="str">
        <f ca="1"/>
        <v/>
      </c>
      <c r="BQ12" t="str">
        <f ca="1"/>
        <v/>
      </c>
      <c r="BR12" t="str">
        <f ca="1"/>
        <v/>
      </c>
      <c r="BS12" t="str">
        <f ca="1"/>
        <v/>
      </c>
      <c r="BT12" t="str">
        <f ca="1"/>
        <v/>
      </c>
      <c r="BU12" t="str">
        <f ca="1"/>
        <v/>
      </c>
      <c r="BV12" t="str">
        <f ca="1"/>
        <v/>
      </c>
      <c r="BW12" t="str">
        <f ca="1"/>
        <v/>
      </c>
      <c r="BX12" t="str">
        <f ca="1"/>
        <v/>
      </c>
      <c r="BY12" t="str">
        <f ca="1"/>
        <v/>
      </c>
      <c r="BZ12" t="str">
        <f ca="1"/>
        <v/>
      </c>
      <c r="CA12" t="str">
        <f ca="1"/>
        <v/>
      </c>
      <c r="CB12" t="str">
        <f ca="1"/>
        <v/>
      </c>
      <c r="CC12" t="str">
        <f ca="1"/>
        <v/>
      </c>
      <c r="CD12" t="str">
        <f ca="1"/>
        <v/>
      </c>
      <c r="CE12" t="str">
        <f ca="1"/>
        <v/>
      </c>
      <c r="CF12" t="str">
        <f ca="1"/>
        <v/>
      </c>
      <c r="CG12" t="str">
        <f ca="1"/>
        <v/>
      </c>
      <c r="CH12" t="str">
        <f ca="1"/>
        <v/>
      </c>
      <c r="CI12" t="str">
        <f ca="1"/>
        <v/>
      </c>
      <c r="CJ12" t="str">
        <f ca="1"/>
        <v/>
      </c>
      <c r="CK12" t="str">
        <f ca="1"/>
        <v/>
      </c>
      <c r="CL12" t="str">
        <f ca="1"/>
        <v/>
      </c>
      <c r="CM12" t="str">
        <f ca="1"/>
        <v/>
      </c>
      <c r="CN12" t="str">
        <f ca="1"/>
        <v/>
      </c>
      <c r="CO12" t="str">
        <f ca="1"/>
        <v/>
      </c>
      <c r="CP12" t="str">
        <f ca="1"/>
        <v/>
      </c>
      <c r="CQ12" t="str">
        <f ca="1"/>
        <v/>
      </c>
      <c r="CR12" t="str">
        <f ca="1"/>
        <v/>
      </c>
      <c r="CS12" t="str">
        <f ca="1"/>
        <v/>
      </c>
      <c r="CT12" t="str">
        <f ca="1"/>
        <v/>
      </c>
      <c r="CU12" t="str">
        <f>IF(ISBLANK(identitasMurid!D15),"",identitasMurid!D15)</f>
        <v/>
      </c>
      <c r="CV12" t="str">
        <f t="shared" si="21"/>
        <v/>
      </c>
      <c r="CW12" t="str">
        <f t="shared" si="0"/>
        <v/>
      </c>
      <c r="CX12" t="str">
        <f t="shared" si="1"/>
        <v/>
      </c>
      <c r="CY12" t="str">
        <f t="shared" si="2"/>
        <v/>
      </c>
      <c r="CZ12" t="str">
        <f t="shared" si="3"/>
        <v/>
      </c>
      <c r="DA12" t="str">
        <f t="shared" si="4"/>
        <v/>
      </c>
      <c r="DB12" t="str">
        <f t="shared" si="5"/>
        <v/>
      </c>
      <c r="DC12" t="str">
        <f t="shared" si="6"/>
        <v/>
      </c>
      <c r="DD12" t="str">
        <f t="shared" si="22"/>
        <v/>
      </c>
      <c r="DE12" t="str">
        <f t="shared" si="7"/>
        <v/>
      </c>
      <c r="DF12" t="str">
        <f t="shared" si="8"/>
        <v/>
      </c>
      <c r="DG12" t="str">
        <f t="shared" si="9"/>
        <v/>
      </c>
      <c r="DH12" t="str">
        <f t="shared" si="10"/>
        <v/>
      </c>
      <c r="DI12" t="str">
        <f t="shared" si="11"/>
        <v/>
      </c>
      <c r="DJ12" t="str">
        <f t="shared" si="12"/>
        <v/>
      </c>
      <c r="DK12" t="str">
        <f t="shared" si="13"/>
        <v/>
      </c>
      <c r="DL12" t="str">
        <f t="shared" si="23"/>
        <v/>
      </c>
      <c r="DM12" t="str">
        <f t="shared" si="14"/>
        <v/>
      </c>
      <c r="DN12" t="str">
        <f t="shared" si="15"/>
        <v/>
      </c>
      <c r="DO12" t="str">
        <f t="shared" si="16"/>
        <v/>
      </c>
      <c r="DP12" t="str">
        <f t="shared" si="17"/>
        <v/>
      </c>
      <c r="DQ12" t="str">
        <f t="shared" si="18"/>
        <v/>
      </c>
      <c r="DR12" t="str">
        <f t="shared" si="19"/>
        <v/>
      </c>
      <c r="DS12" t="str">
        <f t="shared" si="20"/>
        <v/>
      </c>
      <c r="DU12">
        <v>1</v>
      </c>
      <c r="DV12" t="s">
        <v>607</v>
      </c>
      <c r="DW12">
        <f>COUNTIF($CU$3:$CU$47,LEFT(DV12,1))</f>
        <v>0</v>
      </c>
      <c r="DX12">
        <f>COUNTIFS($CU$3:$CU$47,LEFT($DV12,1),$DC$3:$DC$47,DX$11)</f>
        <v>0</v>
      </c>
      <c r="DZ12">
        <f>COUNTIFS($CU$3:$CU$47,LEFT($DV12,1),$DC$3:$DC$47,DZ$11)</f>
        <v>0</v>
      </c>
      <c r="EF12" s="114" t="str">
        <f ca="1"/>
        <v/>
      </c>
      <c r="EG12">
        <v>1</v>
      </c>
      <c r="EH12" t="s">
        <v>607</v>
      </c>
      <c r="EI12">
        <f>COUNTIF($CU$3:$CU$47,LEFT(EH12,1))</f>
        <v>0</v>
      </c>
      <c r="EJ12">
        <f>COUNTIFS($CU$3:$CU$47,LEFT($DV12,1),$DK$3:$DK$47,EJ$11)</f>
        <v>0</v>
      </c>
      <c r="EL12">
        <f>COUNTIFS($CU$3:$CU$47,LEFT($DV12,1),$DK$3:$DK$47,EL$11)</f>
        <v>0</v>
      </c>
      <c r="ES12">
        <v>1</v>
      </c>
      <c r="ET12" t="s">
        <v>607</v>
      </c>
      <c r="EU12">
        <f>COUNTIF($CU$3:$CU$47,LEFT(ET12,1))</f>
        <v>0</v>
      </c>
      <c r="EV12">
        <f>COUNTIFS($CU$3:$CU$47,LEFT($DV12,1),$DS$3:$DS$47,EV$11)</f>
        <v>0</v>
      </c>
      <c r="EX12">
        <f>COUNTIFS($CU$3:$CU$47,LEFT($DV12,1),$DS$3:$DS$47,EX$11)</f>
        <v>0</v>
      </c>
    </row>
    <row r="13" spans="1:154" hidden="1" x14ac:dyDescent="0.3">
      <c r="A13" t="str">
        <f>IF(ROW(A11)&lt;=profilKelas!$F$14,ROW(A11),"")</f>
        <v/>
      </c>
      <c r="B13" t="str">
        <f>IF(ISBLANK(identitasMurid!C16),"",identitasMurid!C16)</f>
        <v/>
      </c>
      <c r="C13" t="str">
        <f ca="1"/>
        <v/>
      </c>
      <c r="D13" t="str">
        <f ca="1"/>
        <v/>
      </c>
      <c r="E13" t="str">
        <f ca="1"/>
        <v/>
      </c>
      <c r="F13" t="str">
        <f ca="1"/>
        <v/>
      </c>
      <c r="G13" t="str">
        <f ca="1"/>
        <v/>
      </c>
      <c r="H13" t="str">
        <f ca="1"/>
        <v/>
      </c>
      <c r="I13" t="str">
        <f ca="1"/>
        <v/>
      </c>
      <c r="J13" t="str">
        <f ca="1"/>
        <v/>
      </c>
      <c r="K13" t="str">
        <f ca="1"/>
        <v/>
      </c>
      <c r="L13" t="str">
        <f ca="1"/>
        <v/>
      </c>
      <c r="M13" t="str">
        <f ca="1"/>
        <v/>
      </c>
      <c r="N13" t="str">
        <f ca="1"/>
        <v/>
      </c>
      <c r="O13" t="str">
        <f ca="1"/>
        <v/>
      </c>
      <c r="P13" t="str">
        <f ca="1"/>
        <v/>
      </c>
      <c r="Q13" t="str">
        <f ca="1"/>
        <v/>
      </c>
      <c r="R13" t="str">
        <f ca="1"/>
        <v/>
      </c>
      <c r="S13" t="str">
        <f ca="1"/>
        <v/>
      </c>
      <c r="T13" t="str">
        <f ca="1"/>
        <v/>
      </c>
      <c r="U13" t="str">
        <f ca="1"/>
        <v/>
      </c>
      <c r="V13" t="str">
        <f ca="1"/>
        <v/>
      </c>
      <c r="W13" t="str">
        <f ca="1"/>
        <v/>
      </c>
      <c r="X13" t="str">
        <f ca="1"/>
        <v/>
      </c>
      <c r="Y13" t="str">
        <f ca="1"/>
        <v/>
      </c>
      <c r="Z13" t="str">
        <f ca="1"/>
        <v/>
      </c>
      <c r="AA13" t="str">
        <f ca="1"/>
        <v/>
      </c>
      <c r="AB13" t="str">
        <f ca="1"/>
        <v/>
      </c>
      <c r="AC13" t="str">
        <f ca="1"/>
        <v/>
      </c>
      <c r="AD13" t="str">
        <f ca="1"/>
        <v/>
      </c>
      <c r="AE13" t="str">
        <f ca="1"/>
        <v/>
      </c>
      <c r="AF13" t="str">
        <f ca="1"/>
        <v/>
      </c>
      <c r="AG13" t="str">
        <f ca="1"/>
        <v/>
      </c>
      <c r="AH13" t="str">
        <f ca="1"/>
        <v/>
      </c>
      <c r="AI13" t="str">
        <f ca="1"/>
        <v/>
      </c>
      <c r="AJ13" t="str">
        <f ca="1"/>
        <v/>
      </c>
      <c r="AK13" t="str">
        <f ca="1"/>
        <v/>
      </c>
      <c r="AL13" t="str">
        <f ca="1"/>
        <v/>
      </c>
      <c r="AM13" t="str">
        <f ca="1"/>
        <v/>
      </c>
      <c r="AN13" t="str">
        <f ca="1"/>
        <v/>
      </c>
      <c r="AO13" t="str">
        <f ca="1"/>
        <v/>
      </c>
      <c r="AP13" t="str">
        <f ca="1"/>
        <v/>
      </c>
      <c r="AQ13" t="str">
        <f ca="1"/>
        <v/>
      </c>
      <c r="AR13" t="str">
        <f ca="1"/>
        <v/>
      </c>
      <c r="AS13" t="str">
        <f ca="1"/>
        <v/>
      </c>
      <c r="AT13" t="str">
        <f ca="1"/>
        <v/>
      </c>
      <c r="AU13" t="str">
        <f ca="1"/>
        <v/>
      </c>
      <c r="AV13" t="str">
        <f ca="1"/>
        <v/>
      </c>
      <c r="AW13" t="str">
        <f ca="1"/>
        <v/>
      </c>
      <c r="AX13" t="str">
        <f ca="1"/>
        <v/>
      </c>
      <c r="AY13" s="109" t="str">
        <f ca="1"/>
        <v/>
      </c>
      <c r="AZ13" t="str">
        <f ca="1"/>
        <v/>
      </c>
      <c r="BA13" t="str">
        <f ca="1"/>
        <v/>
      </c>
      <c r="BB13" t="str">
        <f ca="1"/>
        <v/>
      </c>
      <c r="BC13" t="str">
        <f ca="1"/>
        <v/>
      </c>
      <c r="BD13" t="str">
        <f ca="1"/>
        <v/>
      </c>
      <c r="BE13" t="str">
        <f ca="1"/>
        <v/>
      </c>
      <c r="BF13" t="str">
        <f ca="1"/>
        <v/>
      </c>
      <c r="BG13" t="str">
        <f ca="1"/>
        <v/>
      </c>
      <c r="BH13" t="str">
        <f ca="1"/>
        <v/>
      </c>
      <c r="BI13" t="str">
        <f ca="1"/>
        <v/>
      </c>
      <c r="BJ13" t="str">
        <f ca="1"/>
        <v/>
      </c>
      <c r="BK13" t="str">
        <f ca="1"/>
        <v/>
      </c>
      <c r="BL13" t="str">
        <f ca="1"/>
        <v/>
      </c>
      <c r="BM13" t="str">
        <f ca="1"/>
        <v/>
      </c>
      <c r="BN13" t="str">
        <f ca="1"/>
        <v/>
      </c>
      <c r="BO13" t="str">
        <f ca="1"/>
        <v/>
      </c>
      <c r="BP13" t="str">
        <f ca="1"/>
        <v/>
      </c>
      <c r="BQ13" t="str">
        <f ca="1"/>
        <v/>
      </c>
      <c r="BR13" t="str">
        <f ca="1"/>
        <v/>
      </c>
      <c r="BS13" t="str">
        <f ca="1"/>
        <v/>
      </c>
      <c r="BT13" t="str">
        <f ca="1"/>
        <v/>
      </c>
      <c r="BU13" t="str">
        <f ca="1"/>
        <v/>
      </c>
      <c r="BV13" t="str">
        <f ca="1"/>
        <v/>
      </c>
      <c r="BW13" t="str">
        <f ca="1"/>
        <v/>
      </c>
      <c r="BX13" t="str">
        <f ca="1"/>
        <v/>
      </c>
      <c r="BY13" t="str">
        <f ca="1"/>
        <v/>
      </c>
      <c r="BZ13" t="str">
        <f ca="1"/>
        <v/>
      </c>
      <c r="CA13" t="str">
        <f ca="1"/>
        <v/>
      </c>
      <c r="CB13" t="str">
        <f ca="1"/>
        <v/>
      </c>
      <c r="CC13" t="str">
        <f ca="1"/>
        <v/>
      </c>
      <c r="CD13" t="str">
        <f ca="1"/>
        <v/>
      </c>
      <c r="CE13" t="str">
        <f ca="1"/>
        <v/>
      </c>
      <c r="CF13" t="str">
        <f ca="1"/>
        <v/>
      </c>
      <c r="CG13" t="str">
        <f ca="1"/>
        <v/>
      </c>
      <c r="CH13" t="str">
        <f ca="1"/>
        <v/>
      </c>
      <c r="CI13" t="str">
        <f ca="1"/>
        <v/>
      </c>
      <c r="CJ13" t="str">
        <f ca="1"/>
        <v/>
      </c>
      <c r="CK13" t="str">
        <f ca="1"/>
        <v/>
      </c>
      <c r="CL13" t="str">
        <f ca="1"/>
        <v/>
      </c>
      <c r="CM13" t="str">
        <f ca="1"/>
        <v/>
      </c>
      <c r="CN13" t="str">
        <f ca="1"/>
        <v/>
      </c>
      <c r="CO13" t="str">
        <f ca="1"/>
        <v/>
      </c>
      <c r="CP13" t="str">
        <f ca="1"/>
        <v/>
      </c>
      <c r="CQ13" t="str">
        <f ca="1"/>
        <v/>
      </c>
      <c r="CR13" t="str">
        <f ca="1"/>
        <v/>
      </c>
      <c r="CS13" t="str">
        <f ca="1"/>
        <v/>
      </c>
      <c r="CT13" t="str">
        <f ca="1"/>
        <v/>
      </c>
      <c r="CU13" t="str">
        <f>IF(ISBLANK(identitasMurid!D16),"",identitasMurid!D16)</f>
        <v/>
      </c>
      <c r="CV13" t="str">
        <f t="shared" si="21"/>
        <v/>
      </c>
      <c r="CW13" t="str">
        <f t="shared" si="0"/>
        <v/>
      </c>
      <c r="CX13" t="str">
        <f t="shared" si="1"/>
        <v/>
      </c>
      <c r="CY13" t="str">
        <f t="shared" si="2"/>
        <v/>
      </c>
      <c r="CZ13" t="str">
        <f t="shared" si="3"/>
        <v/>
      </c>
      <c r="DA13" t="str">
        <f t="shared" si="4"/>
        <v/>
      </c>
      <c r="DB13" t="str">
        <f t="shared" si="5"/>
        <v/>
      </c>
      <c r="DC13" t="str">
        <f t="shared" si="6"/>
        <v/>
      </c>
      <c r="DD13" t="str">
        <f t="shared" si="22"/>
        <v/>
      </c>
      <c r="DE13" t="str">
        <f t="shared" si="7"/>
        <v/>
      </c>
      <c r="DF13" t="str">
        <f t="shared" si="8"/>
        <v/>
      </c>
      <c r="DG13" t="str">
        <f t="shared" si="9"/>
        <v/>
      </c>
      <c r="DH13" t="str">
        <f t="shared" si="10"/>
        <v/>
      </c>
      <c r="DI13" t="str">
        <f t="shared" si="11"/>
        <v/>
      </c>
      <c r="DJ13" t="str">
        <f t="shared" si="12"/>
        <v/>
      </c>
      <c r="DK13" t="str">
        <f t="shared" si="13"/>
        <v/>
      </c>
      <c r="DL13" t="str">
        <f t="shared" si="23"/>
        <v/>
      </c>
      <c r="DM13" t="str">
        <f t="shared" si="14"/>
        <v/>
      </c>
      <c r="DN13" t="str">
        <f t="shared" si="15"/>
        <v/>
      </c>
      <c r="DO13" t="str">
        <f t="shared" si="16"/>
        <v/>
      </c>
      <c r="DP13" t="str">
        <f t="shared" si="17"/>
        <v/>
      </c>
      <c r="DQ13" t="str">
        <f t="shared" si="18"/>
        <v/>
      </c>
      <c r="DR13" t="str">
        <f t="shared" si="19"/>
        <v/>
      </c>
      <c r="DS13" t="str">
        <f t="shared" si="20"/>
        <v/>
      </c>
      <c r="DU13">
        <v>2</v>
      </c>
      <c r="DV13" t="s">
        <v>608</v>
      </c>
      <c r="DW13">
        <f>COUNTIF($CU$3:$CU$47,LEFT(DV13,1))</f>
        <v>0</v>
      </c>
      <c r="DX13">
        <f>COUNTIFS($CU$3:$CU$47,LEFT($DV13,1),$DC$3:$DC$47,DX$11)</f>
        <v>0</v>
      </c>
      <c r="DZ13">
        <f>COUNTIFS($CU$3:$CU$47,LEFT($DV13,1),$DC$3:$DC$47,DZ$11)</f>
        <v>0</v>
      </c>
      <c r="EF13" s="114" t="str">
        <f ca="1"/>
        <v/>
      </c>
      <c r="EG13">
        <v>2</v>
      </c>
      <c r="EH13" t="s">
        <v>608</v>
      </c>
      <c r="EI13">
        <f>COUNTIF($CU$3:$CU$47,LEFT(EH13,1))</f>
        <v>0</v>
      </c>
      <c r="EJ13">
        <f>COUNTIFS($CU$3:$CU$47,LEFT($DV13,1),$DK$3:$DK$47,EJ$11)</f>
        <v>0</v>
      </c>
      <c r="EL13">
        <f>COUNTIFS($CU$3:$CU$47,LEFT($DV13,1),$DK$3:$DK$47,EL$11)</f>
        <v>0</v>
      </c>
      <c r="ES13">
        <v>2</v>
      </c>
      <c r="ET13" t="s">
        <v>608</v>
      </c>
      <c r="EU13">
        <f>COUNTIF($CU$3:$CU$47,LEFT(ET13,1))</f>
        <v>0</v>
      </c>
      <c r="EV13">
        <f>COUNTIFS($CU$3:$CU$47,LEFT($DV13,1),$DS$3:$DS$47,EV$11)</f>
        <v>0</v>
      </c>
      <c r="EX13">
        <f>COUNTIFS($CU$3:$CU$47,LEFT($DV13,1),$DS$3:$DS$47,EX$11)</f>
        <v>0</v>
      </c>
    </row>
    <row r="14" spans="1:154" hidden="1" x14ac:dyDescent="0.3">
      <c r="A14" t="str">
        <f>IF(ROW(A12)&lt;=profilKelas!$F$14,ROW(A12),"")</f>
        <v/>
      </c>
      <c r="B14" t="str">
        <f>IF(ISBLANK(identitasMurid!C17),"",identitasMurid!C17)</f>
        <v/>
      </c>
      <c r="C14" t="str">
        <f ca="1"/>
        <v/>
      </c>
      <c r="D14" t="str">
        <f ca="1"/>
        <v/>
      </c>
      <c r="E14" t="str">
        <f ca="1"/>
        <v/>
      </c>
      <c r="F14" t="str">
        <f ca="1"/>
        <v/>
      </c>
      <c r="G14" t="str">
        <f ca="1"/>
        <v/>
      </c>
      <c r="H14" t="str">
        <f ca="1"/>
        <v/>
      </c>
      <c r="I14" t="str">
        <f ca="1"/>
        <v/>
      </c>
      <c r="J14" t="str">
        <f ca="1"/>
        <v/>
      </c>
      <c r="K14" t="str">
        <f ca="1"/>
        <v/>
      </c>
      <c r="L14" t="str">
        <f ca="1"/>
        <v/>
      </c>
      <c r="M14" t="str">
        <f ca="1"/>
        <v/>
      </c>
      <c r="N14" t="str">
        <f ca="1"/>
        <v/>
      </c>
      <c r="O14" t="str">
        <f ca="1"/>
        <v/>
      </c>
      <c r="P14" t="str">
        <f ca="1"/>
        <v/>
      </c>
      <c r="Q14" t="str">
        <f ca="1"/>
        <v/>
      </c>
      <c r="R14" t="str">
        <f ca="1"/>
        <v/>
      </c>
      <c r="S14" t="str">
        <f ca="1"/>
        <v/>
      </c>
      <c r="T14" t="str">
        <f ca="1"/>
        <v/>
      </c>
      <c r="U14" t="str">
        <f ca="1"/>
        <v/>
      </c>
      <c r="V14" t="str">
        <f ca="1"/>
        <v/>
      </c>
      <c r="W14" t="str">
        <f ca="1"/>
        <v/>
      </c>
      <c r="X14" t="str">
        <f ca="1"/>
        <v/>
      </c>
      <c r="Y14" t="str">
        <f ca="1"/>
        <v/>
      </c>
      <c r="Z14" t="str">
        <f ca="1"/>
        <v/>
      </c>
      <c r="AA14" t="str">
        <f ca="1"/>
        <v/>
      </c>
      <c r="AB14" t="str">
        <f ca="1"/>
        <v/>
      </c>
      <c r="AC14" t="str">
        <f ca="1"/>
        <v/>
      </c>
      <c r="AD14" t="str">
        <f ca="1"/>
        <v/>
      </c>
      <c r="AE14" t="str">
        <f ca="1"/>
        <v/>
      </c>
      <c r="AF14" t="str">
        <f ca="1"/>
        <v/>
      </c>
      <c r="AG14" t="str">
        <f ca="1"/>
        <v/>
      </c>
      <c r="AH14" t="str">
        <f ca="1"/>
        <v/>
      </c>
      <c r="AI14" t="str">
        <f ca="1"/>
        <v/>
      </c>
      <c r="AJ14" t="str">
        <f ca="1"/>
        <v/>
      </c>
      <c r="AK14" t="str">
        <f ca="1"/>
        <v/>
      </c>
      <c r="AL14" t="str">
        <f ca="1"/>
        <v/>
      </c>
      <c r="AM14" t="str">
        <f ca="1"/>
        <v/>
      </c>
      <c r="AN14" t="str">
        <f ca="1"/>
        <v/>
      </c>
      <c r="AO14" t="str">
        <f ca="1"/>
        <v/>
      </c>
      <c r="AP14" t="str">
        <f ca="1"/>
        <v/>
      </c>
      <c r="AQ14" t="str">
        <f ca="1"/>
        <v/>
      </c>
      <c r="AR14" t="str">
        <f ca="1"/>
        <v/>
      </c>
      <c r="AS14" t="str">
        <f ca="1"/>
        <v/>
      </c>
      <c r="AT14" t="str">
        <f ca="1"/>
        <v/>
      </c>
      <c r="AU14" t="str">
        <f ca="1"/>
        <v/>
      </c>
      <c r="AV14" t="str">
        <f ca="1"/>
        <v/>
      </c>
      <c r="AW14" t="str">
        <f ca="1"/>
        <v/>
      </c>
      <c r="AX14" t="str">
        <f ca="1"/>
        <v/>
      </c>
      <c r="AY14" s="109" t="str">
        <f ca="1"/>
        <v/>
      </c>
      <c r="AZ14" t="str">
        <f ca="1"/>
        <v/>
      </c>
      <c r="BA14" t="str">
        <f ca="1"/>
        <v/>
      </c>
      <c r="BB14" t="str">
        <f ca="1"/>
        <v/>
      </c>
      <c r="BC14" t="str">
        <f ca="1"/>
        <v/>
      </c>
      <c r="BD14" t="str">
        <f ca="1"/>
        <v/>
      </c>
      <c r="BE14" t="str">
        <f ca="1"/>
        <v/>
      </c>
      <c r="BF14" t="str">
        <f ca="1"/>
        <v/>
      </c>
      <c r="BG14" t="str">
        <f ca="1"/>
        <v/>
      </c>
      <c r="BH14" t="str">
        <f ca="1"/>
        <v/>
      </c>
      <c r="BI14" t="str">
        <f ca="1"/>
        <v/>
      </c>
      <c r="BJ14" t="str">
        <f ca="1"/>
        <v/>
      </c>
      <c r="BK14" t="str">
        <f ca="1"/>
        <v/>
      </c>
      <c r="BL14" t="str">
        <f ca="1"/>
        <v/>
      </c>
      <c r="BM14" t="str">
        <f ca="1"/>
        <v/>
      </c>
      <c r="BN14" t="str">
        <f ca="1"/>
        <v/>
      </c>
      <c r="BO14" t="str">
        <f ca="1"/>
        <v/>
      </c>
      <c r="BP14" t="str">
        <f ca="1"/>
        <v/>
      </c>
      <c r="BQ14" t="str">
        <f ca="1"/>
        <v/>
      </c>
      <c r="BR14" t="str">
        <f ca="1"/>
        <v/>
      </c>
      <c r="BS14" t="str">
        <f ca="1"/>
        <v/>
      </c>
      <c r="BT14" t="str">
        <f ca="1"/>
        <v/>
      </c>
      <c r="BU14" t="str">
        <f ca="1"/>
        <v/>
      </c>
      <c r="BV14" t="str">
        <f ca="1"/>
        <v/>
      </c>
      <c r="BW14" t="str">
        <f ca="1"/>
        <v/>
      </c>
      <c r="BX14" t="str">
        <f ca="1"/>
        <v/>
      </c>
      <c r="BY14" t="str">
        <f ca="1"/>
        <v/>
      </c>
      <c r="BZ14" t="str">
        <f ca="1"/>
        <v/>
      </c>
      <c r="CA14" t="str">
        <f ca="1"/>
        <v/>
      </c>
      <c r="CB14" t="str">
        <f ca="1"/>
        <v/>
      </c>
      <c r="CC14" t="str">
        <f ca="1"/>
        <v/>
      </c>
      <c r="CD14" t="str">
        <f ca="1"/>
        <v/>
      </c>
      <c r="CE14" t="str">
        <f ca="1"/>
        <v/>
      </c>
      <c r="CF14" t="str">
        <f ca="1"/>
        <v/>
      </c>
      <c r="CG14" t="str">
        <f ca="1"/>
        <v/>
      </c>
      <c r="CH14" t="str">
        <f ca="1"/>
        <v/>
      </c>
      <c r="CI14" t="str">
        <f ca="1"/>
        <v/>
      </c>
      <c r="CJ14" t="str">
        <f ca="1"/>
        <v/>
      </c>
      <c r="CK14" t="str">
        <f ca="1"/>
        <v/>
      </c>
      <c r="CL14" t="str">
        <f ca="1"/>
        <v/>
      </c>
      <c r="CM14" t="str">
        <f ca="1"/>
        <v/>
      </c>
      <c r="CN14" t="str">
        <f ca="1"/>
        <v/>
      </c>
      <c r="CO14" t="str">
        <f ca="1"/>
        <v/>
      </c>
      <c r="CP14" t="str">
        <f ca="1"/>
        <v/>
      </c>
      <c r="CQ14" t="str">
        <f ca="1"/>
        <v/>
      </c>
      <c r="CR14" t="str">
        <f ca="1"/>
        <v/>
      </c>
      <c r="CS14" t="str">
        <f ca="1"/>
        <v/>
      </c>
      <c r="CT14" t="str">
        <f ca="1"/>
        <v/>
      </c>
      <c r="CU14" t="str">
        <f>IF(ISBLANK(identitasMurid!D17),"",identitasMurid!D17)</f>
        <v/>
      </c>
      <c r="CV14" t="str">
        <f t="shared" si="21"/>
        <v/>
      </c>
      <c r="CW14" t="str">
        <f t="shared" si="0"/>
        <v/>
      </c>
      <c r="CX14" t="str">
        <f t="shared" si="1"/>
        <v/>
      </c>
      <c r="CY14" t="str">
        <f t="shared" si="2"/>
        <v/>
      </c>
      <c r="CZ14" t="str">
        <f t="shared" si="3"/>
        <v/>
      </c>
      <c r="DA14" t="str">
        <f t="shared" si="4"/>
        <v/>
      </c>
      <c r="DB14" t="str">
        <f t="shared" si="5"/>
        <v/>
      </c>
      <c r="DC14" t="str">
        <f t="shared" si="6"/>
        <v/>
      </c>
      <c r="DD14" t="str">
        <f t="shared" si="22"/>
        <v/>
      </c>
      <c r="DE14" t="str">
        <f t="shared" si="7"/>
        <v/>
      </c>
      <c r="DF14" t="str">
        <f t="shared" si="8"/>
        <v/>
      </c>
      <c r="DG14" t="str">
        <f t="shared" si="9"/>
        <v/>
      </c>
      <c r="DH14" t="str">
        <f t="shared" si="10"/>
        <v/>
      </c>
      <c r="DI14" t="str">
        <f t="shared" si="11"/>
        <v/>
      </c>
      <c r="DJ14" t="str">
        <f t="shared" si="12"/>
        <v/>
      </c>
      <c r="DK14" t="str">
        <f t="shared" si="13"/>
        <v/>
      </c>
      <c r="DL14" t="str">
        <f t="shared" si="23"/>
        <v/>
      </c>
      <c r="DM14" t="str">
        <f t="shared" si="14"/>
        <v/>
      </c>
      <c r="DN14" t="str">
        <f t="shared" si="15"/>
        <v/>
      </c>
      <c r="DO14" t="str">
        <f t="shared" si="16"/>
        <v/>
      </c>
      <c r="DP14" t="str">
        <f t="shared" si="17"/>
        <v/>
      </c>
      <c r="DQ14" t="str">
        <f t="shared" si="18"/>
        <v/>
      </c>
      <c r="DR14" t="str">
        <f t="shared" si="19"/>
        <v/>
      </c>
      <c r="DS14" t="str">
        <f t="shared" si="20"/>
        <v/>
      </c>
      <c r="DU14" t="s">
        <v>832</v>
      </c>
      <c r="DW14">
        <f>SUM(DW12:DW13)</f>
        <v>0</v>
      </c>
      <c r="DX14">
        <f>SUM(DX12:DX13)</f>
        <v>0</v>
      </c>
      <c r="DZ14">
        <f>SUM(DZ12:DZ13)</f>
        <v>0</v>
      </c>
      <c r="EF14" s="114" t="str">
        <f ca="1"/>
        <v/>
      </c>
      <c r="EG14" t="s">
        <v>832</v>
      </c>
      <c r="EI14">
        <f>SUM(EI12:EI13)</f>
        <v>0</v>
      </c>
      <c r="EJ14">
        <f>SUM(EJ12:EJ13)</f>
        <v>0</v>
      </c>
      <c r="EL14">
        <f>SUM(EL12:EL13)</f>
        <v>0</v>
      </c>
      <c r="ES14" t="s">
        <v>832</v>
      </c>
      <c r="EU14">
        <f>SUM(EU12:EU13)</f>
        <v>0</v>
      </c>
      <c r="EV14">
        <f>SUM(EV12:EV13)</f>
        <v>0</v>
      </c>
      <c r="EX14">
        <f>SUM(EX12:EX13)</f>
        <v>0</v>
      </c>
    </row>
    <row r="15" spans="1:154" hidden="1" x14ac:dyDescent="0.3">
      <c r="A15" t="str">
        <f>IF(ROW(A13)&lt;=profilKelas!$F$14,ROW(A13),"")</f>
        <v/>
      </c>
      <c r="B15" t="str">
        <f>IF(ISBLANK(identitasMurid!C18),"",identitasMurid!C18)</f>
        <v/>
      </c>
      <c r="C15" t="str">
        <f ca="1"/>
        <v/>
      </c>
      <c r="D15" t="str">
        <f ca="1"/>
        <v/>
      </c>
      <c r="E15" t="str">
        <f ca="1"/>
        <v/>
      </c>
      <c r="F15" t="str">
        <f ca="1"/>
        <v/>
      </c>
      <c r="G15" t="str">
        <f ca="1"/>
        <v/>
      </c>
      <c r="H15" t="str">
        <f ca="1"/>
        <v/>
      </c>
      <c r="I15" t="str">
        <f ca="1"/>
        <v/>
      </c>
      <c r="J15" t="str">
        <f ca="1"/>
        <v/>
      </c>
      <c r="K15" t="str">
        <f ca="1"/>
        <v/>
      </c>
      <c r="L15" t="str">
        <f ca="1"/>
        <v/>
      </c>
      <c r="M15" t="str">
        <f ca="1"/>
        <v/>
      </c>
      <c r="N15" t="str">
        <f ca="1"/>
        <v/>
      </c>
      <c r="O15" t="str">
        <f ca="1"/>
        <v/>
      </c>
      <c r="P15" t="str">
        <f ca="1"/>
        <v/>
      </c>
      <c r="Q15" t="str">
        <f ca="1"/>
        <v/>
      </c>
      <c r="R15" t="str">
        <f ca="1"/>
        <v/>
      </c>
      <c r="S15" t="str">
        <f ca="1"/>
        <v/>
      </c>
      <c r="T15" t="str">
        <f ca="1"/>
        <v/>
      </c>
      <c r="U15" t="str">
        <f ca="1"/>
        <v/>
      </c>
      <c r="V15" t="str">
        <f ca="1"/>
        <v/>
      </c>
      <c r="W15" t="str">
        <f ca="1"/>
        <v/>
      </c>
      <c r="X15" t="str">
        <f ca="1"/>
        <v/>
      </c>
      <c r="Y15" t="str">
        <f ca="1"/>
        <v/>
      </c>
      <c r="Z15" t="str">
        <f ca="1"/>
        <v/>
      </c>
      <c r="AA15" t="str">
        <f ca="1"/>
        <v/>
      </c>
      <c r="AB15" t="str">
        <f ca="1"/>
        <v/>
      </c>
      <c r="AC15" t="str">
        <f ca="1"/>
        <v/>
      </c>
      <c r="AD15" t="str">
        <f ca="1"/>
        <v/>
      </c>
      <c r="AE15" t="str">
        <f ca="1"/>
        <v/>
      </c>
      <c r="AF15" t="str">
        <f ca="1"/>
        <v/>
      </c>
      <c r="AG15" t="str">
        <f ca="1"/>
        <v/>
      </c>
      <c r="AH15" t="str">
        <f ca="1"/>
        <v/>
      </c>
      <c r="AI15" t="str">
        <f ca="1"/>
        <v/>
      </c>
      <c r="AJ15" t="str">
        <f ca="1"/>
        <v/>
      </c>
      <c r="AK15" t="str">
        <f ca="1"/>
        <v/>
      </c>
      <c r="AL15" t="str">
        <f ca="1"/>
        <v/>
      </c>
      <c r="AM15" t="str">
        <f ca="1"/>
        <v/>
      </c>
      <c r="AN15" t="str">
        <f ca="1"/>
        <v/>
      </c>
      <c r="AO15" t="str">
        <f ca="1"/>
        <v/>
      </c>
      <c r="AP15" t="str">
        <f ca="1"/>
        <v/>
      </c>
      <c r="AQ15" t="str">
        <f ca="1"/>
        <v/>
      </c>
      <c r="AR15" t="str">
        <f ca="1"/>
        <v/>
      </c>
      <c r="AS15" t="str">
        <f ca="1"/>
        <v/>
      </c>
      <c r="AT15" t="str">
        <f ca="1"/>
        <v/>
      </c>
      <c r="AU15" t="str">
        <f ca="1"/>
        <v/>
      </c>
      <c r="AV15" t="str">
        <f ca="1"/>
        <v/>
      </c>
      <c r="AW15" t="str">
        <f ca="1"/>
        <v/>
      </c>
      <c r="AX15" t="str">
        <f ca="1"/>
        <v/>
      </c>
      <c r="AY15" s="109" t="str">
        <f ca="1"/>
        <v/>
      </c>
      <c r="AZ15" t="str">
        <f ca="1"/>
        <v/>
      </c>
      <c r="BA15" t="str">
        <f ca="1"/>
        <v/>
      </c>
      <c r="BB15" t="str">
        <f ca="1"/>
        <v/>
      </c>
      <c r="BC15" t="str">
        <f ca="1"/>
        <v/>
      </c>
      <c r="BD15" t="str">
        <f ca="1"/>
        <v/>
      </c>
      <c r="BE15" t="str">
        <f ca="1"/>
        <v/>
      </c>
      <c r="BF15" t="str">
        <f ca="1"/>
        <v/>
      </c>
      <c r="BG15" t="str">
        <f ca="1"/>
        <v/>
      </c>
      <c r="BH15" t="str">
        <f ca="1"/>
        <v/>
      </c>
      <c r="BI15" t="str">
        <f ca="1"/>
        <v/>
      </c>
      <c r="BJ15" t="str">
        <f ca="1"/>
        <v/>
      </c>
      <c r="BK15" t="str">
        <f ca="1"/>
        <v/>
      </c>
      <c r="BL15" t="str">
        <f ca="1"/>
        <v/>
      </c>
      <c r="BM15" t="str">
        <f ca="1"/>
        <v/>
      </c>
      <c r="BN15" t="str">
        <f ca="1"/>
        <v/>
      </c>
      <c r="BO15" t="str">
        <f ca="1"/>
        <v/>
      </c>
      <c r="BP15" t="str">
        <f ca="1"/>
        <v/>
      </c>
      <c r="BQ15" t="str">
        <f ca="1"/>
        <v/>
      </c>
      <c r="BR15" t="str">
        <f ca="1"/>
        <v/>
      </c>
      <c r="BS15" t="str">
        <f ca="1"/>
        <v/>
      </c>
      <c r="BT15" t="str">
        <f ca="1"/>
        <v/>
      </c>
      <c r="BU15" t="str">
        <f ca="1"/>
        <v/>
      </c>
      <c r="BV15" t="str">
        <f ca="1"/>
        <v/>
      </c>
      <c r="BW15" t="str">
        <f ca="1"/>
        <v/>
      </c>
      <c r="BX15" t="str">
        <f ca="1"/>
        <v/>
      </c>
      <c r="BY15" t="str">
        <f ca="1"/>
        <v/>
      </c>
      <c r="BZ15" t="str">
        <f ca="1"/>
        <v/>
      </c>
      <c r="CA15" t="str">
        <f ca="1"/>
        <v/>
      </c>
      <c r="CB15" t="str">
        <f ca="1"/>
        <v/>
      </c>
      <c r="CC15" t="str">
        <f ca="1"/>
        <v/>
      </c>
      <c r="CD15" t="str">
        <f ca="1"/>
        <v/>
      </c>
      <c r="CE15" t="str">
        <f ca="1"/>
        <v/>
      </c>
      <c r="CF15" t="str">
        <f ca="1"/>
        <v/>
      </c>
      <c r="CG15" t="str">
        <f ca="1"/>
        <v/>
      </c>
      <c r="CH15" t="str">
        <f ca="1"/>
        <v/>
      </c>
      <c r="CI15" t="str">
        <f ca="1"/>
        <v/>
      </c>
      <c r="CJ15" t="str">
        <f ca="1"/>
        <v/>
      </c>
      <c r="CK15" t="str">
        <f ca="1"/>
        <v/>
      </c>
      <c r="CL15" t="str">
        <f ca="1"/>
        <v/>
      </c>
      <c r="CM15" t="str">
        <f ca="1"/>
        <v/>
      </c>
      <c r="CN15" t="str">
        <f ca="1"/>
        <v/>
      </c>
      <c r="CO15" t="str">
        <f ca="1"/>
        <v/>
      </c>
      <c r="CP15" t="str">
        <f ca="1"/>
        <v/>
      </c>
      <c r="CQ15" t="str">
        <f ca="1"/>
        <v/>
      </c>
      <c r="CR15" t="str">
        <f ca="1"/>
        <v/>
      </c>
      <c r="CS15" t="str">
        <f ca="1"/>
        <v/>
      </c>
      <c r="CT15" t="str">
        <f ca="1"/>
        <v/>
      </c>
      <c r="CU15" t="str">
        <f>IF(ISBLANK(identitasMurid!D18),"",identitasMurid!D18)</f>
        <v/>
      </c>
      <c r="CV15" t="str">
        <f t="shared" si="21"/>
        <v/>
      </c>
      <c r="CW15" t="str">
        <f t="shared" si="0"/>
        <v/>
      </c>
      <c r="CX15" t="str">
        <f t="shared" si="1"/>
        <v/>
      </c>
      <c r="CY15" t="str">
        <f t="shared" si="2"/>
        <v/>
      </c>
      <c r="CZ15" t="str">
        <f t="shared" si="3"/>
        <v/>
      </c>
      <c r="DA15" t="str">
        <f t="shared" si="4"/>
        <v/>
      </c>
      <c r="DB15" t="str">
        <f t="shared" si="5"/>
        <v/>
      </c>
      <c r="DC15" t="str">
        <f t="shared" si="6"/>
        <v/>
      </c>
      <c r="DD15" t="str">
        <f t="shared" si="22"/>
        <v/>
      </c>
      <c r="DE15" t="str">
        <f t="shared" si="7"/>
        <v/>
      </c>
      <c r="DF15" t="str">
        <f t="shared" si="8"/>
        <v/>
      </c>
      <c r="DG15" t="str">
        <f t="shared" si="9"/>
        <v/>
      </c>
      <c r="DH15" t="str">
        <f t="shared" si="10"/>
        <v/>
      </c>
      <c r="DI15" t="str">
        <f t="shared" si="11"/>
        <v/>
      </c>
      <c r="DJ15" t="str">
        <f t="shared" si="12"/>
        <v/>
      </c>
      <c r="DK15" t="str">
        <f t="shared" si="13"/>
        <v/>
      </c>
      <c r="DL15" t="str">
        <f t="shared" si="23"/>
        <v/>
      </c>
      <c r="DM15" t="str">
        <f t="shared" si="14"/>
        <v/>
      </c>
      <c r="DN15" t="str">
        <f t="shared" si="15"/>
        <v/>
      </c>
      <c r="DO15" t="str">
        <f t="shared" si="16"/>
        <v/>
      </c>
      <c r="DP15" t="str">
        <f t="shared" si="17"/>
        <v/>
      </c>
      <c r="DQ15" t="str">
        <f t="shared" si="18"/>
        <v/>
      </c>
      <c r="DR15" t="str">
        <f t="shared" si="19"/>
        <v/>
      </c>
      <c r="DS15" t="str">
        <f t="shared" si="20"/>
        <v/>
      </c>
      <c r="EF15" s="114" t="str">
        <f ca="1"/>
        <v/>
      </c>
    </row>
    <row r="16" spans="1:154" hidden="1" x14ac:dyDescent="0.3">
      <c r="A16" t="str">
        <f>IF(ROW(A14)&lt;=profilKelas!$F$14,ROW(A14),"")</f>
        <v/>
      </c>
      <c r="B16" t="str">
        <f>IF(ISBLANK(identitasMurid!C19),"",identitasMurid!C19)</f>
        <v/>
      </c>
      <c r="C16" t="str">
        <f ca="1"/>
        <v/>
      </c>
      <c r="D16" t="str">
        <f ca="1"/>
        <v/>
      </c>
      <c r="E16" t="str">
        <f ca="1"/>
        <v/>
      </c>
      <c r="F16" t="str">
        <f ca="1"/>
        <v/>
      </c>
      <c r="G16" t="str">
        <f ca="1"/>
        <v/>
      </c>
      <c r="H16" t="str">
        <f ca="1"/>
        <v/>
      </c>
      <c r="I16" t="str">
        <f ca="1"/>
        <v/>
      </c>
      <c r="J16" t="str">
        <f ca="1"/>
        <v/>
      </c>
      <c r="K16" t="str">
        <f ca="1"/>
        <v/>
      </c>
      <c r="L16" t="str">
        <f ca="1"/>
        <v/>
      </c>
      <c r="M16" t="str">
        <f ca="1"/>
        <v/>
      </c>
      <c r="N16" t="str">
        <f ca="1"/>
        <v/>
      </c>
      <c r="O16" t="str">
        <f ca="1"/>
        <v/>
      </c>
      <c r="P16" t="str">
        <f ca="1"/>
        <v/>
      </c>
      <c r="Q16" t="str">
        <f ca="1"/>
        <v/>
      </c>
      <c r="R16" t="str">
        <f ca="1"/>
        <v/>
      </c>
      <c r="S16" t="str">
        <f ca="1"/>
        <v/>
      </c>
      <c r="T16" t="str">
        <f ca="1"/>
        <v/>
      </c>
      <c r="U16" t="str">
        <f ca="1"/>
        <v/>
      </c>
      <c r="V16" t="str">
        <f ca="1"/>
        <v/>
      </c>
      <c r="W16" t="str">
        <f ca="1"/>
        <v/>
      </c>
      <c r="X16" t="str">
        <f ca="1"/>
        <v/>
      </c>
      <c r="Y16" t="str">
        <f ca="1"/>
        <v/>
      </c>
      <c r="Z16" t="str">
        <f ca="1"/>
        <v/>
      </c>
      <c r="AA16" t="str">
        <f ca="1"/>
        <v/>
      </c>
      <c r="AB16" t="str">
        <f ca="1"/>
        <v/>
      </c>
      <c r="AC16" t="str">
        <f ca="1"/>
        <v/>
      </c>
      <c r="AD16" t="str">
        <f ca="1"/>
        <v/>
      </c>
      <c r="AE16" t="str">
        <f ca="1"/>
        <v/>
      </c>
      <c r="AF16" t="str">
        <f ca="1"/>
        <v/>
      </c>
      <c r="AG16" t="str">
        <f ca="1"/>
        <v/>
      </c>
      <c r="AH16" t="str">
        <f ca="1"/>
        <v/>
      </c>
      <c r="AI16" t="str">
        <f ca="1"/>
        <v/>
      </c>
      <c r="AJ16" t="str">
        <f ca="1"/>
        <v/>
      </c>
      <c r="AK16" t="str">
        <f ca="1"/>
        <v/>
      </c>
      <c r="AL16" t="str">
        <f ca="1"/>
        <v/>
      </c>
      <c r="AM16" t="str">
        <f ca="1"/>
        <v/>
      </c>
      <c r="AN16" t="str">
        <f ca="1"/>
        <v/>
      </c>
      <c r="AO16" t="str">
        <f ca="1"/>
        <v/>
      </c>
      <c r="AP16" t="str">
        <f ca="1"/>
        <v/>
      </c>
      <c r="AQ16" t="str">
        <f ca="1"/>
        <v/>
      </c>
      <c r="AR16" t="str">
        <f ca="1"/>
        <v/>
      </c>
      <c r="AS16" t="str">
        <f ca="1"/>
        <v/>
      </c>
      <c r="AT16" t="str">
        <f ca="1"/>
        <v/>
      </c>
      <c r="AU16" t="str">
        <f ca="1"/>
        <v/>
      </c>
      <c r="AV16" t="str">
        <f ca="1"/>
        <v/>
      </c>
      <c r="AW16" t="str">
        <f ca="1"/>
        <v/>
      </c>
      <c r="AX16" t="str">
        <f ca="1"/>
        <v/>
      </c>
      <c r="AY16" s="109" t="str">
        <f ca="1"/>
        <v/>
      </c>
      <c r="AZ16" t="str">
        <f ca="1"/>
        <v/>
      </c>
      <c r="BA16" t="str">
        <f ca="1"/>
        <v/>
      </c>
      <c r="BB16" t="str">
        <f ca="1"/>
        <v/>
      </c>
      <c r="BC16" t="str">
        <f ca="1"/>
        <v/>
      </c>
      <c r="BD16" t="str">
        <f ca="1"/>
        <v/>
      </c>
      <c r="BE16" t="str">
        <f ca="1"/>
        <v/>
      </c>
      <c r="BF16" t="str">
        <f ca="1"/>
        <v/>
      </c>
      <c r="BG16" t="str">
        <f ca="1"/>
        <v/>
      </c>
      <c r="BH16" t="str">
        <f ca="1"/>
        <v/>
      </c>
      <c r="BI16" t="str">
        <f ca="1"/>
        <v/>
      </c>
      <c r="BJ16" t="str">
        <f ca="1"/>
        <v/>
      </c>
      <c r="BK16" t="str">
        <f ca="1"/>
        <v/>
      </c>
      <c r="BL16" t="str">
        <f ca="1"/>
        <v/>
      </c>
      <c r="BM16" t="str">
        <f ca="1"/>
        <v/>
      </c>
      <c r="BN16" t="str">
        <f ca="1"/>
        <v/>
      </c>
      <c r="BO16" t="str">
        <f ca="1"/>
        <v/>
      </c>
      <c r="BP16" t="str">
        <f ca="1"/>
        <v/>
      </c>
      <c r="BQ16" t="str">
        <f ca="1"/>
        <v/>
      </c>
      <c r="BR16" t="str">
        <f ca="1"/>
        <v/>
      </c>
      <c r="BS16" t="str">
        <f ca="1"/>
        <v/>
      </c>
      <c r="BT16" t="str">
        <f ca="1"/>
        <v/>
      </c>
      <c r="BU16" t="str">
        <f ca="1"/>
        <v/>
      </c>
      <c r="BV16" t="str">
        <f ca="1"/>
        <v/>
      </c>
      <c r="BW16" t="str">
        <f ca="1"/>
        <v/>
      </c>
      <c r="BX16" t="str">
        <f ca="1"/>
        <v/>
      </c>
      <c r="BY16" t="str">
        <f ca="1"/>
        <v/>
      </c>
      <c r="BZ16" t="str">
        <f ca="1"/>
        <v/>
      </c>
      <c r="CA16" t="str">
        <f ca="1"/>
        <v/>
      </c>
      <c r="CB16" t="str">
        <f ca="1"/>
        <v/>
      </c>
      <c r="CC16" t="str">
        <f ca="1"/>
        <v/>
      </c>
      <c r="CD16" t="str">
        <f ca="1"/>
        <v/>
      </c>
      <c r="CE16" t="str">
        <f ca="1"/>
        <v/>
      </c>
      <c r="CF16" t="str">
        <f ca="1"/>
        <v/>
      </c>
      <c r="CG16" t="str">
        <f ca="1"/>
        <v/>
      </c>
      <c r="CH16" t="str">
        <f ca="1"/>
        <v/>
      </c>
      <c r="CI16" t="str">
        <f ca="1"/>
        <v/>
      </c>
      <c r="CJ16" t="str">
        <f ca="1"/>
        <v/>
      </c>
      <c r="CK16" t="str">
        <f ca="1"/>
        <v/>
      </c>
      <c r="CL16" t="str">
        <f ca="1"/>
        <v/>
      </c>
      <c r="CM16" t="str">
        <f ca="1"/>
        <v/>
      </c>
      <c r="CN16" t="str">
        <f ca="1"/>
        <v/>
      </c>
      <c r="CO16" t="str">
        <f ca="1"/>
        <v/>
      </c>
      <c r="CP16" t="str">
        <f ca="1"/>
        <v/>
      </c>
      <c r="CQ16" t="str">
        <f ca="1"/>
        <v/>
      </c>
      <c r="CR16" t="str">
        <f ca="1"/>
        <v/>
      </c>
      <c r="CS16" t="str">
        <f ca="1"/>
        <v/>
      </c>
      <c r="CT16" t="str">
        <f ca="1"/>
        <v/>
      </c>
      <c r="CU16" t="str">
        <f>IF(ISBLANK(identitasMurid!D19),"",identitasMurid!D19)</f>
        <v/>
      </c>
      <c r="CV16" t="str">
        <f t="shared" si="21"/>
        <v/>
      </c>
      <c r="CW16" t="str">
        <f t="shared" si="0"/>
        <v/>
      </c>
      <c r="CX16" t="str">
        <f t="shared" si="1"/>
        <v/>
      </c>
      <c r="CY16" t="str">
        <f t="shared" si="2"/>
        <v/>
      </c>
      <c r="CZ16" t="str">
        <f t="shared" si="3"/>
        <v/>
      </c>
      <c r="DA16" t="str">
        <f t="shared" si="4"/>
        <v/>
      </c>
      <c r="DB16" t="str">
        <f t="shared" si="5"/>
        <v/>
      </c>
      <c r="DC16" t="str">
        <f t="shared" si="6"/>
        <v/>
      </c>
      <c r="DD16" t="str">
        <f t="shared" si="22"/>
        <v/>
      </c>
      <c r="DE16" t="str">
        <f t="shared" si="7"/>
        <v/>
      </c>
      <c r="DF16" t="str">
        <f t="shared" si="8"/>
        <v/>
      </c>
      <c r="DG16" t="str">
        <f t="shared" si="9"/>
        <v/>
      </c>
      <c r="DH16" t="str">
        <f t="shared" si="10"/>
        <v/>
      </c>
      <c r="DI16" t="str">
        <f t="shared" si="11"/>
        <v/>
      </c>
      <c r="DJ16" t="str">
        <f t="shared" si="12"/>
        <v/>
      </c>
      <c r="DK16" t="str">
        <f t="shared" si="13"/>
        <v/>
      </c>
      <c r="DL16" t="str">
        <f t="shared" si="23"/>
        <v/>
      </c>
      <c r="DM16" t="str">
        <f t="shared" si="14"/>
        <v/>
      </c>
      <c r="DN16" t="str">
        <f t="shared" si="15"/>
        <v/>
      </c>
      <c r="DO16" t="str">
        <f t="shared" si="16"/>
        <v/>
      </c>
      <c r="DP16" t="str">
        <f t="shared" si="17"/>
        <v/>
      </c>
      <c r="DQ16" t="str">
        <f t="shared" si="18"/>
        <v/>
      </c>
      <c r="DR16" t="str">
        <f t="shared" si="19"/>
        <v/>
      </c>
      <c r="DS16" t="str">
        <f t="shared" si="20"/>
        <v/>
      </c>
      <c r="EF16" s="114" t="str">
        <f ca="1"/>
        <v/>
      </c>
    </row>
    <row r="17" spans="1:159" hidden="1" x14ac:dyDescent="0.3">
      <c r="A17" t="str">
        <f>IF(ROW(A15)&lt;=profilKelas!$F$14,ROW(A15),"")</f>
        <v/>
      </c>
      <c r="B17" t="str">
        <f>IF(ISBLANK(identitasMurid!C20),"",identitasMurid!C20)</f>
        <v/>
      </c>
      <c r="C17" t="str">
        <f ca="1"/>
        <v/>
      </c>
      <c r="D17" t="str">
        <f ca="1"/>
        <v/>
      </c>
      <c r="E17" t="str">
        <f ca="1"/>
        <v/>
      </c>
      <c r="F17" t="str">
        <f ca="1"/>
        <v/>
      </c>
      <c r="G17" t="str">
        <f ca="1"/>
        <v/>
      </c>
      <c r="H17" t="str">
        <f ca="1"/>
        <v/>
      </c>
      <c r="I17" t="str">
        <f ca="1"/>
        <v/>
      </c>
      <c r="J17" t="str">
        <f ca="1"/>
        <v/>
      </c>
      <c r="K17" t="str">
        <f ca="1"/>
        <v/>
      </c>
      <c r="L17" t="str">
        <f ca="1"/>
        <v/>
      </c>
      <c r="M17" t="str">
        <f ca="1"/>
        <v/>
      </c>
      <c r="N17" t="str">
        <f ca="1"/>
        <v/>
      </c>
      <c r="O17" t="str">
        <f ca="1"/>
        <v/>
      </c>
      <c r="P17" t="str">
        <f ca="1"/>
        <v/>
      </c>
      <c r="Q17" t="str">
        <f ca="1"/>
        <v/>
      </c>
      <c r="R17" t="str">
        <f ca="1"/>
        <v/>
      </c>
      <c r="S17" t="str">
        <f ca="1"/>
        <v/>
      </c>
      <c r="T17" t="str">
        <f ca="1"/>
        <v/>
      </c>
      <c r="U17" t="str">
        <f ca="1"/>
        <v/>
      </c>
      <c r="V17" t="str">
        <f ca="1"/>
        <v/>
      </c>
      <c r="W17" t="str">
        <f ca="1"/>
        <v/>
      </c>
      <c r="X17" t="str">
        <f ca="1"/>
        <v/>
      </c>
      <c r="Y17" t="str">
        <f ca="1"/>
        <v/>
      </c>
      <c r="Z17" t="str">
        <f ca="1"/>
        <v/>
      </c>
      <c r="AA17" t="str">
        <f ca="1"/>
        <v/>
      </c>
      <c r="AB17" t="str">
        <f ca="1"/>
        <v/>
      </c>
      <c r="AC17" t="str">
        <f ca="1"/>
        <v/>
      </c>
      <c r="AD17" t="str">
        <f ca="1"/>
        <v/>
      </c>
      <c r="AE17" t="str">
        <f ca="1"/>
        <v/>
      </c>
      <c r="AF17" t="str">
        <f ca="1"/>
        <v/>
      </c>
      <c r="AG17" t="str">
        <f ca="1"/>
        <v/>
      </c>
      <c r="AH17" t="str">
        <f ca="1"/>
        <v/>
      </c>
      <c r="AI17" t="str">
        <f ca="1"/>
        <v/>
      </c>
      <c r="AJ17" t="str">
        <f ca="1"/>
        <v/>
      </c>
      <c r="AK17" t="str">
        <f ca="1"/>
        <v/>
      </c>
      <c r="AL17" t="str">
        <f ca="1"/>
        <v/>
      </c>
      <c r="AM17" t="str">
        <f ca="1"/>
        <v/>
      </c>
      <c r="AN17" t="str">
        <f ca="1"/>
        <v/>
      </c>
      <c r="AO17" t="str">
        <f ca="1"/>
        <v/>
      </c>
      <c r="AP17" t="str">
        <f ca="1"/>
        <v/>
      </c>
      <c r="AQ17" t="str">
        <f ca="1"/>
        <v/>
      </c>
      <c r="AR17" t="str">
        <f ca="1"/>
        <v/>
      </c>
      <c r="AS17" t="str">
        <f ca="1"/>
        <v/>
      </c>
      <c r="AT17" t="str">
        <f ca="1"/>
        <v/>
      </c>
      <c r="AU17" t="str">
        <f ca="1"/>
        <v/>
      </c>
      <c r="AV17" t="str">
        <f ca="1"/>
        <v/>
      </c>
      <c r="AW17" t="str">
        <f ca="1"/>
        <v/>
      </c>
      <c r="AX17" t="str">
        <f ca="1"/>
        <v/>
      </c>
      <c r="AY17" s="109" t="str">
        <f ca="1"/>
        <v/>
      </c>
      <c r="AZ17" t="str">
        <f ca="1"/>
        <v/>
      </c>
      <c r="BA17" t="str">
        <f ca="1"/>
        <v/>
      </c>
      <c r="BB17" t="str">
        <f ca="1"/>
        <v/>
      </c>
      <c r="BC17" t="str">
        <f ca="1"/>
        <v/>
      </c>
      <c r="BD17" t="str">
        <f ca="1"/>
        <v/>
      </c>
      <c r="BE17" t="str">
        <f ca="1"/>
        <v/>
      </c>
      <c r="BF17" t="str">
        <f ca="1"/>
        <v/>
      </c>
      <c r="BG17" t="str">
        <f ca="1"/>
        <v/>
      </c>
      <c r="BH17" t="str">
        <f ca="1"/>
        <v/>
      </c>
      <c r="BI17" t="str">
        <f ca="1"/>
        <v/>
      </c>
      <c r="BJ17" t="str">
        <f ca="1"/>
        <v/>
      </c>
      <c r="BK17" t="str">
        <f ca="1"/>
        <v/>
      </c>
      <c r="BL17" t="str">
        <f ca="1"/>
        <v/>
      </c>
      <c r="BM17" t="str">
        <f ca="1"/>
        <v/>
      </c>
      <c r="BN17" t="str">
        <f ca="1"/>
        <v/>
      </c>
      <c r="BO17" t="str">
        <f ca="1"/>
        <v/>
      </c>
      <c r="BP17" t="str">
        <f ca="1"/>
        <v/>
      </c>
      <c r="BQ17" t="str">
        <f ca="1"/>
        <v/>
      </c>
      <c r="BR17" t="str">
        <f ca="1"/>
        <v/>
      </c>
      <c r="BS17" t="str">
        <f ca="1"/>
        <v/>
      </c>
      <c r="BT17" t="str">
        <f ca="1"/>
        <v/>
      </c>
      <c r="BU17" t="str">
        <f ca="1"/>
        <v/>
      </c>
      <c r="BV17" t="str">
        <f ca="1"/>
        <v/>
      </c>
      <c r="BW17" t="str">
        <f ca="1"/>
        <v/>
      </c>
      <c r="BX17" t="str">
        <f ca="1"/>
        <v/>
      </c>
      <c r="BY17" t="str">
        <f ca="1"/>
        <v/>
      </c>
      <c r="BZ17" t="str">
        <f ca="1"/>
        <v/>
      </c>
      <c r="CA17" t="str">
        <f ca="1"/>
        <v/>
      </c>
      <c r="CB17" t="str">
        <f ca="1"/>
        <v/>
      </c>
      <c r="CC17" t="str">
        <f ca="1"/>
        <v/>
      </c>
      <c r="CD17" t="str">
        <f ca="1"/>
        <v/>
      </c>
      <c r="CE17" t="str">
        <f ca="1"/>
        <v/>
      </c>
      <c r="CF17" t="str">
        <f ca="1"/>
        <v/>
      </c>
      <c r="CG17" t="str">
        <f ca="1"/>
        <v/>
      </c>
      <c r="CH17" t="str">
        <f ca="1"/>
        <v/>
      </c>
      <c r="CI17" t="str">
        <f ca="1"/>
        <v/>
      </c>
      <c r="CJ17" t="str">
        <f ca="1"/>
        <v/>
      </c>
      <c r="CK17" t="str">
        <f ca="1"/>
        <v/>
      </c>
      <c r="CL17" t="str">
        <f ca="1"/>
        <v/>
      </c>
      <c r="CM17" t="str">
        <f ca="1"/>
        <v/>
      </c>
      <c r="CN17" t="str">
        <f ca="1"/>
        <v/>
      </c>
      <c r="CO17" t="str">
        <f ca="1"/>
        <v/>
      </c>
      <c r="CP17" t="str">
        <f ca="1"/>
        <v/>
      </c>
      <c r="CQ17" t="str">
        <f ca="1"/>
        <v/>
      </c>
      <c r="CR17" t="str">
        <f ca="1"/>
        <v/>
      </c>
      <c r="CS17" t="str">
        <f ca="1"/>
        <v/>
      </c>
      <c r="CT17" t="str">
        <f ca="1"/>
        <v/>
      </c>
      <c r="CU17" t="str">
        <f>IF(ISBLANK(identitasMurid!D20),"",identitasMurid!D20)</f>
        <v/>
      </c>
      <c r="CV17" t="str">
        <f t="shared" si="21"/>
        <v/>
      </c>
      <c r="CW17" t="str">
        <f t="shared" si="0"/>
        <v/>
      </c>
      <c r="CX17" t="str">
        <f t="shared" si="1"/>
        <v/>
      </c>
      <c r="CY17" t="str">
        <f t="shared" si="2"/>
        <v/>
      </c>
      <c r="CZ17" t="str">
        <f t="shared" si="3"/>
        <v/>
      </c>
      <c r="DA17" t="str">
        <f t="shared" si="4"/>
        <v/>
      </c>
      <c r="DB17" t="str">
        <f t="shared" si="5"/>
        <v/>
      </c>
      <c r="DC17" t="str">
        <f t="shared" si="6"/>
        <v/>
      </c>
      <c r="DD17" t="str">
        <f t="shared" si="22"/>
        <v/>
      </c>
      <c r="DE17" t="str">
        <f t="shared" si="7"/>
        <v/>
      </c>
      <c r="DF17" t="str">
        <f t="shared" si="8"/>
        <v/>
      </c>
      <c r="DG17" t="str">
        <f t="shared" si="9"/>
        <v/>
      </c>
      <c r="DH17" t="str">
        <f t="shared" si="10"/>
        <v/>
      </c>
      <c r="DI17" t="str">
        <f t="shared" si="11"/>
        <v/>
      </c>
      <c r="DJ17" t="str">
        <f t="shared" si="12"/>
        <v/>
      </c>
      <c r="DK17" t="str">
        <f t="shared" si="13"/>
        <v/>
      </c>
      <c r="DL17" t="str">
        <f t="shared" si="23"/>
        <v/>
      </c>
      <c r="DM17" t="str">
        <f t="shared" si="14"/>
        <v/>
      </c>
      <c r="DN17" t="str">
        <f t="shared" si="15"/>
        <v/>
      </c>
      <c r="DO17" t="str">
        <f t="shared" si="16"/>
        <v/>
      </c>
      <c r="DP17" t="str">
        <f t="shared" si="17"/>
        <v/>
      </c>
      <c r="DQ17" t="str">
        <f t="shared" si="18"/>
        <v/>
      </c>
      <c r="DR17" t="str">
        <f t="shared" si="19"/>
        <v/>
      </c>
      <c r="DS17" t="str">
        <f t="shared" si="20"/>
        <v/>
      </c>
      <c r="DX17" t="s">
        <v>596</v>
      </c>
      <c r="EF17" s="114" t="str">
        <f ca="1"/>
        <v/>
      </c>
      <c r="EJ17" t="s">
        <v>596</v>
      </c>
      <c r="EV17" t="s">
        <v>596</v>
      </c>
    </row>
    <row r="18" spans="1:159" hidden="1" x14ac:dyDescent="0.3">
      <c r="A18" t="str">
        <f>IF(ROW(A16)&lt;=profilKelas!$F$14,ROW(A16),"")</f>
        <v/>
      </c>
      <c r="B18" t="str">
        <f>IF(ISBLANK(identitasMurid!C21),"",identitasMurid!C21)</f>
        <v/>
      </c>
      <c r="C18" t="str">
        <f ca="1"/>
        <v/>
      </c>
      <c r="D18" t="str">
        <f ca="1"/>
        <v/>
      </c>
      <c r="E18" t="str">
        <f ca="1"/>
        <v/>
      </c>
      <c r="F18" t="str">
        <f ca="1"/>
        <v/>
      </c>
      <c r="G18" t="str">
        <f ca="1"/>
        <v/>
      </c>
      <c r="H18" t="str">
        <f ca="1"/>
        <v/>
      </c>
      <c r="I18" t="str">
        <f ca="1"/>
        <v/>
      </c>
      <c r="J18" t="str">
        <f ca="1"/>
        <v/>
      </c>
      <c r="K18" t="str">
        <f ca="1"/>
        <v/>
      </c>
      <c r="L18" t="str">
        <f ca="1"/>
        <v/>
      </c>
      <c r="M18" t="str">
        <f ca="1"/>
        <v/>
      </c>
      <c r="N18" t="str">
        <f ca="1"/>
        <v/>
      </c>
      <c r="O18" t="str">
        <f ca="1"/>
        <v/>
      </c>
      <c r="P18" t="str">
        <f ca="1"/>
        <v/>
      </c>
      <c r="Q18" t="str">
        <f ca="1"/>
        <v/>
      </c>
      <c r="R18" t="str">
        <f ca="1"/>
        <v/>
      </c>
      <c r="S18" t="str">
        <f ca="1"/>
        <v/>
      </c>
      <c r="T18" t="str">
        <f ca="1"/>
        <v/>
      </c>
      <c r="U18" t="str">
        <f ca="1"/>
        <v/>
      </c>
      <c r="V18" t="str">
        <f ca="1"/>
        <v/>
      </c>
      <c r="W18" t="str">
        <f ca="1"/>
        <v/>
      </c>
      <c r="X18" t="str">
        <f ca="1"/>
        <v/>
      </c>
      <c r="Y18" t="str">
        <f ca="1"/>
        <v/>
      </c>
      <c r="Z18" t="str">
        <f ca="1"/>
        <v/>
      </c>
      <c r="AA18" t="str">
        <f ca="1"/>
        <v/>
      </c>
      <c r="AB18" t="str">
        <f ca="1"/>
        <v/>
      </c>
      <c r="AC18" t="str">
        <f ca="1"/>
        <v/>
      </c>
      <c r="AD18" t="str">
        <f ca="1"/>
        <v/>
      </c>
      <c r="AE18" t="str">
        <f ca="1"/>
        <v/>
      </c>
      <c r="AF18" t="str">
        <f ca="1"/>
        <v/>
      </c>
      <c r="AG18" t="str">
        <f ca="1"/>
        <v/>
      </c>
      <c r="AH18" t="str">
        <f ca="1"/>
        <v/>
      </c>
      <c r="AI18" t="str">
        <f ca="1"/>
        <v/>
      </c>
      <c r="AJ18" t="str">
        <f ca="1"/>
        <v/>
      </c>
      <c r="AK18" t="str">
        <f ca="1"/>
        <v/>
      </c>
      <c r="AL18" t="str">
        <f ca="1"/>
        <v/>
      </c>
      <c r="AM18" t="str">
        <f ca="1"/>
        <v/>
      </c>
      <c r="AN18" t="str">
        <f ca="1"/>
        <v/>
      </c>
      <c r="AO18" t="str">
        <f ca="1"/>
        <v/>
      </c>
      <c r="AP18" t="str">
        <f ca="1"/>
        <v/>
      </c>
      <c r="AQ18" t="str">
        <f ca="1"/>
        <v/>
      </c>
      <c r="AR18" t="str">
        <f ca="1"/>
        <v/>
      </c>
      <c r="AS18" t="str">
        <f ca="1"/>
        <v/>
      </c>
      <c r="AT18" t="str">
        <f ca="1"/>
        <v/>
      </c>
      <c r="AU18" t="str">
        <f ca="1"/>
        <v/>
      </c>
      <c r="AV18" t="str">
        <f ca="1"/>
        <v/>
      </c>
      <c r="AW18" t="str">
        <f ca="1"/>
        <v/>
      </c>
      <c r="AX18" t="str">
        <f ca="1"/>
        <v/>
      </c>
      <c r="AY18" s="109" t="str">
        <f ca="1"/>
        <v/>
      </c>
      <c r="AZ18" t="str">
        <f ca="1"/>
        <v/>
      </c>
      <c r="BA18" t="str">
        <f ca="1"/>
        <v/>
      </c>
      <c r="BB18" t="str">
        <f ca="1"/>
        <v/>
      </c>
      <c r="BC18" t="str">
        <f ca="1"/>
        <v/>
      </c>
      <c r="BD18" t="str">
        <f ca="1"/>
        <v/>
      </c>
      <c r="BE18" t="str">
        <f ca="1"/>
        <v/>
      </c>
      <c r="BF18" t="str">
        <f ca="1"/>
        <v/>
      </c>
      <c r="BG18" t="str">
        <f ca="1"/>
        <v/>
      </c>
      <c r="BH18" t="str">
        <f ca="1"/>
        <v/>
      </c>
      <c r="BI18" t="str">
        <f ca="1"/>
        <v/>
      </c>
      <c r="BJ18" t="str">
        <f ca="1"/>
        <v/>
      </c>
      <c r="BK18" t="str">
        <f ca="1"/>
        <v/>
      </c>
      <c r="BL18" t="str">
        <f ca="1"/>
        <v/>
      </c>
      <c r="BM18" t="str">
        <f ca="1"/>
        <v/>
      </c>
      <c r="BN18" t="str">
        <f ca="1"/>
        <v/>
      </c>
      <c r="BO18" t="str">
        <f ca="1"/>
        <v/>
      </c>
      <c r="BP18" t="str">
        <f ca="1"/>
        <v/>
      </c>
      <c r="BQ18" t="str">
        <f ca="1"/>
        <v/>
      </c>
      <c r="BR18" t="str">
        <f ca="1"/>
        <v/>
      </c>
      <c r="BS18" t="str">
        <f ca="1"/>
        <v/>
      </c>
      <c r="BT18" t="str">
        <f ca="1"/>
        <v/>
      </c>
      <c r="BU18" t="str">
        <f ca="1"/>
        <v/>
      </c>
      <c r="BV18" t="str">
        <f ca="1"/>
        <v/>
      </c>
      <c r="BW18" t="str">
        <f ca="1"/>
        <v/>
      </c>
      <c r="BX18" t="str">
        <f ca="1"/>
        <v/>
      </c>
      <c r="BY18" t="str">
        <f ca="1"/>
        <v/>
      </c>
      <c r="BZ18" t="str">
        <f ca="1"/>
        <v/>
      </c>
      <c r="CA18" t="str">
        <f ca="1"/>
        <v/>
      </c>
      <c r="CB18" t="str">
        <f ca="1"/>
        <v/>
      </c>
      <c r="CC18" t="str">
        <f ca="1"/>
        <v/>
      </c>
      <c r="CD18" t="str">
        <f ca="1"/>
        <v/>
      </c>
      <c r="CE18" t="str">
        <f ca="1"/>
        <v/>
      </c>
      <c r="CF18" t="str">
        <f ca="1"/>
        <v/>
      </c>
      <c r="CG18" t="str">
        <f ca="1"/>
        <v/>
      </c>
      <c r="CH18" t="str">
        <f ca="1"/>
        <v/>
      </c>
      <c r="CI18" t="str">
        <f ca="1"/>
        <v/>
      </c>
      <c r="CJ18" t="str">
        <f ca="1"/>
        <v/>
      </c>
      <c r="CK18" t="str">
        <f ca="1"/>
        <v/>
      </c>
      <c r="CL18" t="str">
        <f ca="1"/>
        <v/>
      </c>
      <c r="CM18" t="str">
        <f ca="1"/>
        <v/>
      </c>
      <c r="CN18" t="str">
        <f ca="1"/>
        <v/>
      </c>
      <c r="CO18" t="str">
        <f ca="1"/>
        <v/>
      </c>
      <c r="CP18" t="str">
        <f ca="1"/>
        <v/>
      </c>
      <c r="CQ18" t="str">
        <f ca="1"/>
        <v/>
      </c>
      <c r="CR18" t="str">
        <f ca="1"/>
        <v/>
      </c>
      <c r="CS18" t="str">
        <f ca="1"/>
        <v/>
      </c>
      <c r="CT18" t="str">
        <f ca="1"/>
        <v/>
      </c>
      <c r="CU18" t="str">
        <f>IF(ISBLANK(identitasMurid!D21),"",identitasMurid!D21)</f>
        <v/>
      </c>
      <c r="CV18" t="str">
        <f t="shared" si="21"/>
        <v/>
      </c>
      <c r="CW18" t="str">
        <f t="shared" si="0"/>
        <v/>
      </c>
      <c r="CX18" t="str">
        <f t="shared" si="1"/>
        <v/>
      </c>
      <c r="CY18" t="str">
        <f t="shared" si="2"/>
        <v/>
      </c>
      <c r="CZ18" t="str">
        <f t="shared" si="3"/>
        <v/>
      </c>
      <c r="DA18" t="str">
        <f t="shared" si="4"/>
        <v/>
      </c>
      <c r="DB18" t="str">
        <f t="shared" si="5"/>
        <v/>
      </c>
      <c r="DC18" t="str">
        <f t="shared" si="6"/>
        <v/>
      </c>
      <c r="DD18" t="str">
        <f t="shared" si="22"/>
        <v/>
      </c>
      <c r="DE18" t="str">
        <f t="shared" si="7"/>
        <v/>
      </c>
      <c r="DF18" t="str">
        <f t="shared" si="8"/>
        <v/>
      </c>
      <c r="DG18" t="str">
        <f t="shared" si="9"/>
        <v/>
      </c>
      <c r="DH18" t="str">
        <f t="shared" si="10"/>
        <v/>
      </c>
      <c r="DI18" t="str">
        <f t="shared" si="11"/>
        <v/>
      </c>
      <c r="DJ18" t="str">
        <f t="shared" si="12"/>
        <v/>
      </c>
      <c r="DK18" t="str">
        <f t="shared" si="13"/>
        <v/>
      </c>
      <c r="DL18" t="str">
        <f t="shared" si="23"/>
        <v/>
      </c>
      <c r="DM18" t="str">
        <f t="shared" si="14"/>
        <v/>
      </c>
      <c r="DN18" t="str">
        <f t="shared" si="15"/>
        <v/>
      </c>
      <c r="DO18" t="str">
        <f t="shared" si="16"/>
        <v/>
      </c>
      <c r="DP18" t="str">
        <f t="shared" si="17"/>
        <v/>
      </c>
      <c r="DQ18" t="str">
        <f t="shared" si="18"/>
        <v/>
      </c>
      <c r="DR18" t="str">
        <f t="shared" si="19"/>
        <v/>
      </c>
      <c r="DS18" t="str">
        <f t="shared" si="20"/>
        <v/>
      </c>
      <c r="DU18" t="s">
        <v>0</v>
      </c>
      <c r="DV18" t="s">
        <v>18</v>
      </c>
      <c r="DX18" t="s">
        <v>597</v>
      </c>
      <c r="DZ18" t="s">
        <v>598</v>
      </c>
      <c r="EF18" s="114" t="str">
        <f ca="1"/>
        <v/>
      </c>
      <c r="EG18" t="s">
        <v>0</v>
      </c>
      <c r="EH18" t="s">
        <v>18</v>
      </c>
      <c r="EJ18" t="s">
        <v>597</v>
      </c>
      <c r="EL18" t="s">
        <v>598</v>
      </c>
      <c r="ES18" t="s">
        <v>0</v>
      </c>
      <c r="ET18" t="s">
        <v>18</v>
      </c>
      <c r="EV18" t="s">
        <v>597</v>
      </c>
      <c r="EX18" t="s">
        <v>598</v>
      </c>
    </row>
    <row r="19" spans="1:159" hidden="1" x14ac:dyDescent="0.3">
      <c r="A19" t="str">
        <f>IF(ROW(A17)&lt;=profilKelas!$F$14,ROW(A17),"")</f>
        <v/>
      </c>
      <c r="B19" t="str">
        <f>IF(ISBLANK(identitasMurid!C22),"",identitasMurid!C22)</f>
        <v/>
      </c>
      <c r="C19" t="str">
        <f ca="1"/>
        <v/>
      </c>
      <c r="D19" t="str">
        <f ca="1"/>
        <v/>
      </c>
      <c r="E19" t="str">
        <f ca="1"/>
        <v/>
      </c>
      <c r="F19" t="str">
        <f ca="1"/>
        <v/>
      </c>
      <c r="G19" t="str">
        <f ca="1"/>
        <v/>
      </c>
      <c r="H19" t="str">
        <f ca="1"/>
        <v/>
      </c>
      <c r="I19" t="str">
        <f ca="1"/>
        <v/>
      </c>
      <c r="J19" t="str">
        <f ca="1"/>
        <v/>
      </c>
      <c r="K19" t="str">
        <f ca="1"/>
        <v/>
      </c>
      <c r="L19" t="str">
        <f ca="1"/>
        <v/>
      </c>
      <c r="M19" t="str">
        <f ca="1"/>
        <v/>
      </c>
      <c r="N19" t="str">
        <f ca="1"/>
        <v/>
      </c>
      <c r="O19" t="str">
        <f ca="1"/>
        <v/>
      </c>
      <c r="P19" t="str">
        <f ca="1"/>
        <v/>
      </c>
      <c r="Q19" t="str">
        <f ca="1"/>
        <v/>
      </c>
      <c r="R19" t="str">
        <f ca="1"/>
        <v/>
      </c>
      <c r="S19" t="str">
        <f ca="1"/>
        <v/>
      </c>
      <c r="T19" t="str">
        <f ca="1"/>
        <v/>
      </c>
      <c r="U19" t="str">
        <f ca="1"/>
        <v/>
      </c>
      <c r="V19" t="str">
        <f ca="1"/>
        <v/>
      </c>
      <c r="W19" t="str">
        <f ca="1"/>
        <v/>
      </c>
      <c r="X19" t="str">
        <f ca="1"/>
        <v/>
      </c>
      <c r="Y19" t="str">
        <f ca="1"/>
        <v/>
      </c>
      <c r="Z19" t="str">
        <f ca="1"/>
        <v/>
      </c>
      <c r="AA19" t="str">
        <f ca="1"/>
        <v/>
      </c>
      <c r="AB19" t="str">
        <f ca="1"/>
        <v/>
      </c>
      <c r="AC19" t="str">
        <f ca="1"/>
        <v/>
      </c>
      <c r="AD19" t="str">
        <f ca="1"/>
        <v/>
      </c>
      <c r="AE19" t="str">
        <f ca="1"/>
        <v/>
      </c>
      <c r="AF19" t="str">
        <f ca="1"/>
        <v/>
      </c>
      <c r="AG19" t="str">
        <f ca="1"/>
        <v/>
      </c>
      <c r="AH19" t="str">
        <f ca="1"/>
        <v/>
      </c>
      <c r="AI19" t="str">
        <f ca="1"/>
        <v/>
      </c>
      <c r="AJ19" t="str">
        <f ca="1"/>
        <v/>
      </c>
      <c r="AK19" t="str">
        <f ca="1"/>
        <v/>
      </c>
      <c r="AL19" t="str">
        <f ca="1"/>
        <v/>
      </c>
      <c r="AM19" t="str">
        <f ca="1"/>
        <v/>
      </c>
      <c r="AN19" t="str">
        <f ca="1"/>
        <v/>
      </c>
      <c r="AO19" t="str">
        <f ca="1"/>
        <v/>
      </c>
      <c r="AP19" t="str">
        <f ca="1"/>
        <v/>
      </c>
      <c r="AQ19" t="str">
        <f ca="1"/>
        <v/>
      </c>
      <c r="AR19" t="str">
        <f ca="1"/>
        <v/>
      </c>
      <c r="AS19" t="str">
        <f ca="1"/>
        <v/>
      </c>
      <c r="AT19" t="str">
        <f ca="1"/>
        <v/>
      </c>
      <c r="AU19" t="str">
        <f ca="1"/>
        <v/>
      </c>
      <c r="AV19" t="str">
        <f ca="1"/>
        <v/>
      </c>
      <c r="AW19" t="str">
        <f ca="1"/>
        <v/>
      </c>
      <c r="AX19" t="str">
        <f ca="1"/>
        <v/>
      </c>
      <c r="AY19" s="109" t="str">
        <f ca="1"/>
        <v/>
      </c>
      <c r="AZ19" t="str">
        <f ca="1"/>
        <v/>
      </c>
      <c r="BA19" t="str">
        <f ca="1"/>
        <v/>
      </c>
      <c r="BB19" t="str">
        <f ca="1"/>
        <v/>
      </c>
      <c r="BC19" t="str">
        <f ca="1"/>
        <v/>
      </c>
      <c r="BD19" t="str">
        <f ca="1"/>
        <v/>
      </c>
      <c r="BE19" t="str">
        <f ca="1"/>
        <v/>
      </c>
      <c r="BF19" t="str">
        <f ca="1"/>
        <v/>
      </c>
      <c r="BG19" t="str">
        <f ca="1"/>
        <v/>
      </c>
      <c r="BH19" t="str">
        <f ca="1"/>
        <v/>
      </c>
      <c r="BI19" t="str">
        <f ca="1"/>
        <v/>
      </c>
      <c r="BJ19" t="str">
        <f ca="1"/>
        <v/>
      </c>
      <c r="BK19" t="str">
        <f ca="1"/>
        <v/>
      </c>
      <c r="BL19" t="str">
        <f ca="1"/>
        <v/>
      </c>
      <c r="BM19" t="str">
        <f ca="1"/>
        <v/>
      </c>
      <c r="BN19" t="str">
        <f ca="1"/>
        <v/>
      </c>
      <c r="BO19" t="str">
        <f ca="1"/>
        <v/>
      </c>
      <c r="BP19" t="str">
        <f ca="1"/>
        <v/>
      </c>
      <c r="BQ19" t="str">
        <f ca="1"/>
        <v/>
      </c>
      <c r="BR19" t="str">
        <f ca="1"/>
        <v/>
      </c>
      <c r="BS19" t="str">
        <f ca="1"/>
        <v/>
      </c>
      <c r="BT19" t="str">
        <f ca="1"/>
        <v/>
      </c>
      <c r="BU19" t="str">
        <f ca="1"/>
        <v/>
      </c>
      <c r="BV19" t="str">
        <f ca="1"/>
        <v/>
      </c>
      <c r="BW19" t="str">
        <f ca="1"/>
        <v/>
      </c>
      <c r="BX19" t="str">
        <f ca="1"/>
        <v/>
      </c>
      <c r="BY19" t="str">
        <f ca="1"/>
        <v/>
      </c>
      <c r="BZ19" t="str">
        <f ca="1"/>
        <v/>
      </c>
      <c r="CA19" t="str">
        <f ca="1"/>
        <v/>
      </c>
      <c r="CB19" t="str">
        <f ca="1"/>
        <v/>
      </c>
      <c r="CC19" t="str">
        <f ca="1"/>
        <v/>
      </c>
      <c r="CD19" t="str">
        <f ca="1"/>
        <v/>
      </c>
      <c r="CE19" t="str">
        <f ca="1"/>
        <v/>
      </c>
      <c r="CF19" t="str">
        <f ca="1"/>
        <v/>
      </c>
      <c r="CG19" t="str">
        <f ca="1"/>
        <v/>
      </c>
      <c r="CH19" t="str">
        <f ca="1"/>
        <v/>
      </c>
      <c r="CI19" t="str">
        <f ca="1"/>
        <v/>
      </c>
      <c r="CJ19" t="str">
        <f ca="1"/>
        <v/>
      </c>
      <c r="CK19" t="str">
        <f ca="1"/>
        <v/>
      </c>
      <c r="CL19" t="str">
        <f ca="1"/>
        <v/>
      </c>
      <c r="CM19" t="str">
        <f ca="1"/>
        <v/>
      </c>
      <c r="CN19" t="str">
        <f ca="1"/>
        <v/>
      </c>
      <c r="CO19" t="str">
        <f ca="1"/>
        <v/>
      </c>
      <c r="CP19" t="str">
        <f ca="1"/>
        <v/>
      </c>
      <c r="CQ19" t="str">
        <f ca="1"/>
        <v/>
      </c>
      <c r="CR19" t="str">
        <f ca="1"/>
        <v/>
      </c>
      <c r="CS19" t="str">
        <f ca="1"/>
        <v/>
      </c>
      <c r="CT19" t="str">
        <f ca="1"/>
        <v/>
      </c>
      <c r="CU19" t="str">
        <f>IF(ISBLANK(identitasMurid!D22),"",identitasMurid!D22)</f>
        <v/>
      </c>
      <c r="CV19" t="str">
        <f t="shared" si="21"/>
        <v/>
      </c>
      <c r="CW19" t="str">
        <f t="shared" si="0"/>
        <v/>
      </c>
      <c r="CX19" t="str">
        <f t="shared" si="1"/>
        <v/>
      </c>
      <c r="CY19" t="str">
        <f t="shared" si="2"/>
        <v/>
      </c>
      <c r="CZ19" t="str">
        <f t="shared" si="3"/>
        <v/>
      </c>
      <c r="DA19" t="str">
        <f t="shared" si="4"/>
        <v/>
      </c>
      <c r="DB19" t="str">
        <f t="shared" si="5"/>
        <v/>
      </c>
      <c r="DC19" t="str">
        <f t="shared" si="6"/>
        <v/>
      </c>
      <c r="DD19" t="str">
        <f t="shared" si="22"/>
        <v/>
      </c>
      <c r="DE19" t="str">
        <f t="shared" si="7"/>
        <v/>
      </c>
      <c r="DF19" t="str">
        <f t="shared" si="8"/>
        <v/>
      </c>
      <c r="DG19" t="str">
        <f t="shared" si="9"/>
        <v/>
      </c>
      <c r="DH19" t="str">
        <f t="shared" si="10"/>
        <v/>
      </c>
      <c r="DI19" t="str">
        <f t="shared" si="11"/>
        <v/>
      </c>
      <c r="DJ19" t="str">
        <f t="shared" si="12"/>
        <v/>
      </c>
      <c r="DK19" t="str">
        <f t="shared" si="13"/>
        <v/>
      </c>
      <c r="DL19" t="str">
        <f t="shared" si="23"/>
        <v/>
      </c>
      <c r="DM19" t="str">
        <f t="shared" si="14"/>
        <v/>
      </c>
      <c r="DN19" t="str">
        <f t="shared" si="15"/>
        <v/>
      </c>
      <c r="DO19" t="str">
        <f t="shared" si="16"/>
        <v/>
      </c>
      <c r="DP19" t="str">
        <f t="shared" si="17"/>
        <v/>
      </c>
      <c r="DQ19" t="str">
        <f t="shared" si="18"/>
        <v/>
      </c>
      <c r="DR19" t="str">
        <f t="shared" si="19"/>
        <v/>
      </c>
      <c r="DS19" t="str">
        <f t="shared" si="20"/>
        <v/>
      </c>
      <c r="DU19">
        <v>1</v>
      </c>
      <c r="DV19" t="s">
        <v>2</v>
      </c>
      <c r="DX19">
        <f>COUNTIF($CV$3:$CV$47,DX$18)</f>
        <v>0</v>
      </c>
      <c r="DY19" s="112">
        <f>IF(LEN(profilKelas!$F$14)=0,"",DX19/profilKelas!$F$14)</f>
        <v>0</v>
      </c>
      <c r="DZ19">
        <f>COUNTIF($CV$3:$CV$47,DZ$18)</f>
        <v>0</v>
      </c>
      <c r="EA19" s="111">
        <f>IF(LEN(profilKelas!$F$14)=0,"",DZ19/profilKelas!$F$14)</f>
        <v>0</v>
      </c>
      <c r="EF19" s="114" t="str">
        <f ca="1"/>
        <v/>
      </c>
      <c r="EG19">
        <v>1</v>
      </c>
      <c r="EH19" t="s">
        <v>2</v>
      </c>
      <c r="EJ19">
        <f>COUNTIF($DD$3:$DD$47,EJ$18)</f>
        <v>0</v>
      </c>
      <c r="EK19" s="112">
        <f>IF(LEN(profilKelas!$F$14)=0,"",EJ19/profilKelas!$F$14)</f>
        <v>0</v>
      </c>
      <c r="EL19">
        <f>COUNTIF($DD$3:$DD$47,EL$18)</f>
        <v>0</v>
      </c>
      <c r="EM19" s="111">
        <f>IF(LEN(profilKelas!$F$14)=0,"",EL19/profilKelas!$F$14)</f>
        <v>0</v>
      </c>
      <c r="ES19">
        <v>1</v>
      </c>
      <c r="ET19" t="s">
        <v>2</v>
      </c>
      <c r="EV19">
        <f>COUNTIF($DL$3:$DL$47,EV$18)</f>
        <v>0</v>
      </c>
      <c r="EW19" s="112">
        <f>IF(LEN(profilKelas!$F$14)=0,"",EV19/profilKelas!$F$14)</f>
        <v>0</v>
      </c>
      <c r="EX19">
        <f>COUNTIF($DL$3:$DL$47,EX$18)</f>
        <v>0</v>
      </c>
      <c r="EY19" s="111">
        <f>IF(LEN(profilKelas!$F$14)=0,"",EX19/profilKelas!$F$14)</f>
        <v>0</v>
      </c>
    </row>
    <row r="20" spans="1:159" hidden="1" x14ac:dyDescent="0.3">
      <c r="A20" t="str">
        <f>IF(ROW(A18)&lt;=profilKelas!$F$14,ROW(A18),"")</f>
        <v/>
      </c>
      <c r="B20" t="str">
        <f>IF(ISBLANK(identitasMurid!C23),"",identitasMurid!C23)</f>
        <v/>
      </c>
      <c r="C20" t="str">
        <f ca="1"/>
        <v/>
      </c>
      <c r="D20" t="str">
        <f ca="1"/>
        <v/>
      </c>
      <c r="E20" t="str">
        <f ca="1"/>
        <v/>
      </c>
      <c r="F20" t="str">
        <f ca="1"/>
        <v/>
      </c>
      <c r="G20" t="str">
        <f ca="1"/>
        <v/>
      </c>
      <c r="H20" t="str">
        <f ca="1"/>
        <v/>
      </c>
      <c r="I20" t="str">
        <f ca="1"/>
        <v/>
      </c>
      <c r="J20" t="str">
        <f ca="1"/>
        <v/>
      </c>
      <c r="K20" t="str">
        <f ca="1"/>
        <v/>
      </c>
      <c r="L20" t="str">
        <f ca="1"/>
        <v/>
      </c>
      <c r="M20" t="str">
        <f ca="1"/>
        <v/>
      </c>
      <c r="N20" t="str">
        <f ca="1"/>
        <v/>
      </c>
      <c r="O20" t="str">
        <f ca="1"/>
        <v/>
      </c>
      <c r="P20" t="str">
        <f ca="1"/>
        <v/>
      </c>
      <c r="Q20" t="str">
        <f ca="1"/>
        <v/>
      </c>
      <c r="R20" t="str">
        <f ca="1"/>
        <v/>
      </c>
      <c r="S20" t="str">
        <f ca="1"/>
        <v/>
      </c>
      <c r="T20" t="str">
        <f ca="1"/>
        <v/>
      </c>
      <c r="U20" t="str">
        <f ca="1"/>
        <v/>
      </c>
      <c r="V20" t="str">
        <f ca="1"/>
        <v/>
      </c>
      <c r="W20" t="str">
        <f ca="1"/>
        <v/>
      </c>
      <c r="X20" t="str">
        <f ca="1"/>
        <v/>
      </c>
      <c r="Y20" t="str">
        <f ca="1"/>
        <v/>
      </c>
      <c r="Z20" t="str">
        <f ca="1"/>
        <v/>
      </c>
      <c r="AA20" t="str">
        <f ca="1"/>
        <v/>
      </c>
      <c r="AB20" t="str">
        <f ca="1"/>
        <v/>
      </c>
      <c r="AC20" t="str">
        <f ca="1"/>
        <v/>
      </c>
      <c r="AD20" t="str">
        <f ca="1"/>
        <v/>
      </c>
      <c r="AE20" t="str">
        <f ca="1"/>
        <v/>
      </c>
      <c r="AF20" t="str">
        <f ca="1"/>
        <v/>
      </c>
      <c r="AG20" t="str">
        <f ca="1"/>
        <v/>
      </c>
      <c r="AH20" t="str">
        <f ca="1"/>
        <v/>
      </c>
      <c r="AI20" t="str">
        <f ca="1"/>
        <v/>
      </c>
      <c r="AJ20" t="str">
        <f ca="1"/>
        <v/>
      </c>
      <c r="AK20" t="str">
        <f ca="1"/>
        <v/>
      </c>
      <c r="AL20" t="str">
        <f ca="1"/>
        <v/>
      </c>
      <c r="AM20" t="str">
        <f ca="1"/>
        <v/>
      </c>
      <c r="AN20" t="str">
        <f ca="1"/>
        <v/>
      </c>
      <c r="AO20" t="str">
        <f ca="1"/>
        <v/>
      </c>
      <c r="AP20" t="str">
        <f ca="1"/>
        <v/>
      </c>
      <c r="AQ20" t="str">
        <f ca="1"/>
        <v/>
      </c>
      <c r="AR20" t="str">
        <f ca="1"/>
        <v/>
      </c>
      <c r="AS20" t="str">
        <f ca="1"/>
        <v/>
      </c>
      <c r="AT20" t="str">
        <f ca="1"/>
        <v/>
      </c>
      <c r="AU20" t="str">
        <f ca="1"/>
        <v/>
      </c>
      <c r="AV20" t="str">
        <f ca="1"/>
        <v/>
      </c>
      <c r="AW20" t="str">
        <f ca="1"/>
        <v/>
      </c>
      <c r="AX20" t="str">
        <f ca="1"/>
        <v/>
      </c>
      <c r="AY20" s="109" t="str">
        <f ca="1"/>
        <v/>
      </c>
      <c r="AZ20" t="str">
        <f ca="1"/>
        <v/>
      </c>
      <c r="BA20" t="str">
        <f ca="1"/>
        <v/>
      </c>
      <c r="BB20" t="str">
        <f ca="1"/>
        <v/>
      </c>
      <c r="BC20" t="str">
        <f ca="1"/>
        <v/>
      </c>
      <c r="BD20" t="str">
        <f ca="1"/>
        <v/>
      </c>
      <c r="BE20" t="str">
        <f ca="1"/>
        <v/>
      </c>
      <c r="BF20" t="str">
        <f ca="1"/>
        <v/>
      </c>
      <c r="BG20" t="str">
        <f ca="1"/>
        <v/>
      </c>
      <c r="BH20" t="str">
        <f ca="1"/>
        <v/>
      </c>
      <c r="BI20" t="str">
        <f ca="1"/>
        <v/>
      </c>
      <c r="BJ20" t="str">
        <f ca="1"/>
        <v/>
      </c>
      <c r="BK20" t="str">
        <f ca="1"/>
        <v/>
      </c>
      <c r="BL20" t="str">
        <f ca="1"/>
        <v/>
      </c>
      <c r="BM20" t="str">
        <f ca="1"/>
        <v/>
      </c>
      <c r="BN20" t="str">
        <f ca="1"/>
        <v/>
      </c>
      <c r="BO20" t="str">
        <f ca="1"/>
        <v/>
      </c>
      <c r="BP20" t="str">
        <f ca="1"/>
        <v/>
      </c>
      <c r="BQ20" t="str">
        <f ca="1"/>
        <v/>
      </c>
      <c r="BR20" t="str">
        <f ca="1"/>
        <v/>
      </c>
      <c r="BS20" t="str">
        <f ca="1"/>
        <v/>
      </c>
      <c r="BT20" t="str">
        <f ca="1"/>
        <v/>
      </c>
      <c r="BU20" t="str">
        <f ca="1"/>
        <v/>
      </c>
      <c r="BV20" t="str">
        <f ca="1"/>
        <v/>
      </c>
      <c r="BW20" t="str">
        <f ca="1"/>
        <v/>
      </c>
      <c r="BX20" t="str">
        <f ca="1"/>
        <v/>
      </c>
      <c r="BY20" t="str">
        <f ca="1"/>
        <v/>
      </c>
      <c r="BZ20" t="str">
        <f ca="1"/>
        <v/>
      </c>
      <c r="CA20" t="str">
        <f ca="1"/>
        <v/>
      </c>
      <c r="CB20" t="str">
        <f ca="1"/>
        <v/>
      </c>
      <c r="CC20" t="str">
        <f ca="1"/>
        <v/>
      </c>
      <c r="CD20" t="str">
        <f ca="1"/>
        <v/>
      </c>
      <c r="CE20" t="str">
        <f ca="1"/>
        <v/>
      </c>
      <c r="CF20" t="str">
        <f ca="1"/>
        <v/>
      </c>
      <c r="CG20" t="str">
        <f ca="1"/>
        <v/>
      </c>
      <c r="CH20" t="str">
        <f ca="1"/>
        <v/>
      </c>
      <c r="CI20" t="str">
        <f ca="1"/>
        <v/>
      </c>
      <c r="CJ20" t="str">
        <f ca="1"/>
        <v/>
      </c>
      <c r="CK20" t="str">
        <f ca="1"/>
        <v/>
      </c>
      <c r="CL20" t="str">
        <f ca="1"/>
        <v/>
      </c>
      <c r="CM20" t="str">
        <f ca="1"/>
        <v/>
      </c>
      <c r="CN20" t="str">
        <f ca="1"/>
        <v/>
      </c>
      <c r="CO20" t="str">
        <f ca="1"/>
        <v/>
      </c>
      <c r="CP20" t="str">
        <f ca="1"/>
        <v/>
      </c>
      <c r="CQ20" t="str">
        <f ca="1"/>
        <v/>
      </c>
      <c r="CR20" t="str">
        <f ca="1"/>
        <v/>
      </c>
      <c r="CS20" t="str">
        <f ca="1"/>
        <v/>
      </c>
      <c r="CT20" t="str">
        <f ca="1"/>
        <v/>
      </c>
      <c r="CU20" t="str">
        <f>IF(ISBLANK(identitasMurid!D23),"",identitasMurid!D23)</f>
        <v/>
      </c>
      <c r="CV20" t="str">
        <f t="shared" si="21"/>
        <v/>
      </c>
      <c r="CW20" t="str">
        <f t="shared" si="0"/>
        <v/>
      </c>
      <c r="CX20" t="str">
        <f t="shared" si="1"/>
        <v/>
      </c>
      <c r="CY20" t="str">
        <f t="shared" si="2"/>
        <v/>
      </c>
      <c r="CZ20" t="str">
        <f t="shared" si="3"/>
        <v/>
      </c>
      <c r="DA20" t="str">
        <f t="shared" si="4"/>
        <v/>
      </c>
      <c r="DB20" t="str">
        <f t="shared" si="5"/>
        <v/>
      </c>
      <c r="DC20" t="str">
        <f t="shared" si="6"/>
        <v/>
      </c>
      <c r="DD20" t="str">
        <f t="shared" si="22"/>
        <v/>
      </c>
      <c r="DE20" t="str">
        <f t="shared" si="7"/>
        <v/>
      </c>
      <c r="DF20" t="str">
        <f t="shared" si="8"/>
        <v/>
      </c>
      <c r="DG20" t="str">
        <f t="shared" si="9"/>
        <v/>
      </c>
      <c r="DH20" t="str">
        <f t="shared" si="10"/>
        <v/>
      </c>
      <c r="DI20" t="str">
        <f t="shared" si="11"/>
        <v/>
      </c>
      <c r="DJ20" t="str">
        <f t="shared" si="12"/>
        <v/>
      </c>
      <c r="DK20" t="str">
        <f t="shared" si="13"/>
        <v/>
      </c>
      <c r="DL20" t="str">
        <f t="shared" si="23"/>
        <v/>
      </c>
      <c r="DM20" t="str">
        <f t="shared" si="14"/>
        <v/>
      </c>
      <c r="DN20" t="str">
        <f t="shared" si="15"/>
        <v/>
      </c>
      <c r="DO20" t="str">
        <f t="shared" si="16"/>
        <v/>
      </c>
      <c r="DP20" t="str">
        <f t="shared" si="17"/>
        <v/>
      </c>
      <c r="DQ20" t="str">
        <f t="shared" si="18"/>
        <v/>
      </c>
      <c r="DR20" t="str">
        <f t="shared" si="19"/>
        <v/>
      </c>
      <c r="DS20" t="str">
        <f t="shared" si="20"/>
        <v/>
      </c>
      <c r="DU20">
        <v>2</v>
      </c>
      <c r="DV20" t="s">
        <v>3</v>
      </c>
      <c r="DX20">
        <f>COUNTIF($CW$3:$CW$47,DX$18)</f>
        <v>0</v>
      </c>
      <c r="DY20" s="112">
        <f>IF(LEN(profilKelas!$F$14)=0,"",DX20/profilKelas!$F$14)</f>
        <v>0</v>
      </c>
      <c r="DZ20">
        <f>COUNTIF($CW$3:$CW$47,DZ$18)</f>
        <v>0</v>
      </c>
      <c r="EA20" s="111">
        <f>IF(LEN(profilKelas!$F$14)=0,"",DZ20/profilKelas!$F$14)</f>
        <v>0</v>
      </c>
      <c r="EF20" s="114" t="str">
        <f ca="1"/>
        <v/>
      </c>
      <c r="EG20">
        <v>2</v>
      </c>
      <c r="EH20" t="s">
        <v>3</v>
      </c>
      <c r="EJ20">
        <f>COUNTIF($DE$3:$DE$47,EJ$18)</f>
        <v>0</v>
      </c>
      <c r="EK20" s="112">
        <f>IF(LEN(profilKelas!$F$14)=0,"",EJ20/profilKelas!$F$14)</f>
        <v>0</v>
      </c>
      <c r="EL20">
        <f>COUNTIF($DE$3:$DE$47,EL$18)</f>
        <v>0</v>
      </c>
      <c r="EM20" s="111">
        <f>IF(LEN(profilKelas!$F$14)=0,"",EL20/profilKelas!$F$14)</f>
        <v>0</v>
      </c>
      <c r="ES20">
        <v>2</v>
      </c>
      <c r="ET20" t="s">
        <v>3</v>
      </c>
      <c r="EV20">
        <f>COUNTIF($DM$3:$DM$47,EV$18)</f>
        <v>0</v>
      </c>
      <c r="EW20" s="112">
        <f>IF(LEN(profilKelas!$F$14)=0,"",EV20/profilKelas!$F$14)</f>
        <v>0</v>
      </c>
      <c r="EX20">
        <f>COUNTIF($DM$3:$DM$47,EX$18)</f>
        <v>0</v>
      </c>
      <c r="EY20" s="111">
        <f>IF(LEN(profilKelas!$F$14)=0,"",EX20/profilKelas!$F$14)</f>
        <v>0</v>
      </c>
    </row>
    <row r="21" spans="1:159" hidden="1" x14ac:dyDescent="0.3">
      <c r="A21" t="str">
        <f>IF(ROW(A19)&lt;=profilKelas!$F$14,ROW(A19),"")</f>
        <v/>
      </c>
      <c r="B21" t="str">
        <f>IF(ISBLANK(identitasMurid!C24),"",identitasMurid!C24)</f>
        <v/>
      </c>
      <c r="C21" t="str">
        <f ca="1"/>
        <v/>
      </c>
      <c r="D21" t="str">
        <f ca="1"/>
        <v/>
      </c>
      <c r="E21" t="str">
        <f ca="1"/>
        <v/>
      </c>
      <c r="F21" t="str">
        <f ca="1"/>
        <v/>
      </c>
      <c r="G21" t="str">
        <f ca="1"/>
        <v/>
      </c>
      <c r="H21" t="str">
        <f ca="1"/>
        <v/>
      </c>
      <c r="I21" t="str">
        <f ca="1"/>
        <v/>
      </c>
      <c r="J21" t="str">
        <f ca="1"/>
        <v/>
      </c>
      <c r="K21" t="str">
        <f ca="1"/>
        <v/>
      </c>
      <c r="L21" t="str">
        <f ca="1"/>
        <v/>
      </c>
      <c r="M21" t="str">
        <f ca="1"/>
        <v/>
      </c>
      <c r="N21" t="str">
        <f ca="1"/>
        <v/>
      </c>
      <c r="O21" t="str">
        <f ca="1"/>
        <v/>
      </c>
      <c r="P21" t="str">
        <f ca="1"/>
        <v/>
      </c>
      <c r="Q21" t="str">
        <f ca="1"/>
        <v/>
      </c>
      <c r="R21" t="str">
        <f ca="1"/>
        <v/>
      </c>
      <c r="S21" t="str">
        <f ca="1"/>
        <v/>
      </c>
      <c r="T21" t="str">
        <f ca="1"/>
        <v/>
      </c>
      <c r="U21" t="str">
        <f ca="1"/>
        <v/>
      </c>
      <c r="V21" t="str">
        <f ca="1"/>
        <v/>
      </c>
      <c r="W21" t="str">
        <f ca="1"/>
        <v/>
      </c>
      <c r="X21" t="str">
        <f ca="1"/>
        <v/>
      </c>
      <c r="Y21" t="str">
        <f ca="1"/>
        <v/>
      </c>
      <c r="Z21" t="str">
        <f ca="1"/>
        <v/>
      </c>
      <c r="AA21" t="str">
        <f ca="1"/>
        <v/>
      </c>
      <c r="AB21" t="str">
        <f ca="1"/>
        <v/>
      </c>
      <c r="AC21" t="str">
        <f ca="1"/>
        <v/>
      </c>
      <c r="AD21" t="str">
        <f ca="1"/>
        <v/>
      </c>
      <c r="AE21" t="str">
        <f ca="1"/>
        <v/>
      </c>
      <c r="AF21" t="str">
        <f ca="1"/>
        <v/>
      </c>
      <c r="AG21" t="str">
        <f ca="1"/>
        <v/>
      </c>
      <c r="AH21" t="str">
        <f ca="1"/>
        <v/>
      </c>
      <c r="AI21" t="str">
        <f ca="1"/>
        <v/>
      </c>
      <c r="AJ21" t="str">
        <f ca="1"/>
        <v/>
      </c>
      <c r="AK21" t="str">
        <f ca="1"/>
        <v/>
      </c>
      <c r="AL21" t="str">
        <f ca="1"/>
        <v/>
      </c>
      <c r="AM21" t="str">
        <f ca="1"/>
        <v/>
      </c>
      <c r="AN21" t="str">
        <f ca="1"/>
        <v/>
      </c>
      <c r="AO21" t="str">
        <f ca="1"/>
        <v/>
      </c>
      <c r="AP21" t="str">
        <f ca="1"/>
        <v/>
      </c>
      <c r="AQ21" t="str">
        <f ca="1"/>
        <v/>
      </c>
      <c r="AR21" t="str">
        <f ca="1"/>
        <v/>
      </c>
      <c r="AS21" t="str">
        <f ca="1"/>
        <v/>
      </c>
      <c r="AT21" t="str">
        <f ca="1"/>
        <v/>
      </c>
      <c r="AU21" t="str">
        <f ca="1"/>
        <v/>
      </c>
      <c r="AV21" t="str">
        <f ca="1"/>
        <v/>
      </c>
      <c r="AW21" t="str">
        <f ca="1"/>
        <v/>
      </c>
      <c r="AX21" t="str">
        <f ca="1"/>
        <v/>
      </c>
      <c r="AY21" s="109" t="str">
        <f ca="1"/>
        <v/>
      </c>
      <c r="AZ21" t="str">
        <f ca="1"/>
        <v/>
      </c>
      <c r="BA21" t="str">
        <f ca="1"/>
        <v/>
      </c>
      <c r="BB21" t="str">
        <f ca="1"/>
        <v/>
      </c>
      <c r="BC21" t="str">
        <f ca="1"/>
        <v/>
      </c>
      <c r="BD21" t="str">
        <f ca="1"/>
        <v/>
      </c>
      <c r="BE21" t="str">
        <f ca="1"/>
        <v/>
      </c>
      <c r="BF21" t="str">
        <f ca="1"/>
        <v/>
      </c>
      <c r="BG21" t="str">
        <f ca="1"/>
        <v/>
      </c>
      <c r="BH21" t="str">
        <f ca="1"/>
        <v/>
      </c>
      <c r="BI21" t="str">
        <f ca="1"/>
        <v/>
      </c>
      <c r="BJ21" t="str">
        <f ca="1"/>
        <v/>
      </c>
      <c r="BK21" t="str">
        <f ca="1"/>
        <v/>
      </c>
      <c r="BL21" t="str">
        <f ca="1"/>
        <v/>
      </c>
      <c r="BM21" t="str">
        <f ca="1"/>
        <v/>
      </c>
      <c r="BN21" t="str">
        <f ca="1"/>
        <v/>
      </c>
      <c r="BO21" t="str">
        <f ca="1"/>
        <v/>
      </c>
      <c r="BP21" t="str">
        <f ca="1"/>
        <v/>
      </c>
      <c r="BQ21" t="str">
        <f ca="1"/>
        <v/>
      </c>
      <c r="BR21" t="str">
        <f ca="1"/>
        <v/>
      </c>
      <c r="BS21" t="str">
        <f ca="1"/>
        <v/>
      </c>
      <c r="BT21" t="str">
        <f ca="1"/>
        <v/>
      </c>
      <c r="BU21" t="str">
        <f ca="1"/>
        <v/>
      </c>
      <c r="BV21" t="str">
        <f ca="1"/>
        <v/>
      </c>
      <c r="BW21" t="str">
        <f ca="1"/>
        <v/>
      </c>
      <c r="BX21" t="str">
        <f ca="1"/>
        <v/>
      </c>
      <c r="BY21" t="str">
        <f ca="1"/>
        <v/>
      </c>
      <c r="BZ21" t="str">
        <f ca="1"/>
        <v/>
      </c>
      <c r="CA21" t="str">
        <f ca="1"/>
        <v/>
      </c>
      <c r="CB21" t="str">
        <f ca="1"/>
        <v/>
      </c>
      <c r="CC21" t="str">
        <f ca="1"/>
        <v/>
      </c>
      <c r="CD21" t="str">
        <f ca="1"/>
        <v/>
      </c>
      <c r="CE21" t="str">
        <f ca="1"/>
        <v/>
      </c>
      <c r="CF21" t="str">
        <f ca="1"/>
        <v/>
      </c>
      <c r="CG21" t="str">
        <f ca="1"/>
        <v/>
      </c>
      <c r="CH21" t="str">
        <f ca="1"/>
        <v/>
      </c>
      <c r="CI21" t="str">
        <f ca="1"/>
        <v/>
      </c>
      <c r="CJ21" t="str">
        <f ca="1"/>
        <v/>
      </c>
      <c r="CK21" t="str">
        <f ca="1"/>
        <v/>
      </c>
      <c r="CL21" t="str">
        <f ca="1"/>
        <v/>
      </c>
      <c r="CM21" t="str">
        <f ca="1"/>
        <v/>
      </c>
      <c r="CN21" t="str">
        <f ca="1"/>
        <v/>
      </c>
      <c r="CO21" t="str">
        <f ca="1"/>
        <v/>
      </c>
      <c r="CP21" t="str">
        <f ca="1"/>
        <v/>
      </c>
      <c r="CQ21" t="str">
        <f ca="1"/>
        <v/>
      </c>
      <c r="CR21" t="str">
        <f ca="1"/>
        <v/>
      </c>
      <c r="CS21" t="str">
        <f ca="1"/>
        <v/>
      </c>
      <c r="CT21" t="str">
        <f ca="1"/>
        <v/>
      </c>
      <c r="CU21" t="str">
        <f>IF(ISBLANK(identitasMurid!D24),"",identitasMurid!D24)</f>
        <v/>
      </c>
      <c r="CV21" t="str">
        <f t="shared" si="21"/>
        <v/>
      </c>
      <c r="CW21" t="str">
        <f t="shared" si="0"/>
        <v/>
      </c>
      <c r="CX21" t="str">
        <f t="shared" si="1"/>
        <v/>
      </c>
      <c r="CY21" t="str">
        <f t="shared" si="2"/>
        <v/>
      </c>
      <c r="CZ21" t="str">
        <f t="shared" si="3"/>
        <v/>
      </c>
      <c r="DA21" t="str">
        <f t="shared" si="4"/>
        <v/>
      </c>
      <c r="DB21" t="str">
        <f t="shared" si="5"/>
        <v/>
      </c>
      <c r="DC21" t="str">
        <f t="shared" si="6"/>
        <v/>
      </c>
      <c r="DD21" t="str">
        <f t="shared" si="22"/>
        <v/>
      </c>
      <c r="DE21" t="str">
        <f t="shared" si="7"/>
        <v/>
      </c>
      <c r="DF21" t="str">
        <f t="shared" si="8"/>
        <v/>
      </c>
      <c r="DG21" t="str">
        <f t="shared" si="9"/>
        <v/>
      </c>
      <c r="DH21" t="str">
        <f t="shared" si="10"/>
        <v/>
      </c>
      <c r="DI21" t="str">
        <f t="shared" si="11"/>
        <v/>
      </c>
      <c r="DJ21" t="str">
        <f t="shared" si="12"/>
        <v/>
      </c>
      <c r="DK21" t="str">
        <f t="shared" si="13"/>
        <v/>
      </c>
      <c r="DL21" t="str">
        <f t="shared" si="23"/>
        <v/>
      </c>
      <c r="DM21" t="str">
        <f t="shared" si="14"/>
        <v/>
      </c>
      <c r="DN21" t="str">
        <f t="shared" si="15"/>
        <v/>
      </c>
      <c r="DO21" t="str">
        <f t="shared" si="16"/>
        <v/>
      </c>
      <c r="DP21" t="str">
        <f t="shared" si="17"/>
        <v/>
      </c>
      <c r="DQ21" t="str">
        <f t="shared" si="18"/>
        <v/>
      </c>
      <c r="DR21" t="str">
        <f t="shared" si="19"/>
        <v/>
      </c>
      <c r="DS21" t="str">
        <f t="shared" si="20"/>
        <v/>
      </c>
      <c r="DU21">
        <v>3</v>
      </c>
      <c r="DV21" t="s">
        <v>4</v>
      </c>
      <c r="DX21">
        <f>COUNTIF($CX$3:$CX$47,DX$18)</f>
        <v>0</v>
      </c>
      <c r="DY21" s="112">
        <f>IF(LEN(profilKelas!$F$14)=0,"",DX21/profilKelas!$F$14)</f>
        <v>0</v>
      </c>
      <c r="DZ21">
        <f>COUNTIF($CX$3:$CX$47,DZ$18)</f>
        <v>0</v>
      </c>
      <c r="EA21" s="111">
        <f>IF(LEN(profilKelas!$F$14)=0,"",DZ21/profilKelas!$F$14)</f>
        <v>0</v>
      </c>
      <c r="EF21" s="114" t="str">
        <f ca="1"/>
        <v/>
      </c>
      <c r="EG21">
        <v>3</v>
      </c>
      <c r="EH21" t="s">
        <v>4</v>
      </c>
      <c r="EJ21">
        <f>COUNTIF($DF$3:$DF$47,EJ$18)</f>
        <v>0</v>
      </c>
      <c r="EK21" s="112">
        <f>IF(LEN(profilKelas!$F$14)=0,"",EJ21/profilKelas!$F$14)</f>
        <v>0</v>
      </c>
      <c r="EL21">
        <f>COUNTIF($DF$3:$DF$47,EL$18)</f>
        <v>0</v>
      </c>
      <c r="EM21" s="111">
        <f>IF(LEN(profilKelas!$F$14)=0,"",EL21/profilKelas!$F$14)</f>
        <v>0</v>
      </c>
      <c r="ES21">
        <v>3</v>
      </c>
      <c r="ET21" t="s">
        <v>4</v>
      </c>
      <c r="EV21">
        <f>COUNTIF($DN$3:$DN$47,EV$18)</f>
        <v>0</v>
      </c>
      <c r="EW21" s="112">
        <f>IF(LEN(profilKelas!$F$14)=0,"",EV21/profilKelas!$F$14)</f>
        <v>0</v>
      </c>
      <c r="EX21">
        <f>COUNTIF($DN$3:$DN$47,EX$18)</f>
        <v>0</v>
      </c>
      <c r="EY21" s="111">
        <f>IF(LEN(profilKelas!$F$14)=0,"",EX21/profilKelas!$F$14)</f>
        <v>0</v>
      </c>
    </row>
    <row r="22" spans="1:159" hidden="1" x14ac:dyDescent="0.3">
      <c r="A22" t="str">
        <f>IF(ROW(A20)&lt;=profilKelas!$F$14,ROW(A20),"")</f>
        <v/>
      </c>
      <c r="B22" t="str">
        <f>IF(ISBLANK(identitasMurid!C25),"",identitasMurid!C25)</f>
        <v/>
      </c>
      <c r="C22" t="str">
        <f ca="1"/>
        <v/>
      </c>
      <c r="D22" t="str">
        <f ca="1"/>
        <v/>
      </c>
      <c r="E22" t="str">
        <f ca="1"/>
        <v/>
      </c>
      <c r="F22" t="str">
        <f ca="1"/>
        <v/>
      </c>
      <c r="G22" t="str">
        <f ca="1"/>
        <v/>
      </c>
      <c r="H22" t="str">
        <f ca="1"/>
        <v/>
      </c>
      <c r="I22" t="str">
        <f ca="1"/>
        <v/>
      </c>
      <c r="J22" t="str">
        <f ca="1"/>
        <v/>
      </c>
      <c r="K22" t="str">
        <f ca="1"/>
        <v/>
      </c>
      <c r="L22" t="str">
        <f ca="1"/>
        <v/>
      </c>
      <c r="M22" t="str">
        <f ca="1"/>
        <v/>
      </c>
      <c r="N22" t="str">
        <f ca="1"/>
        <v/>
      </c>
      <c r="O22" t="str">
        <f ca="1"/>
        <v/>
      </c>
      <c r="P22" t="str">
        <f ca="1"/>
        <v/>
      </c>
      <c r="Q22" t="str">
        <f ca="1"/>
        <v/>
      </c>
      <c r="R22" t="str">
        <f ca="1"/>
        <v/>
      </c>
      <c r="S22" t="str">
        <f ca="1"/>
        <v/>
      </c>
      <c r="T22" t="str">
        <f ca="1"/>
        <v/>
      </c>
      <c r="U22" t="str">
        <f ca="1"/>
        <v/>
      </c>
      <c r="V22" t="str">
        <f ca="1"/>
        <v/>
      </c>
      <c r="W22" t="str">
        <f ca="1"/>
        <v/>
      </c>
      <c r="X22" t="str">
        <f ca="1"/>
        <v/>
      </c>
      <c r="Y22" t="str">
        <f ca="1"/>
        <v/>
      </c>
      <c r="Z22" t="str">
        <f ca="1"/>
        <v/>
      </c>
      <c r="AA22" t="str">
        <f ca="1"/>
        <v/>
      </c>
      <c r="AB22" t="str">
        <f ca="1"/>
        <v/>
      </c>
      <c r="AC22" t="str">
        <f ca="1"/>
        <v/>
      </c>
      <c r="AD22" t="str">
        <f ca="1"/>
        <v/>
      </c>
      <c r="AE22" t="str">
        <f ca="1"/>
        <v/>
      </c>
      <c r="AF22" t="str">
        <f ca="1"/>
        <v/>
      </c>
      <c r="AG22" t="str">
        <f ca="1"/>
        <v/>
      </c>
      <c r="AH22" t="str">
        <f ca="1"/>
        <v/>
      </c>
      <c r="AI22" t="str">
        <f ca="1"/>
        <v/>
      </c>
      <c r="AJ22" t="str">
        <f ca="1"/>
        <v/>
      </c>
      <c r="AK22" t="str">
        <f ca="1"/>
        <v/>
      </c>
      <c r="AL22" t="str">
        <f ca="1"/>
        <v/>
      </c>
      <c r="AM22" t="str">
        <f ca="1"/>
        <v/>
      </c>
      <c r="AN22" t="str">
        <f ca="1"/>
        <v/>
      </c>
      <c r="AO22" t="str">
        <f ca="1"/>
        <v/>
      </c>
      <c r="AP22" t="str">
        <f ca="1"/>
        <v/>
      </c>
      <c r="AQ22" t="str">
        <f ca="1"/>
        <v/>
      </c>
      <c r="AR22" t="str">
        <f ca="1"/>
        <v/>
      </c>
      <c r="AS22" t="str">
        <f ca="1"/>
        <v/>
      </c>
      <c r="AT22" t="str">
        <f ca="1"/>
        <v/>
      </c>
      <c r="AU22" t="str">
        <f ca="1"/>
        <v/>
      </c>
      <c r="AV22" t="str">
        <f ca="1"/>
        <v/>
      </c>
      <c r="AW22" t="str">
        <f ca="1"/>
        <v/>
      </c>
      <c r="AX22" t="str">
        <f ca="1"/>
        <v/>
      </c>
      <c r="AY22" s="109" t="str">
        <f ca="1"/>
        <v/>
      </c>
      <c r="AZ22" t="str">
        <f ca="1"/>
        <v/>
      </c>
      <c r="BA22" t="str">
        <f ca="1"/>
        <v/>
      </c>
      <c r="BB22" t="str">
        <f ca="1"/>
        <v/>
      </c>
      <c r="BC22" t="str">
        <f ca="1"/>
        <v/>
      </c>
      <c r="BD22" t="str">
        <f ca="1"/>
        <v/>
      </c>
      <c r="BE22" t="str">
        <f ca="1"/>
        <v/>
      </c>
      <c r="BF22" t="str">
        <f ca="1"/>
        <v/>
      </c>
      <c r="BG22" t="str">
        <f ca="1"/>
        <v/>
      </c>
      <c r="BH22" t="str">
        <f ca="1"/>
        <v/>
      </c>
      <c r="BI22" t="str">
        <f ca="1"/>
        <v/>
      </c>
      <c r="BJ22" t="str">
        <f ca="1"/>
        <v/>
      </c>
      <c r="BK22" t="str">
        <f ca="1"/>
        <v/>
      </c>
      <c r="BL22" t="str">
        <f ca="1"/>
        <v/>
      </c>
      <c r="BM22" t="str">
        <f ca="1"/>
        <v/>
      </c>
      <c r="BN22" t="str">
        <f ca="1"/>
        <v/>
      </c>
      <c r="BO22" t="str">
        <f ca="1"/>
        <v/>
      </c>
      <c r="BP22" t="str">
        <f ca="1"/>
        <v/>
      </c>
      <c r="BQ22" t="str">
        <f ca="1"/>
        <v/>
      </c>
      <c r="BR22" t="str">
        <f ca="1"/>
        <v/>
      </c>
      <c r="BS22" t="str">
        <f ca="1"/>
        <v/>
      </c>
      <c r="BT22" t="str">
        <f ca="1"/>
        <v/>
      </c>
      <c r="BU22" t="str">
        <f ca="1"/>
        <v/>
      </c>
      <c r="BV22" t="str">
        <f ca="1"/>
        <v/>
      </c>
      <c r="BW22" t="str">
        <f ca="1"/>
        <v/>
      </c>
      <c r="BX22" t="str">
        <f ca="1"/>
        <v/>
      </c>
      <c r="BY22" t="str">
        <f ca="1"/>
        <v/>
      </c>
      <c r="BZ22" t="str">
        <f ca="1"/>
        <v/>
      </c>
      <c r="CA22" t="str">
        <f ca="1"/>
        <v/>
      </c>
      <c r="CB22" t="str">
        <f ca="1"/>
        <v/>
      </c>
      <c r="CC22" t="str">
        <f ca="1"/>
        <v/>
      </c>
      <c r="CD22" t="str">
        <f ca="1"/>
        <v/>
      </c>
      <c r="CE22" t="str">
        <f ca="1"/>
        <v/>
      </c>
      <c r="CF22" t="str">
        <f ca="1"/>
        <v/>
      </c>
      <c r="CG22" t="str">
        <f ca="1"/>
        <v/>
      </c>
      <c r="CH22" t="str">
        <f ca="1"/>
        <v/>
      </c>
      <c r="CI22" t="str">
        <f ca="1"/>
        <v/>
      </c>
      <c r="CJ22" t="str">
        <f ca="1"/>
        <v/>
      </c>
      <c r="CK22" t="str">
        <f ca="1"/>
        <v/>
      </c>
      <c r="CL22" t="str">
        <f ca="1"/>
        <v/>
      </c>
      <c r="CM22" t="str">
        <f ca="1"/>
        <v/>
      </c>
      <c r="CN22" t="str">
        <f ca="1"/>
        <v/>
      </c>
      <c r="CO22" t="str">
        <f ca="1"/>
        <v/>
      </c>
      <c r="CP22" t="str">
        <f ca="1"/>
        <v/>
      </c>
      <c r="CQ22" t="str">
        <f ca="1"/>
        <v/>
      </c>
      <c r="CR22" t="str">
        <f ca="1"/>
        <v/>
      </c>
      <c r="CS22" t="str">
        <f ca="1"/>
        <v/>
      </c>
      <c r="CT22" t="str">
        <f ca="1"/>
        <v/>
      </c>
      <c r="CU22" t="str">
        <f>IF(ISBLANK(identitasMurid!D25),"",identitasMurid!D25)</f>
        <v/>
      </c>
      <c r="CV22" t="str">
        <f t="shared" si="21"/>
        <v/>
      </c>
      <c r="CW22" t="str">
        <f t="shared" si="0"/>
        <v/>
      </c>
      <c r="CX22" t="str">
        <f t="shared" si="1"/>
        <v/>
      </c>
      <c r="CY22" t="str">
        <f t="shared" si="2"/>
        <v/>
      </c>
      <c r="CZ22" t="str">
        <f t="shared" si="3"/>
        <v/>
      </c>
      <c r="DA22" t="str">
        <f t="shared" si="4"/>
        <v/>
      </c>
      <c r="DB22" t="str">
        <f t="shared" si="5"/>
        <v/>
      </c>
      <c r="DC22" t="str">
        <f t="shared" si="6"/>
        <v/>
      </c>
      <c r="DD22" t="str">
        <f t="shared" si="22"/>
        <v/>
      </c>
      <c r="DE22" t="str">
        <f t="shared" si="7"/>
        <v/>
      </c>
      <c r="DF22" t="str">
        <f t="shared" si="8"/>
        <v/>
      </c>
      <c r="DG22" t="str">
        <f t="shared" si="9"/>
        <v/>
      </c>
      <c r="DH22" t="str">
        <f t="shared" si="10"/>
        <v/>
      </c>
      <c r="DI22" t="str">
        <f t="shared" si="11"/>
        <v/>
      </c>
      <c r="DJ22" t="str">
        <f t="shared" si="12"/>
        <v/>
      </c>
      <c r="DK22" t="str">
        <f t="shared" si="13"/>
        <v/>
      </c>
      <c r="DL22" t="str">
        <f t="shared" si="23"/>
        <v/>
      </c>
      <c r="DM22" t="str">
        <f t="shared" si="14"/>
        <v/>
      </c>
      <c r="DN22" t="str">
        <f t="shared" si="15"/>
        <v/>
      </c>
      <c r="DO22" t="str">
        <f t="shared" si="16"/>
        <v/>
      </c>
      <c r="DP22" t="str">
        <f t="shared" si="17"/>
        <v/>
      </c>
      <c r="DQ22" t="str">
        <f t="shared" si="18"/>
        <v/>
      </c>
      <c r="DR22" t="str">
        <f t="shared" si="19"/>
        <v/>
      </c>
      <c r="DS22" t="str">
        <f t="shared" si="20"/>
        <v/>
      </c>
      <c r="DU22">
        <v>4</v>
      </c>
      <c r="DV22" t="s">
        <v>5</v>
      </c>
      <c r="DX22">
        <f>COUNTIF($CY$3:$CY$47,DX$18)</f>
        <v>0</v>
      </c>
      <c r="DY22" s="112">
        <f>IF(LEN(profilKelas!$F$14)=0,"",DX22/profilKelas!$F$14)</f>
        <v>0</v>
      </c>
      <c r="DZ22">
        <f>COUNTIF($CY$3:$CY$47,DZ$18)</f>
        <v>0</v>
      </c>
      <c r="EA22" s="111">
        <f>IF(LEN(profilKelas!$F$14)=0,"",DZ22/profilKelas!$F$14)</f>
        <v>0</v>
      </c>
      <c r="EF22" s="114" t="str">
        <f ca="1"/>
        <v/>
      </c>
      <c r="EG22">
        <v>4</v>
      </c>
      <c r="EH22" t="s">
        <v>5</v>
      </c>
      <c r="EJ22">
        <f>COUNTIF($DG$3:$DG$47,EJ$18)</f>
        <v>0</v>
      </c>
      <c r="EK22" s="112">
        <f>IF(LEN(profilKelas!$F$14)=0,"",EJ22/profilKelas!$F$14)</f>
        <v>0</v>
      </c>
      <c r="EL22">
        <f>COUNTIF($DG$3:$DG$47,EL$18)</f>
        <v>0</v>
      </c>
      <c r="EM22" s="111">
        <f>IF(LEN(profilKelas!$F$14)=0,"",EL22/profilKelas!$F$14)</f>
        <v>0</v>
      </c>
      <c r="ES22">
        <v>4</v>
      </c>
      <c r="ET22" t="s">
        <v>5</v>
      </c>
      <c r="EV22">
        <f>COUNTIF($DO$3:$DO$47,EV$18)</f>
        <v>0</v>
      </c>
      <c r="EW22" s="112">
        <f>IF(LEN(profilKelas!$F$14)=0,"",EV22/profilKelas!$F$14)</f>
        <v>0</v>
      </c>
      <c r="EX22">
        <f>COUNTIF($DO$3:$DO$47,EX$18)</f>
        <v>0</v>
      </c>
      <c r="EY22" s="111">
        <f>IF(LEN(profilKelas!$F$14)=0,"",EX22/profilKelas!$F$14)</f>
        <v>0</v>
      </c>
    </row>
    <row r="23" spans="1:159" hidden="1" x14ac:dyDescent="0.3">
      <c r="A23" t="str">
        <f>IF(ROW(A21)&lt;=profilKelas!$F$14,ROW(A21),"")</f>
        <v/>
      </c>
      <c r="B23" t="str">
        <f>IF(ISBLANK(identitasMurid!C26),"",identitasMurid!C26)</f>
        <v/>
      </c>
      <c r="C23" t="str">
        <f ca="1"/>
        <v/>
      </c>
      <c r="D23" t="str">
        <f ca="1"/>
        <v/>
      </c>
      <c r="E23" t="str">
        <f ca="1"/>
        <v/>
      </c>
      <c r="F23" t="str">
        <f ca="1"/>
        <v/>
      </c>
      <c r="G23" t="str">
        <f ca="1"/>
        <v/>
      </c>
      <c r="H23" t="str">
        <f ca="1"/>
        <v/>
      </c>
      <c r="I23" t="str">
        <f ca="1"/>
        <v/>
      </c>
      <c r="J23" t="str">
        <f ca="1"/>
        <v/>
      </c>
      <c r="K23" t="str">
        <f ca="1"/>
        <v/>
      </c>
      <c r="L23" t="str">
        <f ca="1"/>
        <v/>
      </c>
      <c r="M23" t="str">
        <f ca="1"/>
        <v/>
      </c>
      <c r="N23" t="str">
        <f ca="1"/>
        <v/>
      </c>
      <c r="O23" t="str">
        <f ca="1"/>
        <v/>
      </c>
      <c r="P23" t="str">
        <f ca="1"/>
        <v/>
      </c>
      <c r="Q23" t="str">
        <f ca="1"/>
        <v/>
      </c>
      <c r="R23" t="str">
        <f ca="1"/>
        <v/>
      </c>
      <c r="S23" t="str">
        <f ca="1"/>
        <v/>
      </c>
      <c r="T23" t="str">
        <f ca="1"/>
        <v/>
      </c>
      <c r="U23" t="str">
        <f ca="1"/>
        <v/>
      </c>
      <c r="V23" t="str">
        <f ca="1"/>
        <v/>
      </c>
      <c r="W23" t="str">
        <f ca="1"/>
        <v/>
      </c>
      <c r="X23" t="str">
        <f ca="1"/>
        <v/>
      </c>
      <c r="Y23" t="str">
        <f ca="1"/>
        <v/>
      </c>
      <c r="Z23" t="str">
        <f ca="1"/>
        <v/>
      </c>
      <c r="AA23" t="str">
        <f ca="1"/>
        <v/>
      </c>
      <c r="AB23" t="str">
        <f ca="1"/>
        <v/>
      </c>
      <c r="AC23" t="str">
        <f ca="1"/>
        <v/>
      </c>
      <c r="AD23" t="str">
        <f ca="1"/>
        <v/>
      </c>
      <c r="AE23" t="str">
        <f ca="1"/>
        <v/>
      </c>
      <c r="AF23" t="str">
        <f ca="1"/>
        <v/>
      </c>
      <c r="AG23" t="str">
        <f ca="1"/>
        <v/>
      </c>
      <c r="AH23" t="str">
        <f ca="1"/>
        <v/>
      </c>
      <c r="AI23" t="str">
        <f ca="1"/>
        <v/>
      </c>
      <c r="AJ23" t="str">
        <f ca="1"/>
        <v/>
      </c>
      <c r="AK23" t="str">
        <f ca="1"/>
        <v/>
      </c>
      <c r="AL23" t="str">
        <f ca="1"/>
        <v/>
      </c>
      <c r="AM23" t="str">
        <f ca="1"/>
        <v/>
      </c>
      <c r="AN23" t="str">
        <f ca="1"/>
        <v/>
      </c>
      <c r="AO23" t="str">
        <f ca="1"/>
        <v/>
      </c>
      <c r="AP23" t="str">
        <f ca="1"/>
        <v/>
      </c>
      <c r="AQ23" t="str">
        <f ca="1"/>
        <v/>
      </c>
      <c r="AR23" t="str">
        <f ca="1"/>
        <v/>
      </c>
      <c r="AS23" t="str">
        <f ca="1"/>
        <v/>
      </c>
      <c r="AT23" t="str">
        <f ca="1"/>
        <v/>
      </c>
      <c r="AU23" t="str">
        <f ca="1"/>
        <v/>
      </c>
      <c r="AV23" t="str">
        <f ca="1"/>
        <v/>
      </c>
      <c r="AW23" t="str">
        <f ca="1"/>
        <v/>
      </c>
      <c r="AX23" t="str">
        <f ca="1"/>
        <v/>
      </c>
      <c r="AY23" s="109" t="str">
        <f ca="1"/>
        <v/>
      </c>
      <c r="AZ23" t="str">
        <f ca="1"/>
        <v/>
      </c>
      <c r="BA23" t="str">
        <f ca="1"/>
        <v/>
      </c>
      <c r="BB23" t="str">
        <f ca="1"/>
        <v/>
      </c>
      <c r="BC23" t="str">
        <f ca="1"/>
        <v/>
      </c>
      <c r="BD23" t="str">
        <f ca="1"/>
        <v/>
      </c>
      <c r="BE23" t="str">
        <f ca="1"/>
        <v/>
      </c>
      <c r="BF23" t="str">
        <f ca="1"/>
        <v/>
      </c>
      <c r="BG23" t="str">
        <f ca="1"/>
        <v/>
      </c>
      <c r="BH23" t="str">
        <f ca="1"/>
        <v/>
      </c>
      <c r="BI23" t="str">
        <f ca="1"/>
        <v/>
      </c>
      <c r="BJ23" t="str">
        <f ca="1"/>
        <v/>
      </c>
      <c r="BK23" t="str">
        <f ca="1"/>
        <v/>
      </c>
      <c r="BL23" t="str">
        <f ca="1"/>
        <v/>
      </c>
      <c r="BM23" t="str">
        <f ca="1"/>
        <v/>
      </c>
      <c r="BN23" t="str">
        <f ca="1"/>
        <v/>
      </c>
      <c r="BO23" t="str">
        <f ca="1"/>
        <v/>
      </c>
      <c r="BP23" t="str">
        <f ca="1"/>
        <v/>
      </c>
      <c r="BQ23" t="str">
        <f ca="1"/>
        <v/>
      </c>
      <c r="BR23" t="str">
        <f ca="1"/>
        <v/>
      </c>
      <c r="BS23" t="str">
        <f ca="1"/>
        <v/>
      </c>
      <c r="BT23" t="str">
        <f ca="1"/>
        <v/>
      </c>
      <c r="BU23" t="str">
        <f ca="1"/>
        <v/>
      </c>
      <c r="BV23" t="str">
        <f ca="1"/>
        <v/>
      </c>
      <c r="BW23" t="str">
        <f ca="1"/>
        <v/>
      </c>
      <c r="BX23" t="str">
        <f ca="1"/>
        <v/>
      </c>
      <c r="BY23" t="str">
        <f ca="1"/>
        <v/>
      </c>
      <c r="BZ23" t="str">
        <f ca="1"/>
        <v/>
      </c>
      <c r="CA23" t="str">
        <f ca="1"/>
        <v/>
      </c>
      <c r="CB23" t="str">
        <f ca="1"/>
        <v/>
      </c>
      <c r="CC23" t="str">
        <f ca="1"/>
        <v/>
      </c>
      <c r="CD23" t="str">
        <f ca="1"/>
        <v/>
      </c>
      <c r="CE23" t="str">
        <f ca="1"/>
        <v/>
      </c>
      <c r="CF23" t="str">
        <f ca="1"/>
        <v/>
      </c>
      <c r="CG23" t="str">
        <f ca="1"/>
        <v/>
      </c>
      <c r="CH23" t="str">
        <f ca="1"/>
        <v/>
      </c>
      <c r="CI23" t="str">
        <f ca="1"/>
        <v/>
      </c>
      <c r="CJ23" t="str">
        <f ca="1"/>
        <v/>
      </c>
      <c r="CK23" t="str">
        <f ca="1"/>
        <v/>
      </c>
      <c r="CL23" t="str">
        <f ca="1"/>
        <v/>
      </c>
      <c r="CM23" t="str">
        <f ca="1"/>
        <v/>
      </c>
      <c r="CN23" t="str">
        <f ca="1"/>
        <v/>
      </c>
      <c r="CO23" t="str">
        <f ca="1"/>
        <v/>
      </c>
      <c r="CP23" t="str">
        <f ca="1"/>
        <v/>
      </c>
      <c r="CQ23" t="str">
        <f ca="1"/>
        <v/>
      </c>
      <c r="CR23" t="str">
        <f ca="1"/>
        <v/>
      </c>
      <c r="CS23" t="str">
        <f ca="1"/>
        <v/>
      </c>
      <c r="CT23" t="str">
        <f ca="1"/>
        <v/>
      </c>
      <c r="CU23" t="str">
        <f>IF(ISBLANK(identitasMurid!D26),"",identitasMurid!D26)</f>
        <v/>
      </c>
      <c r="CV23" t="str">
        <f t="shared" si="21"/>
        <v/>
      </c>
      <c r="CW23" t="str">
        <f t="shared" si="0"/>
        <v/>
      </c>
      <c r="CX23" t="str">
        <f t="shared" si="1"/>
        <v/>
      </c>
      <c r="CY23" t="str">
        <f t="shared" si="2"/>
        <v/>
      </c>
      <c r="CZ23" t="str">
        <f t="shared" si="3"/>
        <v/>
      </c>
      <c r="DA23" t="str">
        <f t="shared" si="4"/>
        <v/>
      </c>
      <c r="DB23" t="str">
        <f t="shared" si="5"/>
        <v/>
      </c>
      <c r="DC23" t="str">
        <f t="shared" si="6"/>
        <v/>
      </c>
      <c r="DD23" t="str">
        <f t="shared" si="22"/>
        <v/>
      </c>
      <c r="DE23" t="str">
        <f t="shared" si="7"/>
        <v/>
      </c>
      <c r="DF23" t="str">
        <f t="shared" si="8"/>
        <v/>
      </c>
      <c r="DG23" t="str">
        <f t="shared" si="9"/>
        <v/>
      </c>
      <c r="DH23" t="str">
        <f t="shared" si="10"/>
        <v/>
      </c>
      <c r="DI23" t="str">
        <f t="shared" si="11"/>
        <v/>
      </c>
      <c r="DJ23" t="str">
        <f t="shared" si="12"/>
        <v/>
      </c>
      <c r="DK23" t="str">
        <f t="shared" si="13"/>
        <v/>
      </c>
      <c r="DL23" t="str">
        <f t="shared" si="23"/>
        <v/>
      </c>
      <c r="DM23" t="str">
        <f t="shared" si="14"/>
        <v/>
      </c>
      <c r="DN23" t="str">
        <f t="shared" si="15"/>
        <v/>
      </c>
      <c r="DO23" t="str">
        <f t="shared" si="16"/>
        <v/>
      </c>
      <c r="DP23" t="str">
        <f t="shared" si="17"/>
        <v/>
      </c>
      <c r="DQ23" t="str">
        <f t="shared" si="18"/>
        <v/>
      </c>
      <c r="DR23" t="str">
        <f t="shared" si="19"/>
        <v/>
      </c>
      <c r="DS23" t="str">
        <f t="shared" si="20"/>
        <v/>
      </c>
      <c r="DU23">
        <v>5</v>
      </c>
      <c r="DV23" t="s">
        <v>6</v>
      </c>
      <c r="DX23">
        <f>COUNTIF($CZ$3:$CZ$47,DX$18)</f>
        <v>0</v>
      </c>
      <c r="DY23" s="112">
        <f>IF(LEN(profilKelas!$F$14)=0,"",DX23/profilKelas!$F$14)</f>
        <v>0</v>
      </c>
      <c r="DZ23">
        <f>COUNTIF($CZ$3:$CZ$47,DZ$18)</f>
        <v>0</v>
      </c>
      <c r="EA23" s="111">
        <f>IF(LEN(profilKelas!$F$14)=0,"",DZ23/profilKelas!$F$14)</f>
        <v>0</v>
      </c>
      <c r="EF23" s="114" t="str">
        <f ca="1"/>
        <v/>
      </c>
      <c r="EG23">
        <v>5</v>
      </c>
      <c r="EH23" t="s">
        <v>6</v>
      </c>
      <c r="EJ23">
        <f>COUNTIF($DH$3:$DH$47,EJ$18)</f>
        <v>0</v>
      </c>
      <c r="EK23" s="112">
        <f>IF(LEN(profilKelas!$F$14)=0,"",EJ23/profilKelas!$F$14)</f>
        <v>0</v>
      </c>
      <c r="EL23">
        <f>COUNTIF($DH$3:$DH$47,EL$18)</f>
        <v>0</v>
      </c>
      <c r="EM23" s="111">
        <f>IF(LEN(profilKelas!$F$14)=0,"",EL23/profilKelas!$F$14)</f>
        <v>0</v>
      </c>
      <c r="ES23">
        <v>5</v>
      </c>
      <c r="ET23" t="s">
        <v>6</v>
      </c>
      <c r="EV23">
        <f>COUNTIF($DP$3:$DP$47,EV$18)</f>
        <v>0</v>
      </c>
      <c r="EW23" s="112">
        <f>IF(LEN(profilKelas!$F$14)=0,"",EV23/profilKelas!$F$14)</f>
        <v>0</v>
      </c>
      <c r="EX23">
        <f>COUNTIF($DP$3:$DP$47,EX$18)</f>
        <v>0</v>
      </c>
      <c r="EY23" s="111">
        <f>IF(LEN(profilKelas!$F$14)=0,"",EX23/profilKelas!$F$14)</f>
        <v>0</v>
      </c>
    </row>
    <row r="24" spans="1:159" hidden="1" x14ac:dyDescent="0.3">
      <c r="A24" t="str">
        <f>IF(ROW(A22)&lt;=profilKelas!$F$14,ROW(A22),"")</f>
        <v/>
      </c>
      <c r="B24" t="str">
        <f>IF(ISBLANK(identitasMurid!C27),"",identitasMurid!C27)</f>
        <v/>
      </c>
      <c r="C24" t="str">
        <f ca="1"/>
        <v/>
      </c>
      <c r="D24" t="str">
        <f ca="1"/>
        <v/>
      </c>
      <c r="E24" t="str">
        <f ca="1"/>
        <v/>
      </c>
      <c r="F24" t="str">
        <f ca="1"/>
        <v/>
      </c>
      <c r="G24" t="str">
        <f ca="1"/>
        <v/>
      </c>
      <c r="H24" t="str">
        <f ca="1"/>
        <v/>
      </c>
      <c r="I24" t="str">
        <f ca="1"/>
        <v/>
      </c>
      <c r="J24" t="str">
        <f ca="1"/>
        <v/>
      </c>
      <c r="K24" t="str">
        <f ca="1"/>
        <v/>
      </c>
      <c r="L24" t="str">
        <f ca="1"/>
        <v/>
      </c>
      <c r="M24" t="str">
        <f ca="1"/>
        <v/>
      </c>
      <c r="N24" t="str">
        <f ca="1"/>
        <v/>
      </c>
      <c r="O24" t="str">
        <f ca="1"/>
        <v/>
      </c>
      <c r="P24" t="str">
        <f ca="1"/>
        <v/>
      </c>
      <c r="Q24" t="str">
        <f ca="1"/>
        <v/>
      </c>
      <c r="R24" t="str">
        <f ca="1"/>
        <v/>
      </c>
      <c r="S24" t="str">
        <f ca="1"/>
        <v/>
      </c>
      <c r="T24" t="str">
        <f ca="1"/>
        <v/>
      </c>
      <c r="U24" t="str">
        <f ca="1"/>
        <v/>
      </c>
      <c r="V24" t="str">
        <f ca="1"/>
        <v/>
      </c>
      <c r="W24" t="str">
        <f ca="1"/>
        <v/>
      </c>
      <c r="X24" t="str">
        <f ca="1"/>
        <v/>
      </c>
      <c r="Y24" t="str">
        <f ca="1"/>
        <v/>
      </c>
      <c r="Z24" t="str">
        <f ca="1"/>
        <v/>
      </c>
      <c r="AA24" t="str">
        <f ca="1"/>
        <v/>
      </c>
      <c r="AB24" t="str">
        <f ca="1"/>
        <v/>
      </c>
      <c r="AC24" t="str">
        <f ca="1"/>
        <v/>
      </c>
      <c r="AD24" t="str">
        <f ca="1"/>
        <v/>
      </c>
      <c r="AE24" t="str">
        <f ca="1"/>
        <v/>
      </c>
      <c r="AF24" t="str">
        <f ca="1"/>
        <v/>
      </c>
      <c r="AG24" t="str">
        <f ca="1"/>
        <v/>
      </c>
      <c r="AH24" t="str">
        <f ca="1"/>
        <v/>
      </c>
      <c r="AI24" t="str">
        <f ca="1"/>
        <v/>
      </c>
      <c r="AJ24" t="str">
        <f ca="1"/>
        <v/>
      </c>
      <c r="AK24" t="str">
        <f ca="1"/>
        <v/>
      </c>
      <c r="AL24" t="str">
        <f ca="1"/>
        <v/>
      </c>
      <c r="AM24" t="str">
        <f ca="1"/>
        <v/>
      </c>
      <c r="AN24" t="str">
        <f ca="1"/>
        <v/>
      </c>
      <c r="AO24" t="str">
        <f ca="1"/>
        <v/>
      </c>
      <c r="AP24" t="str">
        <f ca="1"/>
        <v/>
      </c>
      <c r="AQ24" t="str">
        <f ca="1"/>
        <v/>
      </c>
      <c r="AR24" t="str">
        <f ca="1"/>
        <v/>
      </c>
      <c r="AS24" t="str">
        <f ca="1"/>
        <v/>
      </c>
      <c r="AT24" t="str">
        <f ca="1"/>
        <v/>
      </c>
      <c r="AU24" t="str">
        <f ca="1"/>
        <v/>
      </c>
      <c r="AV24" t="str">
        <f ca="1"/>
        <v/>
      </c>
      <c r="AW24" t="str">
        <f ca="1"/>
        <v/>
      </c>
      <c r="AX24" t="str">
        <f ca="1"/>
        <v/>
      </c>
      <c r="AY24" s="109" t="str">
        <f ca="1"/>
        <v/>
      </c>
      <c r="AZ24" t="str">
        <f ca="1"/>
        <v/>
      </c>
      <c r="BA24" t="str">
        <f ca="1"/>
        <v/>
      </c>
      <c r="BB24" t="str">
        <f ca="1"/>
        <v/>
      </c>
      <c r="BC24" t="str">
        <f ca="1"/>
        <v/>
      </c>
      <c r="BD24" t="str">
        <f ca="1"/>
        <v/>
      </c>
      <c r="BE24" t="str">
        <f ca="1"/>
        <v/>
      </c>
      <c r="BF24" t="str">
        <f ca="1"/>
        <v/>
      </c>
      <c r="BG24" t="str">
        <f ca="1"/>
        <v/>
      </c>
      <c r="BH24" t="str">
        <f ca="1"/>
        <v/>
      </c>
      <c r="BI24" t="str">
        <f ca="1"/>
        <v/>
      </c>
      <c r="BJ24" t="str">
        <f ca="1"/>
        <v/>
      </c>
      <c r="BK24" t="str">
        <f ca="1"/>
        <v/>
      </c>
      <c r="BL24" t="str">
        <f ca="1"/>
        <v/>
      </c>
      <c r="BM24" t="str">
        <f ca="1"/>
        <v/>
      </c>
      <c r="BN24" t="str">
        <f ca="1"/>
        <v/>
      </c>
      <c r="BO24" t="str">
        <f ca="1"/>
        <v/>
      </c>
      <c r="BP24" t="str">
        <f ca="1"/>
        <v/>
      </c>
      <c r="BQ24" t="str">
        <f ca="1"/>
        <v/>
      </c>
      <c r="BR24" t="str">
        <f ca="1"/>
        <v/>
      </c>
      <c r="BS24" t="str">
        <f ca="1"/>
        <v/>
      </c>
      <c r="BT24" t="str">
        <f ca="1"/>
        <v/>
      </c>
      <c r="BU24" t="str">
        <f ca="1"/>
        <v/>
      </c>
      <c r="BV24" t="str">
        <f ca="1"/>
        <v/>
      </c>
      <c r="BW24" t="str">
        <f ca="1"/>
        <v/>
      </c>
      <c r="BX24" t="str">
        <f ca="1"/>
        <v/>
      </c>
      <c r="BY24" t="str">
        <f ca="1"/>
        <v/>
      </c>
      <c r="BZ24" t="str">
        <f ca="1"/>
        <v/>
      </c>
      <c r="CA24" t="str">
        <f ca="1"/>
        <v/>
      </c>
      <c r="CB24" t="str">
        <f ca="1"/>
        <v/>
      </c>
      <c r="CC24" t="str">
        <f ca="1"/>
        <v/>
      </c>
      <c r="CD24" t="str">
        <f ca="1"/>
        <v/>
      </c>
      <c r="CE24" t="str">
        <f ca="1"/>
        <v/>
      </c>
      <c r="CF24" t="str">
        <f ca="1"/>
        <v/>
      </c>
      <c r="CG24" t="str">
        <f ca="1"/>
        <v/>
      </c>
      <c r="CH24" t="str">
        <f ca="1"/>
        <v/>
      </c>
      <c r="CI24" t="str">
        <f ca="1"/>
        <v/>
      </c>
      <c r="CJ24" t="str">
        <f ca="1"/>
        <v/>
      </c>
      <c r="CK24" t="str">
        <f ca="1"/>
        <v/>
      </c>
      <c r="CL24" t="str">
        <f ca="1"/>
        <v/>
      </c>
      <c r="CM24" t="str">
        <f ca="1"/>
        <v/>
      </c>
      <c r="CN24" t="str">
        <f ca="1"/>
        <v/>
      </c>
      <c r="CO24" t="str">
        <f ca="1"/>
        <v/>
      </c>
      <c r="CP24" t="str">
        <f ca="1"/>
        <v/>
      </c>
      <c r="CQ24" t="str">
        <f ca="1"/>
        <v/>
      </c>
      <c r="CR24" t="str">
        <f ca="1"/>
        <v/>
      </c>
      <c r="CS24" t="str">
        <f ca="1"/>
        <v/>
      </c>
      <c r="CT24" t="str">
        <f ca="1"/>
        <v/>
      </c>
      <c r="CU24" t="str">
        <f>IF(ISBLANK(identitasMurid!D27),"",identitasMurid!D27)</f>
        <v/>
      </c>
      <c r="CV24" t="str">
        <f t="shared" si="21"/>
        <v/>
      </c>
      <c r="CW24" t="str">
        <f t="shared" si="0"/>
        <v/>
      </c>
      <c r="CX24" t="str">
        <f t="shared" si="1"/>
        <v/>
      </c>
      <c r="CY24" t="str">
        <f t="shared" si="2"/>
        <v/>
      </c>
      <c r="CZ24" t="str">
        <f t="shared" si="3"/>
        <v/>
      </c>
      <c r="DA24" t="str">
        <f t="shared" si="4"/>
        <v/>
      </c>
      <c r="DB24" t="str">
        <f t="shared" si="5"/>
        <v/>
      </c>
      <c r="DC24" t="str">
        <f t="shared" si="6"/>
        <v/>
      </c>
      <c r="DD24" t="str">
        <f t="shared" si="22"/>
        <v/>
      </c>
      <c r="DE24" t="str">
        <f t="shared" si="7"/>
        <v/>
      </c>
      <c r="DF24" t="str">
        <f t="shared" si="8"/>
        <v/>
      </c>
      <c r="DG24" t="str">
        <f t="shared" si="9"/>
        <v/>
      </c>
      <c r="DH24" t="str">
        <f t="shared" si="10"/>
        <v/>
      </c>
      <c r="DI24" t="str">
        <f t="shared" si="11"/>
        <v/>
      </c>
      <c r="DJ24" t="str">
        <f t="shared" si="12"/>
        <v/>
      </c>
      <c r="DK24" t="str">
        <f t="shared" si="13"/>
        <v/>
      </c>
      <c r="DL24" t="str">
        <f t="shared" si="23"/>
        <v/>
      </c>
      <c r="DM24" t="str">
        <f t="shared" si="14"/>
        <v/>
      </c>
      <c r="DN24" t="str">
        <f t="shared" si="15"/>
        <v/>
      </c>
      <c r="DO24" t="str">
        <f t="shared" si="16"/>
        <v/>
      </c>
      <c r="DP24" t="str">
        <f t="shared" si="17"/>
        <v/>
      </c>
      <c r="DQ24" t="str">
        <f t="shared" si="18"/>
        <v/>
      </c>
      <c r="DR24" t="str">
        <f t="shared" si="19"/>
        <v/>
      </c>
      <c r="DS24" t="str">
        <f t="shared" si="20"/>
        <v/>
      </c>
      <c r="DU24">
        <v>6</v>
      </c>
      <c r="DV24" t="s">
        <v>7</v>
      </c>
      <c r="DX24">
        <f>COUNTIF($DA$3:$DA$47,DX$18)</f>
        <v>0</v>
      </c>
      <c r="DY24" s="112">
        <f>IF(LEN(profilKelas!$F$14)=0,"",DX24/profilKelas!$F$14)</f>
        <v>0</v>
      </c>
      <c r="DZ24">
        <f>COUNTIF($DA$3:$DA$47,DZ$18)</f>
        <v>0</v>
      </c>
      <c r="EA24" s="111">
        <f>IF(LEN(profilKelas!$F$14)=0,"",DZ24/profilKelas!$F$14)</f>
        <v>0</v>
      </c>
      <c r="EF24" s="114" t="str">
        <f ca="1"/>
        <v/>
      </c>
      <c r="EG24">
        <v>6</v>
      </c>
      <c r="EH24" t="s">
        <v>7</v>
      </c>
      <c r="EJ24">
        <f>COUNTIF($DI$3:$DI$47,EJ$18)</f>
        <v>0</v>
      </c>
      <c r="EK24" s="112">
        <f>IF(LEN(profilKelas!$F$14)=0,"",EJ24/profilKelas!$F$14)</f>
        <v>0</v>
      </c>
      <c r="EL24">
        <f>COUNTIF($DI$3:$DI$47,EL$18)</f>
        <v>0</v>
      </c>
      <c r="EM24" s="111">
        <f>IF(LEN(profilKelas!$F$14)=0,"",EL24/profilKelas!$F$14)</f>
        <v>0</v>
      </c>
      <c r="ES24">
        <v>6</v>
      </c>
      <c r="ET24" t="s">
        <v>7</v>
      </c>
      <c r="EV24">
        <f>COUNTIF($DQ$3:$DQ$47,EV$18)</f>
        <v>0</v>
      </c>
      <c r="EW24" s="112">
        <f>IF(LEN(profilKelas!$F$14)=0,"",EV24/profilKelas!$F$14)</f>
        <v>0</v>
      </c>
      <c r="EX24">
        <f>COUNTIF($DQ$3:$DQ$47,EX$18)</f>
        <v>0</v>
      </c>
      <c r="EY24" s="111">
        <f>IF(LEN(profilKelas!$F$14)=0,"",EX24/profilKelas!$F$14)</f>
        <v>0</v>
      </c>
    </row>
    <row r="25" spans="1:159" hidden="1" x14ac:dyDescent="0.3">
      <c r="A25" t="str">
        <f>IF(ROW(A23)&lt;=profilKelas!$F$14,ROW(A23),"")</f>
        <v/>
      </c>
      <c r="B25" t="str">
        <f>IF(ISBLANK(identitasMurid!C28),"",identitasMurid!C28)</f>
        <v/>
      </c>
      <c r="C25" t="str">
        <f ca="1"/>
        <v/>
      </c>
      <c r="D25" t="str">
        <f ca="1"/>
        <v/>
      </c>
      <c r="E25" t="str">
        <f ca="1"/>
        <v/>
      </c>
      <c r="F25" t="str">
        <f ca="1"/>
        <v/>
      </c>
      <c r="G25" t="str">
        <f ca="1"/>
        <v/>
      </c>
      <c r="H25" t="str">
        <f ca="1"/>
        <v/>
      </c>
      <c r="I25" t="str">
        <f ca="1"/>
        <v/>
      </c>
      <c r="J25" t="str">
        <f ca="1"/>
        <v/>
      </c>
      <c r="K25" t="str">
        <f ca="1"/>
        <v/>
      </c>
      <c r="L25" t="str">
        <f ca="1"/>
        <v/>
      </c>
      <c r="M25" t="str">
        <f ca="1"/>
        <v/>
      </c>
      <c r="N25" t="str">
        <f ca="1"/>
        <v/>
      </c>
      <c r="O25" t="str">
        <f ca="1"/>
        <v/>
      </c>
      <c r="P25" t="str">
        <f ca="1"/>
        <v/>
      </c>
      <c r="Q25" t="str">
        <f ca="1"/>
        <v/>
      </c>
      <c r="R25" t="str">
        <f ca="1"/>
        <v/>
      </c>
      <c r="S25" t="str">
        <f ca="1"/>
        <v/>
      </c>
      <c r="T25" t="str">
        <f ca="1"/>
        <v/>
      </c>
      <c r="U25" t="str">
        <f ca="1"/>
        <v/>
      </c>
      <c r="V25" t="str">
        <f ca="1"/>
        <v/>
      </c>
      <c r="W25" t="str">
        <f ca="1"/>
        <v/>
      </c>
      <c r="X25" t="str">
        <f ca="1"/>
        <v/>
      </c>
      <c r="Y25" t="str">
        <f ca="1"/>
        <v/>
      </c>
      <c r="Z25" t="str">
        <f ca="1"/>
        <v/>
      </c>
      <c r="AA25" t="str">
        <f ca="1"/>
        <v/>
      </c>
      <c r="AB25" t="str">
        <f ca="1"/>
        <v/>
      </c>
      <c r="AC25" t="str">
        <f ca="1"/>
        <v/>
      </c>
      <c r="AD25" t="str">
        <f ca="1"/>
        <v/>
      </c>
      <c r="AE25" t="str">
        <f ca="1"/>
        <v/>
      </c>
      <c r="AF25" t="str">
        <f ca="1"/>
        <v/>
      </c>
      <c r="AG25" t="str">
        <f ca="1"/>
        <v/>
      </c>
      <c r="AH25" t="str">
        <f ca="1"/>
        <v/>
      </c>
      <c r="AI25" t="str">
        <f ca="1"/>
        <v/>
      </c>
      <c r="AJ25" t="str">
        <f ca="1"/>
        <v/>
      </c>
      <c r="AK25" t="str">
        <f ca="1"/>
        <v/>
      </c>
      <c r="AL25" t="str">
        <f ca="1"/>
        <v/>
      </c>
      <c r="AM25" t="str">
        <f ca="1"/>
        <v/>
      </c>
      <c r="AN25" t="str">
        <f ca="1"/>
        <v/>
      </c>
      <c r="AO25" t="str">
        <f ca="1"/>
        <v/>
      </c>
      <c r="AP25" t="str">
        <f ca="1"/>
        <v/>
      </c>
      <c r="AQ25" t="str">
        <f ca="1"/>
        <v/>
      </c>
      <c r="AR25" t="str">
        <f ca="1"/>
        <v/>
      </c>
      <c r="AS25" t="str">
        <f ca="1"/>
        <v/>
      </c>
      <c r="AT25" t="str">
        <f ca="1"/>
        <v/>
      </c>
      <c r="AU25" t="str">
        <f ca="1"/>
        <v/>
      </c>
      <c r="AV25" t="str">
        <f ca="1"/>
        <v/>
      </c>
      <c r="AW25" t="str">
        <f ca="1"/>
        <v/>
      </c>
      <c r="AX25" t="str">
        <f ca="1"/>
        <v/>
      </c>
      <c r="AY25" s="109" t="str">
        <f ca="1"/>
        <v/>
      </c>
      <c r="AZ25" t="str">
        <f ca="1"/>
        <v/>
      </c>
      <c r="BA25" t="str">
        <f ca="1"/>
        <v/>
      </c>
      <c r="BB25" t="str">
        <f ca="1"/>
        <v/>
      </c>
      <c r="BC25" t="str">
        <f ca="1"/>
        <v/>
      </c>
      <c r="BD25" t="str">
        <f ca="1"/>
        <v/>
      </c>
      <c r="BE25" t="str">
        <f ca="1"/>
        <v/>
      </c>
      <c r="BF25" t="str">
        <f ca="1"/>
        <v/>
      </c>
      <c r="BG25" t="str">
        <f ca="1"/>
        <v/>
      </c>
      <c r="BH25" t="str">
        <f ca="1"/>
        <v/>
      </c>
      <c r="BI25" t="str">
        <f ca="1"/>
        <v/>
      </c>
      <c r="BJ25" t="str">
        <f ca="1"/>
        <v/>
      </c>
      <c r="BK25" t="str">
        <f ca="1"/>
        <v/>
      </c>
      <c r="BL25" t="str">
        <f ca="1"/>
        <v/>
      </c>
      <c r="BM25" t="str">
        <f ca="1"/>
        <v/>
      </c>
      <c r="BN25" t="str">
        <f ca="1"/>
        <v/>
      </c>
      <c r="BO25" t="str">
        <f ca="1"/>
        <v/>
      </c>
      <c r="BP25" t="str">
        <f ca="1"/>
        <v/>
      </c>
      <c r="BQ25" t="str">
        <f ca="1"/>
        <v/>
      </c>
      <c r="BR25" t="str">
        <f ca="1"/>
        <v/>
      </c>
      <c r="BS25" t="str">
        <f ca="1"/>
        <v/>
      </c>
      <c r="BT25" t="str">
        <f ca="1"/>
        <v/>
      </c>
      <c r="BU25" t="str">
        <f ca="1"/>
        <v/>
      </c>
      <c r="BV25" t="str">
        <f ca="1"/>
        <v/>
      </c>
      <c r="BW25" t="str">
        <f ca="1"/>
        <v/>
      </c>
      <c r="BX25" t="str">
        <f ca="1"/>
        <v/>
      </c>
      <c r="BY25" t="str">
        <f ca="1"/>
        <v/>
      </c>
      <c r="BZ25" t="str">
        <f ca="1"/>
        <v/>
      </c>
      <c r="CA25" t="str">
        <f ca="1"/>
        <v/>
      </c>
      <c r="CB25" t="str">
        <f ca="1"/>
        <v/>
      </c>
      <c r="CC25" t="str">
        <f ca="1"/>
        <v/>
      </c>
      <c r="CD25" t="str">
        <f ca="1"/>
        <v/>
      </c>
      <c r="CE25" t="str">
        <f ca="1"/>
        <v/>
      </c>
      <c r="CF25" t="str">
        <f ca="1"/>
        <v/>
      </c>
      <c r="CG25" t="str">
        <f ca="1"/>
        <v/>
      </c>
      <c r="CH25" t="str">
        <f ca="1"/>
        <v/>
      </c>
      <c r="CI25" t="str">
        <f ca="1"/>
        <v/>
      </c>
      <c r="CJ25" t="str">
        <f ca="1"/>
        <v/>
      </c>
      <c r="CK25" t="str">
        <f ca="1"/>
        <v/>
      </c>
      <c r="CL25" t="str">
        <f ca="1"/>
        <v/>
      </c>
      <c r="CM25" t="str">
        <f ca="1"/>
        <v/>
      </c>
      <c r="CN25" t="str">
        <f ca="1"/>
        <v/>
      </c>
      <c r="CO25" t="str">
        <f ca="1"/>
        <v/>
      </c>
      <c r="CP25" t="str">
        <f ca="1"/>
        <v/>
      </c>
      <c r="CQ25" t="str">
        <f ca="1"/>
        <v/>
      </c>
      <c r="CR25" t="str">
        <f ca="1"/>
        <v/>
      </c>
      <c r="CS25" t="str">
        <f ca="1"/>
        <v/>
      </c>
      <c r="CT25" t="str">
        <f ca="1"/>
        <v/>
      </c>
      <c r="CU25" t="str">
        <f>IF(ISBLANK(identitasMurid!D28),"",identitasMurid!D28)</f>
        <v/>
      </c>
      <c r="CV25" t="str">
        <f t="shared" si="21"/>
        <v/>
      </c>
      <c r="CW25" t="str">
        <f t="shared" si="0"/>
        <v/>
      </c>
      <c r="CX25" t="str">
        <f t="shared" si="1"/>
        <v/>
      </c>
      <c r="CY25" t="str">
        <f t="shared" si="2"/>
        <v/>
      </c>
      <c r="CZ25" t="str">
        <f t="shared" si="3"/>
        <v/>
      </c>
      <c r="DA25" t="str">
        <f t="shared" si="4"/>
        <v/>
      </c>
      <c r="DB25" t="str">
        <f t="shared" si="5"/>
        <v/>
      </c>
      <c r="DC25" t="str">
        <f t="shared" si="6"/>
        <v/>
      </c>
      <c r="DD25" t="str">
        <f t="shared" si="22"/>
        <v/>
      </c>
      <c r="DE25" t="str">
        <f t="shared" si="7"/>
        <v/>
      </c>
      <c r="DF25" t="str">
        <f t="shared" si="8"/>
        <v/>
      </c>
      <c r="DG25" t="str">
        <f t="shared" si="9"/>
        <v/>
      </c>
      <c r="DH25" t="str">
        <f t="shared" si="10"/>
        <v/>
      </c>
      <c r="DI25" t="str">
        <f t="shared" si="11"/>
        <v/>
      </c>
      <c r="DJ25" t="str">
        <f t="shared" si="12"/>
        <v/>
      </c>
      <c r="DK25" t="str">
        <f t="shared" si="13"/>
        <v/>
      </c>
      <c r="DL25" t="str">
        <f t="shared" si="23"/>
        <v/>
      </c>
      <c r="DM25" t="str">
        <f t="shared" si="14"/>
        <v/>
      </c>
      <c r="DN25" t="str">
        <f t="shared" si="15"/>
        <v/>
      </c>
      <c r="DO25" t="str">
        <f t="shared" si="16"/>
        <v/>
      </c>
      <c r="DP25" t="str">
        <f t="shared" si="17"/>
        <v/>
      </c>
      <c r="DQ25" t="str">
        <f t="shared" si="18"/>
        <v/>
      </c>
      <c r="DR25" t="str">
        <f t="shared" si="19"/>
        <v/>
      </c>
      <c r="DS25" t="str">
        <f t="shared" si="20"/>
        <v/>
      </c>
      <c r="DU25">
        <v>7</v>
      </c>
      <c r="DV25" t="s">
        <v>8</v>
      </c>
      <c r="DX25">
        <f>COUNTIF($DB$3:$DB$47,DX$18)</f>
        <v>0</v>
      </c>
      <c r="DY25" s="112">
        <f>IF(LEN(profilKelas!$F$14)=0,"",DX25/profilKelas!$F$14)</f>
        <v>0</v>
      </c>
      <c r="DZ25">
        <f>COUNTIF($DB$3:$DB$47,DZ$18)</f>
        <v>0</v>
      </c>
      <c r="EA25" s="111">
        <f>IF(LEN(profilKelas!$F$14)=0,"",DZ25/profilKelas!$F$14)</f>
        <v>0</v>
      </c>
      <c r="EF25" s="114" t="str">
        <f ca="1"/>
        <v/>
      </c>
      <c r="EG25">
        <v>7</v>
      </c>
      <c r="EH25" t="s">
        <v>8</v>
      </c>
      <c r="EJ25">
        <f>COUNTIF($DJ$3:$DJ$47,EJ$18)</f>
        <v>0</v>
      </c>
      <c r="EK25" s="112">
        <f>IF(LEN(profilKelas!$F$14)=0,"",EJ25/profilKelas!$F$14)</f>
        <v>0</v>
      </c>
      <c r="EL25">
        <f>COUNTIF($DJ$3:$DJ$47,EL$18)</f>
        <v>0</v>
      </c>
      <c r="EM25" s="111">
        <f>IF(LEN(profilKelas!$F$14)=0,"",EL25/profilKelas!$F$14)</f>
        <v>0</v>
      </c>
      <c r="ES25">
        <v>7</v>
      </c>
      <c r="ET25" t="s">
        <v>8</v>
      </c>
      <c r="EV25">
        <f>COUNTIF($DR$3:$DR$47,EV$18)</f>
        <v>0</v>
      </c>
      <c r="EW25" s="112">
        <f>IF(LEN(profilKelas!$F$14)=0,"",EV25/profilKelas!$F$14)</f>
        <v>0</v>
      </c>
      <c r="EX25">
        <f>COUNTIF($DR$3:$DR$47,EX$18)</f>
        <v>0</v>
      </c>
      <c r="EY25" s="111">
        <f>IF(LEN(profilKelas!$F$14)=0,"",EX25/profilKelas!$F$14)</f>
        <v>0</v>
      </c>
    </row>
    <row r="26" spans="1:159" hidden="1" x14ac:dyDescent="0.3">
      <c r="A26" t="str">
        <f>IF(ROW(A24)&lt;=profilKelas!$F$14,ROW(A24),"")</f>
        <v/>
      </c>
      <c r="B26" t="str">
        <f>IF(ISBLANK(identitasMurid!C29),"",identitasMurid!C29)</f>
        <v/>
      </c>
      <c r="C26" t="str">
        <f ca="1"/>
        <v/>
      </c>
      <c r="D26" t="str">
        <f ca="1"/>
        <v/>
      </c>
      <c r="E26" t="str">
        <f ca="1"/>
        <v/>
      </c>
      <c r="F26" t="str">
        <f ca="1"/>
        <v/>
      </c>
      <c r="G26" t="str">
        <f ca="1"/>
        <v/>
      </c>
      <c r="H26" t="str">
        <f ca="1"/>
        <v/>
      </c>
      <c r="I26" t="str">
        <f ca="1"/>
        <v/>
      </c>
      <c r="J26" t="str">
        <f ca="1"/>
        <v/>
      </c>
      <c r="K26" t="str">
        <f ca="1"/>
        <v/>
      </c>
      <c r="L26" t="str">
        <f ca="1"/>
        <v/>
      </c>
      <c r="M26" t="str">
        <f ca="1"/>
        <v/>
      </c>
      <c r="N26" t="str">
        <f ca="1"/>
        <v/>
      </c>
      <c r="O26" t="str">
        <f ca="1"/>
        <v/>
      </c>
      <c r="P26" t="str">
        <f ca="1"/>
        <v/>
      </c>
      <c r="Q26" t="str">
        <f ca="1"/>
        <v/>
      </c>
      <c r="R26" t="str">
        <f ca="1"/>
        <v/>
      </c>
      <c r="S26" t="str">
        <f ca="1"/>
        <v/>
      </c>
      <c r="T26" t="str">
        <f ca="1"/>
        <v/>
      </c>
      <c r="U26" t="str">
        <f ca="1"/>
        <v/>
      </c>
      <c r="V26" t="str">
        <f ca="1"/>
        <v/>
      </c>
      <c r="W26" t="str">
        <f ca="1"/>
        <v/>
      </c>
      <c r="X26" t="str">
        <f ca="1"/>
        <v/>
      </c>
      <c r="Y26" t="str">
        <f ca="1"/>
        <v/>
      </c>
      <c r="Z26" t="str">
        <f ca="1"/>
        <v/>
      </c>
      <c r="AA26" t="str">
        <f ca="1"/>
        <v/>
      </c>
      <c r="AB26" t="str">
        <f ca="1"/>
        <v/>
      </c>
      <c r="AC26" t="str">
        <f ca="1"/>
        <v/>
      </c>
      <c r="AD26" t="str">
        <f ca="1"/>
        <v/>
      </c>
      <c r="AE26" t="str">
        <f ca="1"/>
        <v/>
      </c>
      <c r="AF26" t="str">
        <f ca="1"/>
        <v/>
      </c>
      <c r="AG26" t="str">
        <f ca="1"/>
        <v/>
      </c>
      <c r="AH26" t="str">
        <f ca="1"/>
        <v/>
      </c>
      <c r="AI26" t="str">
        <f ca="1"/>
        <v/>
      </c>
      <c r="AJ26" t="str">
        <f ca="1"/>
        <v/>
      </c>
      <c r="AK26" t="str">
        <f ca="1"/>
        <v/>
      </c>
      <c r="AL26" t="str">
        <f ca="1"/>
        <v/>
      </c>
      <c r="AM26" t="str">
        <f ca="1"/>
        <v/>
      </c>
      <c r="AN26" t="str">
        <f ca="1"/>
        <v/>
      </c>
      <c r="AO26" t="str">
        <f ca="1"/>
        <v/>
      </c>
      <c r="AP26" t="str">
        <f ca="1"/>
        <v/>
      </c>
      <c r="AQ26" t="str">
        <f ca="1"/>
        <v/>
      </c>
      <c r="AR26" t="str">
        <f ca="1"/>
        <v/>
      </c>
      <c r="AS26" t="str">
        <f ca="1"/>
        <v/>
      </c>
      <c r="AT26" t="str">
        <f ca="1"/>
        <v/>
      </c>
      <c r="AU26" t="str">
        <f ca="1"/>
        <v/>
      </c>
      <c r="AV26" t="str">
        <f ca="1"/>
        <v/>
      </c>
      <c r="AW26" t="str">
        <f ca="1"/>
        <v/>
      </c>
      <c r="AX26" t="str">
        <f ca="1"/>
        <v/>
      </c>
      <c r="AY26" s="109" t="str">
        <f ca="1"/>
        <v/>
      </c>
      <c r="AZ26" t="str">
        <f ca="1"/>
        <v/>
      </c>
      <c r="BA26" t="str">
        <f ca="1"/>
        <v/>
      </c>
      <c r="BB26" t="str">
        <f ca="1"/>
        <v/>
      </c>
      <c r="BC26" t="str">
        <f ca="1"/>
        <v/>
      </c>
      <c r="BD26" t="str">
        <f ca="1"/>
        <v/>
      </c>
      <c r="BE26" t="str">
        <f ca="1"/>
        <v/>
      </c>
      <c r="BF26" t="str">
        <f ca="1"/>
        <v/>
      </c>
      <c r="BG26" t="str">
        <f ca="1"/>
        <v/>
      </c>
      <c r="BH26" t="str">
        <f ca="1"/>
        <v/>
      </c>
      <c r="BI26" t="str">
        <f ca="1"/>
        <v/>
      </c>
      <c r="BJ26" t="str">
        <f ca="1"/>
        <v/>
      </c>
      <c r="BK26" t="str">
        <f ca="1"/>
        <v/>
      </c>
      <c r="BL26" t="str">
        <f ca="1"/>
        <v/>
      </c>
      <c r="BM26" t="str">
        <f ca="1"/>
        <v/>
      </c>
      <c r="BN26" t="str">
        <f ca="1"/>
        <v/>
      </c>
      <c r="BO26" t="str">
        <f ca="1"/>
        <v/>
      </c>
      <c r="BP26" t="str">
        <f ca="1"/>
        <v/>
      </c>
      <c r="BQ26" t="str">
        <f ca="1"/>
        <v/>
      </c>
      <c r="BR26" t="str">
        <f ca="1"/>
        <v/>
      </c>
      <c r="BS26" t="str">
        <f ca="1"/>
        <v/>
      </c>
      <c r="BT26" t="str">
        <f ca="1"/>
        <v/>
      </c>
      <c r="BU26" t="str">
        <f ca="1"/>
        <v/>
      </c>
      <c r="BV26" t="str">
        <f ca="1"/>
        <v/>
      </c>
      <c r="BW26" t="str">
        <f ca="1"/>
        <v/>
      </c>
      <c r="BX26" t="str">
        <f ca="1"/>
        <v/>
      </c>
      <c r="BY26" t="str">
        <f ca="1"/>
        <v/>
      </c>
      <c r="BZ26" t="str">
        <f ca="1"/>
        <v/>
      </c>
      <c r="CA26" t="str">
        <f ca="1"/>
        <v/>
      </c>
      <c r="CB26" t="str">
        <f ca="1"/>
        <v/>
      </c>
      <c r="CC26" t="str">
        <f ca="1"/>
        <v/>
      </c>
      <c r="CD26" t="str">
        <f ca="1"/>
        <v/>
      </c>
      <c r="CE26" t="str">
        <f ca="1"/>
        <v/>
      </c>
      <c r="CF26" t="str">
        <f ca="1"/>
        <v/>
      </c>
      <c r="CG26" t="str">
        <f ca="1"/>
        <v/>
      </c>
      <c r="CH26" t="str">
        <f ca="1"/>
        <v/>
      </c>
      <c r="CI26" t="str">
        <f ca="1"/>
        <v/>
      </c>
      <c r="CJ26" t="str">
        <f ca="1"/>
        <v/>
      </c>
      <c r="CK26" t="str">
        <f ca="1"/>
        <v/>
      </c>
      <c r="CL26" t="str">
        <f ca="1"/>
        <v/>
      </c>
      <c r="CM26" t="str">
        <f ca="1"/>
        <v/>
      </c>
      <c r="CN26" t="str">
        <f ca="1"/>
        <v/>
      </c>
      <c r="CO26" t="str">
        <f ca="1"/>
        <v/>
      </c>
      <c r="CP26" t="str">
        <f ca="1"/>
        <v/>
      </c>
      <c r="CQ26" t="str">
        <f ca="1"/>
        <v/>
      </c>
      <c r="CR26" t="str">
        <f ca="1"/>
        <v/>
      </c>
      <c r="CS26" t="str">
        <f ca="1"/>
        <v/>
      </c>
      <c r="CT26" t="str">
        <f ca="1"/>
        <v/>
      </c>
      <c r="CU26" t="str">
        <f>IF(ISBLANK(identitasMurid!D29),"",identitasMurid!D29)</f>
        <v/>
      </c>
      <c r="CV26" t="str">
        <f t="shared" si="21"/>
        <v/>
      </c>
      <c r="CW26" t="str">
        <f t="shared" si="0"/>
        <v/>
      </c>
      <c r="CX26" t="str">
        <f t="shared" si="1"/>
        <v/>
      </c>
      <c r="CY26" t="str">
        <f t="shared" si="2"/>
        <v/>
      </c>
      <c r="CZ26" t="str">
        <f t="shared" si="3"/>
        <v/>
      </c>
      <c r="DA26" t="str">
        <f t="shared" si="4"/>
        <v/>
      </c>
      <c r="DB26" t="str">
        <f t="shared" si="5"/>
        <v/>
      </c>
      <c r="DC26" t="str">
        <f t="shared" si="6"/>
        <v/>
      </c>
      <c r="DD26" t="str">
        <f t="shared" si="22"/>
        <v/>
      </c>
      <c r="DE26" t="str">
        <f t="shared" si="7"/>
        <v/>
      </c>
      <c r="DF26" t="str">
        <f t="shared" si="8"/>
        <v/>
      </c>
      <c r="DG26" t="str">
        <f t="shared" si="9"/>
        <v/>
      </c>
      <c r="DH26" t="str">
        <f t="shared" si="10"/>
        <v/>
      </c>
      <c r="DI26" t="str">
        <f t="shared" si="11"/>
        <v/>
      </c>
      <c r="DJ26" t="str">
        <f t="shared" si="12"/>
        <v/>
      </c>
      <c r="DK26" t="str">
        <f t="shared" si="13"/>
        <v/>
      </c>
      <c r="DL26" t="str">
        <f t="shared" si="23"/>
        <v/>
      </c>
      <c r="DM26" t="str">
        <f t="shared" si="14"/>
        <v/>
      </c>
      <c r="DN26" t="str">
        <f t="shared" si="15"/>
        <v/>
      </c>
      <c r="DO26" t="str">
        <f t="shared" si="16"/>
        <v/>
      </c>
      <c r="DP26" t="str">
        <f t="shared" si="17"/>
        <v/>
      </c>
      <c r="DQ26" t="str">
        <f t="shared" si="18"/>
        <v/>
      </c>
      <c r="DR26" t="str">
        <f t="shared" si="19"/>
        <v/>
      </c>
      <c r="DS26" t="str">
        <f t="shared" si="20"/>
        <v/>
      </c>
      <c r="EF26" s="114" t="str">
        <f ca="1"/>
        <v/>
      </c>
    </row>
    <row r="27" spans="1:159" hidden="1" x14ac:dyDescent="0.3">
      <c r="A27" t="str">
        <f>IF(ROW(A25)&lt;=profilKelas!$F$14,ROW(A25),"")</f>
        <v/>
      </c>
      <c r="B27" t="str">
        <f>IF(ISBLANK(identitasMurid!C30),"",identitasMurid!C30)</f>
        <v/>
      </c>
      <c r="C27" t="str">
        <f ca="1"/>
        <v/>
      </c>
      <c r="D27" t="str">
        <f ca="1"/>
        <v/>
      </c>
      <c r="E27" t="str">
        <f ca="1"/>
        <v/>
      </c>
      <c r="F27" t="str">
        <f ca="1"/>
        <v/>
      </c>
      <c r="G27" t="str">
        <f ca="1"/>
        <v/>
      </c>
      <c r="H27" t="str">
        <f ca="1"/>
        <v/>
      </c>
      <c r="I27" t="str">
        <f ca="1"/>
        <v/>
      </c>
      <c r="J27" t="str">
        <f ca="1"/>
        <v/>
      </c>
      <c r="K27" t="str">
        <f ca="1"/>
        <v/>
      </c>
      <c r="L27" t="str">
        <f ca="1"/>
        <v/>
      </c>
      <c r="M27" t="str">
        <f ca="1"/>
        <v/>
      </c>
      <c r="N27" t="str">
        <f ca="1"/>
        <v/>
      </c>
      <c r="O27" t="str">
        <f ca="1"/>
        <v/>
      </c>
      <c r="P27" t="str">
        <f ca="1"/>
        <v/>
      </c>
      <c r="Q27" t="str">
        <f ca="1"/>
        <v/>
      </c>
      <c r="R27" t="str">
        <f ca="1"/>
        <v/>
      </c>
      <c r="S27" t="str">
        <f ca="1"/>
        <v/>
      </c>
      <c r="T27" t="str">
        <f ca="1"/>
        <v/>
      </c>
      <c r="U27" t="str">
        <f ca="1"/>
        <v/>
      </c>
      <c r="V27" t="str">
        <f ca="1"/>
        <v/>
      </c>
      <c r="W27" t="str">
        <f ca="1"/>
        <v/>
      </c>
      <c r="X27" t="str">
        <f ca="1"/>
        <v/>
      </c>
      <c r="Y27" t="str">
        <f ca="1"/>
        <v/>
      </c>
      <c r="Z27" t="str">
        <f ca="1"/>
        <v/>
      </c>
      <c r="AA27" t="str">
        <f ca="1"/>
        <v/>
      </c>
      <c r="AB27" t="str">
        <f ca="1"/>
        <v/>
      </c>
      <c r="AC27" t="str">
        <f ca="1"/>
        <v/>
      </c>
      <c r="AD27" t="str">
        <f ca="1"/>
        <v/>
      </c>
      <c r="AE27" t="str">
        <f ca="1"/>
        <v/>
      </c>
      <c r="AF27" t="str">
        <f ca="1"/>
        <v/>
      </c>
      <c r="AG27" t="str">
        <f ca="1"/>
        <v/>
      </c>
      <c r="AH27" t="str">
        <f ca="1"/>
        <v/>
      </c>
      <c r="AI27" t="str">
        <f ca="1"/>
        <v/>
      </c>
      <c r="AJ27" t="str">
        <f ca="1"/>
        <v/>
      </c>
      <c r="AK27" t="str">
        <f ca="1"/>
        <v/>
      </c>
      <c r="AL27" t="str">
        <f ca="1"/>
        <v/>
      </c>
      <c r="AM27" t="str">
        <f ca="1"/>
        <v/>
      </c>
      <c r="AN27" t="str">
        <f ca="1"/>
        <v/>
      </c>
      <c r="AO27" t="str">
        <f ca="1"/>
        <v/>
      </c>
      <c r="AP27" t="str">
        <f ca="1"/>
        <v/>
      </c>
      <c r="AQ27" t="str">
        <f ca="1"/>
        <v/>
      </c>
      <c r="AR27" t="str">
        <f ca="1"/>
        <v/>
      </c>
      <c r="AS27" t="str">
        <f ca="1"/>
        <v/>
      </c>
      <c r="AT27" t="str">
        <f ca="1"/>
        <v/>
      </c>
      <c r="AU27" t="str">
        <f ca="1"/>
        <v/>
      </c>
      <c r="AV27" t="str">
        <f ca="1"/>
        <v/>
      </c>
      <c r="AW27" t="str">
        <f ca="1"/>
        <v/>
      </c>
      <c r="AX27" t="str">
        <f ca="1"/>
        <v/>
      </c>
      <c r="AY27" s="109" t="str">
        <f ca="1"/>
        <v/>
      </c>
      <c r="AZ27" t="str">
        <f ca="1"/>
        <v/>
      </c>
      <c r="BA27" t="str">
        <f ca="1"/>
        <v/>
      </c>
      <c r="BB27" t="str">
        <f ca="1"/>
        <v/>
      </c>
      <c r="BC27" t="str">
        <f ca="1"/>
        <v/>
      </c>
      <c r="BD27" t="str">
        <f ca="1"/>
        <v/>
      </c>
      <c r="BE27" t="str">
        <f ca="1"/>
        <v/>
      </c>
      <c r="BF27" t="str">
        <f ca="1"/>
        <v/>
      </c>
      <c r="BG27" t="str">
        <f ca="1"/>
        <v/>
      </c>
      <c r="BH27" t="str">
        <f ca="1"/>
        <v/>
      </c>
      <c r="BI27" t="str">
        <f ca="1"/>
        <v/>
      </c>
      <c r="BJ27" t="str">
        <f ca="1"/>
        <v/>
      </c>
      <c r="BK27" t="str">
        <f ca="1"/>
        <v/>
      </c>
      <c r="BL27" t="str">
        <f ca="1"/>
        <v/>
      </c>
      <c r="BM27" t="str">
        <f ca="1"/>
        <v/>
      </c>
      <c r="BN27" t="str">
        <f ca="1"/>
        <v/>
      </c>
      <c r="BO27" t="str">
        <f ca="1"/>
        <v/>
      </c>
      <c r="BP27" t="str">
        <f ca="1"/>
        <v/>
      </c>
      <c r="BQ27" t="str">
        <f ca="1"/>
        <v/>
      </c>
      <c r="BR27" t="str">
        <f ca="1"/>
        <v/>
      </c>
      <c r="BS27" t="str">
        <f ca="1"/>
        <v/>
      </c>
      <c r="BT27" t="str">
        <f ca="1"/>
        <v/>
      </c>
      <c r="BU27" t="str">
        <f ca="1"/>
        <v/>
      </c>
      <c r="BV27" t="str">
        <f ca="1"/>
        <v/>
      </c>
      <c r="BW27" t="str">
        <f ca="1"/>
        <v/>
      </c>
      <c r="BX27" t="str">
        <f ca="1"/>
        <v/>
      </c>
      <c r="BY27" t="str">
        <f ca="1"/>
        <v/>
      </c>
      <c r="BZ27" t="str">
        <f ca="1"/>
        <v/>
      </c>
      <c r="CA27" t="str">
        <f ca="1"/>
        <v/>
      </c>
      <c r="CB27" t="str">
        <f ca="1"/>
        <v/>
      </c>
      <c r="CC27" t="str">
        <f ca="1"/>
        <v/>
      </c>
      <c r="CD27" t="str">
        <f ca="1"/>
        <v/>
      </c>
      <c r="CE27" t="str">
        <f ca="1"/>
        <v/>
      </c>
      <c r="CF27" t="str">
        <f ca="1"/>
        <v/>
      </c>
      <c r="CG27" t="str">
        <f ca="1"/>
        <v/>
      </c>
      <c r="CH27" t="str">
        <f ca="1"/>
        <v/>
      </c>
      <c r="CI27" t="str">
        <f ca="1"/>
        <v/>
      </c>
      <c r="CJ27" t="str">
        <f ca="1"/>
        <v/>
      </c>
      <c r="CK27" t="str">
        <f ca="1"/>
        <v/>
      </c>
      <c r="CL27" t="str">
        <f ca="1"/>
        <v/>
      </c>
      <c r="CM27" t="str">
        <f ca="1"/>
        <v/>
      </c>
      <c r="CN27" t="str">
        <f ca="1"/>
        <v/>
      </c>
      <c r="CO27" t="str">
        <f ca="1"/>
        <v/>
      </c>
      <c r="CP27" t="str">
        <f ca="1"/>
        <v/>
      </c>
      <c r="CQ27" t="str">
        <f ca="1"/>
        <v/>
      </c>
      <c r="CR27" t="str">
        <f ca="1"/>
        <v/>
      </c>
      <c r="CS27" t="str">
        <f ca="1"/>
        <v/>
      </c>
      <c r="CT27" t="str">
        <f ca="1"/>
        <v/>
      </c>
      <c r="CU27" t="str">
        <f>IF(ISBLANK(identitasMurid!D30),"",identitasMurid!D30)</f>
        <v/>
      </c>
      <c r="CV27" t="str">
        <f t="shared" si="21"/>
        <v/>
      </c>
      <c r="CW27" t="str">
        <f t="shared" si="0"/>
        <v/>
      </c>
      <c r="CX27" t="str">
        <f t="shared" si="1"/>
        <v/>
      </c>
      <c r="CY27" t="str">
        <f t="shared" si="2"/>
        <v/>
      </c>
      <c r="CZ27" t="str">
        <f t="shared" si="3"/>
        <v/>
      </c>
      <c r="DA27" t="str">
        <f t="shared" si="4"/>
        <v/>
      </c>
      <c r="DB27" t="str">
        <f t="shared" si="5"/>
        <v/>
      </c>
      <c r="DC27" t="str">
        <f t="shared" si="6"/>
        <v/>
      </c>
      <c r="DD27" t="str">
        <f t="shared" si="22"/>
        <v/>
      </c>
      <c r="DE27" t="str">
        <f t="shared" si="7"/>
        <v/>
      </c>
      <c r="DF27" t="str">
        <f t="shared" si="8"/>
        <v/>
      </c>
      <c r="DG27" t="str">
        <f t="shared" si="9"/>
        <v/>
      </c>
      <c r="DH27" t="str">
        <f t="shared" si="10"/>
        <v/>
      </c>
      <c r="DI27" t="str">
        <f t="shared" si="11"/>
        <v/>
      </c>
      <c r="DJ27" t="str">
        <f t="shared" si="12"/>
        <v/>
      </c>
      <c r="DK27" t="str">
        <f t="shared" si="13"/>
        <v/>
      </c>
      <c r="DL27" t="str">
        <f t="shared" si="23"/>
        <v/>
      </c>
      <c r="DM27" t="str">
        <f t="shared" si="14"/>
        <v/>
      </c>
      <c r="DN27" t="str">
        <f t="shared" si="15"/>
        <v/>
      </c>
      <c r="DO27" t="str">
        <f t="shared" si="16"/>
        <v/>
      </c>
      <c r="DP27" t="str">
        <f t="shared" si="17"/>
        <v/>
      </c>
      <c r="DQ27" t="str">
        <f t="shared" si="18"/>
        <v/>
      </c>
      <c r="DR27" t="str">
        <f t="shared" si="19"/>
        <v/>
      </c>
      <c r="DS27" t="str">
        <f t="shared" si="20"/>
        <v/>
      </c>
      <c r="DX27" t="s">
        <v>607</v>
      </c>
      <c r="DZ27" t="s">
        <v>607</v>
      </c>
      <c r="EB27" t="s">
        <v>608</v>
      </c>
      <c r="ED27" t="s">
        <v>608</v>
      </c>
      <c r="EF27" s="114" t="str">
        <f ca="1"/>
        <v/>
      </c>
      <c r="EJ27" t="s">
        <v>607</v>
      </c>
      <c r="EL27" t="s">
        <v>607</v>
      </c>
      <c r="EN27" t="s">
        <v>608</v>
      </c>
      <c r="EP27" t="s">
        <v>608</v>
      </c>
      <c r="EV27" t="s">
        <v>607</v>
      </c>
      <c r="EX27" t="s">
        <v>607</v>
      </c>
      <c r="EZ27" t="s">
        <v>608</v>
      </c>
      <c r="FB27" t="s">
        <v>608</v>
      </c>
    </row>
    <row r="28" spans="1:159" hidden="1" x14ac:dyDescent="0.3">
      <c r="A28" t="str">
        <f>IF(ROW(A26)&lt;=profilKelas!$F$14,ROW(A26),"")</f>
        <v/>
      </c>
      <c r="B28" t="str">
        <f>IF(ISBLANK(identitasMurid!C31),"",identitasMurid!C31)</f>
        <v/>
      </c>
      <c r="C28" t="str">
        <f ca="1"/>
        <v/>
      </c>
      <c r="D28" t="str">
        <f ca="1"/>
        <v/>
      </c>
      <c r="E28" t="str">
        <f ca="1"/>
        <v/>
      </c>
      <c r="F28" t="str">
        <f ca="1"/>
        <v/>
      </c>
      <c r="G28" t="str">
        <f ca="1"/>
        <v/>
      </c>
      <c r="H28" t="str">
        <f ca="1"/>
        <v/>
      </c>
      <c r="I28" t="str">
        <f ca="1"/>
        <v/>
      </c>
      <c r="J28" t="str">
        <f ca="1"/>
        <v/>
      </c>
      <c r="K28" t="str">
        <f ca="1"/>
        <v/>
      </c>
      <c r="L28" t="str">
        <f ca="1"/>
        <v/>
      </c>
      <c r="M28" t="str">
        <f ca="1"/>
        <v/>
      </c>
      <c r="N28" t="str">
        <f ca="1"/>
        <v/>
      </c>
      <c r="O28" t="str">
        <f ca="1"/>
        <v/>
      </c>
      <c r="P28" t="str">
        <f ca="1"/>
        <v/>
      </c>
      <c r="Q28" t="str">
        <f ca="1"/>
        <v/>
      </c>
      <c r="R28" t="str">
        <f ca="1"/>
        <v/>
      </c>
      <c r="S28" t="str">
        <f ca="1"/>
        <v/>
      </c>
      <c r="T28" t="str">
        <f ca="1"/>
        <v/>
      </c>
      <c r="U28" t="str">
        <f ca="1"/>
        <v/>
      </c>
      <c r="V28" t="str">
        <f ca="1"/>
        <v/>
      </c>
      <c r="W28" t="str">
        <f ca="1"/>
        <v/>
      </c>
      <c r="X28" t="str">
        <f ca="1"/>
        <v/>
      </c>
      <c r="Y28" t="str">
        <f ca="1"/>
        <v/>
      </c>
      <c r="Z28" t="str">
        <f ca="1"/>
        <v/>
      </c>
      <c r="AA28" t="str">
        <f ca="1"/>
        <v/>
      </c>
      <c r="AB28" t="str">
        <f ca="1"/>
        <v/>
      </c>
      <c r="AC28" t="str">
        <f ca="1"/>
        <v/>
      </c>
      <c r="AD28" t="str">
        <f ca="1"/>
        <v/>
      </c>
      <c r="AE28" t="str">
        <f ca="1"/>
        <v/>
      </c>
      <c r="AF28" t="str">
        <f ca="1"/>
        <v/>
      </c>
      <c r="AG28" t="str">
        <f ca="1"/>
        <v/>
      </c>
      <c r="AH28" t="str">
        <f ca="1"/>
        <v/>
      </c>
      <c r="AI28" t="str">
        <f ca="1"/>
        <v/>
      </c>
      <c r="AJ28" t="str">
        <f ca="1"/>
        <v/>
      </c>
      <c r="AK28" t="str">
        <f ca="1"/>
        <v/>
      </c>
      <c r="AL28" t="str">
        <f ca="1"/>
        <v/>
      </c>
      <c r="AM28" t="str">
        <f ca="1"/>
        <v/>
      </c>
      <c r="AN28" t="str">
        <f ca="1"/>
        <v/>
      </c>
      <c r="AO28" t="str">
        <f ca="1"/>
        <v/>
      </c>
      <c r="AP28" t="str">
        <f ca="1"/>
        <v/>
      </c>
      <c r="AQ28" t="str">
        <f ca="1"/>
        <v/>
      </c>
      <c r="AR28" t="str">
        <f ca="1"/>
        <v/>
      </c>
      <c r="AS28" t="str">
        <f ca="1"/>
        <v/>
      </c>
      <c r="AT28" t="str">
        <f ca="1"/>
        <v/>
      </c>
      <c r="AU28" t="str">
        <f ca="1"/>
        <v/>
      </c>
      <c r="AV28" t="str">
        <f ca="1"/>
        <v/>
      </c>
      <c r="AW28" t="str">
        <f ca="1"/>
        <v/>
      </c>
      <c r="AX28" t="str">
        <f ca="1"/>
        <v/>
      </c>
      <c r="AY28" s="109" t="str">
        <f ca="1"/>
        <v/>
      </c>
      <c r="AZ28" t="str">
        <f ca="1"/>
        <v/>
      </c>
      <c r="BA28" t="str">
        <f ca="1"/>
        <v/>
      </c>
      <c r="BB28" t="str">
        <f ca="1"/>
        <v/>
      </c>
      <c r="BC28" t="str">
        <f ca="1"/>
        <v/>
      </c>
      <c r="BD28" t="str">
        <f ca="1"/>
        <v/>
      </c>
      <c r="BE28" t="str">
        <f ca="1"/>
        <v/>
      </c>
      <c r="BF28" t="str">
        <f ca="1"/>
        <v/>
      </c>
      <c r="BG28" t="str">
        <f ca="1"/>
        <v/>
      </c>
      <c r="BH28" t="str">
        <f ca="1"/>
        <v/>
      </c>
      <c r="BI28" t="str">
        <f ca="1"/>
        <v/>
      </c>
      <c r="BJ28" t="str">
        <f ca="1"/>
        <v/>
      </c>
      <c r="BK28" t="str">
        <f ca="1"/>
        <v/>
      </c>
      <c r="BL28" t="str">
        <f ca="1"/>
        <v/>
      </c>
      <c r="BM28" t="str">
        <f ca="1"/>
        <v/>
      </c>
      <c r="BN28" t="str">
        <f ca="1"/>
        <v/>
      </c>
      <c r="BO28" t="str">
        <f ca="1"/>
        <v/>
      </c>
      <c r="BP28" t="str">
        <f ca="1"/>
        <v/>
      </c>
      <c r="BQ28" t="str">
        <f ca="1"/>
        <v/>
      </c>
      <c r="BR28" t="str">
        <f ca="1"/>
        <v/>
      </c>
      <c r="BS28" t="str">
        <f ca="1"/>
        <v/>
      </c>
      <c r="BT28" t="str">
        <f ca="1"/>
        <v/>
      </c>
      <c r="BU28" t="str">
        <f ca="1"/>
        <v/>
      </c>
      <c r="BV28" t="str">
        <f ca="1"/>
        <v/>
      </c>
      <c r="BW28" t="str">
        <f ca="1"/>
        <v/>
      </c>
      <c r="BX28" t="str">
        <f ca="1"/>
        <v/>
      </c>
      <c r="BY28" t="str">
        <f ca="1"/>
        <v/>
      </c>
      <c r="BZ28" t="str">
        <f ca="1"/>
        <v/>
      </c>
      <c r="CA28" t="str">
        <f ca="1"/>
        <v/>
      </c>
      <c r="CB28" t="str">
        <f ca="1"/>
        <v/>
      </c>
      <c r="CC28" t="str">
        <f ca="1"/>
        <v/>
      </c>
      <c r="CD28" t="str">
        <f ca="1"/>
        <v/>
      </c>
      <c r="CE28" t="str">
        <f ca="1"/>
        <v/>
      </c>
      <c r="CF28" t="str">
        <f ca="1"/>
        <v/>
      </c>
      <c r="CG28" t="str">
        <f ca="1"/>
        <v/>
      </c>
      <c r="CH28" t="str">
        <f ca="1"/>
        <v/>
      </c>
      <c r="CI28" t="str">
        <f ca="1"/>
        <v/>
      </c>
      <c r="CJ28" t="str">
        <f ca="1"/>
        <v/>
      </c>
      <c r="CK28" t="str">
        <f ca="1"/>
        <v/>
      </c>
      <c r="CL28" t="str">
        <f ca="1"/>
        <v/>
      </c>
      <c r="CM28" t="str">
        <f ca="1"/>
        <v/>
      </c>
      <c r="CN28" t="str">
        <f ca="1"/>
        <v/>
      </c>
      <c r="CO28" t="str">
        <f ca="1"/>
        <v/>
      </c>
      <c r="CP28" t="str">
        <f ca="1"/>
        <v/>
      </c>
      <c r="CQ28" t="str">
        <f ca="1"/>
        <v/>
      </c>
      <c r="CR28" t="str">
        <f ca="1"/>
        <v/>
      </c>
      <c r="CS28" t="str">
        <f ca="1"/>
        <v/>
      </c>
      <c r="CT28" t="str">
        <f ca="1"/>
        <v/>
      </c>
      <c r="CU28" t="str">
        <f>IF(ISBLANK(identitasMurid!D31),"",identitasMurid!D31)</f>
        <v/>
      </c>
      <c r="CV28" t="str">
        <f t="shared" si="21"/>
        <v/>
      </c>
      <c r="CW28" t="str">
        <f t="shared" si="0"/>
        <v/>
      </c>
      <c r="CX28" t="str">
        <f t="shared" si="1"/>
        <v/>
      </c>
      <c r="CY28" t="str">
        <f t="shared" si="2"/>
        <v/>
      </c>
      <c r="CZ28" t="str">
        <f t="shared" si="3"/>
        <v/>
      </c>
      <c r="DA28" t="str">
        <f t="shared" si="4"/>
        <v/>
      </c>
      <c r="DB28" t="str">
        <f t="shared" si="5"/>
        <v/>
      </c>
      <c r="DC28" t="str">
        <f t="shared" si="6"/>
        <v/>
      </c>
      <c r="DD28" t="str">
        <f t="shared" si="22"/>
        <v/>
      </c>
      <c r="DE28" t="str">
        <f t="shared" si="7"/>
        <v/>
      </c>
      <c r="DF28" t="str">
        <f t="shared" si="8"/>
        <v/>
      </c>
      <c r="DG28" t="str">
        <f t="shared" si="9"/>
        <v/>
      </c>
      <c r="DH28" t="str">
        <f t="shared" si="10"/>
        <v/>
      </c>
      <c r="DI28" t="str">
        <f t="shared" si="11"/>
        <v/>
      </c>
      <c r="DJ28" t="str">
        <f t="shared" si="12"/>
        <v/>
      </c>
      <c r="DK28" t="str">
        <f t="shared" si="13"/>
        <v/>
      </c>
      <c r="DL28" t="str">
        <f t="shared" si="23"/>
        <v/>
      </c>
      <c r="DM28" t="str">
        <f t="shared" si="14"/>
        <v/>
      </c>
      <c r="DN28" t="str">
        <f t="shared" si="15"/>
        <v/>
      </c>
      <c r="DO28" t="str">
        <f t="shared" si="16"/>
        <v/>
      </c>
      <c r="DP28" t="str">
        <f t="shared" si="17"/>
        <v/>
      </c>
      <c r="DQ28" t="str">
        <f t="shared" si="18"/>
        <v/>
      </c>
      <c r="DR28" t="str">
        <f t="shared" si="19"/>
        <v/>
      </c>
      <c r="DS28" t="str">
        <f t="shared" si="20"/>
        <v/>
      </c>
      <c r="DU28" t="s">
        <v>0</v>
      </c>
      <c r="DV28" t="s">
        <v>18</v>
      </c>
      <c r="DX28" t="s">
        <v>597</v>
      </c>
      <c r="DZ28" t="s">
        <v>598</v>
      </c>
      <c r="EB28" t="s">
        <v>597</v>
      </c>
      <c r="ED28" t="s">
        <v>598</v>
      </c>
      <c r="EF28" s="114" t="str">
        <f ca="1"/>
        <v/>
      </c>
      <c r="EG28" t="s">
        <v>0</v>
      </c>
      <c r="EH28" t="s">
        <v>18</v>
      </c>
      <c r="EJ28" t="s">
        <v>597</v>
      </c>
      <c r="EL28" t="s">
        <v>598</v>
      </c>
      <c r="EN28" t="s">
        <v>597</v>
      </c>
      <c r="EP28" t="s">
        <v>598</v>
      </c>
      <c r="ES28" t="s">
        <v>0</v>
      </c>
      <c r="ET28" t="s">
        <v>18</v>
      </c>
      <c r="EV28" t="s">
        <v>597</v>
      </c>
      <c r="EW28" t="s">
        <v>993</v>
      </c>
      <c r="EX28" t="s">
        <v>598</v>
      </c>
      <c r="EZ28" t="s">
        <v>597</v>
      </c>
      <c r="FB28" t="s">
        <v>598</v>
      </c>
    </row>
    <row r="29" spans="1:159" hidden="1" x14ac:dyDescent="0.3">
      <c r="A29" t="str">
        <f>IF(ROW(A27)&lt;=profilKelas!$F$14,ROW(A27),"")</f>
        <v/>
      </c>
      <c r="B29" t="str">
        <f>IF(ISBLANK(identitasMurid!C32),"",identitasMurid!C32)</f>
        <v/>
      </c>
      <c r="C29" t="str">
        <f ca="1"/>
        <v/>
      </c>
      <c r="D29" t="str">
        <f ca="1"/>
        <v/>
      </c>
      <c r="E29" t="str">
        <f ca="1"/>
        <v/>
      </c>
      <c r="F29" t="str">
        <f ca="1"/>
        <v/>
      </c>
      <c r="G29" t="str">
        <f ca="1"/>
        <v/>
      </c>
      <c r="H29" t="str">
        <f ca="1"/>
        <v/>
      </c>
      <c r="I29" t="str">
        <f ca="1"/>
        <v/>
      </c>
      <c r="J29" t="str">
        <f ca="1"/>
        <v/>
      </c>
      <c r="K29" t="str">
        <f ca="1"/>
        <v/>
      </c>
      <c r="L29" t="str">
        <f ca="1"/>
        <v/>
      </c>
      <c r="M29" t="str">
        <f ca="1"/>
        <v/>
      </c>
      <c r="N29" t="str">
        <f ca="1"/>
        <v/>
      </c>
      <c r="O29" t="str">
        <f ca="1"/>
        <v/>
      </c>
      <c r="P29" t="str">
        <f ca="1"/>
        <v/>
      </c>
      <c r="Q29" t="str">
        <f ca="1"/>
        <v/>
      </c>
      <c r="R29" t="str">
        <f ca="1"/>
        <v/>
      </c>
      <c r="S29" t="str">
        <f ca="1"/>
        <v/>
      </c>
      <c r="T29" t="str">
        <f ca="1"/>
        <v/>
      </c>
      <c r="U29" t="str">
        <f ca="1"/>
        <v/>
      </c>
      <c r="V29" t="str">
        <f ca="1"/>
        <v/>
      </c>
      <c r="W29" t="str">
        <f ca="1"/>
        <v/>
      </c>
      <c r="X29" t="str">
        <f ca="1"/>
        <v/>
      </c>
      <c r="Y29" t="str">
        <f ca="1"/>
        <v/>
      </c>
      <c r="Z29" t="str">
        <f ca="1"/>
        <v/>
      </c>
      <c r="AA29" t="str">
        <f ca="1"/>
        <v/>
      </c>
      <c r="AB29" t="str">
        <f ca="1"/>
        <v/>
      </c>
      <c r="AC29" t="str">
        <f ca="1"/>
        <v/>
      </c>
      <c r="AD29" t="str">
        <f ca="1"/>
        <v/>
      </c>
      <c r="AE29" t="str">
        <f ca="1"/>
        <v/>
      </c>
      <c r="AF29" t="str">
        <f ca="1"/>
        <v/>
      </c>
      <c r="AG29" t="str">
        <f ca="1"/>
        <v/>
      </c>
      <c r="AH29" t="str">
        <f ca="1"/>
        <v/>
      </c>
      <c r="AI29" t="str">
        <f ca="1"/>
        <v/>
      </c>
      <c r="AJ29" t="str">
        <f ca="1"/>
        <v/>
      </c>
      <c r="AK29" t="str">
        <f ca="1"/>
        <v/>
      </c>
      <c r="AL29" t="str">
        <f ca="1"/>
        <v/>
      </c>
      <c r="AM29" t="str">
        <f ca="1"/>
        <v/>
      </c>
      <c r="AN29" t="str">
        <f ca="1"/>
        <v/>
      </c>
      <c r="AO29" t="str">
        <f ca="1"/>
        <v/>
      </c>
      <c r="AP29" t="str">
        <f ca="1"/>
        <v/>
      </c>
      <c r="AQ29" t="str">
        <f ca="1"/>
        <v/>
      </c>
      <c r="AR29" t="str">
        <f ca="1"/>
        <v/>
      </c>
      <c r="AS29" t="str">
        <f ca="1"/>
        <v/>
      </c>
      <c r="AT29" t="str">
        <f ca="1"/>
        <v/>
      </c>
      <c r="AU29" t="str">
        <f ca="1"/>
        <v/>
      </c>
      <c r="AV29" t="str">
        <f ca="1"/>
        <v/>
      </c>
      <c r="AW29" t="str">
        <f ca="1"/>
        <v/>
      </c>
      <c r="AX29" t="str">
        <f ca="1"/>
        <v/>
      </c>
      <c r="AY29" s="109" t="str">
        <f ca="1"/>
        <v/>
      </c>
      <c r="AZ29" t="str">
        <f ca="1"/>
        <v/>
      </c>
      <c r="BA29" t="str">
        <f ca="1"/>
        <v/>
      </c>
      <c r="BB29" t="str">
        <f ca="1"/>
        <v/>
      </c>
      <c r="BC29" t="str">
        <f ca="1"/>
        <v/>
      </c>
      <c r="BD29" t="str">
        <f ca="1"/>
        <v/>
      </c>
      <c r="BE29" t="str">
        <f ca="1"/>
        <v/>
      </c>
      <c r="BF29" t="str">
        <f ca="1"/>
        <v/>
      </c>
      <c r="BG29" t="str">
        <f ca="1"/>
        <v/>
      </c>
      <c r="BH29" t="str">
        <f ca="1"/>
        <v/>
      </c>
      <c r="BI29" t="str">
        <f ca="1"/>
        <v/>
      </c>
      <c r="BJ29" t="str">
        <f ca="1"/>
        <v/>
      </c>
      <c r="BK29" t="str">
        <f ca="1"/>
        <v/>
      </c>
      <c r="BL29" t="str">
        <f ca="1"/>
        <v/>
      </c>
      <c r="BM29" t="str">
        <f ca="1"/>
        <v/>
      </c>
      <c r="BN29" t="str">
        <f ca="1"/>
        <v/>
      </c>
      <c r="BO29" t="str">
        <f ca="1"/>
        <v/>
      </c>
      <c r="BP29" t="str">
        <f ca="1"/>
        <v/>
      </c>
      <c r="BQ29" t="str">
        <f ca="1"/>
        <v/>
      </c>
      <c r="BR29" t="str">
        <f ca="1"/>
        <v/>
      </c>
      <c r="BS29" t="str">
        <f ca="1"/>
        <v/>
      </c>
      <c r="BT29" t="str">
        <f ca="1"/>
        <v/>
      </c>
      <c r="BU29" t="str">
        <f ca="1"/>
        <v/>
      </c>
      <c r="BV29" t="str">
        <f ca="1"/>
        <v/>
      </c>
      <c r="BW29" t="str">
        <f ca="1"/>
        <v/>
      </c>
      <c r="BX29" t="str">
        <f ca="1"/>
        <v/>
      </c>
      <c r="BY29" t="str">
        <f ca="1"/>
        <v/>
      </c>
      <c r="BZ29" t="str">
        <f ca="1"/>
        <v/>
      </c>
      <c r="CA29" t="str">
        <f ca="1"/>
        <v/>
      </c>
      <c r="CB29" t="str">
        <f ca="1"/>
        <v/>
      </c>
      <c r="CC29" t="str">
        <f ca="1"/>
        <v/>
      </c>
      <c r="CD29" t="str">
        <f ca="1"/>
        <v/>
      </c>
      <c r="CE29" t="str">
        <f ca="1"/>
        <v/>
      </c>
      <c r="CF29" t="str">
        <f ca="1"/>
        <v/>
      </c>
      <c r="CG29" t="str">
        <f ca="1"/>
        <v/>
      </c>
      <c r="CH29" t="str">
        <f ca="1"/>
        <v/>
      </c>
      <c r="CI29" t="str">
        <f ca="1"/>
        <v/>
      </c>
      <c r="CJ29" t="str">
        <f ca="1"/>
        <v/>
      </c>
      <c r="CK29" t="str">
        <f ca="1"/>
        <v/>
      </c>
      <c r="CL29" t="str">
        <f ca="1"/>
        <v/>
      </c>
      <c r="CM29" t="str">
        <f ca="1"/>
        <v/>
      </c>
      <c r="CN29" t="str">
        <f ca="1"/>
        <v/>
      </c>
      <c r="CO29" t="str">
        <f ca="1"/>
        <v/>
      </c>
      <c r="CP29" t="str">
        <f ca="1"/>
        <v/>
      </c>
      <c r="CQ29" t="str">
        <f ca="1"/>
        <v/>
      </c>
      <c r="CR29" t="str">
        <f ca="1"/>
        <v/>
      </c>
      <c r="CS29" t="str">
        <f ca="1"/>
        <v/>
      </c>
      <c r="CT29" t="str">
        <f ca="1"/>
        <v/>
      </c>
      <c r="CU29" t="str">
        <f>IF(ISBLANK(identitasMurid!D32),"",identitasMurid!D32)</f>
        <v/>
      </c>
      <c r="CV29" t="str">
        <f t="shared" si="21"/>
        <v/>
      </c>
      <c r="CW29" t="str">
        <f t="shared" si="0"/>
        <v/>
      </c>
      <c r="CX29" t="str">
        <f t="shared" si="1"/>
        <v/>
      </c>
      <c r="CY29" t="str">
        <f t="shared" si="2"/>
        <v/>
      </c>
      <c r="CZ29" t="str">
        <f t="shared" si="3"/>
        <v/>
      </c>
      <c r="DA29" t="str">
        <f t="shared" si="4"/>
        <v/>
      </c>
      <c r="DB29" t="str">
        <f t="shared" si="5"/>
        <v/>
      </c>
      <c r="DC29" t="str">
        <f t="shared" si="6"/>
        <v/>
      </c>
      <c r="DD29" t="str">
        <f t="shared" si="22"/>
        <v/>
      </c>
      <c r="DE29" t="str">
        <f t="shared" si="7"/>
        <v/>
      </c>
      <c r="DF29" t="str">
        <f t="shared" si="8"/>
        <v/>
      </c>
      <c r="DG29" t="str">
        <f t="shared" si="9"/>
        <v/>
      </c>
      <c r="DH29" t="str">
        <f t="shared" si="10"/>
        <v/>
      </c>
      <c r="DI29" t="str">
        <f t="shared" si="11"/>
        <v/>
      </c>
      <c r="DJ29" t="str">
        <f t="shared" si="12"/>
        <v/>
      </c>
      <c r="DK29" t="str">
        <f t="shared" si="13"/>
        <v/>
      </c>
      <c r="DL29" t="str">
        <f t="shared" si="23"/>
        <v/>
      </c>
      <c r="DM29" t="str">
        <f t="shared" si="14"/>
        <v/>
      </c>
      <c r="DN29" t="str">
        <f t="shared" si="15"/>
        <v/>
      </c>
      <c r="DO29" t="str">
        <f t="shared" si="16"/>
        <v/>
      </c>
      <c r="DP29" t="str">
        <f t="shared" si="17"/>
        <v/>
      </c>
      <c r="DQ29" t="str">
        <f t="shared" si="18"/>
        <v/>
      </c>
      <c r="DR29" t="str">
        <f t="shared" si="19"/>
        <v/>
      </c>
      <c r="DS29" t="str">
        <f t="shared" si="20"/>
        <v/>
      </c>
      <c r="DU29">
        <v>1</v>
      </c>
      <c r="DV29" t="s">
        <v>2</v>
      </c>
      <c r="DX29">
        <f>COUNTIFS($CU$3:$CU$47,LEFT(DX$27,1),$CV$3:$CV$47,DX$28)</f>
        <v>0</v>
      </c>
      <c r="DY29" s="112">
        <f>IF(LEN(profilKelas!$F$14)=0,"",DX29/profilKelas!$F$14)</f>
        <v>0</v>
      </c>
      <c r="DZ29">
        <f>COUNTIFS($CU$3:$CU$47,LEFT(DZ$27,1),$CV$3:$CV$47,DZ$28)</f>
        <v>0</v>
      </c>
      <c r="EA29" s="112">
        <f>IF(LEN(profilKelas!$F$14)=0,"",DZ29/profilKelas!$F$14)</f>
        <v>0</v>
      </c>
      <c r="EB29">
        <f>COUNTIFS($CU$3:$CU$47,LEFT(EB$27,1),$CV$3:$CV$47,EB$28)</f>
        <v>0</v>
      </c>
      <c r="EC29" s="112">
        <f>IF(LEN(profilKelas!$F$14)=0,"",EB29/profilKelas!$F$14)</f>
        <v>0</v>
      </c>
      <c r="ED29">
        <f>COUNTIFS($CU$3:$CU$47,LEFT(ED$27,1),$CV$3:$CV$47,ED$28)</f>
        <v>0</v>
      </c>
      <c r="EE29" s="112">
        <f>IF(LEN(profilKelas!$F$14)=0,"",ED29/profilKelas!$F$14)</f>
        <v>0</v>
      </c>
      <c r="EF29" s="114" t="str">
        <f ca="1"/>
        <v/>
      </c>
      <c r="EG29">
        <v>1</v>
      </c>
      <c r="EH29" t="s">
        <v>2</v>
      </c>
      <c r="EJ29">
        <f>COUNTIFS($CU$3:$CU$47,LEFT(EJ$27,1),$DD$3:$DD$47,EJ$28)</f>
        <v>0</v>
      </c>
      <c r="EK29" s="112">
        <f>IF(LEN(profilKelas!$F$14)=0,"",EJ29/profilKelas!$F$14)</f>
        <v>0</v>
      </c>
      <c r="EL29">
        <f>COUNTIFS($CU$3:$CU$47,LEFT(EL$27,1),$DD$3:$DD$47,EL$28)</f>
        <v>0</v>
      </c>
      <c r="EM29" s="112">
        <f>IF(LEN(profilKelas!$F$14)=0,"",EL29/profilKelas!$F$14)</f>
        <v>0</v>
      </c>
      <c r="EN29">
        <f>COUNTIFS($CU$3:$CU$47,LEFT(EN$27,1),$DD$3:$DD$47,EN$28)</f>
        <v>0</v>
      </c>
      <c r="EO29" s="112">
        <f>IF(LEN(profilKelas!$F$14)=0,"",EN29/profilKelas!$F$14)</f>
        <v>0</v>
      </c>
      <c r="EP29">
        <f>COUNTIFS($CU$3:$CU$47,LEFT(EP$27,1),$DD$3:$DD$47,EP$28)</f>
        <v>0</v>
      </c>
      <c r="EQ29" s="112">
        <f>IF(LEN(profilKelas!$F$14)=0,"",EP29/profilKelas!$F$14)</f>
        <v>0</v>
      </c>
      <c r="ES29">
        <v>1</v>
      </c>
      <c r="ET29" t="s">
        <v>2</v>
      </c>
      <c r="EV29">
        <f>COUNTIFS($CU$3:$CU$47,LEFT(EV$27,1),$DL$3:$DL$47,EV$28)</f>
        <v>0</v>
      </c>
      <c r="EW29" s="112">
        <f>IF(LEN(profilKelas!$F$14)=0,"",EV29/profilKelas!$F$14)</f>
        <v>0</v>
      </c>
      <c r="EX29">
        <f>COUNTIFS($CU$3:$CU$47,LEFT(EX$27,1),$DL$3:$DL$47,EX$28)</f>
        <v>0</v>
      </c>
      <c r="EY29" s="112">
        <f>IF(LEN(profilKelas!$F$14)=0,"",EX29/profilKelas!$F$14)</f>
        <v>0</v>
      </c>
      <c r="EZ29">
        <f>COUNTIFS($CU$3:$CU$47,LEFT(EZ$27,1),$DL$3:$DL$47,EZ$28)</f>
        <v>0</v>
      </c>
      <c r="FA29" s="112">
        <f>IF(LEN(profilKelas!$F$14)=0,"",EZ29/profilKelas!$F$14)</f>
        <v>0</v>
      </c>
      <c r="FB29">
        <f>COUNTIFS($CU$3:$CU$47,LEFT(FB$27,1),$DL$3:$DL$47,FB$28)</f>
        <v>0</v>
      </c>
      <c r="FC29" s="112">
        <f>IF(LEN(profilKelas!$F$14)=0,"",FB29/profilKelas!$F$14)</f>
        <v>0</v>
      </c>
    </row>
    <row r="30" spans="1:159" hidden="1" x14ac:dyDescent="0.3">
      <c r="A30" t="str">
        <f>IF(ROW(A28)&lt;=profilKelas!$F$14,ROW(A28),"")</f>
        <v/>
      </c>
      <c r="B30" t="str">
        <f>IF(ISBLANK(identitasMurid!C33),"",identitasMurid!C33)</f>
        <v/>
      </c>
      <c r="C30" t="str">
        <f ca="1"/>
        <v/>
      </c>
      <c r="D30" t="str">
        <f ca="1"/>
        <v/>
      </c>
      <c r="E30" t="str">
        <f ca="1"/>
        <v/>
      </c>
      <c r="F30" t="str">
        <f ca="1"/>
        <v/>
      </c>
      <c r="G30" t="str">
        <f ca="1"/>
        <v/>
      </c>
      <c r="H30" t="str">
        <f ca="1"/>
        <v/>
      </c>
      <c r="I30" t="str">
        <f ca="1"/>
        <v/>
      </c>
      <c r="J30" t="str">
        <f ca="1"/>
        <v/>
      </c>
      <c r="K30" t="str">
        <f ca="1"/>
        <v/>
      </c>
      <c r="L30" t="str">
        <f ca="1"/>
        <v/>
      </c>
      <c r="M30" t="str">
        <f ca="1"/>
        <v/>
      </c>
      <c r="N30" t="str">
        <f ca="1"/>
        <v/>
      </c>
      <c r="O30" t="str">
        <f ca="1"/>
        <v/>
      </c>
      <c r="P30" t="str">
        <f ca="1"/>
        <v/>
      </c>
      <c r="Q30" t="str">
        <f ca="1"/>
        <v/>
      </c>
      <c r="R30" t="str">
        <f ca="1"/>
        <v/>
      </c>
      <c r="S30" t="str">
        <f ca="1"/>
        <v/>
      </c>
      <c r="T30" t="str">
        <f ca="1"/>
        <v/>
      </c>
      <c r="U30" t="str">
        <f ca="1"/>
        <v/>
      </c>
      <c r="V30" t="str">
        <f ca="1"/>
        <v/>
      </c>
      <c r="W30" t="str">
        <f ca="1"/>
        <v/>
      </c>
      <c r="X30" t="str">
        <f ca="1"/>
        <v/>
      </c>
      <c r="Y30" t="str">
        <f ca="1"/>
        <v/>
      </c>
      <c r="Z30" t="str">
        <f ca="1"/>
        <v/>
      </c>
      <c r="AA30" t="str">
        <f ca="1"/>
        <v/>
      </c>
      <c r="AB30" t="str">
        <f ca="1"/>
        <v/>
      </c>
      <c r="AC30" t="str">
        <f ca="1"/>
        <v/>
      </c>
      <c r="AD30" t="str">
        <f ca="1"/>
        <v/>
      </c>
      <c r="AE30" t="str">
        <f ca="1"/>
        <v/>
      </c>
      <c r="AF30" t="str">
        <f ca="1"/>
        <v/>
      </c>
      <c r="AG30" t="str">
        <f ca="1"/>
        <v/>
      </c>
      <c r="AH30" t="str">
        <f ca="1"/>
        <v/>
      </c>
      <c r="AI30" t="str">
        <f ca="1"/>
        <v/>
      </c>
      <c r="AJ30" t="str">
        <f ca="1"/>
        <v/>
      </c>
      <c r="AK30" t="str">
        <f ca="1"/>
        <v/>
      </c>
      <c r="AL30" t="str">
        <f ca="1"/>
        <v/>
      </c>
      <c r="AM30" t="str">
        <f ca="1"/>
        <v/>
      </c>
      <c r="AN30" t="str">
        <f ca="1"/>
        <v/>
      </c>
      <c r="AO30" t="str">
        <f ca="1"/>
        <v/>
      </c>
      <c r="AP30" t="str">
        <f ca="1"/>
        <v/>
      </c>
      <c r="AQ30" t="str">
        <f ca="1"/>
        <v/>
      </c>
      <c r="AR30" t="str">
        <f ca="1"/>
        <v/>
      </c>
      <c r="AS30" t="str">
        <f ca="1"/>
        <v/>
      </c>
      <c r="AT30" t="str">
        <f ca="1"/>
        <v/>
      </c>
      <c r="AU30" t="str">
        <f ca="1"/>
        <v/>
      </c>
      <c r="AV30" t="str">
        <f ca="1"/>
        <v/>
      </c>
      <c r="AW30" t="str">
        <f ca="1"/>
        <v/>
      </c>
      <c r="AX30" t="str">
        <f ca="1"/>
        <v/>
      </c>
      <c r="AY30" s="109" t="str">
        <f ca="1"/>
        <v/>
      </c>
      <c r="AZ30" t="str">
        <f ca="1"/>
        <v/>
      </c>
      <c r="BA30" t="str">
        <f ca="1"/>
        <v/>
      </c>
      <c r="BB30" t="str">
        <f ca="1"/>
        <v/>
      </c>
      <c r="BC30" t="str">
        <f ca="1"/>
        <v/>
      </c>
      <c r="BD30" t="str">
        <f ca="1"/>
        <v/>
      </c>
      <c r="BE30" t="str">
        <f ca="1"/>
        <v/>
      </c>
      <c r="BF30" t="str">
        <f ca="1"/>
        <v/>
      </c>
      <c r="BG30" t="str">
        <f ca="1"/>
        <v/>
      </c>
      <c r="BH30" t="str">
        <f ca="1"/>
        <v/>
      </c>
      <c r="BI30" t="str">
        <f ca="1"/>
        <v/>
      </c>
      <c r="BJ30" t="str">
        <f ca="1"/>
        <v/>
      </c>
      <c r="BK30" t="str">
        <f ca="1"/>
        <v/>
      </c>
      <c r="BL30" t="str">
        <f ca="1"/>
        <v/>
      </c>
      <c r="BM30" t="str">
        <f ca="1"/>
        <v/>
      </c>
      <c r="BN30" t="str">
        <f ca="1"/>
        <v/>
      </c>
      <c r="BO30" t="str">
        <f ca="1"/>
        <v/>
      </c>
      <c r="BP30" t="str">
        <f ca="1"/>
        <v/>
      </c>
      <c r="BQ30" t="str">
        <f ca="1"/>
        <v/>
      </c>
      <c r="BR30" t="str">
        <f ca="1"/>
        <v/>
      </c>
      <c r="BS30" t="str">
        <f ca="1"/>
        <v/>
      </c>
      <c r="BT30" t="str">
        <f ca="1"/>
        <v/>
      </c>
      <c r="BU30" t="str">
        <f ca="1"/>
        <v/>
      </c>
      <c r="BV30" t="str">
        <f ca="1"/>
        <v/>
      </c>
      <c r="BW30" t="str">
        <f ca="1"/>
        <v/>
      </c>
      <c r="BX30" t="str">
        <f ca="1"/>
        <v/>
      </c>
      <c r="BY30" t="str">
        <f ca="1"/>
        <v/>
      </c>
      <c r="BZ30" t="str">
        <f ca="1"/>
        <v/>
      </c>
      <c r="CA30" t="str">
        <f ca="1"/>
        <v/>
      </c>
      <c r="CB30" t="str">
        <f ca="1"/>
        <v/>
      </c>
      <c r="CC30" t="str">
        <f ca="1"/>
        <v/>
      </c>
      <c r="CD30" t="str">
        <f ca="1"/>
        <v/>
      </c>
      <c r="CE30" t="str">
        <f ca="1"/>
        <v/>
      </c>
      <c r="CF30" t="str">
        <f ca="1"/>
        <v/>
      </c>
      <c r="CG30" t="str">
        <f ca="1"/>
        <v/>
      </c>
      <c r="CH30" t="str">
        <f ca="1"/>
        <v/>
      </c>
      <c r="CI30" t="str">
        <f ca="1"/>
        <v/>
      </c>
      <c r="CJ30" t="str">
        <f ca="1"/>
        <v/>
      </c>
      <c r="CK30" t="str">
        <f ca="1"/>
        <v/>
      </c>
      <c r="CL30" t="str">
        <f ca="1"/>
        <v/>
      </c>
      <c r="CM30" t="str">
        <f ca="1"/>
        <v/>
      </c>
      <c r="CN30" t="str">
        <f ca="1"/>
        <v/>
      </c>
      <c r="CO30" t="str">
        <f ca="1"/>
        <v/>
      </c>
      <c r="CP30" t="str">
        <f ca="1"/>
        <v/>
      </c>
      <c r="CQ30" t="str">
        <f ca="1"/>
        <v/>
      </c>
      <c r="CR30" t="str">
        <f ca="1"/>
        <v/>
      </c>
      <c r="CS30" t="str">
        <f ca="1"/>
        <v/>
      </c>
      <c r="CT30" t="str">
        <f ca="1"/>
        <v/>
      </c>
      <c r="CU30" t="str">
        <f>IF(ISBLANK(identitasMurid!D33),"",identitasMurid!D33)</f>
        <v/>
      </c>
      <c r="CV30" t="str">
        <f t="shared" si="21"/>
        <v/>
      </c>
      <c r="CW30" t="str">
        <f t="shared" si="0"/>
        <v/>
      </c>
      <c r="CX30" t="str">
        <f t="shared" si="1"/>
        <v/>
      </c>
      <c r="CY30" t="str">
        <f t="shared" si="2"/>
        <v/>
      </c>
      <c r="CZ30" t="str">
        <f t="shared" si="3"/>
        <v/>
      </c>
      <c r="DA30" t="str">
        <f t="shared" si="4"/>
        <v/>
      </c>
      <c r="DB30" t="str">
        <f t="shared" si="5"/>
        <v/>
      </c>
      <c r="DC30" t="str">
        <f t="shared" si="6"/>
        <v/>
      </c>
      <c r="DD30" t="str">
        <f t="shared" si="22"/>
        <v/>
      </c>
      <c r="DE30" t="str">
        <f t="shared" si="7"/>
        <v/>
      </c>
      <c r="DF30" t="str">
        <f t="shared" si="8"/>
        <v/>
      </c>
      <c r="DG30" t="str">
        <f t="shared" si="9"/>
        <v/>
      </c>
      <c r="DH30" t="str">
        <f t="shared" si="10"/>
        <v/>
      </c>
      <c r="DI30" t="str">
        <f t="shared" si="11"/>
        <v/>
      </c>
      <c r="DJ30" t="str">
        <f t="shared" si="12"/>
        <v/>
      </c>
      <c r="DK30" t="str">
        <f t="shared" si="13"/>
        <v/>
      </c>
      <c r="DL30" t="str">
        <f t="shared" si="23"/>
        <v/>
      </c>
      <c r="DM30" t="str">
        <f t="shared" si="14"/>
        <v/>
      </c>
      <c r="DN30" t="str">
        <f t="shared" si="15"/>
        <v/>
      </c>
      <c r="DO30" t="str">
        <f t="shared" si="16"/>
        <v/>
      </c>
      <c r="DP30" t="str">
        <f t="shared" si="17"/>
        <v/>
      </c>
      <c r="DQ30" t="str">
        <f t="shared" si="18"/>
        <v/>
      </c>
      <c r="DR30" t="str">
        <f t="shared" si="19"/>
        <v/>
      </c>
      <c r="DS30" t="str">
        <f t="shared" si="20"/>
        <v/>
      </c>
      <c r="DU30">
        <v>2</v>
      </c>
      <c r="DV30" t="s">
        <v>3</v>
      </c>
      <c r="DX30">
        <f>COUNTIFS($CU$3:$CU$47,LEFT(DX$27,1),$CW$3:$CW$47,DX$28)</f>
        <v>0</v>
      </c>
      <c r="DY30" s="112">
        <f>IF(LEN(profilKelas!$F$14)=0,"",DX30/profilKelas!$F$14)</f>
        <v>0</v>
      </c>
      <c r="DZ30">
        <f>COUNTIFS($CU$3:$CU$47,LEFT(DZ$27,1),$CW$3:$CW$47,DZ$28)</f>
        <v>0</v>
      </c>
      <c r="EA30" s="112">
        <f>IF(LEN(profilKelas!$F$14)=0,"",DZ30/profilKelas!$F$14)</f>
        <v>0</v>
      </c>
      <c r="EB30">
        <f>COUNTIFS($CU$3:$CU$47,LEFT(EB$27,1),$CW$3:$CW$47,EB$28)</f>
        <v>0</v>
      </c>
      <c r="EC30" s="112">
        <f>IF(LEN(profilKelas!$F$14)=0,"",EB30/profilKelas!$F$14)</f>
        <v>0</v>
      </c>
      <c r="ED30">
        <f>COUNTIFS($CU$3:$CU$47,LEFT(ED$27,1),$CW$3:$CW$47,ED$28)</f>
        <v>0</v>
      </c>
      <c r="EE30" s="112">
        <f>IF(LEN(profilKelas!$F$14)=0,"",ED30/profilKelas!$F$14)</f>
        <v>0</v>
      </c>
      <c r="EF30" s="114" t="str">
        <f ca="1"/>
        <v/>
      </c>
      <c r="EG30">
        <v>2</v>
      </c>
      <c r="EH30" t="s">
        <v>3</v>
      </c>
      <c r="EJ30">
        <f>COUNTIFS($CU$3:$CU$47,LEFT(EJ$27,1),$DE$3:$DE$47,EJ$28)</f>
        <v>0</v>
      </c>
      <c r="EK30" s="112">
        <f>IF(LEN(profilKelas!$F$14)=0,"",EJ30/profilKelas!$F$14)</f>
        <v>0</v>
      </c>
      <c r="EL30">
        <f>COUNTIFS($CU$3:$CU$47,LEFT(EL$27,1),$DE$3:$DE$47,EL$28)</f>
        <v>0</v>
      </c>
      <c r="EM30" s="112">
        <f>IF(LEN(profilKelas!$F$14)=0,"",EL30/profilKelas!$F$14)</f>
        <v>0</v>
      </c>
      <c r="EN30">
        <f>COUNTIFS($CU$3:$CU$47,LEFT(EN$27,1),$DE$3:$DE$47,EN$28)</f>
        <v>0</v>
      </c>
      <c r="EO30" s="112">
        <f>IF(LEN(profilKelas!$F$14)=0,"",EN30/profilKelas!$F$14)</f>
        <v>0</v>
      </c>
      <c r="EP30">
        <f>COUNTIFS($CU$3:$CU$47,LEFT(EP$27,1),$DE$3:$DE$47,EP$28)</f>
        <v>0</v>
      </c>
      <c r="EQ30" s="112">
        <f>IF(LEN(profilKelas!$F$14)=0,"",EP30/profilKelas!$F$14)</f>
        <v>0</v>
      </c>
      <c r="ES30">
        <v>2</v>
      </c>
      <c r="ET30" t="s">
        <v>3</v>
      </c>
      <c r="EV30">
        <f>COUNTIFS($CU$3:$CU$47,LEFT(EV$27,1),$DM$3:$DM$47,EV$28)</f>
        <v>0</v>
      </c>
      <c r="EW30" s="112">
        <f>IF(LEN(profilKelas!$F$14)=0,"",EV30/profilKelas!$F$14)</f>
        <v>0</v>
      </c>
      <c r="EX30">
        <f>COUNTIFS($CU$3:$CU$47,LEFT(EX$27,1),$DM$3:$DM$47,EX$28)</f>
        <v>0</v>
      </c>
      <c r="EY30" s="112">
        <f>IF(LEN(profilKelas!$F$14)=0,"",EX30/profilKelas!$F$14)</f>
        <v>0</v>
      </c>
      <c r="EZ30">
        <f>COUNTIFS($CU$3:$CU$47,LEFT(EZ$27,1),$DM$3:$DM$47,EZ$28)</f>
        <v>0</v>
      </c>
      <c r="FA30" s="112">
        <f>IF(LEN(profilKelas!$F$14)=0,"",EZ30/profilKelas!$F$14)</f>
        <v>0</v>
      </c>
      <c r="FB30">
        <f>COUNTIFS($CU$3:$CU$47,LEFT(FB$27,1),$DM$3:$DM$47,FB$28)</f>
        <v>0</v>
      </c>
      <c r="FC30" s="112">
        <f>IF(LEN(profilKelas!$F$14)=0,"",FB30/profilKelas!$F$14)</f>
        <v>0</v>
      </c>
    </row>
    <row r="31" spans="1:159" hidden="1" x14ac:dyDescent="0.3">
      <c r="A31" t="str">
        <f>IF(ROW(A29)&lt;=profilKelas!$F$14,ROW(A29),"")</f>
        <v/>
      </c>
      <c r="B31" t="str">
        <f>IF(ISBLANK(identitasMurid!C34),"",identitasMurid!C34)</f>
        <v/>
      </c>
      <c r="C31" t="str">
        <f ca="1"/>
        <v/>
      </c>
      <c r="D31" t="str">
        <f ca="1"/>
        <v/>
      </c>
      <c r="E31" t="str">
        <f ca="1"/>
        <v/>
      </c>
      <c r="F31" t="str">
        <f ca="1"/>
        <v/>
      </c>
      <c r="G31" t="str">
        <f ca="1"/>
        <v/>
      </c>
      <c r="H31" t="str">
        <f ca="1"/>
        <v/>
      </c>
      <c r="I31" t="str">
        <f ca="1"/>
        <v/>
      </c>
      <c r="J31" t="str">
        <f ca="1"/>
        <v/>
      </c>
      <c r="K31" t="str">
        <f ca="1"/>
        <v/>
      </c>
      <c r="L31" t="str">
        <f ca="1"/>
        <v/>
      </c>
      <c r="M31" t="str">
        <f ca="1"/>
        <v/>
      </c>
      <c r="N31" t="str">
        <f ca="1"/>
        <v/>
      </c>
      <c r="O31" t="str">
        <f ca="1"/>
        <v/>
      </c>
      <c r="P31" t="str">
        <f ca="1"/>
        <v/>
      </c>
      <c r="Q31" t="str">
        <f ca="1"/>
        <v/>
      </c>
      <c r="R31" t="str">
        <f ca="1"/>
        <v/>
      </c>
      <c r="S31" t="str">
        <f ca="1"/>
        <v/>
      </c>
      <c r="T31" t="str">
        <f ca="1"/>
        <v/>
      </c>
      <c r="U31" t="str">
        <f ca="1"/>
        <v/>
      </c>
      <c r="V31" t="str">
        <f ca="1"/>
        <v/>
      </c>
      <c r="W31" t="str">
        <f ca="1"/>
        <v/>
      </c>
      <c r="X31" t="str">
        <f ca="1"/>
        <v/>
      </c>
      <c r="Y31" t="str">
        <f ca="1"/>
        <v/>
      </c>
      <c r="Z31" t="str">
        <f ca="1"/>
        <v/>
      </c>
      <c r="AA31" t="str">
        <f ca="1"/>
        <v/>
      </c>
      <c r="AB31" t="str">
        <f ca="1"/>
        <v/>
      </c>
      <c r="AC31" t="str">
        <f ca="1"/>
        <v/>
      </c>
      <c r="AD31" t="str">
        <f ca="1"/>
        <v/>
      </c>
      <c r="AE31" t="str">
        <f ca="1"/>
        <v/>
      </c>
      <c r="AF31" t="str">
        <f ca="1"/>
        <v/>
      </c>
      <c r="AG31" t="str">
        <f ca="1"/>
        <v/>
      </c>
      <c r="AH31" t="str">
        <f ca="1"/>
        <v/>
      </c>
      <c r="AI31" t="str">
        <f ca="1"/>
        <v/>
      </c>
      <c r="AJ31" t="str">
        <f ca="1"/>
        <v/>
      </c>
      <c r="AK31" t="str">
        <f ca="1"/>
        <v/>
      </c>
      <c r="AL31" t="str">
        <f ca="1"/>
        <v/>
      </c>
      <c r="AM31" t="str">
        <f ca="1"/>
        <v/>
      </c>
      <c r="AN31" t="str">
        <f ca="1"/>
        <v/>
      </c>
      <c r="AO31" t="str">
        <f ca="1"/>
        <v/>
      </c>
      <c r="AP31" t="str">
        <f ca="1"/>
        <v/>
      </c>
      <c r="AQ31" t="str">
        <f ca="1"/>
        <v/>
      </c>
      <c r="AR31" t="str">
        <f ca="1"/>
        <v/>
      </c>
      <c r="AS31" t="str">
        <f ca="1"/>
        <v/>
      </c>
      <c r="AT31" t="str">
        <f ca="1"/>
        <v/>
      </c>
      <c r="AU31" t="str">
        <f ca="1"/>
        <v/>
      </c>
      <c r="AV31" t="str">
        <f ca="1"/>
        <v/>
      </c>
      <c r="AW31" t="str">
        <f ca="1"/>
        <v/>
      </c>
      <c r="AX31" t="str">
        <f ca="1"/>
        <v/>
      </c>
      <c r="AY31" s="109" t="str">
        <f ca="1"/>
        <v/>
      </c>
      <c r="AZ31" t="str">
        <f ca="1"/>
        <v/>
      </c>
      <c r="BA31" t="str">
        <f ca="1"/>
        <v/>
      </c>
      <c r="BB31" t="str">
        <f ca="1"/>
        <v/>
      </c>
      <c r="BC31" t="str">
        <f ca="1"/>
        <v/>
      </c>
      <c r="BD31" t="str">
        <f ca="1"/>
        <v/>
      </c>
      <c r="BE31" t="str">
        <f ca="1"/>
        <v/>
      </c>
      <c r="BF31" t="str">
        <f ca="1"/>
        <v/>
      </c>
      <c r="BG31" t="str">
        <f ca="1"/>
        <v/>
      </c>
      <c r="BH31" t="str">
        <f ca="1"/>
        <v/>
      </c>
      <c r="BI31" t="str">
        <f ca="1"/>
        <v/>
      </c>
      <c r="BJ31" t="str">
        <f ca="1"/>
        <v/>
      </c>
      <c r="BK31" t="str">
        <f ca="1"/>
        <v/>
      </c>
      <c r="BL31" t="str">
        <f ca="1"/>
        <v/>
      </c>
      <c r="BM31" t="str">
        <f ca="1"/>
        <v/>
      </c>
      <c r="BN31" t="str">
        <f ca="1"/>
        <v/>
      </c>
      <c r="BO31" t="str">
        <f ca="1"/>
        <v/>
      </c>
      <c r="BP31" t="str">
        <f ca="1"/>
        <v/>
      </c>
      <c r="BQ31" t="str">
        <f ca="1"/>
        <v/>
      </c>
      <c r="BR31" t="str">
        <f ca="1"/>
        <v/>
      </c>
      <c r="BS31" t="str">
        <f ca="1"/>
        <v/>
      </c>
      <c r="BT31" t="str">
        <f ca="1"/>
        <v/>
      </c>
      <c r="BU31" t="str">
        <f ca="1"/>
        <v/>
      </c>
      <c r="BV31" t="str">
        <f ca="1"/>
        <v/>
      </c>
      <c r="BW31" t="str">
        <f ca="1"/>
        <v/>
      </c>
      <c r="BX31" t="str">
        <f ca="1"/>
        <v/>
      </c>
      <c r="BY31" t="str">
        <f ca="1"/>
        <v/>
      </c>
      <c r="BZ31" t="str">
        <f ca="1"/>
        <v/>
      </c>
      <c r="CA31" t="str">
        <f ca="1"/>
        <v/>
      </c>
      <c r="CB31" t="str">
        <f ca="1"/>
        <v/>
      </c>
      <c r="CC31" t="str">
        <f ca="1"/>
        <v/>
      </c>
      <c r="CD31" t="str">
        <f ca="1"/>
        <v/>
      </c>
      <c r="CE31" t="str">
        <f ca="1"/>
        <v/>
      </c>
      <c r="CF31" t="str">
        <f ca="1"/>
        <v/>
      </c>
      <c r="CG31" t="str">
        <f ca="1"/>
        <v/>
      </c>
      <c r="CH31" t="str">
        <f ca="1"/>
        <v/>
      </c>
      <c r="CI31" t="str">
        <f ca="1"/>
        <v/>
      </c>
      <c r="CJ31" t="str">
        <f ca="1"/>
        <v/>
      </c>
      <c r="CK31" t="str">
        <f ca="1"/>
        <v/>
      </c>
      <c r="CL31" t="str">
        <f ca="1"/>
        <v/>
      </c>
      <c r="CM31" t="str">
        <f ca="1"/>
        <v/>
      </c>
      <c r="CN31" t="str">
        <f ca="1"/>
        <v/>
      </c>
      <c r="CO31" t="str">
        <f ca="1"/>
        <v/>
      </c>
      <c r="CP31" t="str">
        <f ca="1"/>
        <v/>
      </c>
      <c r="CQ31" t="str">
        <f ca="1"/>
        <v/>
      </c>
      <c r="CR31" t="str">
        <f ca="1"/>
        <v/>
      </c>
      <c r="CS31" t="str">
        <f ca="1"/>
        <v/>
      </c>
      <c r="CT31" t="str">
        <f ca="1"/>
        <v/>
      </c>
      <c r="CU31" t="str">
        <f>IF(ISBLANK(identitasMurid!D34),"",identitasMurid!D34)</f>
        <v/>
      </c>
      <c r="CV31" t="str">
        <f t="shared" si="21"/>
        <v/>
      </c>
      <c r="CW31" t="str">
        <f t="shared" si="0"/>
        <v/>
      </c>
      <c r="CX31" t="str">
        <f t="shared" si="1"/>
        <v/>
      </c>
      <c r="CY31" t="str">
        <f t="shared" si="2"/>
        <v/>
      </c>
      <c r="CZ31" t="str">
        <f t="shared" si="3"/>
        <v/>
      </c>
      <c r="DA31" t="str">
        <f t="shared" si="4"/>
        <v/>
      </c>
      <c r="DB31" t="str">
        <f t="shared" si="5"/>
        <v/>
      </c>
      <c r="DC31" t="str">
        <f t="shared" si="6"/>
        <v/>
      </c>
      <c r="DD31" t="str">
        <f t="shared" si="22"/>
        <v/>
      </c>
      <c r="DE31" t="str">
        <f t="shared" si="7"/>
        <v/>
      </c>
      <c r="DF31" t="str">
        <f t="shared" si="8"/>
        <v/>
      </c>
      <c r="DG31" t="str">
        <f t="shared" si="9"/>
        <v/>
      </c>
      <c r="DH31" t="str">
        <f t="shared" si="10"/>
        <v/>
      </c>
      <c r="DI31" t="str">
        <f t="shared" si="11"/>
        <v/>
      </c>
      <c r="DJ31" t="str">
        <f t="shared" si="12"/>
        <v/>
      </c>
      <c r="DK31" t="str">
        <f t="shared" si="13"/>
        <v/>
      </c>
      <c r="DL31" t="str">
        <f t="shared" si="23"/>
        <v/>
      </c>
      <c r="DM31" t="str">
        <f t="shared" si="14"/>
        <v/>
      </c>
      <c r="DN31" t="str">
        <f t="shared" si="15"/>
        <v/>
      </c>
      <c r="DO31" t="str">
        <f t="shared" si="16"/>
        <v/>
      </c>
      <c r="DP31" t="str">
        <f t="shared" si="17"/>
        <v/>
      </c>
      <c r="DQ31" t="str">
        <f t="shared" si="18"/>
        <v/>
      </c>
      <c r="DR31" t="str">
        <f t="shared" si="19"/>
        <v/>
      </c>
      <c r="DS31" t="str">
        <f t="shared" si="20"/>
        <v/>
      </c>
      <c r="DU31">
        <v>3</v>
      </c>
      <c r="DV31" t="s">
        <v>4</v>
      </c>
      <c r="DX31">
        <f>COUNTIFS($CU$3:$CU$47,LEFT(DX$27,1),$CX$3:$CX$47,DX$28)</f>
        <v>0</v>
      </c>
      <c r="DY31" s="112">
        <f>IF(LEN(profilKelas!$F$14)=0,"",DX31/profilKelas!$F$14)</f>
        <v>0</v>
      </c>
      <c r="DZ31">
        <f>COUNTIFS($CU$3:$CU$47,LEFT(DZ$27,1),$CX$3:$CX$47,DZ$28)</f>
        <v>0</v>
      </c>
      <c r="EA31" s="112">
        <f>IF(LEN(profilKelas!$F$14)=0,"",DZ31/profilKelas!$F$14)</f>
        <v>0</v>
      </c>
      <c r="EB31">
        <f>COUNTIFS($CU$3:$CU$47,LEFT(EB$27,1),$CX$3:$CX$47,EB$28)</f>
        <v>0</v>
      </c>
      <c r="EC31" s="112">
        <f>IF(LEN(profilKelas!$F$14)=0,"",EB31/profilKelas!$F$14)</f>
        <v>0</v>
      </c>
      <c r="ED31">
        <f>COUNTIFS($CU$3:$CU$47,LEFT(ED$27,1),$CX$3:$CX$47,ED$28)</f>
        <v>0</v>
      </c>
      <c r="EE31" s="112">
        <f>IF(LEN(profilKelas!$F$14)=0,"",ED31/profilKelas!$F$14)</f>
        <v>0</v>
      </c>
      <c r="EF31" s="114" t="str">
        <f ca="1"/>
        <v/>
      </c>
      <c r="EG31">
        <v>3</v>
      </c>
      <c r="EH31" t="s">
        <v>4</v>
      </c>
      <c r="EJ31">
        <f>COUNTIFS($CU$3:$CU$47,LEFT(EJ$27,1),$DF$3:$DF$47,EJ$28)</f>
        <v>0</v>
      </c>
      <c r="EK31" s="112">
        <f>IF(LEN(profilKelas!$F$14)=0,"",EJ31/profilKelas!$F$14)</f>
        <v>0</v>
      </c>
      <c r="EL31">
        <f>COUNTIFS($CU$3:$CU$47,LEFT(EL$27,1),$DF$3:$DF$47,EL$28)</f>
        <v>0</v>
      </c>
      <c r="EM31" s="112">
        <f>IF(LEN(profilKelas!$F$14)=0,"",EL31/profilKelas!$F$14)</f>
        <v>0</v>
      </c>
      <c r="EN31">
        <f>COUNTIFS($CU$3:$CU$47,LEFT(EN$27,1),$DF$3:$DF$47,EN$28)</f>
        <v>0</v>
      </c>
      <c r="EO31" s="112">
        <f>IF(LEN(profilKelas!$F$14)=0,"",EN31/profilKelas!$F$14)</f>
        <v>0</v>
      </c>
      <c r="EP31">
        <f>COUNTIFS($CU$3:$CU$47,LEFT(EP$27,1),$DF$3:$DF$47,EP$28)</f>
        <v>0</v>
      </c>
      <c r="EQ31" s="112">
        <f>IF(LEN(profilKelas!$F$14)=0,"",EP31/profilKelas!$F$14)</f>
        <v>0</v>
      </c>
      <c r="ES31">
        <v>3</v>
      </c>
      <c r="ET31" t="s">
        <v>4</v>
      </c>
      <c r="EV31">
        <f>COUNTIFS($CU$3:$CU$47,LEFT(EV$27,1),$DN$3:$DN$47,EV$28)</f>
        <v>0</v>
      </c>
      <c r="EW31" s="112">
        <f>IF(LEN(profilKelas!$F$14)=0,"",EV31/profilKelas!$F$14)</f>
        <v>0</v>
      </c>
      <c r="EX31">
        <f>COUNTIFS($CU$3:$CU$47,LEFT(EX$27,1),$DN$3:$DN$47,EX$28)</f>
        <v>0</v>
      </c>
      <c r="EY31" s="112">
        <f>IF(LEN(profilKelas!$F$14)=0,"",EX31/profilKelas!$F$14)</f>
        <v>0</v>
      </c>
      <c r="EZ31">
        <f>COUNTIFS($CU$3:$CU$47,LEFT(EZ$27,1),$DN$3:$DN$47,EZ$28)</f>
        <v>0</v>
      </c>
      <c r="FA31" s="112">
        <f>IF(LEN(profilKelas!$F$14)=0,"",EZ31/profilKelas!$F$14)</f>
        <v>0</v>
      </c>
      <c r="FB31">
        <f>COUNTIFS($CU$3:$CU$47,LEFT(FB$27,1),$DN$3:$DN$47,FB$28)</f>
        <v>0</v>
      </c>
      <c r="FC31" s="112">
        <f>IF(LEN(profilKelas!$F$14)=0,"",FB31/profilKelas!$F$14)</f>
        <v>0</v>
      </c>
    </row>
    <row r="32" spans="1:159" hidden="1" x14ac:dyDescent="0.3">
      <c r="A32" t="str">
        <f>IF(ROW(A30)&lt;=profilKelas!$F$14,ROW(A30),"")</f>
        <v/>
      </c>
      <c r="B32" t="str">
        <f>IF(ISBLANK(identitasMurid!C35),"",identitasMurid!C35)</f>
        <v/>
      </c>
      <c r="C32" t="str">
        <f ca="1"/>
        <v/>
      </c>
      <c r="D32" t="str">
        <f ca="1"/>
        <v/>
      </c>
      <c r="E32" t="str">
        <f ca="1"/>
        <v/>
      </c>
      <c r="F32" t="str">
        <f ca="1"/>
        <v/>
      </c>
      <c r="G32" t="str">
        <f ca="1"/>
        <v/>
      </c>
      <c r="H32" t="str">
        <f ca="1"/>
        <v/>
      </c>
      <c r="I32" t="str">
        <f ca="1"/>
        <v/>
      </c>
      <c r="J32" t="str">
        <f ca="1"/>
        <v/>
      </c>
      <c r="K32" t="str">
        <f ca="1"/>
        <v/>
      </c>
      <c r="L32" t="str">
        <f ca="1"/>
        <v/>
      </c>
      <c r="M32" t="str">
        <f ca="1"/>
        <v/>
      </c>
      <c r="N32" t="str">
        <f ca="1"/>
        <v/>
      </c>
      <c r="O32" t="str">
        <f ca="1"/>
        <v/>
      </c>
      <c r="P32" t="str">
        <f ca="1"/>
        <v/>
      </c>
      <c r="Q32" t="str">
        <f ca="1"/>
        <v/>
      </c>
      <c r="R32" t="str">
        <f ca="1"/>
        <v/>
      </c>
      <c r="S32" t="str">
        <f ca="1"/>
        <v/>
      </c>
      <c r="T32" t="str">
        <f ca="1"/>
        <v/>
      </c>
      <c r="U32" t="str">
        <f ca="1"/>
        <v/>
      </c>
      <c r="V32" t="str">
        <f ca="1"/>
        <v/>
      </c>
      <c r="W32" t="str">
        <f ca="1"/>
        <v/>
      </c>
      <c r="X32" t="str">
        <f ca="1"/>
        <v/>
      </c>
      <c r="Y32" t="str">
        <f ca="1"/>
        <v/>
      </c>
      <c r="Z32" t="str">
        <f ca="1"/>
        <v/>
      </c>
      <c r="AA32" t="str">
        <f ca="1"/>
        <v/>
      </c>
      <c r="AB32" t="str">
        <f ca="1"/>
        <v/>
      </c>
      <c r="AC32" t="str">
        <f ca="1"/>
        <v/>
      </c>
      <c r="AD32" t="str">
        <f ca="1"/>
        <v/>
      </c>
      <c r="AE32" t="str">
        <f ca="1"/>
        <v/>
      </c>
      <c r="AF32" t="str">
        <f ca="1"/>
        <v/>
      </c>
      <c r="AG32" t="str">
        <f ca="1"/>
        <v/>
      </c>
      <c r="AH32" t="str">
        <f ca="1"/>
        <v/>
      </c>
      <c r="AI32" t="str">
        <f ca="1"/>
        <v/>
      </c>
      <c r="AJ32" t="str">
        <f ca="1"/>
        <v/>
      </c>
      <c r="AK32" t="str">
        <f ca="1"/>
        <v/>
      </c>
      <c r="AL32" t="str">
        <f ca="1"/>
        <v/>
      </c>
      <c r="AM32" t="str">
        <f ca="1"/>
        <v/>
      </c>
      <c r="AN32" t="str">
        <f ca="1"/>
        <v/>
      </c>
      <c r="AO32" t="str">
        <f ca="1"/>
        <v/>
      </c>
      <c r="AP32" t="str">
        <f ca="1"/>
        <v/>
      </c>
      <c r="AQ32" t="str">
        <f ca="1"/>
        <v/>
      </c>
      <c r="AR32" t="str">
        <f ca="1"/>
        <v/>
      </c>
      <c r="AS32" t="str">
        <f ca="1"/>
        <v/>
      </c>
      <c r="AT32" t="str">
        <f ca="1"/>
        <v/>
      </c>
      <c r="AU32" t="str">
        <f ca="1"/>
        <v/>
      </c>
      <c r="AV32" t="str">
        <f ca="1"/>
        <v/>
      </c>
      <c r="AW32" t="str">
        <f ca="1"/>
        <v/>
      </c>
      <c r="AX32" t="str">
        <f ca="1"/>
        <v/>
      </c>
      <c r="AY32" s="109" t="str">
        <f ca="1"/>
        <v/>
      </c>
      <c r="AZ32" t="str">
        <f ca="1"/>
        <v/>
      </c>
      <c r="BA32" t="str">
        <f ca="1"/>
        <v/>
      </c>
      <c r="BB32" t="str">
        <f ca="1"/>
        <v/>
      </c>
      <c r="BC32" t="str">
        <f ca="1"/>
        <v/>
      </c>
      <c r="BD32" t="str">
        <f ca="1"/>
        <v/>
      </c>
      <c r="BE32" t="str">
        <f ca="1"/>
        <v/>
      </c>
      <c r="BF32" t="str">
        <f ca="1"/>
        <v/>
      </c>
      <c r="BG32" t="str">
        <f ca="1"/>
        <v/>
      </c>
      <c r="BH32" t="str">
        <f ca="1"/>
        <v/>
      </c>
      <c r="BI32" t="str">
        <f ca="1"/>
        <v/>
      </c>
      <c r="BJ32" t="str">
        <f ca="1"/>
        <v/>
      </c>
      <c r="BK32" t="str">
        <f ca="1"/>
        <v/>
      </c>
      <c r="BL32" t="str">
        <f ca="1"/>
        <v/>
      </c>
      <c r="BM32" t="str">
        <f ca="1"/>
        <v/>
      </c>
      <c r="BN32" t="str">
        <f ca="1"/>
        <v/>
      </c>
      <c r="BO32" t="str">
        <f ca="1"/>
        <v/>
      </c>
      <c r="BP32" t="str">
        <f ca="1"/>
        <v/>
      </c>
      <c r="BQ32" t="str">
        <f ca="1"/>
        <v/>
      </c>
      <c r="BR32" t="str">
        <f ca="1"/>
        <v/>
      </c>
      <c r="BS32" t="str">
        <f ca="1"/>
        <v/>
      </c>
      <c r="BT32" t="str">
        <f ca="1"/>
        <v/>
      </c>
      <c r="BU32" t="str">
        <f ca="1"/>
        <v/>
      </c>
      <c r="BV32" t="str">
        <f ca="1"/>
        <v/>
      </c>
      <c r="BW32" t="str">
        <f ca="1"/>
        <v/>
      </c>
      <c r="BX32" t="str">
        <f ca="1"/>
        <v/>
      </c>
      <c r="BY32" t="str">
        <f ca="1"/>
        <v/>
      </c>
      <c r="BZ32" t="str">
        <f ca="1"/>
        <v/>
      </c>
      <c r="CA32" t="str">
        <f ca="1"/>
        <v/>
      </c>
      <c r="CB32" t="str">
        <f ca="1"/>
        <v/>
      </c>
      <c r="CC32" t="str">
        <f ca="1"/>
        <v/>
      </c>
      <c r="CD32" t="str">
        <f ca="1"/>
        <v/>
      </c>
      <c r="CE32" t="str">
        <f ca="1"/>
        <v/>
      </c>
      <c r="CF32" t="str">
        <f ca="1"/>
        <v/>
      </c>
      <c r="CG32" t="str">
        <f ca="1"/>
        <v/>
      </c>
      <c r="CH32" t="str">
        <f ca="1"/>
        <v/>
      </c>
      <c r="CI32" t="str">
        <f ca="1"/>
        <v/>
      </c>
      <c r="CJ32" t="str">
        <f ca="1"/>
        <v/>
      </c>
      <c r="CK32" t="str">
        <f ca="1"/>
        <v/>
      </c>
      <c r="CL32" t="str">
        <f ca="1"/>
        <v/>
      </c>
      <c r="CM32" t="str">
        <f ca="1"/>
        <v/>
      </c>
      <c r="CN32" t="str">
        <f ca="1"/>
        <v/>
      </c>
      <c r="CO32" t="str">
        <f ca="1"/>
        <v/>
      </c>
      <c r="CP32" t="str">
        <f ca="1"/>
        <v/>
      </c>
      <c r="CQ32" t="str">
        <f ca="1"/>
        <v/>
      </c>
      <c r="CR32" t="str">
        <f ca="1"/>
        <v/>
      </c>
      <c r="CS32" t="str">
        <f ca="1"/>
        <v/>
      </c>
      <c r="CT32" t="str">
        <f ca="1"/>
        <v/>
      </c>
      <c r="CU32" t="str">
        <f>IF(ISBLANK(identitasMurid!D35),"",identitasMurid!D35)</f>
        <v/>
      </c>
      <c r="CV32" t="str">
        <f t="shared" si="21"/>
        <v/>
      </c>
      <c r="CW32" t="str">
        <f t="shared" si="0"/>
        <v/>
      </c>
      <c r="CX32" t="str">
        <f t="shared" si="1"/>
        <v/>
      </c>
      <c r="CY32" t="str">
        <f t="shared" si="2"/>
        <v/>
      </c>
      <c r="CZ32" t="str">
        <f t="shared" si="3"/>
        <v/>
      </c>
      <c r="DA32" t="str">
        <f t="shared" si="4"/>
        <v/>
      </c>
      <c r="DB32" t="str">
        <f t="shared" si="5"/>
        <v/>
      </c>
      <c r="DC32" t="str">
        <f t="shared" si="6"/>
        <v/>
      </c>
      <c r="DD32" t="str">
        <f t="shared" si="22"/>
        <v/>
      </c>
      <c r="DE32" t="str">
        <f t="shared" si="7"/>
        <v/>
      </c>
      <c r="DF32" t="str">
        <f t="shared" si="8"/>
        <v/>
      </c>
      <c r="DG32" t="str">
        <f t="shared" si="9"/>
        <v/>
      </c>
      <c r="DH32" t="str">
        <f t="shared" si="10"/>
        <v/>
      </c>
      <c r="DI32" t="str">
        <f t="shared" si="11"/>
        <v/>
      </c>
      <c r="DJ32" t="str">
        <f t="shared" si="12"/>
        <v/>
      </c>
      <c r="DK32" t="str">
        <f t="shared" si="13"/>
        <v/>
      </c>
      <c r="DL32" t="str">
        <f t="shared" si="23"/>
        <v/>
      </c>
      <c r="DM32" t="str">
        <f t="shared" si="14"/>
        <v/>
      </c>
      <c r="DN32" t="str">
        <f t="shared" si="15"/>
        <v/>
      </c>
      <c r="DO32" t="str">
        <f t="shared" si="16"/>
        <v/>
      </c>
      <c r="DP32" t="str">
        <f t="shared" si="17"/>
        <v/>
      </c>
      <c r="DQ32" t="str">
        <f t="shared" si="18"/>
        <v/>
      </c>
      <c r="DR32" t="str">
        <f t="shared" si="19"/>
        <v/>
      </c>
      <c r="DS32" t="str">
        <f t="shared" si="20"/>
        <v/>
      </c>
      <c r="DU32">
        <v>4</v>
      </c>
      <c r="DV32" t="s">
        <v>5</v>
      </c>
      <c r="DX32">
        <f>COUNTIFS($CU$3:$CU$47,LEFT(DX$27,1),$CY$3:$CY$47,DX$28)</f>
        <v>0</v>
      </c>
      <c r="DY32" s="112">
        <f>IF(LEN(profilKelas!$F$14)=0,"",DX32/profilKelas!$F$14)</f>
        <v>0</v>
      </c>
      <c r="DZ32">
        <f>COUNTIFS($CU$3:$CU$47,LEFT(DZ$27,1),$CY$3:$CY$47,DZ$28)</f>
        <v>0</v>
      </c>
      <c r="EA32" s="112">
        <f>IF(LEN(profilKelas!$F$14)=0,"",DZ32/profilKelas!$F$14)</f>
        <v>0</v>
      </c>
      <c r="EB32">
        <f>COUNTIFS($CU$3:$CU$47,LEFT(EB$27,1),$CY$3:$CY$47,EB$28)</f>
        <v>0</v>
      </c>
      <c r="EC32" s="112">
        <f>IF(LEN(profilKelas!$F$14)=0,"",EB32/profilKelas!$F$14)</f>
        <v>0</v>
      </c>
      <c r="ED32">
        <f>COUNTIFS($CU$3:$CU$47,LEFT(ED$27,1),$CY$3:$CY$47,ED$28)</f>
        <v>0</v>
      </c>
      <c r="EE32" s="112">
        <f>IF(LEN(profilKelas!$F$14)=0,"",ED32/profilKelas!$F$14)</f>
        <v>0</v>
      </c>
      <c r="EF32" s="114" t="str">
        <f ca="1"/>
        <v/>
      </c>
      <c r="EG32">
        <v>4</v>
      </c>
      <c r="EH32" t="s">
        <v>5</v>
      </c>
      <c r="EJ32">
        <f>COUNTIFS($CU$3:$CU$47,LEFT(EJ$27,1),$DG$3:$DG$47,EJ$28)</f>
        <v>0</v>
      </c>
      <c r="EK32" s="112">
        <f>IF(LEN(profilKelas!$F$14)=0,"",EJ32/profilKelas!$F$14)</f>
        <v>0</v>
      </c>
      <c r="EL32">
        <f>COUNTIFS($CU$3:$CU$47,LEFT(EL$27,1),$DG$3:$DG$47,EL$28)</f>
        <v>0</v>
      </c>
      <c r="EM32" s="112">
        <f>IF(LEN(profilKelas!$F$14)=0,"",EL32/profilKelas!$F$14)</f>
        <v>0</v>
      </c>
      <c r="EN32">
        <f>COUNTIFS($CU$3:$CU$47,LEFT(EN$27,1),$DG$3:$DG$47,EN$28)</f>
        <v>0</v>
      </c>
      <c r="EO32" s="112">
        <f>IF(LEN(profilKelas!$F$14)=0,"",EN32/profilKelas!$F$14)</f>
        <v>0</v>
      </c>
      <c r="EP32">
        <f>COUNTIFS($CU$3:$CU$47,LEFT(EP$27,1),$DG$3:$DG$47,EP$28)</f>
        <v>0</v>
      </c>
      <c r="EQ32" s="112">
        <f>IF(LEN(profilKelas!$F$14)=0,"",EP32/profilKelas!$F$14)</f>
        <v>0</v>
      </c>
      <c r="ES32">
        <v>4</v>
      </c>
      <c r="ET32" t="s">
        <v>5</v>
      </c>
      <c r="EV32">
        <f>COUNTIFS($CU$3:$CU$47,LEFT(EV$27,1),$DO$3:$DO$47,EV$28)</f>
        <v>0</v>
      </c>
      <c r="EW32" s="112">
        <f>IF(LEN(profilKelas!$F$14)=0,"",EV32/profilKelas!$F$14)</f>
        <v>0</v>
      </c>
      <c r="EX32">
        <f>COUNTIFS($CU$3:$CU$47,LEFT(EX$27,1),$DO$3:$DO$47,EX$28)</f>
        <v>0</v>
      </c>
      <c r="EY32" s="112">
        <f>IF(LEN(profilKelas!$F$14)=0,"",EX32/profilKelas!$F$14)</f>
        <v>0</v>
      </c>
      <c r="EZ32">
        <f>COUNTIFS($CU$3:$CU$47,LEFT(EZ$27,1),$DO$3:$DO$47,EZ$28)</f>
        <v>0</v>
      </c>
      <c r="FA32" s="112">
        <f>IF(LEN(profilKelas!$F$14)=0,"",EZ32/profilKelas!$F$14)</f>
        <v>0</v>
      </c>
      <c r="FB32">
        <f>COUNTIFS($CU$3:$CU$47,LEFT(FB$27,1),$DO$3:$DO$47,FB$28)</f>
        <v>0</v>
      </c>
      <c r="FC32" s="112">
        <f>IF(LEN(profilKelas!$F$14)=0,"",FB32/profilKelas!$F$14)</f>
        <v>0</v>
      </c>
    </row>
    <row r="33" spans="1:159" hidden="1" x14ac:dyDescent="0.3">
      <c r="A33" t="str">
        <f>IF(ROW(A31)&lt;=profilKelas!$F$14,ROW(A31),"")</f>
        <v/>
      </c>
      <c r="B33" t="str">
        <f>IF(ISBLANK(identitasMurid!C36),"",identitasMurid!C36)</f>
        <v/>
      </c>
      <c r="C33" t="str">
        <f ca="1"/>
        <v/>
      </c>
      <c r="D33" t="str">
        <f ca="1"/>
        <v/>
      </c>
      <c r="E33" t="str">
        <f ca="1"/>
        <v/>
      </c>
      <c r="F33" t="str">
        <f ca="1"/>
        <v/>
      </c>
      <c r="G33" t="str">
        <f ca="1"/>
        <v/>
      </c>
      <c r="H33" t="str">
        <f ca="1"/>
        <v/>
      </c>
      <c r="I33" t="str">
        <f ca="1"/>
        <v/>
      </c>
      <c r="J33" t="str">
        <f ca="1"/>
        <v/>
      </c>
      <c r="K33" t="str">
        <f ca="1"/>
        <v/>
      </c>
      <c r="L33" t="str">
        <f ca="1"/>
        <v/>
      </c>
      <c r="M33" t="str">
        <f ca="1"/>
        <v/>
      </c>
      <c r="N33" t="str">
        <f ca="1"/>
        <v/>
      </c>
      <c r="O33" t="str">
        <f ca="1"/>
        <v/>
      </c>
      <c r="P33" t="str">
        <f ca="1"/>
        <v/>
      </c>
      <c r="Q33" t="str">
        <f ca="1"/>
        <v/>
      </c>
      <c r="R33" t="str">
        <f ca="1"/>
        <v/>
      </c>
      <c r="S33" t="str">
        <f ca="1"/>
        <v/>
      </c>
      <c r="T33" t="str">
        <f ca="1"/>
        <v/>
      </c>
      <c r="U33" t="str">
        <f ca="1"/>
        <v/>
      </c>
      <c r="V33" t="str">
        <f ca="1"/>
        <v/>
      </c>
      <c r="W33" t="str">
        <f ca="1"/>
        <v/>
      </c>
      <c r="X33" t="str">
        <f ca="1"/>
        <v/>
      </c>
      <c r="Y33" t="str">
        <f ca="1"/>
        <v/>
      </c>
      <c r="Z33" t="str">
        <f ca="1"/>
        <v/>
      </c>
      <c r="AA33" t="str">
        <f ca="1"/>
        <v/>
      </c>
      <c r="AB33" t="str">
        <f ca="1"/>
        <v/>
      </c>
      <c r="AC33" t="str">
        <f ca="1"/>
        <v/>
      </c>
      <c r="AD33" t="str">
        <f ca="1"/>
        <v/>
      </c>
      <c r="AE33" t="str">
        <f ca="1"/>
        <v/>
      </c>
      <c r="AF33" t="str">
        <f ca="1"/>
        <v/>
      </c>
      <c r="AG33" t="str">
        <f ca="1"/>
        <v/>
      </c>
      <c r="AH33" t="str">
        <f ca="1"/>
        <v/>
      </c>
      <c r="AI33" t="str">
        <f ca="1"/>
        <v/>
      </c>
      <c r="AJ33" t="str">
        <f ca="1"/>
        <v/>
      </c>
      <c r="AK33" t="str">
        <f ca="1"/>
        <v/>
      </c>
      <c r="AL33" t="str">
        <f ca="1"/>
        <v/>
      </c>
      <c r="AM33" t="str">
        <f ca="1"/>
        <v/>
      </c>
      <c r="AN33" t="str">
        <f ca="1"/>
        <v/>
      </c>
      <c r="AO33" t="str">
        <f ca="1"/>
        <v/>
      </c>
      <c r="AP33" t="str">
        <f ca="1"/>
        <v/>
      </c>
      <c r="AQ33" t="str">
        <f ca="1"/>
        <v/>
      </c>
      <c r="AR33" t="str">
        <f ca="1"/>
        <v/>
      </c>
      <c r="AS33" t="str">
        <f ca="1"/>
        <v/>
      </c>
      <c r="AT33" t="str">
        <f ca="1"/>
        <v/>
      </c>
      <c r="AU33" t="str">
        <f ca="1"/>
        <v/>
      </c>
      <c r="AV33" t="str">
        <f ca="1"/>
        <v/>
      </c>
      <c r="AW33" t="str">
        <f ca="1"/>
        <v/>
      </c>
      <c r="AX33" t="str">
        <f ca="1"/>
        <v/>
      </c>
      <c r="AY33" s="109" t="str">
        <f ca="1"/>
        <v/>
      </c>
      <c r="AZ33" t="str">
        <f ca="1"/>
        <v/>
      </c>
      <c r="BA33" t="str">
        <f ca="1"/>
        <v/>
      </c>
      <c r="BB33" t="str">
        <f ca="1"/>
        <v/>
      </c>
      <c r="BC33" t="str">
        <f ca="1"/>
        <v/>
      </c>
      <c r="BD33" t="str">
        <f ca="1"/>
        <v/>
      </c>
      <c r="BE33" t="str">
        <f ca="1"/>
        <v/>
      </c>
      <c r="BF33" t="str">
        <f ca="1"/>
        <v/>
      </c>
      <c r="BG33" t="str">
        <f ca="1"/>
        <v/>
      </c>
      <c r="BH33" t="str">
        <f ca="1"/>
        <v/>
      </c>
      <c r="BI33" t="str">
        <f ca="1"/>
        <v/>
      </c>
      <c r="BJ33" t="str">
        <f ca="1"/>
        <v/>
      </c>
      <c r="BK33" t="str">
        <f ca="1"/>
        <v/>
      </c>
      <c r="BL33" t="str">
        <f ca="1"/>
        <v/>
      </c>
      <c r="BM33" t="str">
        <f ca="1"/>
        <v/>
      </c>
      <c r="BN33" t="str">
        <f ca="1"/>
        <v/>
      </c>
      <c r="BO33" t="str">
        <f ca="1"/>
        <v/>
      </c>
      <c r="BP33" t="str">
        <f ca="1"/>
        <v/>
      </c>
      <c r="BQ33" t="str">
        <f ca="1"/>
        <v/>
      </c>
      <c r="BR33" t="str">
        <f ca="1"/>
        <v/>
      </c>
      <c r="BS33" t="str">
        <f ca="1"/>
        <v/>
      </c>
      <c r="BT33" t="str">
        <f ca="1"/>
        <v/>
      </c>
      <c r="BU33" t="str">
        <f ca="1"/>
        <v/>
      </c>
      <c r="BV33" t="str">
        <f ca="1"/>
        <v/>
      </c>
      <c r="BW33" t="str">
        <f ca="1"/>
        <v/>
      </c>
      <c r="BX33" t="str">
        <f ca="1"/>
        <v/>
      </c>
      <c r="BY33" t="str">
        <f ca="1"/>
        <v/>
      </c>
      <c r="BZ33" t="str">
        <f ca="1"/>
        <v/>
      </c>
      <c r="CA33" t="str">
        <f ca="1"/>
        <v/>
      </c>
      <c r="CB33" t="str">
        <f ca="1"/>
        <v/>
      </c>
      <c r="CC33" t="str">
        <f ca="1"/>
        <v/>
      </c>
      <c r="CD33" t="str">
        <f ca="1"/>
        <v/>
      </c>
      <c r="CE33" t="str">
        <f ca="1"/>
        <v/>
      </c>
      <c r="CF33" t="str">
        <f ca="1"/>
        <v/>
      </c>
      <c r="CG33" t="str">
        <f ca="1"/>
        <v/>
      </c>
      <c r="CH33" t="str">
        <f ca="1"/>
        <v/>
      </c>
      <c r="CI33" t="str">
        <f ca="1"/>
        <v/>
      </c>
      <c r="CJ33" t="str">
        <f ca="1"/>
        <v/>
      </c>
      <c r="CK33" t="str">
        <f ca="1"/>
        <v/>
      </c>
      <c r="CL33" t="str">
        <f ca="1"/>
        <v/>
      </c>
      <c r="CM33" t="str">
        <f ca="1"/>
        <v/>
      </c>
      <c r="CN33" t="str">
        <f ca="1"/>
        <v/>
      </c>
      <c r="CO33" t="str">
        <f ca="1"/>
        <v/>
      </c>
      <c r="CP33" t="str">
        <f ca="1"/>
        <v/>
      </c>
      <c r="CQ33" t="str">
        <f ca="1"/>
        <v/>
      </c>
      <c r="CR33" t="str">
        <f ca="1"/>
        <v/>
      </c>
      <c r="CS33" t="str">
        <f ca="1"/>
        <v/>
      </c>
      <c r="CT33" t="str">
        <f ca="1"/>
        <v/>
      </c>
      <c r="CU33" t="str">
        <f>IF(ISBLANK(identitasMurid!D36),"",identitasMurid!D36)</f>
        <v/>
      </c>
      <c r="CV33" t="str">
        <f t="shared" si="21"/>
        <v/>
      </c>
      <c r="CW33" t="str">
        <f t="shared" si="0"/>
        <v/>
      </c>
      <c r="CX33" t="str">
        <f t="shared" si="1"/>
        <v/>
      </c>
      <c r="CY33" t="str">
        <f t="shared" si="2"/>
        <v/>
      </c>
      <c r="CZ33" t="str">
        <f t="shared" si="3"/>
        <v/>
      </c>
      <c r="DA33" t="str">
        <f t="shared" si="4"/>
        <v/>
      </c>
      <c r="DB33" t="str">
        <f t="shared" si="5"/>
        <v/>
      </c>
      <c r="DC33" t="str">
        <f t="shared" si="6"/>
        <v/>
      </c>
      <c r="DD33" t="str">
        <f t="shared" si="22"/>
        <v/>
      </c>
      <c r="DE33" t="str">
        <f t="shared" si="7"/>
        <v/>
      </c>
      <c r="DF33" t="str">
        <f t="shared" si="8"/>
        <v/>
      </c>
      <c r="DG33" t="str">
        <f t="shared" si="9"/>
        <v/>
      </c>
      <c r="DH33" t="str">
        <f t="shared" si="10"/>
        <v/>
      </c>
      <c r="DI33" t="str">
        <f t="shared" si="11"/>
        <v/>
      </c>
      <c r="DJ33" t="str">
        <f t="shared" si="12"/>
        <v/>
      </c>
      <c r="DK33" t="str">
        <f t="shared" si="13"/>
        <v/>
      </c>
      <c r="DL33" t="str">
        <f t="shared" si="23"/>
        <v/>
      </c>
      <c r="DM33" t="str">
        <f t="shared" si="14"/>
        <v/>
      </c>
      <c r="DN33" t="str">
        <f t="shared" si="15"/>
        <v/>
      </c>
      <c r="DO33" t="str">
        <f t="shared" si="16"/>
        <v/>
      </c>
      <c r="DP33" t="str">
        <f t="shared" si="17"/>
        <v/>
      </c>
      <c r="DQ33" t="str">
        <f t="shared" si="18"/>
        <v/>
      </c>
      <c r="DR33" t="str">
        <f t="shared" si="19"/>
        <v/>
      </c>
      <c r="DS33" t="str">
        <f t="shared" si="20"/>
        <v/>
      </c>
      <c r="DU33">
        <v>5</v>
      </c>
      <c r="DV33" t="s">
        <v>6</v>
      </c>
      <c r="DX33">
        <f>COUNTIFS($CU$3:$CU$47,LEFT(DX$27,1),$CZ$3:$CZ$47,DX$28)</f>
        <v>0</v>
      </c>
      <c r="DY33" s="112">
        <f>IF(LEN(profilKelas!$F$14)=0,"",DX33/profilKelas!$F$14)</f>
        <v>0</v>
      </c>
      <c r="DZ33">
        <f>COUNTIFS($CU$3:$CU$47,LEFT(DZ$27,1),$CZ$3:$CZ$47,DZ$28)</f>
        <v>0</v>
      </c>
      <c r="EA33" s="112">
        <f>IF(LEN(profilKelas!$F$14)=0,"",DZ33/profilKelas!$F$14)</f>
        <v>0</v>
      </c>
      <c r="EB33">
        <f>COUNTIFS($CU$3:$CU$47,LEFT(EB$27,1),$CZ$3:$CZ$47,EB$28)</f>
        <v>0</v>
      </c>
      <c r="EC33" s="112">
        <f>IF(LEN(profilKelas!$F$14)=0,"",EB33/profilKelas!$F$14)</f>
        <v>0</v>
      </c>
      <c r="ED33">
        <f>COUNTIFS($CU$3:$CU$47,LEFT(ED$27,1),$CZ$3:$CZ$47,ED$28)</f>
        <v>0</v>
      </c>
      <c r="EE33" s="112">
        <f>IF(LEN(profilKelas!$F$14)=0,"",ED33/profilKelas!$F$14)</f>
        <v>0</v>
      </c>
      <c r="EF33" s="114" t="str">
        <f ca="1"/>
        <v/>
      </c>
      <c r="EG33">
        <v>5</v>
      </c>
      <c r="EH33" t="s">
        <v>6</v>
      </c>
      <c r="EJ33">
        <f>COUNTIFS($CU$3:$CU$47,LEFT(EJ$27,1),$DH$3:$DH$47,EJ$28)</f>
        <v>0</v>
      </c>
      <c r="EK33" s="112">
        <f>IF(LEN(profilKelas!$F$14)=0,"",EJ33/profilKelas!$F$14)</f>
        <v>0</v>
      </c>
      <c r="EL33">
        <f>COUNTIFS($CU$3:$CU$47,LEFT(EL$27,1),$DH$3:$DH$47,EL$28)</f>
        <v>0</v>
      </c>
      <c r="EM33" s="112">
        <f>IF(LEN(profilKelas!$F$14)=0,"",EL33/profilKelas!$F$14)</f>
        <v>0</v>
      </c>
      <c r="EN33">
        <f>COUNTIFS($CU$3:$CU$47,LEFT(EN$27,1),$DH$3:$DH$47,EN$28)</f>
        <v>0</v>
      </c>
      <c r="EO33" s="112">
        <f>IF(LEN(profilKelas!$F$14)=0,"",EN33/profilKelas!$F$14)</f>
        <v>0</v>
      </c>
      <c r="EP33">
        <f>COUNTIFS($CU$3:$CU$47,LEFT(EP$27,1),$DH$3:$DH$47,EP$28)</f>
        <v>0</v>
      </c>
      <c r="EQ33" s="112">
        <f>IF(LEN(profilKelas!$F$14)=0,"",EP33/profilKelas!$F$14)</f>
        <v>0</v>
      </c>
      <c r="ES33">
        <v>5</v>
      </c>
      <c r="ET33" t="s">
        <v>6</v>
      </c>
      <c r="EV33">
        <f>COUNTIFS($CU$3:$CU$47,LEFT(EV$27,1),$DP$3:$DP$47,EV$28)</f>
        <v>0</v>
      </c>
      <c r="EW33" s="112">
        <f>IF(LEN(profilKelas!$F$14)=0,"",EV33/profilKelas!$F$14)</f>
        <v>0</v>
      </c>
      <c r="EX33">
        <f>COUNTIFS($CU$3:$CU$47,LEFT(EX$27,1),$DP$3:$DP$47,EX$28)</f>
        <v>0</v>
      </c>
      <c r="EY33" s="112">
        <f>IF(LEN(profilKelas!$F$14)=0,"",EX33/profilKelas!$F$14)</f>
        <v>0</v>
      </c>
      <c r="EZ33">
        <f>COUNTIFS($CU$3:$CU$47,LEFT(EZ$27,1),$DP$3:$DP$47,EZ$28)</f>
        <v>0</v>
      </c>
      <c r="FA33" s="112">
        <f>IF(LEN(profilKelas!$F$14)=0,"",EZ33/profilKelas!$F$14)</f>
        <v>0</v>
      </c>
      <c r="FB33">
        <f>COUNTIFS($CU$3:$CU$47,LEFT(FB$27,1),$DP$3:$DP$47,FB$28)</f>
        <v>0</v>
      </c>
      <c r="FC33" s="112">
        <f>IF(LEN(profilKelas!$F$14)=0,"",FB33/profilKelas!$F$14)</f>
        <v>0</v>
      </c>
    </row>
    <row r="34" spans="1:159" hidden="1" x14ac:dyDescent="0.3">
      <c r="A34" t="str">
        <f>IF(ROW(A32)&lt;=profilKelas!$F$14,ROW(A32),"")</f>
        <v/>
      </c>
      <c r="B34" t="str">
        <f>IF(ISBLANK(identitasMurid!C37),"",identitasMurid!C37)</f>
        <v/>
      </c>
      <c r="C34" t="str">
        <f ca="1"/>
        <v/>
      </c>
      <c r="D34" t="str">
        <f ca="1"/>
        <v/>
      </c>
      <c r="E34" t="str">
        <f ca="1"/>
        <v/>
      </c>
      <c r="F34" t="str">
        <f ca="1"/>
        <v/>
      </c>
      <c r="G34" t="str">
        <f ca="1"/>
        <v/>
      </c>
      <c r="H34" t="str">
        <f ca="1"/>
        <v/>
      </c>
      <c r="I34" t="str">
        <f ca="1"/>
        <v/>
      </c>
      <c r="J34" t="str">
        <f ca="1"/>
        <v/>
      </c>
      <c r="K34" t="str">
        <f ca="1"/>
        <v/>
      </c>
      <c r="L34" t="str">
        <f ca="1"/>
        <v/>
      </c>
      <c r="M34" t="str">
        <f ca="1"/>
        <v/>
      </c>
      <c r="N34" t="str">
        <f ca="1"/>
        <v/>
      </c>
      <c r="O34" t="str">
        <f ca="1"/>
        <v/>
      </c>
      <c r="P34" t="str">
        <f ca="1"/>
        <v/>
      </c>
      <c r="Q34" t="str">
        <f ca="1"/>
        <v/>
      </c>
      <c r="R34" t="str">
        <f ca="1"/>
        <v/>
      </c>
      <c r="S34" t="str">
        <f ca="1"/>
        <v/>
      </c>
      <c r="T34" t="str">
        <f ca="1"/>
        <v/>
      </c>
      <c r="U34" t="str">
        <f ca="1"/>
        <v/>
      </c>
      <c r="V34" t="str">
        <f ca="1"/>
        <v/>
      </c>
      <c r="W34" t="str">
        <f ca="1"/>
        <v/>
      </c>
      <c r="X34" t="str">
        <f ca="1"/>
        <v/>
      </c>
      <c r="Y34" t="str">
        <f ca="1"/>
        <v/>
      </c>
      <c r="Z34" t="str">
        <f ca="1"/>
        <v/>
      </c>
      <c r="AA34" t="str">
        <f ca="1"/>
        <v/>
      </c>
      <c r="AB34" t="str">
        <f ca="1"/>
        <v/>
      </c>
      <c r="AC34" t="str">
        <f ca="1"/>
        <v/>
      </c>
      <c r="AD34" t="str">
        <f ca="1"/>
        <v/>
      </c>
      <c r="AE34" t="str">
        <f ca="1"/>
        <v/>
      </c>
      <c r="AF34" t="str">
        <f ca="1"/>
        <v/>
      </c>
      <c r="AG34" t="str">
        <f ca="1"/>
        <v/>
      </c>
      <c r="AH34" t="str">
        <f ca="1"/>
        <v/>
      </c>
      <c r="AI34" t="str">
        <f ca="1"/>
        <v/>
      </c>
      <c r="AJ34" t="str">
        <f ca="1"/>
        <v/>
      </c>
      <c r="AK34" t="str">
        <f ca="1"/>
        <v/>
      </c>
      <c r="AL34" t="str">
        <f ca="1"/>
        <v/>
      </c>
      <c r="AM34" t="str">
        <f ca="1"/>
        <v/>
      </c>
      <c r="AN34" t="str">
        <f ca="1"/>
        <v/>
      </c>
      <c r="AO34" t="str">
        <f ca="1"/>
        <v/>
      </c>
      <c r="AP34" t="str">
        <f ca="1"/>
        <v/>
      </c>
      <c r="AQ34" t="str">
        <f ca="1"/>
        <v/>
      </c>
      <c r="AR34" t="str">
        <f ca="1"/>
        <v/>
      </c>
      <c r="AS34" t="str">
        <f ca="1"/>
        <v/>
      </c>
      <c r="AT34" t="str">
        <f ca="1"/>
        <v/>
      </c>
      <c r="AU34" t="str">
        <f ca="1"/>
        <v/>
      </c>
      <c r="AV34" t="str">
        <f ca="1"/>
        <v/>
      </c>
      <c r="AW34" t="str">
        <f ca="1"/>
        <v/>
      </c>
      <c r="AX34" t="str">
        <f ca="1"/>
        <v/>
      </c>
      <c r="AY34" s="109" t="str">
        <f ca="1"/>
        <v/>
      </c>
      <c r="AZ34" t="str">
        <f ca="1"/>
        <v/>
      </c>
      <c r="BA34" t="str">
        <f ca="1"/>
        <v/>
      </c>
      <c r="BB34" t="str">
        <f ca="1"/>
        <v/>
      </c>
      <c r="BC34" t="str">
        <f ca="1"/>
        <v/>
      </c>
      <c r="BD34" t="str">
        <f ca="1"/>
        <v/>
      </c>
      <c r="BE34" t="str">
        <f ca="1"/>
        <v/>
      </c>
      <c r="BF34" t="str">
        <f ca="1"/>
        <v/>
      </c>
      <c r="BG34" t="str">
        <f ca="1"/>
        <v/>
      </c>
      <c r="BH34" t="str">
        <f ca="1"/>
        <v/>
      </c>
      <c r="BI34" t="str">
        <f ca="1"/>
        <v/>
      </c>
      <c r="BJ34" t="str">
        <f ca="1"/>
        <v/>
      </c>
      <c r="BK34" t="str">
        <f ca="1"/>
        <v/>
      </c>
      <c r="BL34" t="str">
        <f ca="1"/>
        <v/>
      </c>
      <c r="BM34" t="str">
        <f ca="1"/>
        <v/>
      </c>
      <c r="BN34" t="str">
        <f ca="1"/>
        <v/>
      </c>
      <c r="BO34" t="str">
        <f ca="1"/>
        <v/>
      </c>
      <c r="BP34" t="str">
        <f ca="1"/>
        <v/>
      </c>
      <c r="BQ34" t="str">
        <f ca="1"/>
        <v/>
      </c>
      <c r="BR34" t="str">
        <f ca="1"/>
        <v/>
      </c>
      <c r="BS34" t="str">
        <f ca="1"/>
        <v/>
      </c>
      <c r="BT34" t="str">
        <f ca="1"/>
        <v/>
      </c>
      <c r="BU34" t="str">
        <f ca="1"/>
        <v/>
      </c>
      <c r="BV34" t="str">
        <f ca="1"/>
        <v/>
      </c>
      <c r="BW34" t="str">
        <f ca="1"/>
        <v/>
      </c>
      <c r="BX34" t="str">
        <f ca="1"/>
        <v/>
      </c>
      <c r="BY34" t="str">
        <f ca="1"/>
        <v/>
      </c>
      <c r="BZ34" t="str">
        <f ca="1"/>
        <v/>
      </c>
      <c r="CA34" t="str">
        <f ca="1"/>
        <v/>
      </c>
      <c r="CB34" t="str">
        <f ca="1"/>
        <v/>
      </c>
      <c r="CC34" t="str">
        <f ca="1"/>
        <v/>
      </c>
      <c r="CD34" t="str">
        <f ca="1"/>
        <v/>
      </c>
      <c r="CE34" t="str">
        <f ca="1"/>
        <v/>
      </c>
      <c r="CF34" t="str">
        <f ca="1"/>
        <v/>
      </c>
      <c r="CG34" t="str">
        <f ca="1"/>
        <v/>
      </c>
      <c r="CH34" t="str">
        <f ca="1"/>
        <v/>
      </c>
      <c r="CI34" t="str">
        <f ca="1"/>
        <v/>
      </c>
      <c r="CJ34" t="str">
        <f ca="1"/>
        <v/>
      </c>
      <c r="CK34" t="str">
        <f ca="1"/>
        <v/>
      </c>
      <c r="CL34" t="str">
        <f ca="1"/>
        <v/>
      </c>
      <c r="CM34" t="str">
        <f ca="1"/>
        <v/>
      </c>
      <c r="CN34" t="str">
        <f ca="1"/>
        <v/>
      </c>
      <c r="CO34" t="str">
        <f ca="1"/>
        <v/>
      </c>
      <c r="CP34" t="str">
        <f ca="1"/>
        <v/>
      </c>
      <c r="CQ34" t="str">
        <f ca="1"/>
        <v/>
      </c>
      <c r="CR34" t="str">
        <f ca="1"/>
        <v/>
      </c>
      <c r="CS34" t="str">
        <f ca="1"/>
        <v/>
      </c>
      <c r="CT34" t="str">
        <f ca="1"/>
        <v/>
      </c>
      <c r="CU34" t="str">
        <f>IF(ISBLANK(identitasMurid!D37),"",identitasMurid!D37)</f>
        <v/>
      </c>
      <c r="CV34" t="str">
        <f t="shared" si="21"/>
        <v/>
      </c>
      <c r="CW34" t="str">
        <f t="shared" si="0"/>
        <v/>
      </c>
      <c r="CX34" t="str">
        <f t="shared" si="1"/>
        <v/>
      </c>
      <c r="CY34" t="str">
        <f t="shared" si="2"/>
        <v/>
      </c>
      <c r="CZ34" t="str">
        <f t="shared" si="3"/>
        <v/>
      </c>
      <c r="DA34" t="str">
        <f t="shared" si="4"/>
        <v/>
      </c>
      <c r="DB34" t="str">
        <f t="shared" si="5"/>
        <v/>
      </c>
      <c r="DC34" t="str">
        <f t="shared" si="6"/>
        <v/>
      </c>
      <c r="DD34" t="str">
        <f t="shared" si="22"/>
        <v/>
      </c>
      <c r="DE34" t="str">
        <f t="shared" si="7"/>
        <v/>
      </c>
      <c r="DF34" t="str">
        <f t="shared" si="8"/>
        <v/>
      </c>
      <c r="DG34" t="str">
        <f t="shared" si="9"/>
        <v/>
      </c>
      <c r="DH34" t="str">
        <f t="shared" si="10"/>
        <v/>
      </c>
      <c r="DI34" t="str">
        <f t="shared" si="11"/>
        <v/>
      </c>
      <c r="DJ34" t="str">
        <f t="shared" si="12"/>
        <v/>
      </c>
      <c r="DK34" t="str">
        <f t="shared" si="13"/>
        <v/>
      </c>
      <c r="DL34" t="str">
        <f t="shared" si="23"/>
        <v/>
      </c>
      <c r="DM34" t="str">
        <f t="shared" si="14"/>
        <v/>
      </c>
      <c r="DN34" t="str">
        <f t="shared" si="15"/>
        <v/>
      </c>
      <c r="DO34" t="str">
        <f t="shared" si="16"/>
        <v/>
      </c>
      <c r="DP34" t="str">
        <f t="shared" si="17"/>
        <v/>
      </c>
      <c r="DQ34" t="str">
        <f t="shared" si="18"/>
        <v/>
      </c>
      <c r="DR34" t="str">
        <f t="shared" si="19"/>
        <v/>
      </c>
      <c r="DS34" t="str">
        <f t="shared" si="20"/>
        <v/>
      </c>
      <c r="DU34">
        <v>6</v>
      </c>
      <c r="DV34" t="s">
        <v>7</v>
      </c>
      <c r="DX34">
        <f>COUNTIFS($CU$3:$CU$47,LEFT(DX$27,1),$DA$3:$DA$47,DX$28)</f>
        <v>0</v>
      </c>
      <c r="DY34" s="112">
        <f>IF(LEN(profilKelas!$F$14)=0,"",DX34/profilKelas!$F$14)</f>
        <v>0</v>
      </c>
      <c r="DZ34">
        <f>COUNTIFS($CU$3:$CU$47,LEFT(DZ$27,1),$DA$3:$DA$47,DZ$28)</f>
        <v>0</v>
      </c>
      <c r="EA34" s="112">
        <f>IF(LEN(profilKelas!$F$14)=0,"",DZ34/profilKelas!$F$14)</f>
        <v>0</v>
      </c>
      <c r="EB34">
        <f>COUNTIFS($CU$3:$CU$47,LEFT(EB$27,1),$DA$3:$DA$47,EB$28)</f>
        <v>0</v>
      </c>
      <c r="EC34" s="112">
        <f>IF(LEN(profilKelas!$F$14)=0,"",EB34/profilKelas!$F$14)</f>
        <v>0</v>
      </c>
      <c r="ED34">
        <f>COUNTIFS($CU$3:$CU$47,LEFT(ED$27,1),$DA$3:$DA$47,ED$28)</f>
        <v>0</v>
      </c>
      <c r="EE34" s="112">
        <f>IF(LEN(profilKelas!$F$14)=0,"",ED34/profilKelas!$F$14)</f>
        <v>0</v>
      </c>
      <c r="EF34" s="114" t="str">
        <f ca="1"/>
        <v/>
      </c>
      <c r="EG34">
        <v>6</v>
      </c>
      <c r="EH34" t="s">
        <v>7</v>
      </c>
      <c r="EJ34">
        <f>COUNTIFS($CU$3:$CU$47,LEFT(EJ$27,1),$DI$3:$DI$47,EJ$28)</f>
        <v>0</v>
      </c>
      <c r="EK34" s="112">
        <f>IF(LEN(profilKelas!$F$14)=0,"",EJ34/profilKelas!$F$14)</f>
        <v>0</v>
      </c>
      <c r="EL34">
        <f>COUNTIFS($CU$3:$CU$47,LEFT(EL$27,1),$DI$3:$DI$47,EL$28)</f>
        <v>0</v>
      </c>
      <c r="EM34" s="112">
        <f>IF(LEN(profilKelas!$F$14)=0,"",EL34/profilKelas!$F$14)</f>
        <v>0</v>
      </c>
      <c r="EN34">
        <f>COUNTIFS($CU$3:$CU$47,LEFT(EN$27,1),$DI$3:$DI$47,EN$28)</f>
        <v>0</v>
      </c>
      <c r="EO34" s="112">
        <f>IF(LEN(profilKelas!$F$14)=0,"",EN34/profilKelas!$F$14)</f>
        <v>0</v>
      </c>
      <c r="EP34">
        <f>COUNTIFS($CU$3:$CU$47,LEFT(EP$27,1),$DI$3:$DI$47,EP$28)</f>
        <v>0</v>
      </c>
      <c r="EQ34" s="112">
        <f>IF(LEN(profilKelas!$F$14)=0,"",EP34/profilKelas!$F$14)</f>
        <v>0</v>
      </c>
      <c r="ES34">
        <v>6</v>
      </c>
      <c r="ET34" t="s">
        <v>7</v>
      </c>
      <c r="EV34">
        <f>COUNTIFS($CU$3:$CU$47,LEFT(EV$27,1),$DQ$3:$DQ$47,EV$28)</f>
        <v>0</v>
      </c>
      <c r="EW34" s="112">
        <f>IF(LEN(profilKelas!$F$14)=0,"",EV34/profilKelas!$F$14)</f>
        <v>0</v>
      </c>
      <c r="EX34">
        <f>COUNTIFS($CU$3:$CU$47,LEFT(EX$27,1),$DQ$3:$DQ$47,EX$28)</f>
        <v>0</v>
      </c>
      <c r="EY34" s="112">
        <f>IF(LEN(profilKelas!$F$14)=0,"",EX34/profilKelas!$F$14)</f>
        <v>0</v>
      </c>
      <c r="EZ34">
        <f>COUNTIFS($CU$3:$CU$47,LEFT(EZ$27,1),$DQ$3:$DQ$47,EZ$28)</f>
        <v>0</v>
      </c>
      <c r="FA34" s="112">
        <f>IF(LEN(profilKelas!$F$14)=0,"",EZ34/profilKelas!$F$14)</f>
        <v>0</v>
      </c>
      <c r="FB34">
        <f>COUNTIFS($CU$3:$CU$47,LEFT(FB$27,1),$DQ$3:$DQ$47,FB$28)</f>
        <v>0</v>
      </c>
      <c r="FC34" s="112">
        <f>IF(LEN(profilKelas!$F$14)=0,"",FB34/profilKelas!$F$14)</f>
        <v>0</v>
      </c>
    </row>
    <row r="35" spans="1:159" hidden="1" x14ac:dyDescent="0.3">
      <c r="A35" t="str">
        <f>IF(ROW(A33)&lt;=profilKelas!$F$14,ROW(A33),"")</f>
        <v/>
      </c>
      <c r="B35" t="str">
        <f>IF(ISBLANK(identitasMurid!C38),"",identitasMurid!C38)</f>
        <v/>
      </c>
      <c r="C35" t="str">
        <f ca="1"/>
        <v/>
      </c>
      <c r="D35" t="str">
        <f ca="1"/>
        <v/>
      </c>
      <c r="E35" t="str">
        <f ca="1"/>
        <v/>
      </c>
      <c r="F35" t="str">
        <f ca="1"/>
        <v/>
      </c>
      <c r="G35" t="str">
        <f ca="1"/>
        <v/>
      </c>
      <c r="H35" t="str">
        <f ca="1"/>
        <v/>
      </c>
      <c r="I35" t="str">
        <f ca="1"/>
        <v/>
      </c>
      <c r="J35" t="str">
        <f ca="1"/>
        <v/>
      </c>
      <c r="K35" t="str">
        <f ca="1"/>
        <v/>
      </c>
      <c r="L35" t="str">
        <f ca="1"/>
        <v/>
      </c>
      <c r="M35" t="str">
        <f ca="1"/>
        <v/>
      </c>
      <c r="N35" t="str">
        <f ca="1"/>
        <v/>
      </c>
      <c r="O35" t="str">
        <f ca="1"/>
        <v/>
      </c>
      <c r="P35" t="str">
        <f ca="1"/>
        <v/>
      </c>
      <c r="Q35" t="str">
        <f ca="1"/>
        <v/>
      </c>
      <c r="R35" t="str">
        <f ca="1"/>
        <v/>
      </c>
      <c r="S35" t="str">
        <f ca="1"/>
        <v/>
      </c>
      <c r="T35" t="str">
        <f ca="1"/>
        <v/>
      </c>
      <c r="U35" t="str">
        <f ca="1"/>
        <v/>
      </c>
      <c r="V35" t="str">
        <f ca="1"/>
        <v/>
      </c>
      <c r="W35" t="str">
        <f ca="1"/>
        <v/>
      </c>
      <c r="X35" t="str">
        <f ca="1"/>
        <v/>
      </c>
      <c r="Y35" t="str">
        <f ca="1"/>
        <v/>
      </c>
      <c r="Z35" t="str">
        <f ca="1"/>
        <v/>
      </c>
      <c r="AA35" t="str">
        <f ca="1"/>
        <v/>
      </c>
      <c r="AB35" t="str">
        <f ca="1"/>
        <v/>
      </c>
      <c r="AC35" t="str">
        <f ca="1"/>
        <v/>
      </c>
      <c r="AD35" t="str">
        <f ca="1"/>
        <v/>
      </c>
      <c r="AE35" t="str">
        <f ca="1"/>
        <v/>
      </c>
      <c r="AF35" t="str">
        <f ca="1"/>
        <v/>
      </c>
      <c r="AG35" t="str">
        <f ca="1"/>
        <v/>
      </c>
      <c r="AH35" t="str">
        <f ca="1"/>
        <v/>
      </c>
      <c r="AI35" t="str">
        <f ca="1"/>
        <v/>
      </c>
      <c r="AJ35" t="str">
        <f ca="1"/>
        <v/>
      </c>
      <c r="AK35" t="str">
        <f ca="1"/>
        <v/>
      </c>
      <c r="AL35" t="str">
        <f ca="1"/>
        <v/>
      </c>
      <c r="AM35" t="str">
        <f ca="1"/>
        <v/>
      </c>
      <c r="AN35" t="str">
        <f ca="1"/>
        <v/>
      </c>
      <c r="AO35" t="str">
        <f ca="1"/>
        <v/>
      </c>
      <c r="AP35" t="str">
        <f ca="1"/>
        <v/>
      </c>
      <c r="AQ35" t="str">
        <f ca="1"/>
        <v/>
      </c>
      <c r="AR35" t="str">
        <f ca="1"/>
        <v/>
      </c>
      <c r="AS35" t="str">
        <f ca="1"/>
        <v/>
      </c>
      <c r="AT35" t="str">
        <f ca="1"/>
        <v/>
      </c>
      <c r="AU35" t="str">
        <f ca="1"/>
        <v/>
      </c>
      <c r="AV35" t="str">
        <f ca="1"/>
        <v/>
      </c>
      <c r="AW35" t="str">
        <f ca="1"/>
        <v/>
      </c>
      <c r="AX35" t="str">
        <f ca="1"/>
        <v/>
      </c>
      <c r="AY35" s="109" t="str">
        <f ca="1"/>
        <v/>
      </c>
      <c r="AZ35" t="str">
        <f ca="1"/>
        <v/>
      </c>
      <c r="BA35" t="str">
        <f ca="1"/>
        <v/>
      </c>
      <c r="BB35" t="str">
        <f ca="1"/>
        <v/>
      </c>
      <c r="BC35" t="str">
        <f ca="1"/>
        <v/>
      </c>
      <c r="BD35" t="str">
        <f ca="1"/>
        <v/>
      </c>
      <c r="BE35" t="str">
        <f ca="1"/>
        <v/>
      </c>
      <c r="BF35" t="str">
        <f ca="1"/>
        <v/>
      </c>
      <c r="BG35" t="str">
        <f ca="1"/>
        <v/>
      </c>
      <c r="BH35" t="str">
        <f ca="1"/>
        <v/>
      </c>
      <c r="BI35" t="str">
        <f ca="1"/>
        <v/>
      </c>
      <c r="BJ35" t="str">
        <f ca="1"/>
        <v/>
      </c>
      <c r="BK35" t="str">
        <f ca="1"/>
        <v/>
      </c>
      <c r="BL35" t="str">
        <f ca="1"/>
        <v/>
      </c>
      <c r="BM35" t="str">
        <f ca="1"/>
        <v/>
      </c>
      <c r="BN35" t="str">
        <f ca="1"/>
        <v/>
      </c>
      <c r="BO35" t="str">
        <f ca="1"/>
        <v/>
      </c>
      <c r="BP35" t="str">
        <f ca="1"/>
        <v/>
      </c>
      <c r="BQ35" t="str">
        <f ca="1"/>
        <v/>
      </c>
      <c r="BR35" t="str">
        <f ca="1"/>
        <v/>
      </c>
      <c r="BS35" t="str">
        <f ca="1"/>
        <v/>
      </c>
      <c r="BT35" t="str">
        <f ca="1"/>
        <v/>
      </c>
      <c r="BU35" t="str">
        <f ca="1"/>
        <v/>
      </c>
      <c r="BV35" t="str">
        <f ca="1"/>
        <v/>
      </c>
      <c r="BW35" t="str">
        <f ca="1"/>
        <v/>
      </c>
      <c r="BX35" t="str">
        <f ca="1"/>
        <v/>
      </c>
      <c r="BY35" t="str">
        <f ca="1"/>
        <v/>
      </c>
      <c r="BZ35" t="str">
        <f ca="1"/>
        <v/>
      </c>
      <c r="CA35" t="str">
        <f ca="1"/>
        <v/>
      </c>
      <c r="CB35" t="str">
        <f ca="1"/>
        <v/>
      </c>
      <c r="CC35" t="str">
        <f ca="1"/>
        <v/>
      </c>
      <c r="CD35" t="str">
        <f ca="1"/>
        <v/>
      </c>
      <c r="CE35" t="str">
        <f ca="1"/>
        <v/>
      </c>
      <c r="CF35" t="str">
        <f ca="1"/>
        <v/>
      </c>
      <c r="CG35" t="str">
        <f ca="1"/>
        <v/>
      </c>
      <c r="CH35" t="str">
        <f ca="1"/>
        <v/>
      </c>
      <c r="CI35" t="str">
        <f ca="1"/>
        <v/>
      </c>
      <c r="CJ35" t="str">
        <f ca="1"/>
        <v/>
      </c>
      <c r="CK35" t="str">
        <f ca="1"/>
        <v/>
      </c>
      <c r="CL35" t="str">
        <f ca="1"/>
        <v/>
      </c>
      <c r="CM35" t="str">
        <f ca="1"/>
        <v/>
      </c>
      <c r="CN35" t="str">
        <f ca="1"/>
        <v/>
      </c>
      <c r="CO35" t="str">
        <f ca="1"/>
        <v/>
      </c>
      <c r="CP35" t="str">
        <f ca="1"/>
        <v/>
      </c>
      <c r="CQ35" t="str">
        <f ca="1"/>
        <v/>
      </c>
      <c r="CR35" t="str">
        <f ca="1"/>
        <v/>
      </c>
      <c r="CS35" t="str">
        <f ca="1"/>
        <v/>
      </c>
      <c r="CT35" t="str">
        <f ca="1"/>
        <v/>
      </c>
      <c r="CU35" t="str">
        <f>IF(ISBLANK(identitasMurid!D38),"",identitasMurid!D38)</f>
        <v/>
      </c>
      <c r="CV35" t="str">
        <f t="shared" si="21"/>
        <v/>
      </c>
      <c r="CW35" t="str">
        <f t="shared" si="0"/>
        <v/>
      </c>
      <c r="CX35" t="str">
        <f t="shared" si="1"/>
        <v/>
      </c>
      <c r="CY35" t="str">
        <f t="shared" si="2"/>
        <v/>
      </c>
      <c r="CZ35" t="str">
        <f t="shared" si="3"/>
        <v/>
      </c>
      <c r="DA35" t="str">
        <f t="shared" si="4"/>
        <v/>
      </c>
      <c r="DB35" t="str">
        <f t="shared" si="5"/>
        <v/>
      </c>
      <c r="DC35" t="str">
        <f t="shared" si="6"/>
        <v/>
      </c>
      <c r="DD35" t="str">
        <f t="shared" si="22"/>
        <v/>
      </c>
      <c r="DE35" t="str">
        <f t="shared" si="7"/>
        <v/>
      </c>
      <c r="DF35" t="str">
        <f t="shared" si="8"/>
        <v/>
      </c>
      <c r="DG35" t="str">
        <f t="shared" si="9"/>
        <v/>
      </c>
      <c r="DH35" t="str">
        <f t="shared" si="10"/>
        <v/>
      </c>
      <c r="DI35" t="str">
        <f t="shared" si="11"/>
        <v/>
      </c>
      <c r="DJ35" t="str">
        <f t="shared" si="12"/>
        <v/>
      </c>
      <c r="DK35" t="str">
        <f t="shared" si="13"/>
        <v/>
      </c>
      <c r="DL35" t="str">
        <f t="shared" si="23"/>
        <v/>
      </c>
      <c r="DM35" t="str">
        <f t="shared" si="14"/>
        <v/>
      </c>
      <c r="DN35" t="str">
        <f t="shared" si="15"/>
        <v/>
      </c>
      <c r="DO35" t="str">
        <f t="shared" si="16"/>
        <v/>
      </c>
      <c r="DP35" t="str">
        <f t="shared" si="17"/>
        <v/>
      </c>
      <c r="DQ35" t="str">
        <f t="shared" si="18"/>
        <v/>
      </c>
      <c r="DR35" t="str">
        <f t="shared" si="19"/>
        <v/>
      </c>
      <c r="DS35" t="str">
        <f t="shared" si="20"/>
        <v/>
      </c>
      <c r="DU35">
        <v>7</v>
      </c>
      <c r="DV35" t="s">
        <v>8</v>
      </c>
      <c r="DX35">
        <f>COUNTIFS($CU$3:$CU$47,LEFT(DX$27,1),$DB$3:$DB$47,DX$28)</f>
        <v>0</v>
      </c>
      <c r="DY35" s="112">
        <f>IF(LEN(profilKelas!$F$14)=0,"",DX35/profilKelas!$F$14)</f>
        <v>0</v>
      </c>
      <c r="DZ35">
        <f>COUNTIFS($CU$3:$CU$47,LEFT(DZ$27,1),$DB$3:$DB$47,DZ$28)</f>
        <v>0</v>
      </c>
      <c r="EA35" s="112">
        <f>IF(LEN(profilKelas!$F$14)=0,"",DZ35/profilKelas!$F$14)</f>
        <v>0</v>
      </c>
      <c r="EB35">
        <f>COUNTIFS($CU$3:$CU$47,LEFT(EB$27,1),$DB$3:$DB$47,EB$28)</f>
        <v>0</v>
      </c>
      <c r="EC35" s="112">
        <f>IF(LEN(profilKelas!$F$14)=0,"",EB35/profilKelas!$F$14)</f>
        <v>0</v>
      </c>
      <c r="ED35">
        <f>COUNTIFS($CU$3:$CU$47,LEFT(ED$27,1),$DB$3:$DB$47,ED$28)</f>
        <v>0</v>
      </c>
      <c r="EE35" s="112">
        <f>IF(LEN(profilKelas!$F$14)=0,"",ED35/profilKelas!$F$14)</f>
        <v>0</v>
      </c>
      <c r="EF35" s="114" t="str">
        <f ca="1"/>
        <v/>
      </c>
      <c r="EG35">
        <v>7</v>
      </c>
      <c r="EH35" t="s">
        <v>8</v>
      </c>
      <c r="EJ35">
        <f>COUNTIFS($CU$3:$CU$47,LEFT(EJ$27,1),$DJ$3:$DJ$47,EJ$28)</f>
        <v>0</v>
      </c>
      <c r="EK35" s="112">
        <f>IF(LEN(profilKelas!$F$14)=0,"",EJ35/profilKelas!$F$14)</f>
        <v>0</v>
      </c>
      <c r="EL35">
        <f>COUNTIFS($CU$3:$CU$47,LEFT(EL$27,1),$DJ$3:$DJ$47,EL$28)</f>
        <v>0</v>
      </c>
      <c r="EM35" s="112">
        <f>IF(LEN(profilKelas!$F$14)=0,"",EL35/profilKelas!$F$14)</f>
        <v>0</v>
      </c>
      <c r="EN35">
        <f>COUNTIFS($CU$3:$CU$47,LEFT(EN$27,1),$DJ$3:$DJ$47,EN$28)</f>
        <v>0</v>
      </c>
      <c r="EO35" s="112">
        <f>IF(LEN(profilKelas!$F$14)=0,"",EN35/profilKelas!$F$14)</f>
        <v>0</v>
      </c>
      <c r="EP35">
        <f>COUNTIFS($CU$3:$CU$47,LEFT(EP$27,1),$DJ$3:$DJ$47,EP$28)</f>
        <v>0</v>
      </c>
      <c r="EQ35" s="112">
        <f>IF(LEN(profilKelas!$F$14)=0,"",EP35/profilKelas!$F$14)</f>
        <v>0</v>
      </c>
      <c r="ES35">
        <v>7</v>
      </c>
      <c r="ET35" t="s">
        <v>8</v>
      </c>
      <c r="EV35">
        <f>COUNTIFS($CU$3:$CU$47,LEFT(EV$27,1),$DR$3:$DR$47,EV$28)</f>
        <v>0</v>
      </c>
      <c r="EW35" s="112">
        <f>IF(LEN(profilKelas!$F$14)=0,"",EV35/profilKelas!$F$14)</f>
        <v>0</v>
      </c>
      <c r="EX35">
        <f>COUNTIFS($CU$3:$CU$47,LEFT(EX$27,1),$DR$3:$DR$47,EX$28)</f>
        <v>0</v>
      </c>
      <c r="EY35" s="112">
        <f>IF(LEN(profilKelas!$F$14)=0,"",EX35/profilKelas!$F$14)</f>
        <v>0</v>
      </c>
      <c r="EZ35">
        <f>COUNTIFS($CU$3:$CU$47,LEFT(EZ$27,1),$DR$3:$DR$47,EZ$28)</f>
        <v>0</v>
      </c>
      <c r="FA35" s="112">
        <f>IF(LEN(profilKelas!$F$14)=0,"",EZ35/profilKelas!$F$14)</f>
        <v>0</v>
      </c>
      <c r="FB35">
        <f>COUNTIFS($CU$3:$CU$47,LEFT(FB$27,1),$DR$3:$DR$47,FB$28)</f>
        <v>0</v>
      </c>
      <c r="FC35" s="112">
        <f>IF(LEN(profilKelas!$F$14)=0,"",FB35/profilKelas!$F$14)</f>
        <v>0</v>
      </c>
    </row>
    <row r="36" spans="1:159" hidden="1" x14ac:dyDescent="0.3">
      <c r="A36" t="str">
        <f>IF(ROW(A34)&lt;=profilKelas!$F$14,ROW(A34),"")</f>
        <v/>
      </c>
      <c r="B36" t="str">
        <f>IF(ISBLANK(identitasMurid!C39),"",identitasMurid!C39)</f>
        <v/>
      </c>
      <c r="C36" t="str">
        <f ca="1"/>
        <v/>
      </c>
      <c r="D36" t="str">
        <f ca="1"/>
        <v/>
      </c>
      <c r="E36" t="str">
        <f ca="1"/>
        <v/>
      </c>
      <c r="F36" t="str">
        <f ca="1"/>
        <v/>
      </c>
      <c r="G36" t="str">
        <f ca="1"/>
        <v/>
      </c>
      <c r="H36" t="str">
        <f ca="1"/>
        <v/>
      </c>
      <c r="I36" t="str">
        <f ca="1"/>
        <v/>
      </c>
      <c r="J36" t="str">
        <f ca="1"/>
        <v/>
      </c>
      <c r="K36" t="str">
        <f ca="1"/>
        <v/>
      </c>
      <c r="L36" t="str">
        <f ca="1"/>
        <v/>
      </c>
      <c r="M36" t="str">
        <f ca="1"/>
        <v/>
      </c>
      <c r="N36" t="str">
        <f ca="1"/>
        <v/>
      </c>
      <c r="O36" t="str">
        <f ca="1"/>
        <v/>
      </c>
      <c r="P36" t="str">
        <f ca="1"/>
        <v/>
      </c>
      <c r="Q36" t="str">
        <f ca="1"/>
        <v/>
      </c>
      <c r="R36" t="str">
        <f ca="1"/>
        <v/>
      </c>
      <c r="S36" t="str">
        <f ca="1"/>
        <v/>
      </c>
      <c r="T36" t="str">
        <f ca="1"/>
        <v/>
      </c>
      <c r="U36" t="str">
        <f ca="1"/>
        <v/>
      </c>
      <c r="V36" t="str">
        <f ca="1"/>
        <v/>
      </c>
      <c r="W36" t="str">
        <f ca="1"/>
        <v/>
      </c>
      <c r="X36" t="str">
        <f ca="1"/>
        <v/>
      </c>
      <c r="Y36" t="str">
        <f ca="1"/>
        <v/>
      </c>
      <c r="Z36" t="str">
        <f ca="1"/>
        <v/>
      </c>
      <c r="AA36" t="str">
        <f ca="1"/>
        <v/>
      </c>
      <c r="AB36" t="str">
        <f ca="1"/>
        <v/>
      </c>
      <c r="AC36" t="str">
        <f ca="1"/>
        <v/>
      </c>
      <c r="AD36" t="str">
        <f ca="1"/>
        <v/>
      </c>
      <c r="AE36" t="str">
        <f ca="1"/>
        <v/>
      </c>
      <c r="AF36" t="str">
        <f ca="1"/>
        <v/>
      </c>
      <c r="AG36" t="str">
        <f ca="1"/>
        <v/>
      </c>
      <c r="AH36" t="str">
        <f ca="1"/>
        <v/>
      </c>
      <c r="AI36" t="str">
        <f ca="1"/>
        <v/>
      </c>
      <c r="AJ36" t="str">
        <f ca="1"/>
        <v/>
      </c>
      <c r="AK36" t="str">
        <f ca="1"/>
        <v/>
      </c>
      <c r="AL36" t="str">
        <f ca="1"/>
        <v/>
      </c>
      <c r="AM36" t="str">
        <f ca="1"/>
        <v/>
      </c>
      <c r="AN36" t="str">
        <f ca="1"/>
        <v/>
      </c>
      <c r="AO36" t="str">
        <f ca="1"/>
        <v/>
      </c>
      <c r="AP36" t="str">
        <f ca="1"/>
        <v/>
      </c>
      <c r="AQ36" t="str">
        <f ca="1"/>
        <v/>
      </c>
      <c r="AR36" t="str">
        <f ca="1"/>
        <v/>
      </c>
      <c r="AS36" t="str">
        <f ca="1"/>
        <v/>
      </c>
      <c r="AT36" t="str">
        <f ca="1"/>
        <v/>
      </c>
      <c r="AU36" t="str">
        <f ca="1"/>
        <v/>
      </c>
      <c r="AV36" t="str">
        <f ca="1"/>
        <v/>
      </c>
      <c r="AW36" t="str">
        <f ca="1"/>
        <v/>
      </c>
      <c r="AX36" t="str">
        <f ca="1"/>
        <v/>
      </c>
      <c r="AY36" s="109" t="str">
        <f ca="1"/>
        <v/>
      </c>
      <c r="AZ36" t="str">
        <f ca="1"/>
        <v/>
      </c>
      <c r="BA36" t="str">
        <f ca="1"/>
        <v/>
      </c>
      <c r="BB36" t="str">
        <f ca="1"/>
        <v/>
      </c>
      <c r="BC36" t="str">
        <f ca="1"/>
        <v/>
      </c>
      <c r="BD36" t="str">
        <f ca="1"/>
        <v/>
      </c>
      <c r="BE36" t="str">
        <f ca="1"/>
        <v/>
      </c>
      <c r="BF36" t="str">
        <f ca="1"/>
        <v/>
      </c>
      <c r="BG36" t="str">
        <f ca="1"/>
        <v/>
      </c>
      <c r="BH36" t="str">
        <f ca="1"/>
        <v/>
      </c>
      <c r="BI36" t="str">
        <f ca="1"/>
        <v/>
      </c>
      <c r="BJ36" t="str">
        <f ca="1"/>
        <v/>
      </c>
      <c r="BK36" t="str">
        <f ca="1"/>
        <v/>
      </c>
      <c r="BL36" t="str">
        <f ca="1"/>
        <v/>
      </c>
      <c r="BM36" t="str">
        <f ca="1"/>
        <v/>
      </c>
      <c r="BN36" t="str">
        <f ca="1"/>
        <v/>
      </c>
      <c r="BO36" t="str">
        <f ca="1"/>
        <v/>
      </c>
      <c r="BP36" t="str">
        <f ca="1"/>
        <v/>
      </c>
      <c r="BQ36" t="str">
        <f ca="1"/>
        <v/>
      </c>
      <c r="BR36" t="str">
        <f ca="1"/>
        <v/>
      </c>
      <c r="BS36" t="str">
        <f ca="1"/>
        <v/>
      </c>
      <c r="BT36" t="str">
        <f ca="1"/>
        <v/>
      </c>
      <c r="BU36" t="str">
        <f ca="1"/>
        <v/>
      </c>
      <c r="BV36" t="str">
        <f ca="1"/>
        <v/>
      </c>
      <c r="BW36" t="str">
        <f ca="1"/>
        <v/>
      </c>
      <c r="BX36" t="str">
        <f ca="1"/>
        <v/>
      </c>
      <c r="BY36" t="str">
        <f ca="1"/>
        <v/>
      </c>
      <c r="BZ36" t="str">
        <f ca="1"/>
        <v/>
      </c>
      <c r="CA36" t="str">
        <f ca="1"/>
        <v/>
      </c>
      <c r="CB36" t="str">
        <f ca="1"/>
        <v/>
      </c>
      <c r="CC36" t="str">
        <f ca="1"/>
        <v/>
      </c>
      <c r="CD36" t="str">
        <f ca="1"/>
        <v/>
      </c>
      <c r="CE36" t="str">
        <f ca="1"/>
        <v/>
      </c>
      <c r="CF36" t="str">
        <f ca="1"/>
        <v/>
      </c>
      <c r="CG36" t="str">
        <f ca="1"/>
        <v/>
      </c>
      <c r="CH36" t="str">
        <f ca="1"/>
        <v/>
      </c>
      <c r="CI36" t="str">
        <f ca="1"/>
        <v/>
      </c>
      <c r="CJ36" t="str">
        <f ca="1"/>
        <v/>
      </c>
      <c r="CK36" t="str">
        <f ca="1"/>
        <v/>
      </c>
      <c r="CL36" t="str">
        <f ca="1"/>
        <v/>
      </c>
      <c r="CM36" t="str">
        <f ca="1"/>
        <v/>
      </c>
      <c r="CN36" t="str">
        <f ca="1"/>
        <v/>
      </c>
      <c r="CO36" t="str">
        <f ca="1"/>
        <v/>
      </c>
      <c r="CP36" t="str">
        <f ca="1"/>
        <v/>
      </c>
      <c r="CQ36" t="str">
        <f ca="1"/>
        <v/>
      </c>
      <c r="CR36" t="str">
        <f ca="1"/>
        <v/>
      </c>
      <c r="CS36" t="str">
        <f ca="1"/>
        <v/>
      </c>
      <c r="CT36" t="str">
        <f ca="1"/>
        <v/>
      </c>
      <c r="CU36" t="str">
        <f>IF(ISBLANK(identitasMurid!D39),"",identitasMurid!D39)</f>
        <v/>
      </c>
      <c r="CV36" t="str">
        <f t="shared" si="21"/>
        <v/>
      </c>
      <c r="CW36" t="str">
        <f t="shared" si="0"/>
        <v/>
      </c>
      <c r="CX36" t="str">
        <f t="shared" si="1"/>
        <v/>
      </c>
      <c r="CY36" t="str">
        <f t="shared" si="2"/>
        <v/>
      </c>
      <c r="CZ36" t="str">
        <f t="shared" si="3"/>
        <v/>
      </c>
      <c r="DA36" t="str">
        <f t="shared" si="4"/>
        <v/>
      </c>
      <c r="DB36" t="str">
        <f t="shared" si="5"/>
        <v/>
      </c>
      <c r="DC36" t="str">
        <f t="shared" si="6"/>
        <v/>
      </c>
      <c r="DD36" t="str">
        <f t="shared" si="22"/>
        <v/>
      </c>
      <c r="DE36" t="str">
        <f t="shared" si="7"/>
        <v/>
      </c>
      <c r="DF36" t="str">
        <f t="shared" si="8"/>
        <v/>
      </c>
      <c r="DG36" t="str">
        <f t="shared" si="9"/>
        <v/>
      </c>
      <c r="DH36" t="str">
        <f t="shared" si="10"/>
        <v/>
      </c>
      <c r="DI36" t="str">
        <f t="shared" si="11"/>
        <v/>
      </c>
      <c r="DJ36" t="str">
        <f t="shared" si="12"/>
        <v/>
      </c>
      <c r="DK36" t="str">
        <f t="shared" si="13"/>
        <v/>
      </c>
      <c r="DL36" t="str">
        <f t="shared" si="23"/>
        <v/>
      </c>
      <c r="DM36" t="str">
        <f t="shared" si="14"/>
        <v/>
      </c>
      <c r="DN36" t="str">
        <f t="shared" si="15"/>
        <v/>
      </c>
      <c r="DO36" t="str">
        <f t="shared" si="16"/>
        <v/>
      </c>
      <c r="DP36" t="str">
        <f t="shared" si="17"/>
        <v/>
      </c>
      <c r="DQ36" t="str">
        <f t="shared" si="18"/>
        <v/>
      </c>
      <c r="DR36" t="str">
        <f t="shared" si="19"/>
        <v/>
      </c>
      <c r="DS36" t="str">
        <f t="shared" si="20"/>
        <v/>
      </c>
      <c r="EF36" s="114" t="str">
        <f ca="1"/>
        <v/>
      </c>
    </row>
    <row r="37" spans="1:159" hidden="1" x14ac:dyDescent="0.3">
      <c r="A37" t="str">
        <f>IF(ROW(A35)&lt;=profilKelas!$F$14,ROW(A35),"")</f>
        <v/>
      </c>
      <c r="B37" t="str">
        <f>IF(ISBLANK(identitasMurid!C40),"",identitasMurid!C40)</f>
        <v/>
      </c>
      <c r="C37" t="str">
        <f ca="1"/>
        <v/>
      </c>
      <c r="D37" t="str">
        <f ca="1"/>
        <v/>
      </c>
      <c r="E37" t="str">
        <f ca="1"/>
        <v/>
      </c>
      <c r="F37" t="str">
        <f ca="1"/>
        <v/>
      </c>
      <c r="G37" t="str">
        <f ca="1"/>
        <v/>
      </c>
      <c r="H37" t="str">
        <f ca="1"/>
        <v/>
      </c>
      <c r="I37" t="str">
        <f ca="1"/>
        <v/>
      </c>
      <c r="J37" t="str">
        <f ca="1"/>
        <v/>
      </c>
      <c r="K37" t="str">
        <f ca="1"/>
        <v/>
      </c>
      <c r="L37" t="str">
        <f ca="1"/>
        <v/>
      </c>
      <c r="M37" t="str">
        <f ca="1"/>
        <v/>
      </c>
      <c r="N37" t="str">
        <f ca="1"/>
        <v/>
      </c>
      <c r="O37" t="str">
        <f ca="1"/>
        <v/>
      </c>
      <c r="P37" t="str">
        <f ca="1"/>
        <v/>
      </c>
      <c r="Q37" t="str">
        <f ca="1"/>
        <v/>
      </c>
      <c r="R37" t="str">
        <f ca="1"/>
        <v/>
      </c>
      <c r="S37" t="str">
        <f ca="1"/>
        <v/>
      </c>
      <c r="T37" t="str">
        <f ca="1"/>
        <v/>
      </c>
      <c r="U37" t="str">
        <f ca="1"/>
        <v/>
      </c>
      <c r="V37" t="str">
        <f ca="1"/>
        <v/>
      </c>
      <c r="W37" t="str">
        <f ca="1"/>
        <v/>
      </c>
      <c r="X37" t="str">
        <f ca="1"/>
        <v/>
      </c>
      <c r="Y37" t="str">
        <f ca="1"/>
        <v/>
      </c>
      <c r="Z37" t="str">
        <f ca="1"/>
        <v/>
      </c>
      <c r="AA37" t="str">
        <f ca="1"/>
        <v/>
      </c>
      <c r="AB37" t="str">
        <f ca="1"/>
        <v/>
      </c>
      <c r="AC37" t="str">
        <f ca="1"/>
        <v/>
      </c>
      <c r="AD37" t="str">
        <f ca="1"/>
        <v/>
      </c>
      <c r="AE37" t="str">
        <f ca="1"/>
        <v/>
      </c>
      <c r="AF37" t="str">
        <f ca="1"/>
        <v/>
      </c>
      <c r="AG37" t="str">
        <f ca="1"/>
        <v/>
      </c>
      <c r="AH37" t="str">
        <f ca="1"/>
        <v/>
      </c>
      <c r="AI37" t="str">
        <f ca="1"/>
        <v/>
      </c>
      <c r="AJ37" t="str">
        <f ca="1"/>
        <v/>
      </c>
      <c r="AK37" t="str">
        <f ca="1"/>
        <v/>
      </c>
      <c r="AL37" t="str">
        <f ca="1"/>
        <v/>
      </c>
      <c r="AM37" t="str">
        <f ca="1"/>
        <v/>
      </c>
      <c r="AN37" t="str">
        <f ca="1"/>
        <v/>
      </c>
      <c r="AO37" t="str">
        <f ca="1"/>
        <v/>
      </c>
      <c r="AP37" t="str">
        <f ca="1"/>
        <v/>
      </c>
      <c r="AQ37" t="str">
        <f ca="1"/>
        <v/>
      </c>
      <c r="AR37" t="str">
        <f ca="1"/>
        <v/>
      </c>
      <c r="AS37" t="str">
        <f ca="1"/>
        <v/>
      </c>
      <c r="AT37" t="str">
        <f ca="1"/>
        <v/>
      </c>
      <c r="AU37" t="str">
        <f ca="1"/>
        <v/>
      </c>
      <c r="AV37" t="str">
        <f ca="1"/>
        <v/>
      </c>
      <c r="AW37" t="str">
        <f ca="1"/>
        <v/>
      </c>
      <c r="AX37" t="str">
        <f ca="1"/>
        <v/>
      </c>
      <c r="AY37" s="109" t="str">
        <f ca="1"/>
        <v/>
      </c>
      <c r="AZ37" t="str">
        <f ca="1"/>
        <v/>
      </c>
      <c r="BA37" t="str">
        <f ca="1"/>
        <v/>
      </c>
      <c r="BB37" t="str">
        <f ca="1"/>
        <v/>
      </c>
      <c r="BC37" t="str">
        <f ca="1"/>
        <v/>
      </c>
      <c r="BD37" t="str">
        <f ca="1"/>
        <v/>
      </c>
      <c r="BE37" t="str">
        <f ca="1"/>
        <v/>
      </c>
      <c r="BF37" t="str">
        <f ca="1"/>
        <v/>
      </c>
      <c r="BG37" t="str">
        <f ca="1"/>
        <v/>
      </c>
      <c r="BH37" t="str">
        <f ca="1"/>
        <v/>
      </c>
      <c r="BI37" t="str">
        <f ca="1"/>
        <v/>
      </c>
      <c r="BJ37" t="str">
        <f ca="1"/>
        <v/>
      </c>
      <c r="BK37" t="str">
        <f ca="1"/>
        <v/>
      </c>
      <c r="BL37" t="str">
        <f ca="1"/>
        <v/>
      </c>
      <c r="BM37" t="str">
        <f ca="1"/>
        <v/>
      </c>
      <c r="BN37" t="str">
        <f ca="1"/>
        <v/>
      </c>
      <c r="BO37" t="str">
        <f ca="1"/>
        <v/>
      </c>
      <c r="BP37" t="str">
        <f ca="1"/>
        <v/>
      </c>
      <c r="BQ37" t="str">
        <f ca="1"/>
        <v/>
      </c>
      <c r="BR37" t="str">
        <f ca="1"/>
        <v/>
      </c>
      <c r="BS37" t="str">
        <f ca="1"/>
        <v/>
      </c>
      <c r="BT37" t="str">
        <f ca="1"/>
        <v/>
      </c>
      <c r="BU37" t="str">
        <f ca="1"/>
        <v/>
      </c>
      <c r="BV37" t="str">
        <f ca="1"/>
        <v/>
      </c>
      <c r="BW37" t="str">
        <f ca="1"/>
        <v/>
      </c>
      <c r="BX37" t="str">
        <f ca="1"/>
        <v/>
      </c>
      <c r="BY37" t="str">
        <f ca="1"/>
        <v/>
      </c>
      <c r="BZ37" t="str">
        <f ca="1"/>
        <v/>
      </c>
      <c r="CA37" t="str">
        <f ca="1"/>
        <v/>
      </c>
      <c r="CB37" t="str">
        <f ca="1"/>
        <v/>
      </c>
      <c r="CC37" t="str">
        <f ca="1"/>
        <v/>
      </c>
      <c r="CD37" t="str">
        <f ca="1"/>
        <v/>
      </c>
      <c r="CE37" t="str">
        <f ca="1"/>
        <v/>
      </c>
      <c r="CF37" t="str">
        <f ca="1"/>
        <v/>
      </c>
      <c r="CG37" t="str">
        <f ca="1"/>
        <v/>
      </c>
      <c r="CH37" t="str">
        <f ca="1"/>
        <v/>
      </c>
      <c r="CI37" t="str">
        <f ca="1"/>
        <v/>
      </c>
      <c r="CJ37" t="str">
        <f ca="1"/>
        <v/>
      </c>
      <c r="CK37" t="str">
        <f ca="1"/>
        <v/>
      </c>
      <c r="CL37" t="str">
        <f ca="1"/>
        <v/>
      </c>
      <c r="CM37" t="str">
        <f ca="1"/>
        <v/>
      </c>
      <c r="CN37" t="str">
        <f ca="1"/>
        <v/>
      </c>
      <c r="CO37" t="str">
        <f ca="1"/>
        <v/>
      </c>
      <c r="CP37" t="str">
        <f ca="1"/>
        <v/>
      </c>
      <c r="CQ37" t="str">
        <f ca="1"/>
        <v/>
      </c>
      <c r="CR37" t="str">
        <f ca="1"/>
        <v/>
      </c>
      <c r="CS37" t="str">
        <f ca="1"/>
        <v/>
      </c>
      <c r="CT37" t="str">
        <f ca="1"/>
        <v/>
      </c>
      <c r="CU37" t="str">
        <f>IF(ISBLANK(identitasMurid!D40),"",identitasMurid!D40)</f>
        <v/>
      </c>
      <c r="CV37" t="str">
        <f t="shared" si="21"/>
        <v/>
      </c>
      <c r="CW37" t="str">
        <f t="shared" si="0"/>
        <v/>
      </c>
      <c r="CX37" t="str">
        <f t="shared" si="1"/>
        <v/>
      </c>
      <c r="CY37" t="str">
        <f t="shared" si="2"/>
        <v/>
      </c>
      <c r="CZ37" t="str">
        <f t="shared" si="3"/>
        <v/>
      </c>
      <c r="DA37" t="str">
        <f t="shared" si="4"/>
        <v/>
      </c>
      <c r="DB37" t="str">
        <f t="shared" si="5"/>
        <v/>
      </c>
      <c r="DC37" t="str">
        <f t="shared" si="6"/>
        <v/>
      </c>
      <c r="DD37" t="str">
        <f t="shared" si="22"/>
        <v/>
      </c>
      <c r="DE37" t="str">
        <f t="shared" si="7"/>
        <v/>
      </c>
      <c r="DF37" t="str">
        <f t="shared" si="8"/>
        <v/>
      </c>
      <c r="DG37" t="str">
        <f t="shared" si="9"/>
        <v/>
      </c>
      <c r="DH37" t="str">
        <f t="shared" si="10"/>
        <v/>
      </c>
      <c r="DI37" t="str">
        <f t="shared" si="11"/>
        <v/>
      </c>
      <c r="DJ37" t="str">
        <f t="shared" si="12"/>
        <v/>
      </c>
      <c r="DK37" t="str">
        <f t="shared" si="13"/>
        <v/>
      </c>
      <c r="DL37" t="str">
        <f t="shared" si="23"/>
        <v/>
      </c>
      <c r="DM37" t="str">
        <f t="shared" si="14"/>
        <v/>
      </c>
      <c r="DN37" t="str">
        <f t="shared" si="15"/>
        <v/>
      </c>
      <c r="DO37" t="str">
        <f t="shared" si="16"/>
        <v/>
      </c>
      <c r="DP37" t="str">
        <f t="shared" si="17"/>
        <v/>
      </c>
      <c r="DQ37" t="str">
        <f t="shared" si="18"/>
        <v/>
      </c>
      <c r="DR37" t="str">
        <f t="shared" si="19"/>
        <v/>
      </c>
      <c r="DS37" t="str">
        <f t="shared" si="20"/>
        <v/>
      </c>
      <c r="EF37" s="114" t="str">
        <f ca="1"/>
        <v/>
      </c>
    </row>
    <row r="38" spans="1:159" hidden="1" x14ac:dyDescent="0.3">
      <c r="A38" t="str">
        <f>IF(ROW(A36)&lt;=profilKelas!$F$14,ROW(A36),"")</f>
        <v/>
      </c>
      <c r="B38" t="str">
        <f>IF(ISBLANK(identitasMurid!C41),"",identitasMurid!C41)</f>
        <v/>
      </c>
      <c r="C38" t="str">
        <f ca="1"/>
        <v/>
      </c>
      <c r="D38" t="str">
        <f ca="1"/>
        <v/>
      </c>
      <c r="E38" t="str">
        <f ca="1"/>
        <v/>
      </c>
      <c r="F38" t="str">
        <f ca="1"/>
        <v/>
      </c>
      <c r="G38" t="str">
        <f ca="1"/>
        <v/>
      </c>
      <c r="H38" t="str">
        <f ca="1"/>
        <v/>
      </c>
      <c r="I38" t="str">
        <f ca="1"/>
        <v/>
      </c>
      <c r="J38" t="str">
        <f ca="1"/>
        <v/>
      </c>
      <c r="K38" t="str">
        <f ca="1"/>
        <v/>
      </c>
      <c r="L38" t="str">
        <f ca="1"/>
        <v/>
      </c>
      <c r="M38" t="str">
        <f ca="1"/>
        <v/>
      </c>
      <c r="N38" t="str">
        <f ca="1"/>
        <v/>
      </c>
      <c r="O38" t="str">
        <f ca="1"/>
        <v/>
      </c>
      <c r="P38" t="str">
        <f ca="1"/>
        <v/>
      </c>
      <c r="Q38" t="str">
        <f ca="1"/>
        <v/>
      </c>
      <c r="R38" t="str">
        <f ca="1"/>
        <v/>
      </c>
      <c r="S38" t="str">
        <f ca="1"/>
        <v/>
      </c>
      <c r="T38" t="str">
        <f ca="1"/>
        <v/>
      </c>
      <c r="U38" t="str">
        <f ca="1"/>
        <v/>
      </c>
      <c r="V38" t="str">
        <f ca="1"/>
        <v/>
      </c>
      <c r="W38" t="str">
        <f ca="1"/>
        <v/>
      </c>
      <c r="X38" t="str">
        <f ca="1"/>
        <v/>
      </c>
      <c r="Y38" t="str">
        <f ca="1"/>
        <v/>
      </c>
      <c r="Z38" t="str">
        <f ca="1"/>
        <v/>
      </c>
      <c r="AA38" t="str">
        <f ca="1"/>
        <v/>
      </c>
      <c r="AB38" t="str">
        <f ca="1"/>
        <v/>
      </c>
      <c r="AC38" t="str">
        <f ca="1"/>
        <v/>
      </c>
      <c r="AD38" t="str">
        <f ca="1"/>
        <v/>
      </c>
      <c r="AE38" t="str">
        <f ca="1"/>
        <v/>
      </c>
      <c r="AF38" t="str">
        <f ca="1"/>
        <v/>
      </c>
      <c r="AG38" t="str">
        <f ca="1"/>
        <v/>
      </c>
      <c r="AH38" t="str">
        <f ca="1"/>
        <v/>
      </c>
      <c r="AI38" t="str">
        <f ca="1"/>
        <v/>
      </c>
      <c r="AJ38" t="str">
        <f ca="1"/>
        <v/>
      </c>
      <c r="AK38" t="str">
        <f ca="1"/>
        <v/>
      </c>
      <c r="AL38" t="str">
        <f ca="1"/>
        <v/>
      </c>
      <c r="AM38" t="str">
        <f ca="1"/>
        <v/>
      </c>
      <c r="AN38" t="str">
        <f ca="1"/>
        <v/>
      </c>
      <c r="AO38" t="str">
        <f ca="1"/>
        <v/>
      </c>
      <c r="AP38" t="str">
        <f ca="1"/>
        <v/>
      </c>
      <c r="AQ38" t="str">
        <f ca="1"/>
        <v/>
      </c>
      <c r="AR38" t="str">
        <f ca="1"/>
        <v/>
      </c>
      <c r="AS38" t="str">
        <f ca="1"/>
        <v/>
      </c>
      <c r="AT38" t="str">
        <f ca="1"/>
        <v/>
      </c>
      <c r="AU38" t="str">
        <f ca="1"/>
        <v/>
      </c>
      <c r="AV38" t="str">
        <f ca="1"/>
        <v/>
      </c>
      <c r="AW38" t="str">
        <f ca="1"/>
        <v/>
      </c>
      <c r="AX38" t="str">
        <f ca="1"/>
        <v/>
      </c>
      <c r="AY38" s="109" t="str">
        <f ca="1"/>
        <v/>
      </c>
      <c r="AZ38" t="str">
        <f ca="1"/>
        <v/>
      </c>
      <c r="BA38" t="str">
        <f ca="1"/>
        <v/>
      </c>
      <c r="BB38" t="str">
        <f ca="1"/>
        <v/>
      </c>
      <c r="BC38" t="str">
        <f ca="1"/>
        <v/>
      </c>
      <c r="BD38" t="str">
        <f ca="1"/>
        <v/>
      </c>
      <c r="BE38" t="str">
        <f ca="1"/>
        <v/>
      </c>
      <c r="BF38" t="str">
        <f ca="1"/>
        <v/>
      </c>
      <c r="BG38" t="str">
        <f ca="1"/>
        <v/>
      </c>
      <c r="BH38" t="str">
        <f ca="1"/>
        <v/>
      </c>
      <c r="BI38" t="str">
        <f ca="1"/>
        <v/>
      </c>
      <c r="BJ38" t="str">
        <f ca="1"/>
        <v/>
      </c>
      <c r="BK38" t="str">
        <f ca="1"/>
        <v/>
      </c>
      <c r="BL38" t="str">
        <f ca="1"/>
        <v/>
      </c>
      <c r="BM38" t="str">
        <f ca="1"/>
        <v/>
      </c>
      <c r="BN38" t="str">
        <f ca="1"/>
        <v/>
      </c>
      <c r="BO38" t="str">
        <f ca="1"/>
        <v/>
      </c>
      <c r="BP38" t="str">
        <f ca="1"/>
        <v/>
      </c>
      <c r="BQ38" t="str">
        <f ca="1"/>
        <v/>
      </c>
      <c r="BR38" t="str">
        <f ca="1"/>
        <v/>
      </c>
      <c r="BS38" t="str">
        <f ca="1"/>
        <v/>
      </c>
      <c r="BT38" t="str">
        <f ca="1"/>
        <v/>
      </c>
      <c r="BU38" t="str">
        <f ca="1"/>
        <v/>
      </c>
      <c r="BV38" t="str">
        <f ca="1"/>
        <v/>
      </c>
      <c r="BW38" t="str">
        <f ca="1"/>
        <v/>
      </c>
      <c r="BX38" t="str">
        <f ca="1"/>
        <v/>
      </c>
      <c r="BY38" t="str">
        <f ca="1"/>
        <v/>
      </c>
      <c r="BZ38" t="str">
        <f ca="1"/>
        <v/>
      </c>
      <c r="CA38" t="str">
        <f ca="1"/>
        <v/>
      </c>
      <c r="CB38" t="str">
        <f ca="1"/>
        <v/>
      </c>
      <c r="CC38" t="str">
        <f ca="1"/>
        <v/>
      </c>
      <c r="CD38" t="str">
        <f ca="1"/>
        <v/>
      </c>
      <c r="CE38" t="str">
        <f ca="1"/>
        <v/>
      </c>
      <c r="CF38" t="str">
        <f ca="1"/>
        <v/>
      </c>
      <c r="CG38" t="str">
        <f ca="1"/>
        <v/>
      </c>
      <c r="CH38" t="str">
        <f ca="1"/>
        <v/>
      </c>
      <c r="CI38" t="str">
        <f ca="1"/>
        <v/>
      </c>
      <c r="CJ38" t="str">
        <f ca="1"/>
        <v/>
      </c>
      <c r="CK38" t="str">
        <f ca="1"/>
        <v/>
      </c>
      <c r="CL38" t="str">
        <f ca="1"/>
        <v/>
      </c>
      <c r="CM38" t="str">
        <f ca="1"/>
        <v/>
      </c>
      <c r="CN38" t="str">
        <f ca="1"/>
        <v/>
      </c>
      <c r="CO38" t="str">
        <f ca="1"/>
        <v/>
      </c>
      <c r="CP38" t="str">
        <f ca="1"/>
        <v/>
      </c>
      <c r="CQ38" t="str">
        <f ca="1"/>
        <v/>
      </c>
      <c r="CR38" t="str">
        <f ca="1"/>
        <v/>
      </c>
      <c r="CS38" t="str">
        <f ca="1"/>
        <v/>
      </c>
      <c r="CT38" t="str">
        <f ca="1"/>
        <v/>
      </c>
      <c r="CU38" t="str">
        <f>IF(ISBLANK(identitasMurid!D41),"",identitasMurid!D41)</f>
        <v/>
      </c>
      <c r="CV38" t="str">
        <f t="shared" si="21"/>
        <v/>
      </c>
      <c r="CW38" t="str">
        <f t="shared" si="0"/>
        <v/>
      </c>
      <c r="CX38" t="str">
        <f t="shared" si="1"/>
        <v/>
      </c>
      <c r="CY38" t="str">
        <f t="shared" si="2"/>
        <v/>
      </c>
      <c r="CZ38" t="str">
        <f t="shared" si="3"/>
        <v/>
      </c>
      <c r="DA38" t="str">
        <f t="shared" si="4"/>
        <v/>
      </c>
      <c r="DB38" t="str">
        <f t="shared" si="5"/>
        <v/>
      </c>
      <c r="DC38" t="str">
        <f t="shared" si="6"/>
        <v/>
      </c>
      <c r="DD38" t="str">
        <f t="shared" si="22"/>
        <v/>
      </c>
      <c r="DE38" t="str">
        <f t="shared" si="7"/>
        <v/>
      </c>
      <c r="DF38" t="str">
        <f t="shared" si="8"/>
        <v/>
      </c>
      <c r="DG38" t="str">
        <f t="shared" si="9"/>
        <v/>
      </c>
      <c r="DH38" t="str">
        <f t="shared" si="10"/>
        <v/>
      </c>
      <c r="DI38" t="str">
        <f t="shared" si="11"/>
        <v/>
      </c>
      <c r="DJ38" t="str">
        <f t="shared" si="12"/>
        <v/>
      </c>
      <c r="DK38" t="str">
        <f t="shared" si="13"/>
        <v/>
      </c>
      <c r="DL38" t="str">
        <f t="shared" si="23"/>
        <v/>
      </c>
      <c r="DM38" t="str">
        <f t="shared" si="14"/>
        <v/>
      </c>
      <c r="DN38" t="str">
        <f t="shared" si="15"/>
        <v/>
      </c>
      <c r="DO38" t="str">
        <f t="shared" si="16"/>
        <v/>
      </c>
      <c r="DP38" t="str">
        <f t="shared" si="17"/>
        <v/>
      </c>
      <c r="DQ38" t="str">
        <f t="shared" si="18"/>
        <v/>
      </c>
      <c r="DR38" t="str">
        <f t="shared" si="19"/>
        <v/>
      </c>
      <c r="DS38" t="str">
        <f t="shared" si="20"/>
        <v/>
      </c>
      <c r="EF38" s="114" t="str">
        <f ca="1"/>
        <v/>
      </c>
    </row>
    <row r="39" spans="1:159" hidden="1" x14ac:dyDescent="0.3">
      <c r="A39" t="str">
        <f>IF(ROW(A37)&lt;=profilKelas!$F$14,ROW(A37),"")</f>
        <v/>
      </c>
      <c r="B39" t="str">
        <f>IF(ISBLANK(identitasMurid!C42),"",identitasMurid!C42)</f>
        <v/>
      </c>
      <c r="C39" t="str">
        <f ca="1"/>
        <v/>
      </c>
      <c r="D39" t="str">
        <f ca="1"/>
        <v/>
      </c>
      <c r="E39" t="str">
        <f ca="1"/>
        <v/>
      </c>
      <c r="F39" t="str">
        <f ca="1"/>
        <v/>
      </c>
      <c r="G39" t="str">
        <f ca="1"/>
        <v/>
      </c>
      <c r="H39" t="str">
        <f ca="1"/>
        <v/>
      </c>
      <c r="I39" t="str">
        <f ca="1"/>
        <v/>
      </c>
      <c r="J39" t="str">
        <f ca="1"/>
        <v/>
      </c>
      <c r="K39" t="str">
        <f ca="1"/>
        <v/>
      </c>
      <c r="L39" t="str">
        <f ca="1"/>
        <v/>
      </c>
      <c r="M39" t="str">
        <f ca="1"/>
        <v/>
      </c>
      <c r="N39" t="str">
        <f ca="1"/>
        <v/>
      </c>
      <c r="O39" t="str">
        <f ca="1"/>
        <v/>
      </c>
      <c r="P39" t="str">
        <f ca="1"/>
        <v/>
      </c>
      <c r="Q39" t="str">
        <f ca="1"/>
        <v/>
      </c>
      <c r="R39" t="str">
        <f ca="1"/>
        <v/>
      </c>
      <c r="S39" t="str">
        <f ca="1"/>
        <v/>
      </c>
      <c r="T39" t="str">
        <f ca="1"/>
        <v/>
      </c>
      <c r="U39" t="str">
        <f ca="1"/>
        <v/>
      </c>
      <c r="V39" t="str">
        <f ca="1"/>
        <v/>
      </c>
      <c r="W39" t="str">
        <f ca="1"/>
        <v/>
      </c>
      <c r="X39" t="str">
        <f ca="1"/>
        <v/>
      </c>
      <c r="Y39" t="str">
        <f ca="1"/>
        <v/>
      </c>
      <c r="Z39" t="str">
        <f ca="1"/>
        <v/>
      </c>
      <c r="AA39" t="str">
        <f ca="1"/>
        <v/>
      </c>
      <c r="AB39" t="str">
        <f ca="1"/>
        <v/>
      </c>
      <c r="AC39" t="str">
        <f ca="1"/>
        <v/>
      </c>
      <c r="AD39" t="str">
        <f ca="1"/>
        <v/>
      </c>
      <c r="AE39" t="str">
        <f ca="1"/>
        <v/>
      </c>
      <c r="AF39" t="str">
        <f ca="1"/>
        <v/>
      </c>
      <c r="AG39" t="str">
        <f ca="1"/>
        <v/>
      </c>
      <c r="AH39" t="str">
        <f ca="1"/>
        <v/>
      </c>
      <c r="AI39" t="str">
        <f ca="1"/>
        <v/>
      </c>
      <c r="AJ39" t="str">
        <f ca="1"/>
        <v/>
      </c>
      <c r="AK39" t="str">
        <f ca="1"/>
        <v/>
      </c>
      <c r="AL39" t="str">
        <f ca="1"/>
        <v/>
      </c>
      <c r="AM39" t="str">
        <f ca="1"/>
        <v/>
      </c>
      <c r="AN39" t="str">
        <f ca="1"/>
        <v/>
      </c>
      <c r="AO39" t="str">
        <f ca="1"/>
        <v/>
      </c>
      <c r="AP39" t="str">
        <f ca="1"/>
        <v/>
      </c>
      <c r="AQ39" t="str">
        <f ca="1"/>
        <v/>
      </c>
      <c r="AR39" t="str">
        <f ca="1"/>
        <v/>
      </c>
      <c r="AS39" t="str">
        <f ca="1"/>
        <v/>
      </c>
      <c r="AT39" t="str">
        <f ca="1"/>
        <v/>
      </c>
      <c r="AU39" t="str">
        <f ca="1"/>
        <v/>
      </c>
      <c r="AV39" t="str">
        <f ca="1"/>
        <v/>
      </c>
      <c r="AW39" t="str">
        <f ca="1"/>
        <v/>
      </c>
      <c r="AX39" t="str">
        <f ca="1"/>
        <v/>
      </c>
      <c r="AY39" s="109" t="str">
        <f ca="1"/>
        <v/>
      </c>
      <c r="AZ39" t="str">
        <f ca="1"/>
        <v/>
      </c>
      <c r="BA39" t="str">
        <f ca="1"/>
        <v/>
      </c>
      <c r="BB39" t="str">
        <f ca="1"/>
        <v/>
      </c>
      <c r="BC39" t="str">
        <f ca="1"/>
        <v/>
      </c>
      <c r="BD39" t="str">
        <f ca="1"/>
        <v/>
      </c>
      <c r="BE39" t="str">
        <f ca="1"/>
        <v/>
      </c>
      <c r="BF39" t="str">
        <f ca="1"/>
        <v/>
      </c>
      <c r="BG39" t="str">
        <f ca="1"/>
        <v/>
      </c>
      <c r="BH39" t="str">
        <f ca="1"/>
        <v/>
      </c>
      <c r="BI39" t="str">
        <f ca="1"/>
        <v/>
      </c>
      <c r="BJ39" t="str">
        <f ca="1"/>
        <v/>
      </c>
      <c r="BK39" t="str">
        <f ca="1"/>
        <v/>
      </c>
      <c r="BL39" t="str">
        <f ca="1"/>
        <v/>
      </c>
      <c r="BM39" t="str">
        <f ca="1"/>
        <v/>
      </c>
      <c r="BN39" t="str">
        <f ca="1"/>
        <v/>
      </c>
      <c r="BO39" t="str">
        <f ca="1"/>
        <v/>
      </c>
      <c r="BP39" t="str">
        <f ca="1"/>
        <v/>
      </c>
      <c r="BQ39" t="str">
        <f ca="1"/>
        <v/>
      </c>
      <c r="BR39" t="str">
        <f ca="1"/>
        <v/>
      </c>
      <c r="BS39" t="str">
        <f ca="1"/>
        <v/>
      </c>
      <c r="BT39" t="str">
        <f ca="1"/>
        <v/>
      </c>
      <c r="BU39" t="str">
        <f ca="1"/>
        <v/>
      </c>
      <c r="BV39" t="str">
        <f ca="1"/>
        <v/>
      </c>
      <c r="BW39" t="str">
        <f ca="1"/>
        <v/>
      </c>
      <c r="BX39" t="str">
        <f ca="1"/>
        <v/>
      </c>
      <c r="BY39" t="str">
        <f ca="1"/>
        <v/>
      </c>
      <c r="BZ39" t="str">
        <f ca="1"/>
        <v/>
      </c>
      <c r="CA39" t="str">
        <f ca="1"/>
        <v/>
      </c>
      <c r="CB39" t="str">
        <f ca="1"/>
        <v/>
      </c>
      <c r="CC39" t="str">
        <f ca="1"/>
        <v/>
      </c>
      <c r="CD39" t="str">
        <f ca="1"/>
        <v/>
      </c>
      <c r="CE39" t="str">
        <f ca="1"/>
        <v/>
      </c>
      <c r="CF39" t="str">
        <f ca="1"/>
        <v/>
      </c>
      <c r="CG39" t="str">
        <f ca="1"/>
        <v/>
      </c>
      <c r="CH39" t="str">
        <f ca="1"/>
        <v/>
      </c>
      <c r="CI39" t="str">
        <f ca="1"/>
        <v/>
      </c>
      <c r="CJ39" t="str">
        <f ca="1"/>
        <v/>
      </c>
      <c r="CK39" t="str">
        <f ca="1"/>
        <v/>
      </c>
      <c r="CL39" t="str">
        <f ca="1"/>
        <v/>
      </c>
      <c r="CM39" t="str">
        <f ca="1"/>
        <v/>
      </c>
      <c r="CN39" t="str">
        <f ca="1"/>
        <v/>
      </c>
      <c r="CO39" t="str">
        <f ca="1"/>
        <v/>
      </c>
      <c r="CP39" t="str">
        <f ca="1"/>
        <v/>
      </c>
      <c r="CQ39" t="str">
        <f ca="1"/>
        <v/>
      </c>
      <c r="CR39" t="str">
        <f ca="1"/>
        <v/>
      </c>
      <c r="CS39" t="str">
        <f ca="1"/>
        <v/>
      </c>
      <c r="CT39" t="str">
        <f ca="1"/>
        <v/>
      </c>
      <c r="CU39" t="str">
        <f>IF(ISBLANK(identitasMurid!D42),"",identitasMurid!D42)</f>
        <v/>
      </c>
      <c r="CV39" t="str">
        <f t="shared" si="21"/>
        <v/>
      </c>
      <c r="CW39" t="str">
        <f t="shared" si="0"/>
        <v/>
      </c>
      <c r="CX39" t="str">
        <f t="shared" si="1"/>
        <v/>
      </c>
      <c r="CY39" t="str">
        <f t="shared" si="2"/>
        <v/>
      </c>
      <c r="CZ39" t="str">
        <f t="shared" si="3"/>
        <v/>
      </c>
      <c r="DA39" t="str">
        <f t="shared" si="4"/>
        <v/>
      </c>
      <c r="DB39" t="str">
        <f t="shared" si="5"/>
        <v/>
      </c>
      <c r="DC39" t="str">
        <f t="shared" si="6"/>
        <v/>
      </c>
      <c r="DD39" t="str">
        <f t="shared" si="22"/>
        <v/>
      </c>
      <c r="DE39" t="str">
        <f t="shared" si="7"/>
        <v/>
      </c>
      <c r="DF39" t="str">
        <f t="shared" si="8"/>
        <v/>
      </c>
      <c r="DG39" t="str">
        <f t="shared" si="9"/>
        <v/>
      </c>
      <c r="DH39" t="str">
        <f t="shared" si="10"/>
        <v/>
      </c>
      <c r="DI39" t="str">
        <f t="shared" si="11"/>
        <v/>
      </c>
      <c r="DJ39" t="str">
        <f t="shared" si="12"/>
        <v/>
      </c>
      <c r="DK39" t="str">
        <f t="shared" si="13"/>
        <v/>
      </c>
      <c r="DL39" t="str">
        <f t="shared" si="23"/>
        <v/>
      </c>
      <c r="DM39" t="str">
        <f t="shared" si="14"/>
        <v/>
      </c>
      <c r="DN39" t="str">
        <f t="shared" si="15"/>
        <v/>
      </c>
      <c r="DO39" t="str">
        <f t="shared" si="16"/>
        <v/>
      </c>
      <c r="DP39" t="str">
        <f t="shared" si="17"/>
        <v/>
      </c>
      <c r="DQ39" t="str">
        <f t="shared" si="18"/>
        <v/>
      </c>
      <c r="DR39" t="str">
        <f t="shared" si="19"/>
        <v/>
      </c>
      <c r="DS39" t="str">
        <f t="shared" si="20"/>
        <v/>
      </c>
      <c r="EF39" s="114" t="str">
        <f ca="1"/>
        <v/>
      </c>
    </row>
    <row r="40" spans="1:159" hidden="1" x14ac:dyDescent="0.3">
      <c r="A40" t="str">
        <f>IF(ROW(A38)&lt;=profilKelas!$F$14,ROW(A38),"")</f>
        <v/>
      </c>
      <c r="B40" t="str">
        <f>IF(ISBLANK(identitasMurid!C43),"",identitasMurid!C43)</f>
        <v/>
      </c>
      <c r="C40" t="str">
        <f ca="1"/>
        <v/>
      </c>
      <c r="D40" t="str">
        <f ca="1"/>
        <v/>
      </c>
      <c r="E40" t="str">
        <f ca="1"/>
        <v/>
      </c>
      <c r="F40" t="str">
        <f ca="1"/>
        <v/>
      </c>
      <c r="G40" t="str">
        <f ca="1"/>
        <v/>
      </c>
      <c r="H40" t="str">
        <f ca="1"/>
        <v/>
      </c>
      <c r="I40" t="str">
        <f ca="1"/>
        <v/>
      </c>
      <c r="J40" t="str">
        <f ca="1"/>
        <v/>
      </c>
      <c r="K40" t="str">
        <f ca="1"/>
        <v/>
      </c>
      <c r="L40" t="str">
        <f ca="1"/>
        <v/>
      </c>
      <c r="M40" t="str">
        <f ca="1"/>
        <v/>
      </c>
      <c r="N40" t="str">
        <f ca="1"/>
        <v/>
      </c>
      <c r="O40" t="str">
        <f ca="1"/>
        <v/>
      </c>
      <c r="P40" t="str">
        <f ca="1"/>
        <v/>
      </c>
      <c r="Q40" t="str">
        <f ca="1"/>
        <v/>
      </c>
      <c r="R40" t="str">
        <f ca="1"/>
        <v/>
      </c>
      <c r="S40" t="str">
        <f ca="1"/>
        <v/>
      </c>
      <c r="T40" t="str">
        <f ca="1"/>
        <v/>
      </c>
      <c r="U40" t="str">
        <f ca="1"/>
        <v/>
      </c>
      <c r="V40" t="str">
        <f ca="1"/>
        <v/>
      </c>
      <c r="W40" t="str">
        <f ca="1"/>
        <v/>
      </c>
      <c r="X40" t="str">
        <f ca="1"/>
        <v/>
      </c>
      <c r="Y40" t="str">
        <f ca="1"/>
        <v/>
      </c>
      <c r="Z40" t="str">
        <f ca="1"/>
        <v/>
      </c>
      <c r="AA40" t="str">
        <f ca="1"/>
        <v/>
      </c>
      <c r="AB40" t="str">
        <f ca="1"/>
        <v/>
      </c>
      <c r="AC40" t="str">
        <f ca="1"/>
        <v/>
      </c>
      <c r="AD40" t="str">
        <f ca="1"/>
        <v/>
      </c>
      <c r="AE40" t="str">
        <f ca="1"/>
        <v/>
      </c>
      <c r="AF40" t="str">
        <f ca="1"/>
        <v/>
      </c>
      <c r="AG40" t="str">
        <f ca="1"/>
        <v/>
      </c>
      <c r="AH40" t="str">
        <f ca="1"/>
        <v/>
      </c>
      <c r="AI40" t="str">
        <f ca="1"/>
        <v/>
      </c>
      <c r="AJ40" t="str">
        <f ca="1"/>
        <v/>
      </c>
      <c r="AK40" t="str">
        <f ca="1"/>
        <v/>
      </c>
      <c r="AL40" t="str">
        <f ca="1"/>
        <v/>
      </c>
      <c r="AM40" t="str">
        <f ca="1"/>
        <v/>
      </c>
      <c r="AN40" t="str">
        <f ca="1"/>
        <v/>
      </c>
      <c r="AO40" t="str">
        <f ca="1"/>
        <v/>
      </c>
      <c r="AP40" t="str">
        <f ca="1"/>
        <v/>
      </c>
      <c r="AQ40" t="str">
        <f ca="1"/>
        <v/>
      </c>
      <c r="AR40" t="str">
        <f ca="1"/>
        <v/>
      </c>
      <c r="AS40" t="str">
        <f ca="1"/>
        <v/>
      </c>
      <c r="AT40" t="str">
        <f ca="1"/>
        <v/>
      </c>
      <c r="AU40" t="str">
        <f ca="1"/>
        <v/>
      </c>
      <c r="AV40" t="str">
        <f ca="1"/>
        <v/>
      </c>
      <c r="AW40" t="str">
        <f ca="1"/>
        <v/>
      </c>
      <c r="AX40" t="str">
        <f ca="1"/>
        <v/>
      </c>
      <c r="AY40" s="109" t="str">
        <f ca="1"/>
        <v/>
      </c>
      <c r="AZ40" t="str">
        <f ca="1"/>
        <v/>
      </c>
      <c r="BA40" t="str">
        <f ca="1"/>
        <v/>
      </c>
      <c r="BB40" t="str">
        <f ca="1"/>
        <v/>
      </c>
      <c r="BC40" t="str">
        <f ca="1"/>
        <v/>
      </c>
      <c r="BD40" t="str">
        <f ca="1"/>
        <v/>
      </c>
      <c r="BE40" t="str">
        <f ca="1"/>
        <v/>
      </c>
      <c r="BF40" t="str">
        <f ca="1"/>
        <v/>
      </c>
      <c r="BG40" t="str">
        <f ca="1"/>
        <v/>
      </c>
      <c r="BH40" t="str">
        <f ca="1"/>
        <v/>
      </c>
      <c r="BI40" t="str">
        <f ca="1"/>
        <v/>
      </c>
      <c r="BJ40" t="str">
        <f ca="1"/>
        <v/>
      </c>
      <c r="BK40" t="str">
        <f ca="1"/>
        <v/>
      </c>
      <c r="BL40" t="str">
        <f ca="1"/>
        <v/>
      </c>
      <c r="BM40" t="str">
        <f ca="1"/>
        <v/>
      </c>
      <c r="BN40" t="str">
        <f ca="1"/>
        <v/>
      </c>
      <c r="BO40" t="str">
        <f ca="1"/>
        <v/>
      </c>
      <c r="BP40" t="str">
        <f ca="1"/>
        <v/>
      </c>
      <c r="BQ40" t="str">
        <f ca="1"/>
        <v/>
      </c>
      <c r="BR40" t="str">
        <f ca="1"/>
        <v/>
      </c>
      <c r="BS40" t="str">
        <f ca="1"/>
        <v/>
      </c>
      <c r="BT40" t="str">
        <f ca="1"/>
        <v/>
      </c>
      <c r="BU40" t="str">
        <f ca="1"/>
        <v/>
      </c>
      <c r="BV40" t="str">
        <f ca="1"/>
        <v/>
      </c>
      <c r="BW40" t="str">
        <f ca="1"/>
        <v/>
      </c>
      <c r="BX40" t="str">
        <f ca="1"/>
        <v/>
      </c>
      <c r="BY40" t="str">
        <f ca="1"/>
        <v/>
      </c>
      <c r="BZ40" t="str">
        <f ca="1"/>
        <v/>
      </c>
      <c r="CA40" t="str">
        <f ca="1"/>
        <v/>
      </c>
      <c r="CB40" t="str">
        <f ca="1"/>
        <v/>
      </c>
      <c r="CC40" t="str">
        <f ca="1"/>
        <v/>
      </c>
      <c r="CD40" t="str">
        <f ca="1"/>
        <v/>
      </c>
      <c r="CE40" t="str">
        <f ca="1"/>
        <v/>
      </c>
      <c r="CF40" t="str">
        <f ca="1"/>
        <v/>
      </c>
      <c r="CG40" t="str">
        <f ca="1"/>
        <v/>
      </c>
      <c r="CH40" t="str">
        <f ca="1"/>
        <v/>
      </c>
      <c r="CI40" t="str">
        <f ca="1"/>
        <v/>
      </c>
      <c r="CJ40" t="str">
        <f ca="1"/>
        <v/>
      </c>
      <c r="CK40" t="str">
        <f ca="1"/>
        <v/>
      </c>
      <c r="CL40" t="str">
        <f ca="1"/>
        <v/>
      </c>
      <c r="CM40" t="str">
        <f ca="1"/>
        <v/>
      </c>
      <c r="CN40" t="str">
        <f ca="1"/>
        <v/>
      </c>
      <c r="CO40" t="str">
        <f ca="1"/>
        <v/>
      </c>
      <c r="CP40" t="str">
        <f ca="1"/>
        <v/>
      </c>
      <c r="CQ40" t="str">
        <f ca="1"/>
        <v/>
      </c>
      <c r="CR40" t="str">
        <f ca="1"/>
        <v/>
      </c>
      <c r="CS40" t="str">
        <f ca="1"/>
        <v/>
      </c>
      <c r="CT40" t="str">
        <f ca="1"/>
        <v/>
      </c>
      <c r="CU40" t="str">
        <f>IF(ISBLANK(identitasMurid!D43),"",identitasMurid!D43)</f>
        <v/>
      </c>
      <c r="CV40" t="str">
        <f t="shared" si="21"/>
        <v/>
      </c>
      <c r="CW40" t="str">
        <f t="shared" si="0"/>
        <v/>
      </c>
      <c r="CX40" t="str">
        <f t="shared" si="1"/>
        <v/>
      </c>
      <c r="CY40" t="str">
        <f t="shared" si="2"/>
        <v/>
      </c>
      <c r="CZ40" t="str">
        <f t="shared" si="3"/>
        <v/>
      </c>
      <c r="DA40" t="str">
        <f t="shared" si="4"/>
        <v/>
      </c>
      <c r="DB40" t="str">
        <f t="shared" si="5"/>
        <v/>
      </c>
      <c r="DC40" t="str">
        <f t="shared" si="6"/>
        <v/>
      </c>
      <c r="DD40" t="str">
        <f t="shared" si="22"/>
        <v/>
      </c>
      <c r="DE40" t="str">
        <f t="shared" si="7"/>
        <v/>
      </c>
      <c r="DF40" t="str">
        <f t="shared" si="8"/>
        <v/>
      </c>
      <c r="DG40" t="str">
        <f t="shared" si="9"/>
        <v/>
      </c>
      <c r="DH40" t="str">
        <f t="shared" si="10"/>
        <v/>
      </c>
      <c r="DI40" t="str">
        <f t="shared" si="11"/>
        <v/>
      </c>
      <c r="DJ40" t="str">
        <f t="shared" si="12"/>
        <v/>
      </c>
      <c r="DK40" t="str">
        <f t="shared" si="13"/>
        <v/>
      </c>
      <c r="DL40" t="str">
        <f t="shared" si="23"/>
        <v/>
      </c>
      <c r="DM40" t="str">
        <f t="shared" si="14"/>
        <v/>
      </c>
      <c r="DN40" t="str">
        <f t="shared" si="15"/>
        <v/>
      </c>
      <c r="DO40" t="str">
        <f t="shared" si="16"/>
        <v/>
      </c>
      <c r="DP40" t="str">
        <f t="shared" si="17"/>
        <v/>
      </c>
      <c r="DQ40" t="str">
        <f t="shared" si="18"/>
        <v/>
      </c>
      <c r="DR40" t="str">
        <f t="shared" si="19"/>
        <v/>
      </c>
      <c r="DS40" t="str">
        <f t="shared" si="20"/>
        <v/>
      </c>
      <c r="EF40" s="114" t="str">
        <f ca="1"/>
        <v/>
      </c>
    </row>
    <row r="41" spans="1:159" hidden="1" x14ac:dyDescent="0.3">
      <c r="A41" t="str">
        <f>IF(ROW(A39)&lt;=profilKelas!$F$14,ROW(A39),"")</f>
        <v/>
      </c>
      <c r="B41" t="str">
        <f>IF(ISBLANK(identitasMurid!C44),"",identitasMurid!C44)</f>
        <v/>
      </c>
      <c r="C41" t="str">
        <f ca="1"/>
        <v/>
      </c>
      <c r="D41" t="str">
        <f ca="1"/>
        <v/>
      </c>
      <c r="E41" t="str">
        <f ca="1"/>
        <v/>
      </c>
      <c r="F41" t="str">
        <f ca="1"/>
        <v/>
      </c>
      <c r="G41" t="str">
        <f ca="1"/>
        <v/>
      </c>
      <c r="H41" t="str">
        <f ca="1"/>
        <v/>
      </c>
      <c r="I41" t="str">
        <f ca="1"/>
        <v/>
      </c>
      <c r="J41" t="str">
        <f ca="1"/>
        <v/>
      </c>
      <c r="K41" t="str">
        <f ca="1"/>
        <v/>
      </c>
      <c r="L41" t="str">
        <f ca="1"/>
        <v/>
      </c>
      <c r="M41" t="str">
        <f ca="1"/>
        <v/>
      </c>
      <c r="N41" t="str">
        <f ca="1"/>
        <v/>
      </c>
      <c r="O41" t="str">
        <f ca="1"/>
        <v/>
      </c>
      <c r="P41" t="str">
        <f ca="1"/>
        <v/>
      </c>
      <c r="Q41" t="str">
        <f ca="1"/>
        <v/>
      </c>
      <c r="R41" t="str">
        <f ca="1"/>
        <v/>
      </c>
      <c r="S41" t="str">
        <f ca="1"/>
        <v/>
      </c>
      <c r="T41" t="str">
        <f ca="1"/>
        <v/>
      </c>
      <c r="U41" t="str">
        <f ca="1"/>
        <v/>
      </c>
      <c r="V41" t="str">
        <f ca="1"/>
        <v/>
      </c>
      <c r="W41" t="str">
        <f ca="1"/>
        <v/>
      </c>
      <c r="X41" t="str">
        <f ca="1"/>
        <v/>
      </c>
      <c r="Y41" t="str">
        <f ca="1"/>
        <v/>
      </c>
      <c r="Z41" t="str">
        <f ca="1"/>
        <v/>
      </c>
      <c r="AA41" t="str">
        <f ca="1"/>
        <v/>
      </c>
      <c r="AB41" t="str">
        <f ca="1"/>
        <v/>
      </c>
      <c r="AC41" t="str">
        <f ca="1"/>
        <v/>
      </c>
      <c r="AD41" t="str">
        <f ca="1"/>
        <v/>
      </c>
      <c r="AE41" t="str">
        <f ca="1"/>
        <v/>
      </c>
      <c r="AF41" t="str">
        <f ca="1"/>
        <v/>
      </c>
      <c r="AG41" t="str">
        <f ca="1"/>
        <v/>
      </c>
      <c r="AH41" t="str">
        <f ca="1"/>
        <v/>
      </c>
      <c r="AI41" t="str">
        <f ca="1"/>
        <v/>
      </c>
      <c r="AJ41" t="str">
        <f ca="1"/>
        <v/>
      </c>
      <c r="AK41" t="str">
        <f ca="1"/>
        <v/>
      </c>
      <c r="AL41" t="str">
        <f ca="1"/>
        <v/>
      </c>
      <c r="AM41" t="str">
        <f ca="1"/>
        <v/>
      </c>
      <c r="AN41" t="str">
        <f ca="1"/>
        <v/>
      </c>
      <c r="AO41" t="str">
        <f ca="1"/>
        <v/>
      </c>
      <c r="AP41" t="str">
        <f ca="1"/>
        <v/>
      </c>
      <c r="AQ41" t="str">
        <f ca="1"/>
        <v/>
      </c>
      <c r="AR41" t="str">
        <f ca="1"/>
        <v/>
      </c>
      <c r="AS41" t="str">
        <f ca="1"/>
        <v/>
      </c>
      <c r="AT41" t="str">
        <f ca="1"/>
        <v/>
      </c>
      <c r="AU41" t="str">
        <f ca="1"/>
        <v/>
      </c>
      <c r="AV41" t="str">
        <f ca="1"/>
        <v/>
      </c>
      <c r="AW41" t="str">
        <f ca="1"/>
        <v/>
      </c>
      <c r="AX41" t="str">
        <f ca="1"/>
        <v/>
      </c>
      <c r="AY41" s="109" t="str">
        <f ca="1"/>
        <v/>
      </c>
      <c r="AZ41" t="str">
        <f ca="1"/>
        <v/>
      </c>
      <c r="BA41" t="str">
        <f ca="1"/>
        <v/>
      </c>
      <c r="BB41" t="str">
        <f ca="1"/>
        <v/>
      </c>
      <c r="BC41" t="str">
        <f ca="1"/>
        <v/>
      </c>
      <c r="BD41" t="str">
        <f ca="1"/>
        <v/>
      </c>
      <c r="BE41" t="str">
        <f ca="1"/>
        <v/>
      </c>
      <c r="BF41" t="str">
        <f ca="1"/>
        <v/>
      </c>
      <c r="BG41" t="str">
        <f ca="1"/>
        <v/>
      </c>
      <c r="BH41" t="str">
        <f ca="1"/>
        <v/>
      </c>
      <c r="BI41" t="str">
        <f ca="1"/>
        <v/>
      </c>
      <c r="BJ41" t="str">
        <f ca="1"/>
        <v/>
      </c>
      <c r="BK41" t="str">
        <f ca="1"/>
        <v/>
      </c>
      <c r="BL41" t="str">
        <f ca="1"/>
        <v/>
      </c>
      <c r="BM41" t="str">
        <f ca="1"/>
        <v/>
      </c>
      <c r="BN41" t="str">
        <f ca="1"/>
        <v/>
      </c>
      <c r="BO41" t="str">
        <f ca="1"/>
        <v/>
      </c>
      <c r="BP41" t="str">
        <f ca="1"/>
        <v/>
      </c>
      <c r="BQ41" t="str">
        <f ca="1"/>
        <v/>
      </c>
      <c r="BR41" t="str">
        <f ca="1"/>
        <v/>
      </c>
      <c r="BS41" t="str">
        <f ca="1"/>
        <v/>
      </c>
      <c r="BT41" t="str">
        <f ca="1"/>
        <v/>
      </c>
      <c r="BU41" t="str">
        <f ca="1"/>
        <v/>
      </c>
      <c r="BV41" t="str">
        <f ca="1"/>
        <v/>
      </c>
      <c r="BW41" t="str">
        <f ca="1"/>
        <v/>
      </c>
      <c r="BX41" t="str">
        <f ca="1"/>
        <v/>
      </c>
      <c r="BY41" t="str">
        <f ca="1"/>
        <v/>
      </c>
      <c r="BZ41" t="str">
        <f ca="1"/>
        <v/>
      </c>
      <c r="CA41" t="str">
        <f ca="1"/>
        <v/>
      </c>
      <c r="CB41" t="str">
        <f ca="1"/>
        <v/>
      </c>
      <c r="CC41" t="str">
        <f ca="1"/>
        <v/>
      </c>
      <c r="CD41" t="str">
        <f ca="1"/>
        <v/>
      </c>
      <c r="CE41" t="str">
        <f ca="1"/>
        <v/>
      </c>
      <c r="CF41" t="str">
        <f ca="1"/>
        <v/>
      </c>
      <c r="CG41" t="str">
        <f ca="1"/>
        <v/>
      </c>
      <c r="CH41" t="str">
        <f ca="1"/>
        <v/>
      </c>
      <c r="CI41" t="str">
        <f ca="1"/>
        <v/>
      </c>
      <c r="CJ41" t="str">
        <f ca="1"/>
        <v/>
      </c>
      <c r="CK41" t="str">
        <f ca="1"/>
        <v/>
      </c>
      <c r="CL41" t="str">
        <f ca="1"/>
        <v/>
      </c>
      <c r="CM41" t="str">
        <f ca="1"/>
        <v/>
      </c>
      <c r="CN41" t="str">
        <f ca="1"/>
        <v/>
      </c>
      <c r="CO41" t="str">
        <f ca="1"/>
        <v/>
      </c>
      <c r="CP41" t="str">
        <f ca="1"/>
        <v/>
      </c>
      <c r="CQ41" t="str">
        <f ca="1"/>
        <v/>
      </c>
      <c r="CR41" t="str">
        <f ca="1"/>
        <v/>
      </c>
      <c r="CS41" t="str">
        <f ca="1"/>
        <v/>
      </c>
      <c r="CT41" t="str">
        <f ca="1"/>
        <v/>
      </c>
      <c r="CU41" t="str">
        <f>IF(ISBLANK(identitasMurid!D44),"",identitasMurid!D44)</f>
        <v/>
      </c>
      <c r="CV41" t="str">
        <f t="shared" si="21"/>
        <v/>
      </c>
      <c r="CW41" t="str">
        <f t="shared" si="0"/>
        <v/>
      </c>
      <c r="CX41" t="str">
        <f t="shared" si="1"/>
        <v/>
      </c>
      <c r="CY41" t="str">
        <f t="shared" si="2"/>
        <v/>
      </c>
      <c r="CZ41" t="str">
        <f t="shared" si="3"/>
        <v/>
      </c>
      <c r="DA41" t="str">
        <f t="shared" si="4"/>
        <v/>
      </c>
      <c r="DB41" t="str">
        <f t="shared" si="5"/>
        <v/>
      </c>
      <c r="DC41" t="str">
        <f t="shared" si="6"/>
        <v/>
      </c>
      <c r="DD41" t="str">
        <f t="shared" si="22"/>
        <v/>
      </c>
      <c r="DE41" t="str">
        <f t="shared" si="7"/>
        <v/>
      </c>
      <c r="DF41" t="str">
        <f t="shared" si="8"/>
        <v/>
      </c>
      <c r="DG41" t="str">
        <f t="shared" si="9"/>
        <v/>
      </c>
      <c r="DH41" t="str">
        <f t="shared" si="10"/>
        <v/>
      </c>
      <c r="DI41" t="str">
        <f t="shared" si="11"/>
        <v/>
      </c>
      <c r="DJ41" t="str">
        <f t="shared" si="12"/>
        <v/>
      </c>
      <c r="DK41" t="str">
        <f t="shared" si="13"/>
        <v/>
      </c>
      <c r="DL41" t="str">
        <f t="shared" si="23"/>
        <v/>
      </c>
      <c r="DM41" t="str">
        <f t="shared" si="14"/>
        <v/>
      </c>
      <c r="DN41" t="str">
        <f t="shared" si="15"/>
        <v/>
      </c>
      <c r="DO41" t="str">
        <f t="shared" si="16"/>
        <v/>
      </c>
      <c r="DP41" t="str">
        <f t="shared" si="17"/>
        <v/>
      </c>
      <c r="DQ41" t="str">
        <f t="shared" si="18"/>
        <v/>
      </c>
      <c r="DR41" t="str">
        <f t="shared" si="19"/>
        <v/>
      </c>
      <c r="DS41" t="str">
        <f t="shared" si="20"/>
        <v/>
      </c>
      <c r="EF41" s="114" t="str">
        <f ca="1"/>
        <v/>
      </c>
    </row>
    <row r="42" spans="1:159" hidden="1" x14ac:dyDescent="0.3">
      <c r="A42" t="str">
        <f>IF(ROW(A40)&lt;=profilKelas!$F$14,ROW(A40),"")</f>
        <v/>
      </c>
      <c r="B42" t="str">
        <f>IF(ISBLANK(identitasMurid!C45),"",identitasMurid!C45)</f>
        <v/>
      </c>
      <c r="C42" t="str">
        <f ca="1"/>
        <v/>
      </c>
      <c r="D42" t="str">
        <f ca="1"/>
        <v/>
      </c>
      <c r="E42" t="str">
        <f ca="1"/>
        <v/>
      </c>
      <c r="F42" t="str">
        <f ca="1"/>
        <v/>
      </c>
      <c r="G42" t="str">
        <f ca="1"/>
        <v/>
      </c>
      <c r="H42" t="str">
        <f ca="1"/>
        <v/>
      </c>
      <c r="I42" t="str">
        <f ca="1"/>
        <v/>
      </c>
      <c r="J42" t="str">
        <f ca="1"/>
        <v/>
      </c>
      <c r="K42" t="str">
        <f ca="1"/>
        <v/>
      </c>
      <c r="L42" t="str">
        <f ca="1"/>
        <v/>
      </c>
      <c r="M42" t="str">
        <f ca="1"/>
        <v/>
      </c>
      <c r="N42" t="str">
        <f ca="1"/>
        <v/>
      </c>
      <c r="O42" t="str">
        <f ca="1"/>
        <v/>
      </c>
      <c r="P42" t="str">
        <f ca="1"/>
        <v/>
      </c>
      <c r="Q42" t="str">
        <f ca="1"/>
        <v/>
      </c>
      <c r="R42" t="str">
        <f ca="1"/>
        <v/>
      </c>
      <c r="S42" t="str">
        <f ca="1"/>
        <v/>
      </c>
      <c r="T42" t="str">
        <f ca="1"/>
        <v/>
      </c>
      <c r="U42" t="str">
        <f ca="1"/>
        <v/>
      </c>
      <c r="V42" t="str">
        <f ca="1"/>
        <v/>
      </c>
      <c r="W42" t="str">
        <f ca="1"/>
        <v/>
      </c>
      <c r="X42" t="str">
        <f ca="1"/>
        <v/>
      </c>
      <c r="Y42" t="str">
        <f ca="1"/>
        <v/>
      </c>
      <c r="Z42" t="str">
        <f ca="1"/>
        <v/>
      </c>
      <c r="AA42" t="str">
        <f ca="1"/>
        <v/>
      </c>
      <c r="AB42" t="str">
        <f ca="1"/>
        <v/>
      </c>
      <c r="AC42" t="str">
        <f ca="1"/>
        <v/>
      </c>
      <c r="AD42" t="str">
        <f ca="1"/>
        <v/>
      </c>
      <c r="AE42" t="str">
        <f ca="1"/>
        <v/>
      </c>
      <c r="AF42" t="str">
        <f ca="1"/>
        <v/>
      </c>
      <c r="AG42" t="str">
        <f ca="1"/>
        <v/>
      </c>
      <c r="AH42" t="str">
        <f ca="1"/>
        <v/>
      </c>
      <c r="AI42" t="str">
        <f ca="1"/>
        <v/>
      </c>
      <c r="AJ42" t="str">
        <f ca="1"/>
        <v/>
      </c>
      <c r="AK42" t="str">
        <f ca="1"/>
        <v/>
      </c>
      <c r="AL42" t="str">
        <f ca="1"/>
        <v/>
      </c>
      <c r="AM42" t="str">
        <f ca="1"/>
        <v/>
      </c>
      <c r="AN42" t="str">
        <f ca="1"/>
        <v/>
      </c>
      <c r="AO42" t="str">
        <f ca="1"/>
        <v/>
      </c>
      <c r="AP42" t="str">
        <f ca="1"/>
        <v/>
      </c>
      <c r="AQ42" t="str">
        <f ca="1"/>
        <v/>
      </c>
      <c r="AR42" t="str">
        <f ca="1"/>
        <v/>
      </c>
      <c r="AS42" t="str">
        <f ca="1"/>
        <v/>
      </c>
      <c r="AT42" t="str">
        <f ca="1"/>
        <v/>
      </c>
      <c r="AU42" t="str">
        <f ca="1"/>
        <v/>
      </c>
      <c r="AV42" t="str">
        <f ca="1"/>
        <v/>
      </c>
      <c r="AW42" t="str">
        <f ca="1"/>
        <v/>
      </c>
      <c r="AX42" t="str">
        <f ca="1"/>
        <v/>
      </c>
      <c r="AY42" s="109" t="str">
        <f ca="1"/>
        <v/>
      </c>
      <c r="AZ42" t="str">
        <f ca="1"/>
        <v/>
      </c>
      <c r="BA42" t="str">
        <f ca="1"/>
        <v/>
      </c>
      <c r="BB42" t="str">
        <f ca="1"/>
        <v/>
      </c>
      <c r="BC42" t="str">
        <f ca="1"/>
        <v/>
      </c>
      <c r="BD42" t="str">
        <f ca="1"/>
        <v/>
      </c>
      <c r="BE42" t="str">
        <f ca="1"/>
        <v/>
      </c>
      <c r="BF42" t="str">
        <f ca="1"/>
        <v/>
      </c>
      <c r="BG42" t="str">
        <f ca="1"/>
        <v/>
      </c>
      <c r="BH42" t="str">
        <f ca="1"/>
        <v/>
      </c>
      <c r="BI42" t="str">
        <f ca="1"/>
        <v/>
      </c>
      <c r="BJ42" t="str">
        <f ca="1"/>
        <v/>
      </c>
      <c r="BK42" t="str">
        <f ca="1"/>
        <v/>
      </c>
      <c r="BL42" t="str">
        <f ca="1"/>
        <v/>
      </c>
      <c r="BM42" t="str">
        <f ca="1"/>
        <v/>
      </c>
      <c r="BN42" t="str">
        <f ca="1"/>
        <v/>
      </c>
      <c r="BO42" t="str">
        <f ca="1"/>
        <v/>
      </c>
      <c r="BP42" t="str">
        <f ca="1"/>
        <v/>
      </c>
      <c r="BQ42" t="str">
        <f ca="1"/>
        <v/>
      </c>
      <c r="BR42" t="str">
        <f ca="1"/>
        <v/>
      </c>
      <c r="BS42" t="str">
        <f ca="1"/>
        <v/>
      </c>
      <c r="BT42" t="str">
        <f ca="1"/>
        <v/>
      </c>
      <c r="BU42" t="str">
        <f ca="1"/>
        <v/>
      </c>
      <c r="BV42" t="str">
        <f ca="1"/>
        <v/>
      </c>
      <c r="BW42" t="str">
        <f ca="1"/>
        <v/>
      </c>
      <c r="BX42" t="str">
        <f ca="1"/>
        <v/>
      </c>
      <c r="BY42" t="str">
        <f ca="1"/>
        <v/>
      </c>
      <c r="BZ42" t="str">
        <f ca="1"/>
        <v/>
      </c>
      <c r="CA42" t="str">
        <f ca="1"/>
        <v/>
      </c>
      <c r="CB42" t="str">
        <f ca="1"/>
        <v/>
      </c>
      <c r="CC42" t="str">
        <f ca="1"/>
        <v/>
      </c>
      <c r="CD42" t="str">
        <f ca="1"/>
        <v/>
      </c>
      <c r="CE42" t="str">
        <f ca="1"/>
        <v/>
      </c>
      <c r="CF42" t="str">
        <f ca="1"/>
        <v/>
      </c>
      <c r="CG42" t="str">
        <f ca="1"/>
        <v/>
      </c>
      <c r="CH42" t="str">
        <f ca="1"/>
        <v/>
      </c>
      <c r="CI42" t="str">
        <f ca="1"/>
        <v/>
      </c>
      <c r="CJ42" t="str">
        <f ca="1"/>
        <v/>
      </c>
      <c r="CK42" t="str">
        <f ca="1"/>
        <v/>
      </c>
      <c r="CL42" t="str">
        <f ca="1"/>
        <v/>
      </c>
      <c r="CM42" t="str">
        <f ca="1"/>
        <v/>
      </c>
      <c r="CN42" t="str">
        <f ca="1"/>
        <v/>
      </c>
      <c r="CO42" t="str">
        <f ca="1"/>
        <v/>
      </c>
      <c r="CP42" t="str">
        <f ca="1"/>
        <v/>
      </c>
      <c r="CQ42" t="str">
        <f ca="1"/>
        <v/>
      </c>
      <c r="CR42" t="str">
        <f ca="1"/>
        <v/>
      </c>
      <c r="CS42" t="str">
        <f ca="1"/>
        <v/>
      </c>
      <c r="CT42" t="str">
        <f ca="1"/>
        <v/>
      </c>
      <c r="CU42" t="str">
        <f>IF(ISBLANK(identitasMurid!D45),"",identitasMurid!D45)</f>
        <v/>
      </c>
      <c r="CV42" t="str">
        <f t="shared" si="21"/>
        <v/>
      </c>
      <c r="CW42" t="str">
        <f t="shared" si="0"/>
        <v/>
      </c>
      <c r="CX42" t="str">
        <f t="shared" si="1"/>
        <v/>
      </c>
      <c r="CY42" t="str">
        <f t="shared" si="2"/>
        <v/>
      </c>
      <c r="CZ42" t="str">
        <f t="shared" si="3"/>
        <v/>
      </c>
      <c r="DA42" t="str">
        <f t="shared" si="4"/>
        <v/>
      </c>
      <c r="DB42" t="str">
        <f t="shared" si="5"/>
        <v/>
      </c>
      <c r="DC42" t="str">
        <f t="shared" si="6"/>
        <v/>
      </c>
      <c r="DD42" t="str">
        <f t="shared" si="22"/>
        <v/>
      </c>
      <c r="DE42" t="str">
        <f t="shared" si="7"/>
        <v/>
      </c>
      <c r="DF42" t="str">
        <f t="shared" si="8"/>
        <v/>
      </c>
      <c r="DG42" t="str">
        <f t="shared" si="9"/>
        <v/>
      </c>
      <c r="DH42" t="str">
        <f t="shared" si="10"/>
        <v/>
      </c>
      <c r="DI42" t="str">
        <f t="shared" si="11"/>
        <v/>
      </c>
      <c r="DJ42" t="str">
        <f t="shared" si="12"/>
        <v/>
      </c>
      <c r="DK42" t="str">
        <f t="shared" si="13"/>
        <v/>
      </c>
      <c r="DL42" t="str">
        <f t="shared" si="23"/>
        <v/>
      </c>
      <c r="DM42" t="str">
        <f t="shared" si="14"/>
        <v/>
      </c>
      <c r="DN42" t="str">
        <f t="shared" si="15"/>
        <v/>
      </c>
      <c r="DO42" t="str">
        <f t="shared" si="16"/>
        <v/>
      </c>
      <c r="DP42" t="str">
        <f t="shared" si="17"/>
        <v/>
      </c>
      <c r="DQ42" t="str">
        <f t="shared" si="18"/>
        <v/>
      </c>
      <c r="DR42" t="str">
        <f t="shared" si="19"/>
        <v/>
      </c>
      <c r="DS42" t="str">
        <f t="shared" si="20"/>
        <v/>
      </c>
      <c r="EF42" s="114" t="str">
        <f ca="1"/>
        <v/>
      </c>
    </row>
    <row r="43" spans="1:159" hidden="1" x14ac:dyDescent="0.3">
      <c r="A43" t="str">
        <f>IF(ROW(A41)&lt;=profilKelas!$F$14,ROW(A41),"")</f>
        <v/>
      </c>
      <c r="B43" t="str">
        <f>IF(ISBLANK(identitasMurid!C46),"",identitasMurid!C46)</f>
        <v/>
      </c>
      <c r="C43" t="str">
        <f ca="1"/>
        <v/>
      </c>
      <c r="D43" t="str">
        <f ca="1"/>
        <v/>
      </c>
      <c r="E43" t="str">
        <f ca="1"/>
        <v/>
      </c>
      <c r="F43" t="str">
        <f ca="1"/>
        <v/>
      </c>
      <c r="G43" t="str">
        <f ca="1"/>
        <v/>
      </c>
      <c r="H43" t="str">
        <f ca="1"/>
        <v/>
      </c>
      <c r="I43" t="str">
        <f ca="1"/>
        <v/>
      </c>
      <c r="J43" t="str">
        <f ca="1"/>
        <v/>
      </c>
      <c r="K43" t="str">
        <f ca="1"/>
        <v/>
      </c>
      <c r="L43" t="str">
        <f ca="1"/>
        <v/>
      </c>
      <c r="M43" t="str">
        <f ca="1"/>
        <v/>
      </c>
      <c r="N43" t="str">
        <f ca="1"/>
        <v/>
      </c>
      <c r="O43" t="str">
        <f ca="1"/>
        <v/>
      </c>
      <c r="P43" t="str">
        <f ca="1"/>
        <v/>
      </c>
      <c r="Q43" t="str">
        <f ca="1"/>
        <v/>
      </c>
      <c r="R43" t="str">
        <f ca="1"/>
        <v/>
      </c>
      <c r="S43" t="str">
        <f ca="1"/>
        <v/>
      </c>
      <c r="T43" t="str">
        <f ca="1"/>
        <v/>
      </c>
      <c r="U43" t="str">
        <f ca="1"/>
        <v/>
      </c>
      <c r="V43" t="str">
        <f ca="1"/>
        <v/>
      </c>
      <c r="W43" t="str">
        <f ca="1"/>
        <v/>
      </c>
      <c r="X43" t="str">
        <f ca="1"/>
        <v/>
      </c>
      <c r="Y43" t="str">
        <f ca="1"/>
        <v/>
      </c>
      <c r="Z43" t="str">
        <f ca="1"/>
        <v/>
      </c>
      <c r="AA43" t="str">
        <f ca="1"/>
        <v/>
      </c>
      <c r="AB43" t="str">
        <f ca="1"/>
        <v/>
      </c>
      <c r="AC43" t="str">
        <f ca="1"/>
        <v/>
      </c>
      <c r="AD43" t="str">
        <f ca="1"/>
        <v/>
      </c>
      <c r="AE43" t="str">
        <f ca="1"/>
        <v/>
      </c>
      <c r="AF43" t="str">
        <f ca="1"/>
        <v/>
      </c>
      <c r="AG43" t="str">
        <f ca="1"/>
        <v/>
      </c>
      <c r="AH43" t="str">
        <f ca="1"/>
        <v/>
      </c>
      <c r="AI43" t="str">
        <f ca="1"/>
        <v/>
      </c>
      <c r="AJ43" t="str">
        <f ca="1"/>
        <v/>
      </c>
      <c r="AK43" t="str">
        <f ca="1"/>
        <v/>
      </c>
      <c r="AL43" t="str">
        <f ca="1"/>
        <v/>
      </c>
      <c r="AM43" t="str">
        <f ca="1"/>
        <v/>
      </c>
      <c r="AN43" t="str">
        <f ca="1"/>
        <v/>
      </c>
      <c r="AO43" t="str">
        <f ca="1"/>
        <v/>
      </c>
      <c r="AP43" t="str">
        <f ca="1"/>
        <v/>
      </c>
      <c r="AQ43" t="str">
        <f ca="1"/>
        <v/>
      </c>
      <c r="AR43" t="str">
        <f ca="1"/>
        <v/>
      </c>
      <c r="AS43" t="str">
        <f ca="1"/>
        <v/>
      </c>
      <c r="AT43" t="str">
        <f ca="1"/>
        <v/>
      </c>
      <c r="AU43" t="str">
        <f ca="1"/>
        <v/>
      </c>
      <c r="AV43" t="str">
        <f ca="1"/>
        <v/>
      </c>
      <c r="AW43" t="str">
        <f ca="1"/>
        <v/>
      </c>
      <c r="AX43" t="str">
        <f ca="1"/>
        <v/>
      </c>
      <c r="AY43" s="109" t="str">
        <f ca="1"/>
        <v/>
      </c>
      <c r="AZ43" t="str">
        <f ca="1"/>
        <v/>
      </c>
      <c r="BA43" t="str">
        <f ca="1"/>
        <v/>
      </c>
      <c r="BB43" t="str">
        <f ca="1"/>
        <v/>
      </c>
      <c r="BC43" t="str">
        <f ca="1"/>
        <v/>
      </c>
      <c r="BD43" t="str">
        <f ca="1"/>
        <v/>
      </c>
      <c r="BE43" t="str">
        <f ca="1"/>
        <v/>
      </c>
      <c r="BF43" t="str">
        <f ca="1"/>
        <v/>
      </c>
      <c r="BG43" t="str">
        <f ca="1"/>
        <v/>
      </c>
      <c r="BH43" t="str">
        <f ca="1"/>
        <v/>
      </c>
      <c r="BI43" t="str">
        <f ca="1"/>
        <v/>
      </c>
      <c r="BJ43" t="str">
        <f ca="1"/>
        <v/>
      </c>
      <c r="BK43" t="str">
        <f ca="1"/>
        <v/>
      </c>
      <c r="BL43" t="str">
        <f ca="1"/>
        <v/>
      </c>
      <c r="BM43" t="str">
        <f ca="1"/>
        <v/>
      </c>
      <c r="BN43" t="str">
        <f ca="1"/>
        <v/>
      </c>
      <c r="BO43" t="str">
        <f ca="1"/>
        <v/>
      </c>
      <c r="BP43" t="str">
        <f ca="1"/>
        <v/>
      </c>
      <c r="BQ43" t="str">
        <f ca="1"/>
        <v/>
      </c>
      <c r="BR43" t="str">
        <f ca="1"/>
        <v/>
      </c>
      <c r="BS43" t="str">
        <f ca="1"/>
        <v/>
      </c>
      <c r="BT43" t="str">
        <f ca="1"/>
        <v/>
      </c>
      <c r="BU43" t="str">
        <f ca="1"/>
        <v/>
      </c>
      <c r="BV43" t="str">
        <f ca="1"/>
        <v/>
      </c>
      <c r="BW43" t="str">
        <f ca="1"/>
        <v/>
      </c>
      <c r="BX43" t="str">
        <f ca="1"/>
        <v/>
      </c>
      <c r="BY43" t="str">
        <f ca="1"/>
        <v/>
      </c>
      <c r="BZ43" t="str">
        <f ca="1"/>
        <v/>
      </c>
      <c r="CA43" t="str">
        <f ca="1"/>
        <v/>
      </c>
      <c r="CB43" t="str">
        <f ca="1"/>
        <v/>
      </c>
      <c r="CC43" t="str">
        <f ca="1"/>
        <v/>
      </c>
      <c r="CD43" t="str">
        <f ca="1"/>
        <v/>
      </c>
      <c r="CE43" t="str">
        <f ca="1"/>
        <v/>
      </c>
      <c r="CF43" t="str">
        <f ca="1"/>
        <v/>
      </c>
      <c r="CG43" t="str">
        <f ca="1"/>
        <v/>
      </c>
      <c r="CH43" t="str">
        <f ca="1"/>
        <v/>
      </c>
      <c r="CI43" t="str">
        <f ca="1"/>
        <v/>
      </c>
      <c r="CJ43" t="str">
        <f ca="1"/>
        <v/>
      </c>
      <c r="CK43" t="str">
        <f ca="1"/>
        <v/>
      </c>
      <c r="CL43" t="str">
        <f ca="1"/>
        <v/>
      </c>
      <c r="CM43" t="str">
        <f ca="1"/>
        <v/>
      </c>
      <c r="CN43" t="str">
        <f ca="1"/>
        <v/>
      </c>
      <c r="CO43" t="str">
        <f ca="1"/>
        <v/>
      </c>
      <c r="CP43" t="str">
        <f ca="1"/>
        <v/>
      </c>
      <c r="CQ43" t="str">
        <f ca="1"/>
        <v/>
      </c>
      <c r="CR43" t="str">
        <f ca="1"/>
        <v/>
      </c>
      <c r="CS43" t="str">
        <f ca="1"/>
        <v/>
      </c>
      <c r="CT43" t="str">
        <f ca="1"/>
        <v/>
      </c>
      <c r="CU43" t="str">
        <f>IF(ISBLANK(identitasMurid!D46),"",identitasMurid!D46)</f>
        <v/>
      </c>
      <c r="CV43" t="str">
        <f t="shared" si="21"/>
        <v/>
      </c>
      <c r="CW43" t="str">
        <f t="shared" si="0"/>
        <v/>
      </c>
      <c r="CX43" t="str">
        <f t="shared" si="1"/>
        <v/>
      </c>
      <c r="CY43" t="str">
        <f t="shared" si="2"/>
        <v/>
      </c>
      <c r="CZ43" t="str">
        <f t="shared" si="3"/>
        <v/>
      </c>
      <c r="DA43" t="str">
        <f t="shared" si="4"/>
        <v/>
      </c>
      <c r="DB43" t="str">
        <f t="shared" si="5"/>
        <v/>
      </c>
      <c r="DC43" t="str">
        <f t="shared" si="6"/>
        <v/>
      </c>
      <c r="DD43" t="str">
        <f t="shared" si="22"/>
        <v/>
      </c>
      <c r="DE43" t="str">
        <f t="shared" si="7"/>
        <v/>
      </c>
      <c r="DF43" t="str">
        <f t="shared" si="8"/>
        <v/>
      </c>
      <c r="DG43" t="str">
        <f t="shared" si="9"/>
        <v/>
      </c>
      <c r="DH43" t="str">
        <f t="shared" si="10"/>
        <v/>
      </c>
      <c r="DI43" t="str">
        <f t="shared" si="11"/>
        <v/>
      </c>
      <c r="DJ43" t="str">
        <f t="shared" si="12"/>
        <v/>
      </c>
      <c r="DK43" t="str">
        <f t="shared" si="13"/>
        <v/>
      </c>
      <c r="DL43" t="str">
        <f t="shared" si="23"/>
        <v/>
      </c>
      <c r="DM43" t="str">
        <f t="shared" si="14"/>
        <v/>
      </c>
      <c r="DN43" t="str">
        <f t="shared" si="15"/>
        <v/>
      </c>
      <c r="DO43" t="str">
        <f t="shared" si="16"/>
        <v/>
      </c>
      <c r="DP43" t="str">
        <f t="shared" si="17"/>
        <v/>
      </c>
      <c r="DQ43" t="str">
        <f t="shared" si="18"/>
        <v/>
      </c>
      <c r="DR43" t="str">
        <f t="shared" si="19"/>
        <v/>
      </c>
      <c r="DS43" t="str">
        <f t="shared" si="20"/>
        <v/>
      </c>
      <c r="EF43" s="114" t="str">
        <f ca="1"/>
        <v/>
      </c>
    </row>
    <row r="44" spans="1:159" hidden="1" x14ac:dyDescent="0.3">
      <c r="A44" t="str">
        <f>IF(ROW(A42)&lt;=profilKelas!$F$14,ROW(A42),"")</f>
        <v/>
      </c>
      <c r="B44" t="str">
        <f>IF(ISBLANK(identitasMurid!C47),"",identitasMurid!C47)</f>
        <v/>
      </c>
      <c r="C44" t="str">
        <f ca="1"/>
        <v/>
      </c>
      <c r="D44" t="str">
        <f ca="1"/>
        <v/>
      </c>
      <c r="E44" t="str">
        <f ca="1"/>
        <v/>
      </c>
      <c r="F44" t="str">
        <f ca="1"/>
        <v/>
      </c>
      <c r="G44" t="str">
        <f ca="1"/>
        <v/>
      </c>
      <c r="H44" t="str">
        <f ca="1"/>
        <v/>
      </c>
      <c r="I44" t="str">
        <f ca="1"/>
        <v/>
      </c>
      <c r="J44" t="str">
        <f ca="1"/>
        <v/>
      </c>
      <c r="K44" t="str">
        <f ca="1"/>
        <v/>
      </c>
      <c r="L44" t="str">
        <f ca="1"/>
        <v/>
      </c>
      <c r="M44" t="str">
        <f ca="1"/>
        <v/>
      </c>
      <c r="N44" t="str">
        <f ca="1"/>
        <v/>
      </c>
      <c r="O44" t="str">
        <f ca="1"/>
        <v/>
      </c>
      <c r="P44" t="str">
        <f ca="1"/>
        <v/>
      </c>
      <c r="Q44" t="str">
        <f ca="1"/>
        <v/>
      </c>
      <c r="R44" t="str">
        <f ca="1"/>
        <v/>
      </c>
      <c r="S44" t="str">
        <f ca="1"/>
        <v/>
      </c>
      <c r="T44" t="str">
        <f ca="1"/>
        <v/>
      </c>
      <c r="U44" t="str">
        <f ca="1"/>
        <v/>
      </c>
      <c r="V44" t="str">
        <f ca="1"/>
        <v/>
      </c>
      <c r="W44" t="str">
        <f ca="1"/>
        <v/>
      </c>
      <c r="X44" t="str">
        <f ca="1"/>
        <v/>
      </c>
      <c r="Y44" t="str">
        <f ca="1"/>
        <v/>
      </c>
      <c r="Z44" t="str">
        <f ca="1"/>
        <v/>
      </c>
      <c r="AA44" t="str">
        <f ca="1"/>
        <v/>
      </c>
      <c r="AB44" t="str">
        <f ca="1"/>
        <v/>
      </c>
      <c r="AC44" t="str">
        <f ca="1"/>
        <v/>
      </c>
      <c r="AD44" t="str">
        <f ca="1"/>
        <v/>
      </c>
      <c r="AE44" t="str">
        <f ca="1"/>
        <v/>
      </c>
      <c r="AF44" t="str">
        <f ca="1"/>
        <v/>
      </c>
      <c r="AG44" t="str">
        <f ca="1"/>
        <v/>
      </c>
      <c r="AH44" t="str">
        <f ca="1"/>
        <v/>
      </c>
      <c r="AI44" t="str">
        <f ca="1"/>
        <v/>
      </c>
      <c r="AJ44" t="str">
        <f ca="1"/>
        <v/>
      </c>
      <c r="AK44" t="str">
        <f ca="1"/>
        <v/>
      </c>
      <c r="AL44" t="str">
        <f ca="1"/>
        <v/>
      </c>
      <c r="AM44" t="str">
        <f ca="1"/>
        <v/>
      </c>
      <c r="AN44" t="str">
        <f ca="1"/>
        <v/>
      </c>
      <c r="AO44" t="str">
        <f ca="1"/>
        <v/>
      </c>
      <c r="AP44" t="str">
        <f ca="1"/>
        <v/>
      </c>
      <c r="AQ44" t="str">
        <f ca="1"/>
        <v/>
      </c>
      <c r="AR44" t="str">
        <f ca="1"/>
        <v/>
      </c>
      <c r="AS44" t="str">
        <f ca="1"/>
        <v/>
      </c>
      <c r="AT44" t="str">
        <f ca="1"/>
        <v/>
      </c>
      <c r="AU44" t="str">
        <f ca="1"/>
        <v/>
      </c>
      <c r="AV44" t="str">
        <f ca="1"/>
        <v/>
      </c>
      <c r="AW44" t="str">
        <f ca="1"/>
        <v/>
      </c>
      <c r="AX44" t="str">
        <f ca="1"/>
        <v/>
      </c>
      <c r="AY44" s="109" t="str">
        <f ca="1"/>
        <v/>
      </c>
      <c r="AZ44" t="str">
        <f ca="1"/>
        <v/>
      </c>
      <c r="BA44" t="str">
        <f ca="1"/>
        <v/>
      </c>
      <c r="BB44" t="str">
        <f ca="1"/>
        <v/>
      </c>
      <c r="BC44" t="str">
        <f ca="1"/>
        <v/>
      </c>
      <c r="BD44" t="str">
        <f ca="1"/>
        <v/>
      </c>
      <c r="BE44" t="str">
        <f ca="1"/>
        <v/>
      </c>
      <c r="BF44" t="str">
        <f ca="1"/>
        <v/>
      </c>
      <c r="BG44" t="str">
        <f ca="1"/>
        <v/>
      </c>
      <c r="BH44" t="str">
        <f ca="1"/>
        <v/>
      </c>
      <c r="BI44" t="str">
        <f ca="1"/>
        <v/>
      </c>
      <c r="BJ44" t="str">
        <f ca="1"/>
        <v/>
      </c>
      <c r="BK44" t="str">
        <f ca="1"/>
        <v/>
      </c>
      <c r="BL44" t="str">
        <f ca="1"/>
        <v/>
      </c>
      <c r="BM44" t="str">
        <f ca="1"/>
        <v/>
      </c>
      <c r="BN44" t="str">
        <f ca="1"/>
        <v/>
      </c>
      <c r="BO44" t="str">
        <f ca="1"/>
        <v/>
      </c>
      <c r="BP44" t="str">
        <f ca="1"/>
        <v/>
      </c>
      <c r="BQ44" t="str">
        <f ca="1"/>
        <v/>
      </c>
      <c r="BR44" t="str">
        <f ca="1"/>
        <v/>
      </c>
      <c r="BS44" t="str">
        <f ca="1"/>
        <v/>
      </c>
      <c r="BT44" t="str">
        <f ca="1"/>
        <v/>
      </c>
      <c r="BU44" t="str">
        <f ca="1"/>
        <v/>
      </c>
      <c r="BV44" t="str">
        <f ca="1"/>
        <v/>
      </c>
      <c r="BW44" t="str">
        <f ca="1"/>
        <v/>
      </c>
      <c r="BX44" t="str">
        <f ca="1"/>
        <v/>
      </c>
      <c r="BY44" t="str">
        <f ca="1"/>
        <v/>
      </c>
      <c r="BZ44" t="str">
        <f ca="1"/>
        <v/>
      </c>
      <c r="CA44" t="str">
        <f ca="1"/>
        <v/>
      </c>
      <c r="CB44" t="str">
        <f ca="1"/>
        <v/>
      </c>
      <c r="CC44" t="str">
        <f ca="1"/>
        <v/>
      </c>
      <c r="CD44" t="str">
        <f ca="1"/>
        <v/>
      </c>
      <c r="CE44" t="str">
        <f ca="1"/>
        <v/>
      </c>
      <c r="CF44" t="str">
        <f ca="1"/>
        <v/>
      </c>
      <c r="CG44" t="str">
        <f ca="1"/>
        <v/>
      </c>
      <c r="CH44" t="str">
        <f ca="1"/>
        <v/>
      </c>
      <c r="CI44" t="str">
        <f ca="1"/>
        <v/>
      </c>
      <c r="CJ44" t="str">
        <f ca="1"/>
        <v/>
      </c>
      <c r="CK44" t="str">
        <f ca="1"/>
        <v/>
      </c>
      <c r="CL44" t="str">
        <f ca="1"/>
        <v/>
      </c>
      <c r="CM44" t="str">
        <f ca="1"/>
        <v/>
      </c>
      <c r="CN44" t="str">
        <f ca="1"/>
        <v/>
      </c>
      <c r="CO44" t="str">
        <f ca="1"/>
        <v/>
      </c>
      <c r="CP44" t="str">
        <f ca="1"/>
        <v/>
      </c>
      <c r="CQ44" t="str">
        <f ca="1"/>
        <v/>
      </c>
      <c r="CR44" t="str">
        <f ca="1"/>
        <v/>
      </c>
      <c r="CS44" t="str">
        <f ca="1"/>
        <v/>
      </c>
      <c r="CT44" t="str">
        <f ca="1"/>
        <v/>
      </c>
      <c r="CU44" t="str">
        <f>IF(ISBLANK(identitasMurid!D47),"",identitasMurid!D47)</f>
        <v/>
      </c>
      <c r="CV44" t="str">
        <f t="shared" si="21"/>
        <v/>
      </c>
      <c r="CW44" t="str">
        <f t="shared" si="0"/>
        <v/>
      </c>
      <c r="CX44" t="str">
        <f t="shared" si="1"/>
        <v/>
      </c>
      <c r="CY44" t="str">
        <f t="shared" si="2"/>
        <v/>
      </c>
      <c r="CZ44" t="str">
        <f t="shared" si="3"/>
        <v/>
      </c>
      <c r="DA44" t="str">
        <f t="shared" si="4"/>
        <v/>
      </c>
      <c r="DB44" t="str">
        <f t="shared" si="5"/>
        <v/>
      </c>
      <c r="DC44" t="str">
        <f t="shared" si="6"/>
        <v/>
      </c>
      <c r="DD44" t="str">
        <f t="shared" si="22"/>
        <v/>
      </c>
      <c r="DE44" t="str">
        <f t="shared" si="7"/>
        <v/>
      </c>
      <c r="DF44" t="str">
        <f t="shared" si="8"/>
        <v/>
      </c>
      <c r="DG44" t="str">
        <f t="shared" si="9"/>
        <v/>
      </c>
      <c r="DH44" t="str">
        <f t="shared" si="10"/>
        <v/>
      </c>
      <c r="DI44" t="str">
        <f t="shared" si="11"/>
        <v/>
      </c>
      <c r="DJ44" t="str">
        <f t="shared" si="12"/>
        <v/>
      </c>
      <c r="DK44" t="str">
        <f t="shared" si="13"/>
        <v/>
      </c>
      <c r="DL44" t="str">
        <f t="shared" si="23"/>
        <v/>
      </c>
      <c r="DM44" t="str">
        <f t="shared" si="14"/>
        <v/>
      </c>
      <c r="DN44" t="str">
        <f t="shared" si="15"/>
        <v/>
      </c>
      <c r="DO44" t="str">
        <f t="shared" si="16"/>
        <v/>
      </c>
      <c r="DP44" t="str">
        <f t="shared" si="17"/>
        <v/>
      </c>
      <c r="DQ44" t="str">
        <f t="shared" si="18"/>
        <v/>
      </c>
      <c r="DR44" t="str">
        <f t="shared" si="19"/>
        <v/>
      </c>
      <c r="DS44" t="str">
        <f t="shared" si="20"/>
        <v/>
      </c>
      <c r="EF44" s="114" t="str">
        <f ca="1"/>
        <v/>
      </c>
    </row>
    <row r="45" spans="1:159" hidden="1" x14ac:dyDescent="0.3">
      <c r="A45" t="str">
        <f>IF(ROW(A43)&lt;=profilKelas!$F$14,ROW(A43),"")</f>
        <v/>
      </c>
      <c r="B45" t="str">
        <f>IF(ISBLANK(identitasMurid!C48),"",identitasMurid!C48)</f>
        <v/>
      </c>
      <c r="C45" t="str">
        <f ca="1"/>
        <v/>
      </c>
      <c r="D45" t="str">
        <f ca="1"/>
        <v/>
      </c>
      <c r="E45" t="str">
        <f ca="1"/>
        <v/>
      </c>
      <c r="F45" t="str">
        <f ca="1"/>
        <v/>
      </c>
      <c r="G45" t="str">
        <f ca="1"/>
        <v/>
      </c>
      <c r="H45" t="str">
        <f ca="1"/>
        <v/>
      </c>
      <c r="I45" t="str">
        <f ca="1"/>
        <v/>
      </c>
      <c r="J45" t="str">
        <f ca="1"/>
        <v/>
      </c>
      <c r="K45" t="str">
        <f ca="1"/>
        <v/>
      </c>
      <c r="L45" t="str">
        <f ca="1"/>
        <v/>
      </c>
      <c r="M45" t="str">
        <f ca="1"/>
        <v/>
      </c>
      <c r="N45" t="str">
        <f ca="1"/>
        <v/>
      </c>
      <c r="O45" t="str">
        <f ca="1"/>
        <v/>
      </c>
      <c r="P45" t="str">
        <f ca="1"/>
        <v/>
      </c>
      <c r="Q45" t="str">
        <f ca="1"/>
        <v/>
      </c>
      <c r="R45" t="str">
        <f ca="1"/>
        <v/>
      </c>
      <c r="S45" t="str">
        <f ca="1"/>
        <v/>
      </c>
      <c r="T45" t="str">
        <f ca="1"/>
        <v/>
      </c>
      <c r="U45" t="str">
        <f ca="1"/>
        <v/>
      </c>
      <c r="V45" t="str">
        <f ca="1"/>
        <v/>
      </c>
      <c r="W45" t="str">
        <f ca="1"/>
        <v/>
      </c>
      <c r="X45" t="str">
        <f ca="1"/>
        <v/>
      </c>
      <c r="Y45" t="str">
        <f ca="1"/>
        <v/>
      </c>
      <c r="Z45" t="str">
        <f ca="1"/>
        <v/>
      </c>
      <c r="AA45" t="str">
        <f ca="1"/>
        <v/>
      </c>
      <c r="AB45" t="str">
        <f ca="1"/>
        <v/>
      </c>
      <c r="AC45" t="str">
        <f ca="1"/>
        <v/>
      </c>
      <c r="AD45" t="str">
        <f ca="1"/>
        <v/>
      </c>
      <c r="AE45" t="str">
        <f ca="1"/>
        <v/>
      </c>
      <c r="AF45" t="str">
        <f ca="1"/>
        <v/>
      </c>
      <c r="AG45" t="str">
        <f ca="1"/>
        <v/>
      </c>
      <c r="AH45" t="str">
        <f ca="1"/>
        <v/>
      </c>
      <c r="AI45" t="str">
        <f ca="1"/>
        <v/>
      </c>
      <c r="AJ45" t="str">
        <f ca="1"/>
        <v/>
      </c>
      <c r="AK45" t="str">
        <f ca="1"/>
        <v/>
      </c>
      <c r="AL45" t="str">
        <f ca="1"/>
        <v/>
      </c>
      <c r="AM45" t="str">
        <f ca="1"/>
        <v/>
      </c>
      <c r="AN45" t="str">
        <f ca="1"/>
        <v/>
      </c>
      <c r="AO45" t="str">
        <f ca="1"/>
        <v/>
      </c>
      <c r="AP45" t="str">
        <f ca="1"/>
        <v/>
      </c>
      <c r="AQ45" t="str">
        <f ca="1"/>
        <v/>
      </c>
      <c r="AR45" t="str">
        <f ca="1"/>
        <v/>
      </c>
      <c r="AS45" t="str">
        <f ca="1"/>
        <v/>
      </c>
      <c r="AT45" t="str">
        <f ca="1"/>
        <v/>
      </c>
      <c r="AU45" t="str">
        <f ca="1"/>
        <v/>
      </c>
      <c r="AV45" t="str">
        <f ca="1"/>
        <v/>
      </c>
      <c r="AW45" t="str">
        <f ca="1"/>
        <v/>
      </c>
      <c r="AX45" t="str">
        <f ca="1"/>
        <v/>
      </c>
      <c r="AY45" s="109" t="str">
        <f ca="1"/>
        <v/>
      </c>
      <c r="AZ45" t="str">
        <f ca="1"/>
        <v/>
      </c>
      <c r="BA45" t="str">
        <f ca="1"/>
        <v/>
      </c>
      <c r="BB45" t="str">
        <f ca="1"/>
        <v/>
      </c>
      <c r="BC45" t="str">
        <f ca="1"/>
        <v/>
      </c>
      <c r="BD45" t="str">
        <f ca="1"/>
        <v/>
      </c>
      <c r="BE45" t="str">
        <f ca="1"/>
        <v/>
      </c>
      <c r="BF45" t="str">
        <f ca="1"/>
        <v/>
      </c>
      <c r="BG45" t="str">
        <f ca="1"/>
        <v/>
      </c>
      <c r="BH45" t="str">
        <f ca="1"/>
        <v/>
      </c>
      <c r="BI45" t="str">
        <f ca="1"/>
        <v/>
      </c>
      <c r="BJ45" t="str">
        <f ca="1"/>
        <v/>
      </c>
      <c r="BK45" t="str">
        <f ca="1"/>
        <v/>
      </c>
      <c r="BL45" t="str">
        <f ca="1"/>
        <v/>
      </c>
      <c r="BM45" t="str">
        <f ca="1"/>
        <v/>
      </c>
      <c r="BN45" t="str">
        <f ca="1"/>
        <v/>
      </c>
      <c r="BO45" t="str">
        <f ca="1"/>
        <v/>
      </c>
      <c r="BP45" t="str">
        <f ca="1"/>
        <v/>
      </c>
      <c r="BQ45" t="str">
        <f ca="1"/>
        <v/>
      </c>
      <c r="BR45" t="str">
        <f ca="1"/>
        <v/>
      </c>
      <c r="BS45" t="str">
        <f ca="1"/>
        <v/>
      </c>
      <c r="BT45" t="str">
        <f ca="1"/>
        <v/>
      </c>
      <c r="BU45" t="str">
        <f ca="1"/>
        <v/>
      </c>
      <c r="BV45" t="str">
        <f ca="1"/>
        <v/>
      </c>
      <c r="BW45" t="str">
        <f ca="1"/>
        <v/>
      </c>
      <c r="BX45" t="str">
        <f ca="1"/>
        <v/>
      </c>
      <c r="BY45" t="str">
        <f ca="1"/>
        <v/>
      </c>
      <c r="BZ45" t="str">
        <f ca="1"/>
        <v/>
      </c>
      <c r="CA45" t="str">
        <f ca="1"/>
        <v/>
      </c>
      <c r="CB45" t="str">
        <f ca="1"/>
        <v/>
      </c>
      <c r="CC45" t="str">
        <f ca="1"/>
        <v/>
      </c>
      <c r="CD45" t="str">
        <f ca="1"/>
        <v/>
      </c>
      <c r="CE45" t="str">
        <f ca="1"/>
        <v/>
      </c>
      <c r="CF45" t="str">
        <f ca="1"/>
        <v/>
      </c>
      <c r="CG45" t="str">
        <f ca="1"/>
        <v/>
      </c>
      <c r="CH45" t="str">
        <f ca="1"/>
        <v/>
      </c>
      <c r="CI45" t="str">
        <f ca="1"/>
        <v/>
      </c>
      <c r="CJ45" t="str">
        <f ca="1"/>
        <v/>
      </c>
      <c r="CK45" t="str">
        <f ca="1"/>
        <v/>
      </c>
      <c r="CL45" t="str">
        <f ca="1"/>
        <v/>
      </c>
      <c r="CM45" t="str">
        <f ca="1"/>
        <v/>
      </c>
      <c r="CN45" t="str">
        <f ca="1"/>
        <v/>
      </c>
      <c r="CO45" t="str">
        <f ca="1"/>
        <v/>
      </c>
      <c r="CP45" t="str">
        <f ca="1"/>
        <v/>
      </c>
      <c r="CQ45" t="str">
        <f ca="1"/>
        <v/>
      </c>
      <c r="CR45" t="str">
        <f ca="1"/>
        <v/>
      </c>
      <c r="CS45" t="str">
        <f ca="1"/>
        <v/>
      </c>
      <c r="CT45" t="str">
        <f ca="1"/>
        <v/>
      </c>
      <c r="CU45" t="str">
        <f>IF(ISBLANK(identitasMurid!D48),"",identitasMurid!D48)</f>
        <v/>
      </c>
      <c r="CV45" t="str">
        <f t="shared" si="21"/>
        <v/>
      </c>
      <c r="CW45" t="str">
        <f t="shared" si="0"/>
        <v/>
      </c>
      <c r="CX45" t="str">
        <f t="shared" si="1"/>
        <v/>
      </c>
      <c r="CY45" t="str">
        <f t="shared" si="2"/>
        <v/>
      </c>
      <c r="CZ45" t="str">
        <f t="shared" si="3"/>
        <v/>
      </c>
      <c r="DA45" t="str">
        <f t="shared" si="4"/>
        <v/>
      </c>
      <c r="DB45" t="str">
        <f t="shared" si="5"/>
        <v/>
      </c>
      <c r="DC45" t="str">
        <f t="shared" si="6"/>
        <v/>
      </c>
      <c r="DD45" t="str">
        <f t="shared" si="22"/>
        <v/>
      </c>
      <c r="DE45" t="str">
        <f t="shared" si="7"/>
        <v/>
      </c>
      <c r="DF45" t="str">
        <f t="shared" si="8"/>
        <v/>
      </c>
      <c r="DG45" t="str">
        <f t="shared" si="9"/>
        <v/>
      </c>
      <c r="DH45" t="str">
        <f t="shared" si="10"/>
        <v/>
      </c>
      <c r="DI45" t="str">
        <f t="shared" si="11"/>
        <v/>
      </c>
      <c r="DJ45" t="str">
        <f t="shared" si="12"/>
        <v/>
      </c>
      <c r="DK45" t="str">
        <f t="shared" si="13"/>
        <v/>
      </c>
      <c r="DL45" t="str">
        <f t="shared" si="23"/>
        <v/>
      </c>
      <c r="DM45" t="str">
        <f t="shared" si="14"/>
        <v/>
      </c>
      <c r="DN45" t="str">
        <f t="shared" si="15"/>
        <v/>
      </c>
      <c r="DO45" t="str">
        <f t="shared" si="16"/>
        <v/>
      </c>
      <c r="DP45" t="str">
        <f t="shared" si="17"/>
        <v/>
      </c>
      <c r="DQ45" t="str">
        <f t="shared" si="18"/>
        <v/>
      </c>
      <c r="DR45" t="str">
        <f t="shared" si="19"/>
        <v/>
      </c>
      <c r="DS45" t="str">
        <f t="shared" si="20"/>
        <v/>
      </c>
      <c r="EF45" s="114" t="str">
        <f ca="1"/>
        <v/>
      </c>
    </row>
    <row r="46" spans="1:159" hidden="1" x14ac:dyDescent="0.3">
      <c r="A46" t="str">
        <f>IF(ROW(A44)&lt;=profilKelas!$F$14,ROW(A44),"")</f>
        <v/>
      </c>
      <c r="B46" t="str">
        <f>IF(ISBLANK(identitasMurid!C49),"",identitasMurid!C49)</f>
        <v/>
      </c>
      <c r="C46" t="str">
        <f ca="1"/>
        <v/>
      </c>
      <c r="D46" t="str">
        <f ca="1"/>
        <v/>
      </c>
      <c r="E46" t="str">
        <f ca="1"/>
        <v/>
      </c>
      <c r="F46" t="str">
        <f ca="1"/>
        <v/>
      </c>
      <c r="G46" t="str">
        <f ca="1"/>
        <v/>
      </c>
      <c r="H46" t="str">
        <f ca="1"/>
        <v/>
      </c>
      <c r="I46" t="str">
        <f ca="1"/>
        <v/>
      </c>
      <c r="J46" t="str">
        <f ca="1"/>
        <v/>
      </c>
      <c r="K46" t="str">
        <f ca="1"/>
        <v/>
      </c>
      <c r="L46" t="str">
        <f ca="1"/>
        <v/>
      </c>
      <c r="M46" t="str">
        <f ca="1"/>
        <v/>
      </c>
      <c r="N46" t="str">
        <f ca="1"/>
        <v/>
      </c>
      <c r="O46" t="str">
        <f ca="1"/>
        <v/>
      </c>
      <c r="P46" t="str">
        <f ca="1"/>
        <v/>
      </c>
      <c r="Q46" t="str">
        <f ca="1"/>
        <v/>
      </c>
      <c r="R46" t="str">
        <f ca="1"/>
        <v/>
      </c>
      <c r="S46" t="str">
        <f ca="1"/>
        <v/>
      </c>
      <c r="T46" t="str">
        <f ca="1"/>
        <v/>
      </c>
      <c r="U46" t="str">
        <f ca="1"/>
        <v/>
      </c>
      <c r="V46" t="str">
        <f ca="1"/>
        <v/>
      </c>
      <c r="W46" t="str">
        <f ca="1"/>
        <v/>
      </c>
      <c r="X46" t="str">
        <f ca="1"/>
        <v/>
      </c>
      <c r="Y46" t="str">
        <f ca="1"/>
        <v/>
      </c>
      <c r="Z46" t="str">
        <f ca="1"/>
        <v/>
      </c>
      <c r="AA46" t="str">
        <f ca="1"/>
        <v/>
      </c>
      <c r="AB46" t="str">
        <f ca="1"/>
        <v/>
      </c>
      <c r="AC46" t="str">
        <f ca="1"/>
        <v/>
      </c>
      <c r="AD46" t="str">
        <f ca="1"/>
        <v/>
      </c>
      <c r="AE46" t="str">
        <f ca="1"/>
        <v/>
      </c>
      <c r="AF46" t="str">
        <f ca="1"/>
        <v/>
      </c>
      <c r="AG46" t="str">
        <f ca="1"/>
        <v/>
      </c>
      <c r="AH46" t="str">
        <f ca="1"/>
        <v/>
      </c>
      <c r="AI46" t="str">
        <f ca="1"/>
        <v/>
      </c>
      <c r="AJ46" t="str">
        <f ca="1"/>
        <v/>
      </c>
      <c r="AK46" t="str">
        <f ca="1"/>
        <v/>
      </c>
      <c r="AL46" t="str">
        <f ca="1"/>
        <v/>
      </c>
      <c r="AM46" t="str">
        <f ca="1"/>
        <v/>
      </c>
      <c r="AN46" t="str">
        <f ca="1"/>
        <v/>
      </c>
      <c r="AO46" t="str">
        <f ca="1"/>
        <v/>
      </c>
      <c r="AP46" t="str">
        <f ca="1"/>
        <v/>
      </c>
      <c r="AQ46" t="str">
        <f ca="1"/>
        <v/>
      </c>
      <c r="AR46" t="str">
        <f ca="1"/>
        <v/>
      </c>
      <c r="AS46" t="str">
        <f ca="1"/>
        <v/>
      </c>
      <c r="AT46" t="str">
        <f ca="1"/>
        <v/>
      </c>
      <c r="AU46" t="str">
        <f ca="1"/>
        <v/>
      </c>
      <c r="AV46" t="str">
        <f ca="1"/>
        <v/>
      </c>
      <c r="AW46" t="str">
        <f ca="1"/>
        <v/>
      </c>
      <c r="AX46" t="str">
        <f ca="1"/>
        <v/>
      </c>
      <c r="AY46" s="109" t="str">
        <f ca="1"/>
        <v/>
      </c>
      <c r="AZ46" t="str">
        <f ca="1"/>
        <v/>
      </c>
      <c r="BA46" t="str">
        <f ca="1"/>
        <v/>
      </c>
      <c r="BB46" t="str">
        <f ca="1"/>
        <v/>
      </c>
      <c r="BC46" t="str">
        <f ca="1"/>
        <v/>
      </c>
      <c r="BD46" t="str">
        <f ca="1"/>
        <v/>
      </c>
      <c r="BE46" t="str">
        <f ca="1"/>
        <v/>
      </c>
      <c r="BF46" t="str">
        <f ca="1"/>
        <v/>
      </c>
      <c r="BG46" t="str">
        <f ca="1"/>
        <v/>
      </c>
      <c r="BH46" t="str">
        <f ca="1"/>
        <v/>
      </c>
      <c r="BI46" t="str">
        <f ca="1"/>
        <v/>
      </c>
      <c r="BJ46" t="str">
        <f ca="1"/>
        <v/>
      </c>
      <c r="BK46" t="str">
        <f ca="1"/>
        <v/>
      </c>
      <c r="BL46" t="str">
        <f ca="1"/>
        <v/>
      </c>
      <c r="BM46" t="str">
        <f ca="1"/>
        <v/>
      </c>
      <c r="BN46" t="str">
        <f ca="1"/>
        <v/>
      </c>
      <c r="BO46" t="str">
        <f ca="1"/>
        <v/>
      </c>
      <c r="BP46" t="str">
        <f ca="1"/>
        <v/>
      </c>
      <c r="BQ46" t="str">
        <f ca="1"/>
        <v/>
      </c>
      <c r="BR46" t="str">
        <f ca="1"/>
        <v/>
      </c>
      <c r="BS46" t="str">
        <f ca="1"/>
        <v/>
      </c>
      <c r="BT46" t="str">
        <f ca="1"/>
        <v/>
      </c>
      <c r="BU46" t="str">
        <f ca="1"/>
        <v/>
      </c>
      <c r="BV46" t="str">
        <f ca="1"/>
        <v/>
      </c>
      <c r="BW46" t="str">
        <f ca="1"/>
        <v/>
      </c>
      <c r="BX46" t="str">
        <f ca="1"/>
        <v/>
      </c>
      <c r="BY46" t="str">
        <f ca="1"/>
        <v/>
      </c>
      <c r="BZ46" t="str">
        <f ca="1"/>
        <v/>
      </c>
      <c r="CA46" t="str">
        <f ca="1"/>
        <v/>
      </c>
      <c r="CB46" t="str">
        <f ca="1"/>
        <v/>
      </c>
      <c r="CC46" t="str">
        <f ca="1"/>
        <v/>
      </c>
      <c r="CD46" t="str">
        <f ca="1"/>
        <v/>
      </c>
      <c r="CE46" t="str">
        <f ca="1"/>
        <v/>
      </c>
      <c r="CF46" t="str">
        <f ca="1"/>
        <v/>
      </c>
      <c r="CG46" t="str">
        <f ca="1"/>
        <v/>
      </c>
      <c r="CH46" t="str">
        <f ca="1"/>
        <v/>
      </c>
      <c r="CI46" t="str">
        <f ca="1"/>
        <v/>
      </c>
      <c r="CJ46" t="str">
        <f ca="1"/>
        <v/>
      </c>
      <c r="CK46" t="str">
        <f ca="1"/>
        <v/>
      </c>
      <c r="CL46" t="str">
        <f ca="1"/>
        <v/>
      </c>
      <c r="CM46" t="str">
        <f ca="1"/>
        <v/>
      </c>
      <c r="CN46" t="str">
        <f ca="1"/>
        <v/>
      </c>
      <c r="CO46" t="str">
        <f ca="1"/>
        <v/>
      </c>
      <c r="CP46" t="str">
        <f ca="1"/>
        <v/>
      </c>
      <c r="CQ46" t="str">
        <f ca="1"/>
        <v/>
      </c>
      <c r="CR46" t="str">
        <f ca="1"/>
        <v/>
      </c>
      <c r="CS46" t="str">
        <f ca="1"/>
        <v/>
      </c>
      <c r="CT46" t="str">
        <f ca="1"/>
        <v/>
      </c>
      <c r="CU46" t="str">
        <f>IF(ISBLANK(identitasMurid!D49),"",identitasMurid!D49)</f>
        <v/>
      </c>
      <c r="CV46" t="str">
        <f t="shared" si="21"/>
        <v/>
      </c>
      <c r="CW46" t="str">
        <f t="shared" si="0"/>
        <v/>
      </c>
      <c r="CX46" t="str">
        <f t="shared" si="1"/>
        <v/>
      </c>
      <c r="CY46" t="str">
        <f t="shared" si="2"/>
        <v/>
      </c>
      <c r="CZ46" t="str">
        <f t="shared" si="3"/>
        <v/>
      </c>
      <c r="DA46" t="str">
        <f t="shared" si="4"/>
        <v/>
      </c>
      <c r="DB46" t="str">
        <f t="shared" si="5"/>
        <v/>
      </c>
      <c r="DC46" t="str">
        <f t="shared" si="6"/>
        <v/>
      </c>
      <c r="DD46" t="str">
        <f t="shared" si="22"/>
        <v/>
      </c>
      <c r="DE46" t="str">
        <f t="shared" si="7"/>
        <v/>
      </c>
      <c r="DF46" t="str">
        <f t="shared" si="8"/>
        <v/>
      </c>
      <c r="DG46" t="str">
        <f t="shared" si="9"/>
        <v/>
      </c>
      <c r="DH46" t="str">
        <f t="shared" si="10"/>
        <v/>
      </c>
      <c r="DI46" t="str">
        <f t="shared" si="11"/>
        <v/>
      </c>
      <c r="DJ46" t="str">
        <f t="shared" si="12"/>
        <v/>
      </c>
      <c r="DK46" t="str">
        <f t="shared" si="13"/>
        <v/>
      </c>
      <c r="DL46" t="str">
        <f t="shared" si="23"/>
        <v/>
      </c>
      <c r="DM46" t="str">
        <f t="shared" si="14"/>
        <v/>
      </c>
      <c r="DN46" t="str">
        <f t="shared" si="15"/>
        <v/>
      </c>
      <c r="DO46" t="str">
        <f t="shared" si="16"/>
        <v/>
      </c>
      <c r="DP46" t="str">
        <f t="shared" si="17"/>
        <v/>
      </c>
      <c r="DQ46" t="str">
        <f t="shared" si="18"/>
        <v/>
      </c>
      <c r="DR46" t="str">
        <f t="shared" si="19"/>
        <v/>
      </c>
      <c r="DS46" t="str">
        <f t="shared" si="20"/>
        <v/>
      </c>
      <c r="EF46" s="114" t="str">
        <f ca="1"/>
        <v/>
      </c>
    </row>
    <row r="47" spans="1:159" hidden="1" x14ac:dyDescent="0.3">
      <c r="A47" t="str">
        <f>IF(ROW(A45)&lt;=profilKelas!$F$14,ROW(A45),"")</f>
        <v/>
      </c>
      <c r="B47" t="str">
        <f>IF(ISBLANK(identitasMurid!C50),"",identitasMurid!C50)</f>
        <v/>
      </c>
      <c r="C47" t="str">
        <f ca="1"/>
        <v/>
      </c>
      <c r="D47" t="str">
        <f ca="1"/>
        <v/>
      </c>
      <c r="E47" t="str">
        <f ca="1"/>
        <v/>
      </c>
      <c r="F47" t="str">
        <f ca="1"/>
        <v/>
      </c>
      <c r="G47" t="str">
        <f ca="1"/>
        <v/>
      </c>
      <c r="H47" t="str">
        <f ca="1"/>
        <v/>
      </c>
      <c r="I47" t="str">
        <f ca="1"/>
        <v/>
      </c>
      <c r="J47" t="str">
        <f ca="1"/>
        <v/>
      </c>
      <c r="K47" t="str">
        <f ca="1"/>
        <v/>
      </c>
      <c r="L47" t="str">
        <f ca="1"/>
        <v/>
      </c>
      <c r="M47" t="str">
        <f ca="1"/>
        <v/>
      </c>
      <c r="N47" t="str">
        <f ca="1"/>
        <v/>
      </c>
      <c r="O47" t="str">
        <f ca="1"/>
        <v/>
      </c>
      <c r="P47" t="str">
        <f ca="1"/>
        <v/>
      </c>
      <c r="Q47" t="str">
        <f ca="1"/>
        <v/>
      </c>
      <c r="R47" t="str">
        <f ca="1"/>
        <v/>
      </c>
      <c r="S47" t="str">
        <f ca="1"/>
        <v/>
      </c>
      <c r="T47" t="str">
        <f ca="1"/>
        <v/>
      </c>
      <c r="U47" t="str">
        <f ca="1"/>
        <v/>
      </c>
      <c r="V47" t="str">
        <f ca="1"/>
        <v/>
      </c>
      <c r="W47" t="str">
        <f ca="1"/>
        <v/>
      </c>
      <c r="X47" t="str">
        <f ca="1"/>
        <v/>
      </c>
      <c r="Y47" t="str">
        <f ca="1"/>
        <v/>
      </c>
      <c r="Z47" t="str">
        <f ca="1"/>
        <v/>
      </c>
      <c r="AA47" t="str">
        <f ca="1"/>
        <v/>
      </c>
      <c r="AB47" t="str">
        <f ca="1"/>
        <v/>
      </c>
      <c r="AC47" t="str">
        <f ca="1"/>
        <v/>
      </c>
      <c r="AD47" t="str">
        <f ca="1"/>
        <v/>
      </c>
      <c r="AE47" t="str">
        <f ca="1"/>
        <v/>
      </c>
      <c r="AF47" t="str">
        <f ca="1"/>
        <v/>
      </c>
      <c r="AG47" t="str">
        <f ca="1"/>
        <v/>
      </c>
      <c r="AH47" t="str">
        <f ca="1"/>
        <v/>
      </c>
      <c r="AI47" t="str">
        <f ca="1"/>
        <v/>
      </c>
      <c r="AJ47" t="str">
        <f ca="1"/>
        <v/>
      </c>
      <c r="AK47" t="str">
        <f ca="1"/>
        <v/>
      </c>
      <c r="AL47" t="str">
        <f ca="1"/>
        <v/>
      </c>
      <c r="AM47" t="str">
        <f ca="1"/>
        <v/>
      </c>
      <c r="AN47" t="str">
        <f ca="1"/>
        <v/>
      </c>
      <c r="AO47" t="str">
        <f ca="1"/>
        <v/>
      </c>
      <c r="AP47" t="str">
        <f ca="1"/>
        <v/>
      </c>
      <c r="AQ47" t="str">
        <f ca="1"/>
        <v/>
      </c>
      <c r="AR47" t="str">
        <f ca="1"/>
        <v/>
      </c>
      <c r="AS47" t="str">
        <f ca="1"/>
        <v/>
      </c>
      <c r="AT47" t="str">
        <f ca="1"/>
        <v/>
      </c>
      <c r="AU47" t="str">
        <f ca="1"/>
        <v/>
      </c>
      <c r="AV47" t="str">
        <f ca="1"/>
        <v/>
      </c>
      <c r="AW47" t="str">
        <f ca="1"/>
        <v/>
      </c>
      <c r="AX47" t="str">
        <f ca="1"/>
        <v/>
      </c>
      <c r="AY47" s="109" t="str">
        <f ca="1"/>
        <v/>
      </c>
      <c r="AZ47" t="str">
        <f ca="1"/>
        <v/>
      </c>
      <c r="BA47" t="str">
        <f ca="1"/>
        <v/>
      </c>
      <c r="BB47" t="str">
        <f ca="1"/>
        <v/>
      </c>
      <c r="BC47" t="str">
        <f ca="1"/>
        <v/>
      </c>
      <c r="BD47" t="str">
        <f ca="1"/>
        <v/>
      </c>
      <c r="BE47" t="str">
        <f ca="1"/>
        <v/>
      </c>
      <c r="BF47" t="str">
        <f ca="1"/>
        <v/>
      </c>
      <c r="BG47" t="str">
        <f ca="1"/>
        <v/>
      </c>
      <c r="BH47" t="str">
        <f ca="1"/>
        <v/>
      </c>
      <c r="BI47" t="str">
        <f ca="1"/>
        <v/>
      </c>
      <c r="BJ47" t="str">
        <f ca="1"/>
        <v/>
      </c>
      <c r="BK47" t="str">
        <f ca="1"/>
        <v/>
      </c>
      <c r="BL47" t="str">
        <f ca="1"/>
        <v/>
      </c>
      <c r="BM47" t="str">
        <f ca="1"/>
        <v/>
      </c>
      <c r="BN47" t="str">
        <f ca="1"/>
        <v/>
      </c>
      <c r="BO47" t="str">
        <f ca="1"/>
        <v/>
      </c>
      <c r="BP47" t="str">
        <f ca="1"/>
        <v/>
      </c>
      <c r="BQ47" t="str">
        <f ca="1"/>
        <v/>
      </c>
      <c r="BR47" t="str">
        <f ca="1"/>
        <v/>
      </c>
      <c r="BS47" t="str">
        <f ca="1"/>
        <v/>
      </c>
      <c r="BT47" t="str">
        <f ca="1"/>
        <v/>
      </c>
      <c r="BU47" t="str">
        <f ca="1"/>
        <v/>
      </c>
      <c r="BV47" t="str">
        <f ca="1"/>
        <v/>
      </c>
      <c r="BW47" t="str">
        <f ca="1"/>
        <v/>
      </c>
      <c r="BX47" t="str">
        <f ca="1"/>
        <v/>
      </c>
      <c r="BY47" t="str">
        <f ca="1"/>
        <v/>
      </c>
      <c r="BZ47" t="str">
        <f ca="1"/>
        <v/>
      </c>
      <c r="CA47" t="str">
        <f ca="1"/>
        <v/>
      </c>
      <c r="CB47" t="str">
        <f ca="1"/>
        <v/>
      </c>
      <c r="CC47" t="str">
        <f ca="1"/>
        <v/>
      </c>
      <c r="CD47" t="str">
        <f ca="1"/>
        <v/>
      </c>
      <c r="CE47" t="str">
        <f ca="1"/>
        <v/>
      </c>
      <c r="CF47" t="str">
        <f ca="1"/>
        <v/>
      </c>
      <c r="CG47" t="str">
        <f ca="1"/>
        <v/>
      </c>
      <c r="CH47" t="str">
        <f ca="1"/>
        <v/>
      </c>
      <c r="CI47" t="str">
        <f ca="1"/>
        <v/>
      </c>
      <c r="CJ47" t="str">
        <f ca="1"/>
        <v/>
      </c>
      <c r="CK47" t="str">
        <f ca="1"/>
        <v/>
      </c>
      <c r="CL47" t="str">
        <f ca="1"/>
        <v/>
      </c>
      <c r="CM47" t="str">
        <f ca="1"/>
        <v/>
      </c>
      <c r="CN47" t="str">
        <f ca="1"/>
        <v/>
      </c>
      <c r="CO47" t="str">
        <f ca="1"/>
        <v/>
      </c>
      <c r="CP47" t="str">
        <f ca="1"/>
        <v/>
      </c>
      <c r="CQ47" t="str">
        <f ca="1"/>
        <v/>
      </c>
      <c r="CR47" t="str">
        <f ca="1"/>
        <v/>
      </c>
      <c r="CS47" t="str">
        <f ca="1"/>
        <v/>
      </c>
      <c r="CT47" t="str">
        <f ca="1"/>
        <v/>
      </c>
      <c r="CU47" t="str">
        <f>IF(ISBLANK(identitasMurid!D50),"",identitasMurid!D50)</f>
        <v/>
      </c>
      <c r="CV47" t="str">
        <f t="shared" si="21"/>
        <v/>
      </c>
      <c r="CW47" t="str">
        <f t="shared" si="0"/>
        <v/>
      </c>
      <c r="CX47" t="str">
        <f t="shared" si="1"/>
        <v/>
      </c>
      <c r="CY47" t="str">
        <f t="shared" si="2"/>
        <v/>
      </c>
      <c r="CZ47" t="str">
        <f t="shared" si="3"/>
        <v/>
      </c>
      <c r="DA47" t="str">
        <f t="shared" si="4"/>
        <v/>
      </c>
      <c r="DB47" t="str">
        <f t="shared" si="5"/>
        <v/>
      </c>
      <c r="DC47" t="str">
        <f t="shared" si="6"/>
        <v/>
      </c>
      <c r="DD47" t="str">
        <f t="shared" si="22"/>
        <v/>
      </c>
      <c r="DE47" t="str">
        <f t="shared" si="7"/>
        <v/>
      </c>
      <c r="DF47" t="str">
        <f t="shared" si="8"/>
        <v/>
      </c>
      <c r="DG47" t="str">
        <f t="shared" si="9"/>
        <v/>
      </c>
      <c r="DH47" t="str">
        <f t="shared" si="10"/>
        <v/>
      </c>
      <c r="DI47" t="str">
        <f t="shared" si="11"/>
        <v/>
      </c>
      <c r="DJ47" t="str">
        <f t="shared" si="12"/>
        <v/>
      </c>
      <c r="DK47" t="str">
        <f t="shared" si="13"/>
        <v/>
      </c>
      <c r="DL47" t="str">
        <f t="shared" si="23"/>
        <v/>
      </c>
      <c r="DM47" t="str">
        <f t="shared" si="14"/>
        <v/>
      </c>
      <c r="DN47" t="str">
        <f t="shared" si="15"/>
        <v/>
      </c>
      <c r="DO47" t="str">
        <f t="shared" si="16"/>
        <v/>
      </c>
      <c r="DP47" t="str">
        <f t="shared" si="17"/>
        <v/>
      </c>
      <c r="DQ47" t="str">
        <f t="shared" si="18"/>
        <v/>
      </c>
      <c r="DR47" t="str">
        <f t="shared" si="19"/>
        <v/>
      </c>
      <c r="DS47" t="str">
        <f t="shared" si="20"/>
        <v/>
      </c>
      <c r="EF47" s="114" t="str">
        <f ca="1"/>
        <v/>
      </c>
    </row>
    <row r="1048576" spans="1:1" hidden="1" x14ac:dyDescent="0.3">
      <c r="A1048576" t="s">
        <v>997</v>
      </c>
    </row>
  </sheetData>
  <sheetProtection algorithmName="SHA-512" hashValue="f4h27e1q0G+GaOpDJ8jzVtdiS7YuiJ/tx8nvoNswaD5k1yY5zRoasbe+0PiAe2YcZ/bGEl6FvngoXV8Xv0Bv5Q==" saltValue="DQd/iYzOuSEg5KQghCp5UA==" spinCount="100000" sheet="1" objects="1" scenarios="1" formatCells="0" formatColumns="0" formatRows="0" insertColumns="0" insertRows="0" insertHyperlinks="0" deleteColumns="0" deleteRows="0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sRIKB"/>
  <dimension ref="A1:GK18"/>
  <sheetViews>
    <sheetView showGridLines="0" showRowColHeaders="0" zoomScaleNormal="100" workbookViewId="0"/>
  </sheetViews>
  <sheetFormatPr defaultColWidth="0" defaultRowHeight="15.6" customHeight="1" zeroHeight="1" x14ac:dyDescent="0.3"/>
  <cols>
    <col min="1" max="1" width="9.109375" style="15" customWidth="1"/>
    <col min="2" max="3" width="9.109375" style="15" hidden="1" customWidth="1"/>
    <col min="4" max="41" width="8.6640625" style="15" hidden="1" customWidth="1"/>
    <col min="42" max="193" width="0" style="15" hidden="1" customWidth="1"/>
    <col min="194" max="16384" width="8.6640625" style="15" hidden="1"/>
  </cols>
  <sheetData>
    <row r="1" spans="1:193" ht="15.6" customHeight="1" x14ac:dyDescent="0.3"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</row>
    <row r="2" spans="1:193" hidden="1" x14ac:dyDescent="0.3">
      <c r="A2" s="107" t="s">
        <v>0</v>
      </c>
      <c r="B2" s="105" t="s">
        <v>926</v>
      </c>
      <c r="C2" s="105" t="s">
        <v>17</v>
      </c>
      <c r="D2" s="105" t="s">
        <v>26</v>
      </c>
      <c r="E2" s="105" t="s">
        <v>27</v>
      </c>
      <c r="F2" s="105" t="s">
        <v>835</v>
      </c>
      <c r="G2" s="105" t="s">
        <v>612</v>
      </c>
      <c r="H2" s="105" t="s">
        <v>880</v>
      </c>
      <c r="I2" s="105" t="s">
        <v>953</v>
      </c>
      <c r="J2" s="105" t="s">
        <v>954</v>
      </c>
      <c r="K2" s="105" t="s">
        <v>955</v>
      </c>
      <c r="L2" s="105" t="s">
        <v>956</v>
      </c>
      <c r="M2" s="105" t="s">
        <v>957</v>
      </c>
      <c r="N2" s="105" t="s">
        <v>958</v>
      </c>
      <c r="O2" s="105" t="s">
        <v>959</v>
      </c>
      <c r="P2" s="105" t="s">
        <v>960</v>
      </c>
      <c r="Q2" s="105" t="s">
        <v>961</v>
      </c>
      <c r="R2" s="105" t="s">
        <v>962</v>
      </c>
      <c r="S2" s="105" t="s">
        <v>963</v>
      </c>
      <c r="T2" s="105" t="s">
        <v>964</v>
      </c>
      <c r="U2" s="105" t="s">
        <v>965</v>
      </c>
      <c r="V2" s="105" t="s">
        <v>966</v>
      </c>
      <c r="W2" s="105" t="s">
        <v>967</v>
      </c>
      <c r="X2" s="105" t="s">
        <v>968</v>
      </c>
      <c r="Y2" s="105" t="s">
        <v>969</v>
      </c>
      <c r="Z2" s="105" t="s">
        <v>970</v>
      </c>
      <c r="AA2" s="105" t="s">
        <v>971</v>
      </c>
      <c r="AB2" s="105" t="s">
        <v>972</v>
      </c>
      <c r="AC2" s="105" t="s">
        <v>973</v>
      </c>
      <c r="AD2" s="105" t="s">
        <v>974</v>
      </c>
      <c r="AE2" s="105" t="s">
        <v>975</v>
      </c>
      <c r="AF2" s="105" t="s">
        <v>976</v>
      </c>
      <c r="AG2" s="105" t="s">
        <v>977</v>
      </c>
      <c r="AH2" s="105" t="s">
        <v>978</v>
      </c>
      <c r="AI2" s="105" t="s">
        <v>979</v>
      </c>
      <c r="AJ2" s="105" t="s">
        <v>980</v>
      </c>
      <c r="AK2" s="105" t="s">
        <v>981</v>
      </c>
      <c r="AL2" s="105" t="s">
        <v>982</v>
      </c>
      <c r="AM2" s="105" t="s">
        <v>983</v>
      </c>
      <c r="AN2" s="105" t="s">
        <v>984</v>
      </c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</row>
    <row r="3" spans="1:193" hidden="1" x14ac:dyDescent="0.3">
      <c r="A3" s="15">
        <v>1</v>
      </c>
      <c r="B3" s="106" t="str">
        <f ca="1">IF(ISBLANK(C3),"",IF(LEN(D3)=0,"",VALUE(INDEX(info!$AV$2:$AV$39,MATCH('R'!D3,info!$AU$2:$AU$39,FALSE)))))</f>
        <v/>
      </c>
      <c r="C3" s="106" t="str">
        <f ca="1">IF(AND(
COUNTIF(INDIRECT(SUBSTITUTE("@@!$AB13:$AB57","@@","Juli")),"Belum mengisi")=0,
COUNTIF(INDIRECT(SUBSTITUTE("@@!$AB13:$AB57","@@","Juli")),"Status Siswa Kosong")=0,
COUNTIF(INDIRECT(SUBSTITUTE("@@!$AB13:$AB57","@@","Juli")),"Nama Siswa Kosong")=0
),
"Juli","."&amp;"Juli")</f>
        <v>.Juli</v>
      </c>
      <c r="D3" s="106" t="str">
        <f ca="1">IF(LEFT(C3,1)=".","",IF(profilKelas!$F$14=0,"",TEXT(profilKelas!$F$8,0)))</f>
        <v/>
      </c>
      <c r="E3" s="106" t="str">
        <f ca="1">IF(LEFT(C3,1)=".","",IF(profilKelas!$F$14=0,"",TEXT(profilKelas!$F$9,0)))</f>
        <v/>
      </c>
      <c r="F3" s="106" t="str">
        <f ca="1">IF(LEFT(C3,1)=".","",IF(profilKelas!$F$14=0,"",profilKelas!$F$5&amp;" ("&amp;IF(profilKelas!$F$14=0,"",TEXT(profilKelas!$F$6,0))&amp;")"))</f>
        <v/>
      </c>
      <c r="G3" s="106" t="str">
        <f ca="1">IF(LEFT(C3,1)=".","",IF(profilKelas!$F$14=0,"",TEXT(profilKelas!$F$7,0)))</f>
        <v/>
      </c>
      <c r="H3" s="106" t="str">
        <f ca="1">IF(LEFT(C3,1)=".","",IF(profilKelas!$F$14=0,"",TEXT(profilKelas!$F$12,0)))</f>
        <v/>
      </c>
      <c r="AO3" t="str">
        <f ca="1">CONCATENATE(CopyIni!K3,",",CopyIni!L3,",",CopyIni!M3,",",CopyIni!N3,",",CopyIni!O3,",",CopyIni!P3,",",CopyIni!Q3,",",CopyIni!R3,",",CopyIni!S3,",",CopyIni!T3,",",CopyIni!U3,",",CopyIni!V3,",",CopyIni!W3,",",CopyIni!X3,",",CopyIni!Y3,",",CopyIni!Z3,",",CopyIni!AA3,",",CopyIni!AB3,",",CopyIni!AC3,",",CopyIni!AD3,",",CopyIni!AE3,",",CopyIni!AF3,",",CopyIni!AG3,",",CopyIni!AH3,",",CopyIni!AI3,",",CopyIni!AJ3,",",CopyIni!AK3,",",CopyIni!AL3,",",CopyIni!AM3,",",CopyIni!AN3,",",CopyIni!AO3,",",CopyIni!AP3,",")</f>
        <v>0,0,0,0,0,0,0,0,0,0,0,0,0,0,0,0,0,0,0,0,0,0,0,0,0,0,0,0,0,0,0,0,</v>
      </c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</row>
    <row r="4" spans="1:193" hidden="1" x14ac:dyDescent="0.3">
      <c r="A4" s="15">
        <v>2</v>
      </c>
      <c r="B4" s="106" t="str">
        <f ca="1">IF(ISBLANK(C4),"",IF(LEN(D4)=0,"",VALUE(INDEX(info!$AV$2:$AV$39,MATCH('R'!D4,info!$AU$2:$AU$39,FALSE)))))</f>
        <v/>
      </c>
      <c r="C4" s="106" t="str">
        <f ca="1">IF(AND(
COUNTIF(INDIRECT(SUBSTITUTE("@@!$AB13:$AB57","@@","Agustus")),"Belum mengisi")=0,
COUNTIF(INDIRECT(SUBSTITUTE("@@!$AB13:$AB57","@@","Juli")),"Nama Siswa Kosong")=0,
COUNTIF(INDIRECT(SUBSTITUTE("@@!$AB13:$AB57","@@","Agustus")),"Status Siswa Kosong")=0),
"Agustus","."&amp;"Agustus")</f>
        <v>.Agustus</v>
      </c>
      <c r="D4" s="106" t="str">
        <f ca="1">IF(LEFT(C4,1)=".","",IF(profilKelas!$F$14=0,"",TEXT(profilKelas!$F$8,0)))</f>
        <v/>
      </c>
      <c r="E4" s="106" t="str">
        <f ca="1">IF(LEFT(C4,1)=".","",IF(profilKelas!$F$14=0,"",TEXT(profilKelas!$F$9,0)))</f>
        <v/>
      </c>
      <c r="F4" s="106" t="str">
        <f ca="1">IF(LEFT(C4,1)=".","",IF(profilKelas!$F$14=0,"",profilKelas!$F$5&amp;" ("&amp;IF(profilKelas!$F$14=0,"",TEXT(profilKelas!$F$6,0))&amp;")"))</f>
        <v/>
      </c>
      <c r="G4" s="106" t="str">
        <f ca="1">IF(LEFT(C4,1)=".","",IF(profilKelas!$F$14=0,"",TEXT(profilKelas!$F$7,0)))</f>
        <v/>
      </c>
      <c r="H4" s="106" t="str">
        <f ca="1">IF(LEFT(C4,1)=".","",IF(profilKelas!$F$14=0,"",TEXT(profilKelas!$F$12,0)))</f>
        <v/>
      </c>
      <c r="AO4" t="str">
        <f ca="1">CONCATENATE(CopyIni!AQ3,",",CopyIni!AR3,",",CopyIni!AS3,",",CopyIni!AT3,",",CopyIni!AU3,",",CopyIni!AV3,",",CopyIni!AW3,",",CopyIni!AX3,",",CopyIni!AY3,",",CopyIni!AZ3,",",CopyIni!BA3,",",CopyIni!BB3,",",CopyIni!BC3,",",CopyIni!BD3,",",CopyIni!BE3,",",CopyIni!BF3,",",CopyIni!BG3,",",CopyIni!BH3,",",CopyIni!BI3,",",CopyIni!BJ3,",",CopyIni!BK3,",",CopyIni!BL3,",",CopyIni!BM3,",",CopyIni!BN3,",",CopyIni!BO3,",",CopyIni!BP3,",",CopyIni!BQ3,",",CopyIni!BR3,",",CopyIni!BS3,",",CopyIni!BT3,",",CopyIni!BU3,",",CopyIni!BV3,",")</f>
        <v>0,0,0,0,0,0,0,0,0,0,0,0,0,0,0,0,0,0,0,0,0,0,0,0,0,0,0,0,0,0,0,0,</v>
      </c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</row>
    <row r="5" spans="1:193" hidden="1" x14ac:dyDescent="0.3">
      <c r="A5" s="15">
        <v>3</v>
      </c>
      <c r="B5" s="106" t="str">
        <f ca="1">IF(ISBLANK(C5),"",IF(LEN(D5)=0,"",VALUE(INDEX(info!$AV$2:$AV$39,MATCH('R'!D5,info!$AU$2:$AU$39,FALSE)))))</f>
        <v/>
      </c>
      <c r="C5" s="106" t="str">
        <f ca="1">IF(AND(
COUNTIF(INDIRECT(SUBSTITUTE("@@!$AB13:$AB57","@@","September")),"Belum mengisi")=0,
COUNTIF(INDIRECT(SUBSTITUTE("@@!$AB13:$AB57","@@","Juli")),"Nama Siswa Kosong")=0,
COUNTIF(INDIRECT(SUBSTITUTE("@@!$AB13:$AB57","@@","September")),"Status Siswa Kosong")=0),
"September","."&amp;"September")</f>
        <v>.September</v>
      </c>
      <c r="D5" s="106" t="str">
        <f ca="1">IF(LEFT(C5,1)=".","",IF(profilKelas!$F$14=0,"",TEXT(profilKelas!$F$8,0)))</f>
        <v/>
      </c>
      <c r="E5" s="106" t="str">
        <f ca="1">IF(LEFT(C5,1)=".","",IF(profilKelas!$F$14=0,"",TEXT(profilKelas!$F$9,0)))</f>
        <v/>
      </c>
      <c r="F5" s="106" t="str">
        <f ca="1">IF(LEFT(C5,1)=".","",IF(profilKelas!$F$14=0,"",profilKelas!$F$5&amp;" ("&amp;IF(profilKelas!$F$14=0,"",TEXT(profilKelas!$F$6,0))&amp;")"))</f>
        <v/>
      </c>
      <c r="G5" s="106" t="str">
        <f ca="1">IF(LEFT(C5,1)=".","",IF(profilKelas!$F$14=0,"",TEXT(profilKelas!$F$7,0)))</f>
        <v/>
      </c>
      <c r="H5" s="106" t="str">
        <f ca="1">IF(LEFT(C5,1)=".","",IF(profilKelas!$F$14=0,"",TEXT(profilKelas!$F$12,0)))</f>
        <v/>
      </c>
      <c r="AO5" t="str">
        <f ca="1">CONCATENATE(CopyIni!BW3,",",CopyIni!BX3,",",CopyIni!BY3,",",CopyIni!BZ3,",",CopyIni!CA3,",",CopyIni!CB3,",",CopyIni!CC3,",",CopyIni!CD3,",",CopyIni!CE3,",",CopyIni!CF3,",",CopyIni!CG3,",",CopyIni!CH3,",",CopyIni!CI3,",",CopyIni!CJ3,",",CopyIni!CK3,",",CopyIni!CL3,",",CopyIni!CM3,",",CopyIni!CN3,",",CopyIni!CO3,",",CopyIni!CP3,",",CopyIni!CQ3,",",CopyIni!CR3,",",CopyIni!CS3,",",CopyIni!CT3,",",CopyIni!CU3,",",CopyIni!CV3,",",CopyIni!CW3,",",CopyIni!CX3,",",CopyIni!CY3,",",CopyIni!CZ3,",",CopyIni!DA3,",",CopyIni!DB3,",")</f>
        <v>0,0,0,0,0,0,0,0,0,0,0,0,0,0,0,0,0,0,0,0,0,0,0,0,0,0,0,0,0,0,0,0,</v>
      </c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</row>
    <row r="6" spans="1:193" hidden="1" x14ac:dyDescent="0.3">
      <c r="A6" s="15">
        <v>4</v>
      </c>
      <c r="B6" s="106" t="str">
        <f ca="1">IF(ISBLANK(C6),"",IF(LEN(D6)=0,"",VALUE(INDEX(info!$AV$2:$AV$39,MATCH('R'!D6,info!$AU$2:$AU$39,FALSE)))))</f>
        <v/>
      </c>
      <c r="C6" s="106" t="str">
        <f ca="1">IF(AND(
COUNTIF(INDIRECT(SUBSTITUTE("@@!$AB13:$AB57","@@","Oktober")),"Belum mengisi")=0,
COUNTIF(INDIRECT(SUBSTITUTE("@@!$AB13:$AB57","@@","Juli")),"Nama Siswa Kosong")=0,
COUNTIF(INDIRECT(SUBSTITUTE("@@!$AB13:$AB57","@@","Oktober")),"Status Siswa Kosong")=0),
"Oktober","."&amp;"Oktober")</f>
        <v>.Oktober</v>
      </c>
      <c r="D6" s="106" t="str">
        <f ca="1">IF(LEFT(C6,1)=".","",IF(profilKelas!$F$14=0,"",TEXT(profilKelas!$F$8,0)))</f>
        <v/>
      </c>
      <c r="E6" s="106" t="str">
        <f ca="1">IF(LEFT(C6,1)=".","",IF(profilKelas!$F$14=0,"",TEXT(profilKelas!$F$9,0)))</f>
        <v/>
      </c>
      <c r="F6" s="106" t="str">
        <f ca="1">IF(LEFT(C6,1)=".","",IF(profilKelas!$F$14=0,"",profilKelas!$F$5&amp;" ("&amp;IF(profilKelas!$F$14=0,"",TEXT(profilKelas!$F$6,0))&amp;")"))</f>
        <v/>
      </c>
      <c r="G6" s="106" t="str">
        <f ca="1">IF(LEFT(C6,1)=".","",IF(profilKelas!$F$14=0,"",TEXT(profilKelas!$F$7,0)))</f>
        <v/>
      </c>
      <c r="H6" s="106" t="str">
        <f ca="1">IF(LEFT(C6,1)=".","",IF(profilKelas!$F$14=0,"",TEXT(profilKelas!$F$12,0)))</f>
        <v/>
      </c>
      <c r="AO6" t="str">
        <f ca="1">CONCATENATE(CopyIni!DC3,",",CopyIni!DD3,",",CopyIni!DE3,",",CopyIni!DF3,",",CopyIni!DG3,",",CopyIni!DH3,",",CopyIni!DI3,",",CopyIni!DJ3,",",CopyIni!DK3,",",CopyIni!DL3,",",CopyIni!DM3,",",CopyIni!DN3,",",CopyIni!DO3,",",CopyIni!DP3,",",CopyIni!DQ3,",",CopyIni!DR3,",",CopyIni!DS3,",",CopyIni!DT3,",",CopyIni!DU3,",",CopyIni!DV3,",",CopyIni!DW3,",",CopyIni!DX3,",",CopyIni!DY3,",",CopyIni!DZ3,",",CopyIni!EA3,",",CopyIni!EB3,",",CopyIni!EC3,",",CopyIni!ED3,",",CopyIni!EE3,",",CopyIni!EF3,",",CopyIni!EG3,",",CopyIni!EH3,",")</f>
        <v>0,0,0,0,0,0,0,0,0,0,0,0,0,0,0,0,0,0,0,0,0,0,0,0,0,0,0,0,0,0,0,0,</v>
      </c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</row>
    <row r="7" spans="1:193" hidden="1" x14ac:dyDescent="0.3">
      <c r="A7" s="15">
        <v>5</v>
      </c>
      <c r="B7" s="106" t="str">
        <f ca="1">IF(ISBLANK(C7),"",IF(LEN(D7)=0,"",VALUE(INDEX(info!$AV$2:$AV$39,MATCH('R'!D7,info!$AU$2:$AU$39,FALSE)))))</f>
        <v/>
      </c>
      <c r="C7" s="106" t="str">
        <f ca="1">IF(AND(
COUNTIF(INDIRECT(SUBSTITUTE("@@!$AB13:$AB57","@@","November")),"Belum mengisi")=0,
COUNTIF(INDIRECT(SUBSTITUTE("@@!$AB13:$AB57","@@","Juli")),"Nama Siswa Kosong")=0,
COUNTIF(INDIRECT(SUBSTITUTE("@@!$AB13:$AB57","@@","November")),"Status Siswa Kosong")=0),
"November","."&amp;"November")</f>
        <v>.November</v>
      </c>
      <c r="D7" s="106" t="str">
        <f ca="1">IF(LEFT(C7,1)=".","",IF(profilKelas!$F$14=0,"",TEXT(profilKelas!$F$8,0)))</f>
        <v/>
      </c>
      <c r="E7" s="106" t="str">
        <f ca="1">IF(LEFT(C7,1)=".","",IF(profilKelas!$F$14=0,"",TEXT(profilKelas!$F$9,0)))</f>
        <v/>
      </c>
      <c r="F7" s="106" t="str">
        <f ca="1">IF(LEFT(C7,1)=".","",IF(profilKelas!$F$14=0,"",profilKelas!$F$5&amp;" ("&amp;IF(profilKelas!$F$14=0,"",TEXT(profilKelas!$F$6,0))&amp;")"))</f>
        <v/>
      </c>
      <c r="G7" s="106" t="str">
        <f ca="1">IF(LEFT(C7,1)=".","",IF(profilKelas!$F$14=0,"",TEXT(profilKelas!$F$7,0)))</f>
        <v/>
      </c>
      <c r="H7" s="106" t="str">
        <f ca="1">IF(LEFT(C7,1)=".","",IF(profilKelas!$F$14=0,"",TEXT(profilKelas!$F$12,0)))</f>
        <v/>
      </c>
      <c r="AO7" t="str">
        <f ca="1">CONCATENATE(CopyIni!EI3,",",CopyIni!EJ3,",",CopyIni!EK3,",",CopyIni!EL3,",",CopyIni!EM3,",",CopyIni!EN3,",",CopyIni!EO3,",",CopyIni!EP3,",",CopyIni!EQ3,",",CopyIni!ER3,",",CopyIni!ES3,",",CopyIni!ET3,",",CopyIni!EU3,",",CopyIni!EV3,",",CopyIni!EW3,",",CopyIni!EX3,",",CopyIni!EY3,",",CopyIni!EZ3,",",CopyIni!FA3,",",CopyIni!FB3,",",CopyIni!FC3,",",CopyIni!FD3,",",CopyIni!FE3,",",CopyIni!FF3,",",CopyIni!FG3,",",CopyIni!FH3,",",CopyIni!FI3,",",CopyIni!FJ3,",",CopyIni!FK3,",",CopyIni!FL3,",",CopyIni!FM3,",",CopyIni!FN3,",")</f>
        <v>0,0,0,0,0,0,0,0,0,0,0,0,0,0,0,0,0,0,0,0,0,0,0,0,0,0,0,0,0,0,0,0,</v>
      </c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</row>
    <row r="8" spans="1:193" hidden="1" x14ac:dyDescent="0.3">
      <c r="A8" s="15">
        <v>6</v>
      </c>
      <c r="B8" s="106" t="str">
        <f ca="1">IF(ISBLANK(C8),"",IF(LEN(D8)=0,"",VALUE(INDEX(info!$AV$2:$AV$39,MATCH('R'!D8,info!$AU$2:$AU$39,FALSE)))))</f>
        <v/>
      </c>
      <c r="C8" s="106" t="str">
        <f ca="1">IF(AND(
COUNTIF(INDIRECT(SUBSTITUTE("@@!$AB13:$AB57","@@","Desember")),"Belum mengisi")=0,
COUNTIF(INDIRECT(SUBSTITUTE("@@!$AB13:$AB57","@@","Juli")),"Nama Siswa Kosong")=0,
COUNTIF(INDIRECT(SUBSTITUTE("@@!$AB13:$AB57","@@","Desember")),"Status Siswa Kosong")=0),
"Desember","."&amp;"Desember")</f>
        <v>.Desember</v>
      </c>
      <c r="D8" s="106" t="str">
        <f ca="1">IF(LEFT(C8,1)=".","",IF(profilKelas!$F$14=0,"",TEXT(profilKelas!$F$8,0)))</f>
        <v/>
      </c>
      <c r="E8" s="106" t="str">
        <f ca="1">IF(LEFT(C8,1)=".","",IF(profilKelas!$F$14=0,"",TEXT(profilKelas!$F$9,0)))</f>
        <v/>
      </c>
      <c r="F8" s="106" t="str">
        <f ca="1">IF(LEFT(C8,1)=".","",IF(profilKelas!$F$14=0,"",profilKelas!$F$5&amp;" ("&amp;IF(profilKelas!$F$14=0,"",TEXT(profilKelas!$F$6,0))&amp;")"))</f>
        <v/>
      </c>
      <c r="G8" s="106" t="str">
        <f ca="1">IF(LEFT(C8,1)=".","",IF(profilKelas!$F$14=0,"",TEXT(profilKelas!$F$7,0)))</f>
        <v/>
      </c>
      <c r="H8" s="106" t="str">
        <f ca="1">IF(LEFT(C8,1)=".","",IF(profilKelas!$F$14=0,"",TEXT(profilKelas!$F$12,0)))</f>
        <v/>
      </c>
      <c r="AO8" t="str">
        <f ca="1">CONCATENATE(CopyIni!FO3,",",CopyIni!FP3,",",CopyIni!FQ3,",",CopyIni!FR3,",",CopyIni!FS3,",",CopyIni!FT3,",",CopyIni!FU3,",",CopyIni!FV3,",",CopyIni!FW3,",",CopyIni!FX3,",",CopyIni!FY3,",",CopyIni!FZ3,",",CopyIni!GA3,",",CopyIni!GB3,",",CopyIni!GC3,",",CopyIni!GD3,",",CopyIni!GE3,",",CopyIni!GF3,",",CopyIni!GG3,",",CopyIni!GH3,",",CopyIni!GI3,",",CopyIni!GJ3,",",CopyIni!GK3,",",CopyIni!GL3,",",CopyIni!GM3,",",CopyIni!GN3,",",CopyIni!GO3,",",CopyIni!GP3,",",CopyIni!GQ3,",",CopyIni!GR3,",",CopyIni!GS3,",",CopyIni!GT3,",")</f>
        <v>0,0,0,0,0,0,0,0,0,0,0,0,0,0,0,0,0,0,0,0,0,0,0,0,0,0,0,0,0,0,0,0,</v>
      </c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</row>
    <row r="9" spans="1:193" hidden="1" x14ac:dyDescent="0.3">
      <c r="A9" s="15">
        <v>7</v>
      </c>
      <c r="B9" s="106" t="str">
        <f ca="1">IF(ISBLANK(C9),"",IF(LEN(D9)=0,"",VALUE(INDEX(info!$AV$2:$AV$39,MATCH('R'!D9,info!$AU$2:$AU$39,FALSE)))))</f>
        <v/>
      </c>
      <c r="C9" s="106" t="str">
        <f ca="1">IF(AND(
COUNTIF(INDIRECT(SUBSTITUTE("@@!$AB13:$AB57","@@","Januari")),"Belum mengisi")=0,
COUNTIF(INDIRECT(SUBSTITUTE("@@!$AB13:$AB57","@@","Juli")),"Nama Siswa Kosong")=0,
COUNTIF(INDIRECT(SUBSTITUTE("@@!$AB13:$AB57","@@","Januari")),"Status Siswa Kosong")=0),
"Januari","."&amp;"Januari")</f>
        <v>.Januari</v>
      </c>
      <c r="D9" s="106" t="str">
        <f ca="1">IF(LEFT(C9,1)=".","",IF(profilKelas!$F$14=0,"",TEXT(profilKelas!$F$8,0)))</f>
        <v/>
      </c>
      <c r="E9" s="106" t="str">
        <f ca="1">IF(LEFT(C9,1)=".","",IF(profilKelas!$F$14=0,"",TEXT(profilKelas!$F$9,0)))</f>
        <v/>
      </c>
      <c r="F9" s="106" t="str">
        <f ca="1">IF(LEFT(C9,1)=".","",IF(profilKelas!$F$14=0,"",profilKelas!$F$5&amp;" ("&amp;IF(profilKelas!$F$14=0,"",TEXT(profilKelas!$F$6,0))&amp;")"))</f>
        <v/>
      </c>
      <c r="G9" s="106" t="str">
        <f ca="1">IF(LEFT(C9,1)=".","",IF(profilKelas!$F$14=0,"",TEXT(profilKelas!$F$7,0)))</f>
        <v/>
      </c>
      <c r="H9" s="106" t="str">
        <f ca="1">IF(LEFT(C9,1)=".","",IF(profilKelas!$F$14=0,"",TEXT(profilKelas!$F$12,0)))</f>
        <v/>
      </c>
      <c r="AO9" t="str">
        <f ca="1">CONCATENATE(CopyIni!GU3,",",CopyIni!GV3,",",CopyIni!GW3,",",CopyIni!GX3,",",CopyIni!GY3,",",CopyIni!GZ3,",",CopyIni!HA3,",",CopyIni!HB3,",",CopyIni!HC3,",",CopyIni!HD3,",",CopyIni!HE3,",",CopyIni!HF3,",",CopyIni!HG3,",",CopyIni!HH3,",",CopyIni!HI3,",",CopyIni!HJ3,",",CopyIni!HK3,",",CopyIni!HL3,",",CopyIni!HM3,",",CopyIni!HN3,",",CopyIni!HO3,",",CopyIni!HP3,",",CopyIni!HQ3,",",CopyIni!HR3,",",CopyIni!HS3,",",CopyIni!HT3,",",CopyIni!HU3,",",CopyIni!HV3,",",CopyIni!HW3,",",CopyIni!HX3,",",CopyIni!HY3,",",CopyIni!HZ3,",")</f>
        <v>0,0,0,0,0,0,0,0,0,0,0,0,0,0,0,0,0,0,0,0,0,0,0,0,0,0,0,0,0,0,0,0,</v>
      </c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</row>
    <row r="10" spans="1:193" hidden="1" x14ac:dyDescent="0.3">
      <c r="A10" s="15">
        <v>8</v>
      </c>
      <c r="B10" s="106" t="str">
        <f ca="1">IF(ISBLANK(C10),"",IF(LEN(D10)=0,"",VALUE(INDEX(info!$AV$2:$AV$39,MATCH('R'!D10,info!$AU$2:$AU$39,FALSE)))))</f>
        <v/>
      </c>
      <c r="C10" s="106" t="str">
        <f ca="1">IF(AND(
COUNTIF(INDIRECT(SUBSTITUTE("@@!$AB13:$AB57","@@","Februari")),"Belum mengisi")=0,
COUNTIF(INDIRECT(SUBSTITUTE("@@!$AB13:$AB57","@@","Juli")),"Nama Siswa Kosong")=0,
COUNTIF(INDIRECT(SUBSTITUTE("@@!$AB13:$AB57","@@","Februari")),"Status Siswa Kosong")=0),
"Februari","."&amp;"Februari")</f>
        <v>.Februari</v>
      </c>
      <c r="D10" s="106" t="str">
        <f ca="1">IF(LEFT(C10,1)=".","",IF(profilKelas!$F$14=0,"",TEXT(profilKelas!$F$8,0)))</f>
        <v/>
      </c>
      <c r="E10" s="106" t="str">
        <f ca="1">IF(LEFT(C10,1)=".","",IF(profilKelas!$F$14=0,"",TEXT(profilKelas!$F$9,0)))</f>
        <v/>
      </c>
      <c r="F10" s="106" t="str">
        <f ca="1">IF(LEFT(C10,1)=".","",IF(profilKelas!$F$14=0,"",profilKelas!$F$5&amp;" ("&amp;IF(profilKelas!$F$14=0,"",TEXT(profilKelas!$F$6,0))&amp;")"))</f>
        <v/>
      </c>
      <c r="G10" s="106" t="str">
        <f ca="1">IF(LEFT(C10,1)=".","",IF(profilKelas!$F$14=0,"",TEXT(profilKelas!$F$7,0)))</f>
        <v/>
      </c>
      <c r="H10" s="106" t="str">
        <f ca="1">IF(LEFT(C10,1)=".","",IF(profilKelas!$F$14=0,"",TEXT(profilKelas!$F$12,0)))</f>
        <v/>
      </c>
      <c r="AO10" t="str">
        <f ca="1">CONCATENATE(CopyIni!IA3,",",CopyIni!IB3,",",CopyIni!IC3,",",CopyIni!ID3,",",CopyIni!IE3,",",CopyIni!IF3,",",CopyIni!IG3,",",CopyIni!IH3,",",CopyIni!II3,",",CopyIni!IJ3,",",CopyIni!IK3,",",CopyIni!IL3,",",CopyIni!IM3,",",CopyIni!IN3,",",CopyIni!IO3,",",CopyIni!IP3,",",CopyIni!IQ3,",",CopyIni!IR3,",",CopyIni!IS3,",",CopyIni!IT3,",",CopyIni!IU3,",",CopyIni!IV3,",",CopyIni!IW3,",",CopyIni!IX3,",",CopyIni!IY3,",",CopyIni!IZ3,",",CopyIni!JA3,",",CopyIni!JB3,",",CopyIni!JC3,",",CopyIni!JD3,",",CopyIni!JE3,",",CopyIni!JF3,",")</f>
        <v>0,0,0,0,0,0,0,0,0,0,0,0,0,0,0,0,0,0,0,0,0,0,0,0,0,0,0,0,0,0,0,0,</v>
      </c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</row>
    <row r="11" spans="1:193" hidden="1" x14ac:dyDescent="0.3">
      <c r="A11" s="15">
        <v>9</v>
      </c>
      <c r="B11" s="106" t="str">
        <f ca="1">IF(ISBLANK(C11),"",IF(LEN(D11)=0,"",VALUE(INDEX(info!$AV$2:$AV$39,MATCH('R'!D11,info!$AU$2:$AU$39,FALSE)))))</f>
        <v/>
      </c>
      <c r="C11" s="106" t="str">
        <f ca="1">IF(AND(
COUNTIF(INDIRECT(SUBSTITUTE("@@!$AB13:$AB57","@@","Maret")),"Belum mengisi")=0,
COUNTIF(INDIRECT(SUBSTITUTE("@@!$AB13:$AB57","@@","Juli")),"Nama Siswa Kosong")=0,
COUNTIF(INDIRECT(SUBSTITUTE("@@!$AB13:$AB57","@@","Maret")),"Status Siswa Kosong")=0),
"Maret","."&amp;"Maret")</f>
        <v>.Maret</v>
      </c>
      <c r="D11" s="106" t="str">
        <f ca="1">IF(LEFT(C11,1)=".","",IF(profilKelas!$F$14=0,"",TEXT(profilKelas!$F$8,0)))</f>
        <v/>
      </c>
      <c r="E11" s="106" t="str">
        <f ca="1">IF(LEFT(C11,1)=".","",IF(profilKelas!$F$14=0,"",TEXT(profilKelas!$F$9,0)))</f>
        <v/>
      </c>
      <c r="F11" s="106" t="str">
        <f ca="1">IF(LEFT(C11,1)=".","",IF(profilKelas!$F$14=0,"",profilKelas!$F$5&amp;" ("&amp;IF(profilKelas!$F$14=0,"",TEXT(profilKelas!$F$6,0))&amp;")"))</f>
        <v/>
      </c>
      <c r="G11" s="106" t="str">
        <f ca="1">IF(LEFT(C11,1)=".","",IF(profilKelas!$F$14=0,"",TEXT(profilKelas!$F$7,0)))</f>
        <v/>
      </c>
      <c r="H11" s="106" t="str">
        <f ca="1">IF(LEFT(C11,1)=".","",IF(profilKelas!$F$14=0,"",TEXT(profilKelas!$F$12,0)))</f>
        <v/>
      </c>
      <c r="AO11" t="str">
        <f ca="1">CONCATENATE(CopyIni!JG3,",",CopyIni!JH3,",",CopyIni!JI3,",",CopyIni!JJ3,",",CopyIni!JK3,",",CopyIni!JL3,",",CopyIni!JM3,",",CopyIni!JN3,",",CopyIni!JO3,",",CopyIni!JP3,",",CopyIni!JQ3,",",CopyIni!JR3,",",CopyIni!JS3,",",CopyIni!JT3,",",CopyIni!JU3,",",CopyIni!JV3,",",CopyIni!JW3,",",CopyIni!JX3,",",CopyIni!JY3,",",CopyIni!JZ3,",",CopyIni!KA3,",",CopyIni!KB3,",",CopyIni!KC3,",",CopyIni!KD3,",",CopyIni!KE3,",",CopyIni!KF3,",",CopyIni!KG3,",",CopyIni!KH3,",",CopyIni!KI3,",",CopyIni!KJ3,",",CopyIni!KK3,",",CopyIni!KL3,",")</f>
        <v>0,0,0,0,0,0,0,0,0,0,0,0,0,0,0,0,0,0,0,0,0,0,0,0,0,0,0,0,0,0,0,0,</v>
      </c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</row>
    <row r="12" spans="1:193" hidden="1" x14ac:dyDescent="0.3">
      <c r="A12" s="15">
        <v>10</v>
      </c>
      <c r="B12" s="106" t="str">
        <f ca="1">IF(ISBLANK(C12),"",IF(LEN(D12)=0,"",VALUE(INDEX(info!$AV$2:$AV$39,MATCH('R'!D12,info!$AU$2:$AU$39,FALSE)))))</f>
        <v/>
      </c>
      <c r="C12" s="106" t="str">
        <f ca="1">IF(AND(
COUNTIF(INDIRECT(SUBSTITUTE("@@!$AB13:$AB57","@@","April")),"Belum mengisi")=0,
COUNTIF(INDIRECT(SUBSTITUTE("@@!$AB13:$AB57","@@","Juli")),"Nama Siswa Kosong")=0,
COUNTIF(INDIRECT(SUBSTITUTE("@@!$AB13:$AB57","@@","April")),"Status Siswa Kosong")=0),
"April","."&amp;"April")</f>
        <v>.April</v>
      </c>
      <c r="D12" s="106" t="str">
        <f ca="1">IF(LEFT(C12,1)=".","",IF(profilKelas!$F$14=0,"",TEXT(profilKelas!$F$8,0)))</f>
        <v/>
      </c>
      <c r="E12" s="106" t="str">
        <f ca="1">IF(LEFT(C12,1)=".","",IF(profilKelas!$F$14=0,"",TEXT(profilKelas!$F$9,0)))</f>
        <v/>
      </c>
      <c r="F12" s="106" t="str">
        <f ca="1">IF(LEFT(C12,1)=".","",IF(profilKelas!$F$14=0,"",profilKelas!$F$5&amp;" ("&amp;IF(profilKelas!$F$14=0,"",TEXT(profilKelas!$F$6,0))&amp;")"))</f>
        <v/>
      </c>
      <c r="G12" s="106" t="str">
        <f ca="1">IF(LEFT(C12,1)=".","",IF(profilKelas!$F$14=0,"",TEXT(profilKelas!$F$7,0)))</f>
        <v/>
      </c>
      <c r="H12" s="106" t="str">
        <f ca="1">IF(LEFT(C12,1)=".","",IF(profilKelas!$F$14=0,"",TEXT(profilKelas!$F$12,0)))</f>
        <v/>
      </c>
      <c r="AO12" t="str">
        <f ca="1">CONCATENATE(CopyIni!KM3,",",CopyIni!KN3,",",CopyIni!KO3,",",CopyIni!KP3,",",CopyIni!KQ3,",",CopyIni!KR3,",",CopyIni!KS3,",",CopyIni!KT3,",",CopyIni!KU3,",",CopyIni!KV3,",",CopyIni!KW3,",",CopyIni!KX3,",",CopyIni!KY3,",",CopyIni!KZ3,",",CopyIni!LA3,",",CopyIni!LB3,",",CopyIni!LC3,",",CopyIni!LD3,",",CopyIni!LE3,",",CopyIni!LF3,",",CopyIni!LG3,",",CopyIni!LH3,",",CopyIni!LI3,",",CopyIni!LJ3,",",CopyIni!LK3,",",CopyIni!LL3,",",CopyIni!LM3,",",CopyIni!LN3,",",CopyIni!LO3,",",CopyIni!LP3,",",CopyIni!LQ3,",",CopyIni!LR3,",")</f>
        <v>0,0,0,0,0,0,0,0,0,0,0,0,0,0,0,0,0,0,0,0,0,0,0,0,0,0,0,0,0,0,0,0,</v>
      </c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</row>
    <row r="13" spans="1:193" hidden="1" x14ac:dyDescent="0.3">
      <c r="A13" s="15">
        <v>11</v>
      </c>
      <c r="B13" s="106" t="str">
        <f ca="1">IF(ISBLANK(C13),"",IF(LEN(D13)=0,"",VALUE(INDEX(info!$AV$2:$AV$39,MATCH('R'!D13,info!$AU$2:$AU$39,FALSE)))))</f>
        <v/>
      </c>
      <c r="C13" s="106" t="str">
        <f ca="1">IF(AND(
COUNTIF(INDIRECT(SUBSTITUTE("@@!$AB13:$AB57","@@","Mei")),"Belum mengisi")=0,
COUNTIF(INDIRECT(SUBSTITUTE("@@!$AB13:$AB57","@@","Juli")),"Nama Siswa Kosong")=0,
COUNTIF(INDIRECT(SUBSTITUTE("@@!$AB13:$AB57","@@","Mei")),"Status Siswa Kosong")=0),
"Mei","."&amp;"Mei")</f>
        <v>.Mei</v>
      </c>
      <c r="D13" s="106" t="str">
        <f ca="1">IF(LEFT(C13,1)=".","",IF(profilKelas!$F$14=0,"",TEXT(profilKelas!$F$8,0)))</f>
        <v/>
      </c>
      <c r="E13" s="106" t="str">
        <f ca="1">IF(LEFT(C13,1)=".","",IF(profilKelas!$F$14=0,"",TEXT(profilKelas!$F$9,0)))</f>
        <v/>
      </c>
      <c r="F13" s="106" t="str">
        <f ca="1">IF(LEFT(C13,1)=".","",IF(profilKelas!$F$14=0,"",profilKelas!$F$5&amp;" ("&amp;IF(profilKelas!$F$14=0,"",TEXT(profilKelas!$F$6,0))&amp;")"))</f>
        <v/>
      </c>
      <c r="G13" s="106" t="str">
        <f ca="1">IF(LEFT(C13,1)=".","",IF(profilKelas!$F$14=0,"",TEXT(profilKelas!$F$7,0)))</f>
        <v/>
      </c>
      <c r="H13" s="106" t="str">
        <f ca="1">IF(LEFT(C13,1)=".","",IF(profilKelas!$F$14=0,"",TEXT(profilKelas!$F$12,0)))</f>
        <v/>
      </c>
      <c r="AO13" t="str">
        <f ca="1">CONCATENATE(CopyIni!LS3,",",CopyIni!LT3,",",CopyIni!LU3,",",CopyIni!LV3,",",CopyIni!LW3,",",CopyIni!LX3,",",CopyIni!LY3,",",CopyIni!LZ3,",",CopyIni!MA3,",",CopyIni!MB3,",",CopyIni!MC3,",",CopyIni!MD3,",",CopyIni!ME3,",",CopyIni!MF3,",",CopyIni!MG3,",",CopyIni!MH3,",",CopyIni!MI3,",",CopyIni!MJ3,",",CopyIni!MK3,",",CopyIni!ML3,",",CopyIni!MM3,",",CopyIni!MN3,",",CopyIni!MO3,",",CopyIni!MP3,",",CopyIni!MQ3,",",CopyIni!MR3,",",CopyIni!MS3,",",CopyIni!MT3,",",CopyIni!MU3,",",CopyIni!MV3,",",CopyIni!MW3,",",CopyIni!MX3,",")</f>
        <v>0,0,0,0,0,0,0,0,0,0,0,0,0,0,0,0,0,0,0,0,0,0,0,0,0,0,0,0,0,0,0,0,</v>
      </c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</row>
    <row r="14" spans="1:193" hidden="1" x14ac:dyDescent="0.3">
      <c r="A14" s="15">
        <v>12</v>
      </c>
      <c r="B14" s="106" t="str">
        <f ca="1">IF(ISBLANK(C14),"",IF(LEN(D14)=0,"",VALUE(INDEX(info!$AV$2:$AV$39,MATCH('R'!D14,info!$AU$2:$AU$39,FALSE)))))</f>
        <v/>
      </c>
      <c r="C14" s="106" t="str">
        <f ca="1">IF(AND(
COUNTIF(INDIRECT(SUBSTITUTE("@@!$AB13:$AB57","@@","Juni")),"Belum mengisi")=0,
COUNTIF(INDIRECT(SUBSTITUTE("@@!$AB13:$AB57","@@","Juli")),"Nama Siswa Kosong")=0,
COUNTIF(INDIRECT(SUBSTITUTE("@@!$AB13:$AB57","@@","Juni")),"Status Siswa Kosong")=0),
"Juni","."&amp;"Juni")</f>
        <v>.Juni</v>
      </c>
      <c r="D14" s="106" t="str">
        <f ca="1">IF(LEFT(C14,1)=".","",IF(profilKelas!$F$14=0,"",TEXT(profilKelas!$F$8,0)))</f>
        <v/>
      </c>
      <c r="E14" s="106" t="str">
        <f ca="1">IF(LEFT(C14,1)=".","",IF(profilKelas!$F$14=0,"",TEXT(profilKelas!$F$9,0)))</f>
        <v/>
      </c>
      <c r="F14" s="106" t="str">
        <f ca="1">IF(LEFT(C14,1)=".","",IF(profilKelas!$F$14=0,"",profilKelas!$F$5&amp;" ("&amp;IF(profilKelas!$F$14=0,"",TEXT(profilKelas!$F$6,0))&amp;")"))</f>
        <v/>
      </c>
      <c r="G14" s="106" t="str">
        <f ca="1">IF(LEFT(C14,1)=".","",IF(profilKelas!$F$14=0,"",TEXT(profilKelas!$F$7,0)))</f>
        <v/>
      </c>
      <c r="H14" s="106" t="str">
        <f ca="1">IF(LEFT(C14,1)=".","",IF(profilKelas!$F$14=0,"",TEXT(profilKelas!$F$12,0)))</f>
        <v/>
      </c>
      <c r="AO14" t="str">
        <f ca="1">CONCATENATE(CopyIni!MY3,",",CopyIni!MZ3,",",CopyIni!NA3,",",CopyIni!NB3,",",CopyIni!NC3,",",CopyIni!ND3,",",CopyIni!NE3,",",CopyIni!NF3,",",CopyIni!NG3,",",CopyIni!NH3,",",CopyIni!NI3,",",CopyIni!NJ3,",",CopyIni!NK3,",",CopyIni!NL3,",",CopyIni!NM3,",",CopyIni!NN3,",",CopyIni!NO3,",",CopyIni!NP3,",",CopyIni!NQ3,",",CopyIni!NR3,",",CopyIni!NS3,",",CopyIni!NT3,",",CopyIni!NU3,",",CopyIni!NV3,",",CopyIni!NW3,",",CopyIni!NX3,",",CopyIni!NY3,",",CopyIni!NZ3,",",CopyIni!OA3,",",CopyIni!OB3,",",CopyIni!OC3,",",CopyIni!OD3,",")</f>
        <v>0,0,0,0,0,0,0,0,0,0,0,0,0,0,0,0,0,0,0,0,0,0,0,0,0,0,0,0,0,0,0,0,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</row>
    <row r="15" spans="1:193" hidden="1" x14ac:dyDescent="0.3">
      <c r="A15" s="15">
        <v>13</v>
      </c>
      <c r="B15" s="106" t="e">
        <f>IF(ISBLANK(C15),"",IF(LEN(D15)=0,"",VALUE(INDEX(info!$AV$2:$AV$39,MATCH('R'!D15,info!$AU$2:$AU$39,FALSE)))))</f>
        <v>#N/A</v>
      </c>
      <c r="C15" s="106" t="s">
        <v>941</v>
      </c>
      <c r="D15" s="106" t="str">
        <f>IF(LEFT(C15,1)=".","",IF(profilKelas!$F$14=0,"",TEXT(profilKelas!$F$8,0)))</f>
        <v>0</v>
      </c>
      <c r="E15" s="106" t="str">
        <f>IF(LEFT(C15,1)=".","",IF(profilKelas!$F$14=0,"",TEXT(profilKelas!$F$9,0)))</f>
        <v>0</v>
      </c>
      <c r="F15" s="106" t="str">
        <f>IF(LEFT(C15,1)=".","",IF(profilKelas!$F$14=0,"",profilKelas!$F$5&amp;" ("&amp;IF(profilKelas!$F$14=0,"",TEXT(profilKelas!$F$6,0))&amp;")"))</f>
        <v xml:space="preserve"> (0)</v>
      </c>
      <c r="G15" s="106" t="str">
        <f>IF(LEFT(C15,1)=".","",IF(profilKelas!$F$14=0,"",TEXT(profilKelas!$F$7,0)))</f>
        <v>0</v>
      </c>
      <c r="H15" s="106" t="str">
        <f>IF(LEFT(C15,1)=".","",IF(profilKelas!$F$14=0,"",TEXT(profilKelas!$F$12,0)))</f>
        <v>0</v>
      </c>
      <c r="AO15" t="str">
        <f ca="1">CONCATENATE(CopyIni!OE3,",",CopyIni!OF3,",",CopyIni!OG3,",",CopyIni!OH3,",",CopyIni!OI3,",",CopyIni!OJ3,",",CopyIni!OK3,",",CopyIni!OL3,",",CopyIni!OM3,",",CopyIni!ON3,",",CopyIni!OO3,",",CopyIni!OP3,",",CopyIni!OQ3,",",CopyIni!OR3,",",CopyIni!OS3,",",CopyIni!OT3,",",CopyIni!OU3,",",CopyIni!OV3,",",CopyIni!OW3,",",CopyIni!OX3,",",CopyIni!OY3,",",CopyIni!OZ3,",",CopyIni!PA3,",",CopyIni!PB3,",",CopyIni!PC3,",",CopyIni!PD3,",",CopyIni!PE3,",",CopyIni!PF3,",",CopyIni!PG3,",",CopyIni!PH3,",",CopyIni!PI3,",",CopyIni!PJ3,",")</f>
        <v>0,0,0,0,0,0,0,0,0,0,0,0,0,0,0,0,0,0,0,0,0,0,0,0,0,0,0,0,0,0,0,0,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</row>
    <row r="16" spans="1:193" hidden="1" x14ac:dyDescent="0.3">
      <c r="A16" s="15">
        <v>14</v>
      </c>
      <c r="B16" s="106" t="e">
        <f>IF(ISBLANK(C16),"",IF(LEN(D16)=0,"",VALUE(INDEX(info!$AV$2:$AV$39,MATCH('R'!D16,info!$AU$2:$AU$39,FALSE)))))</f>
        <v>#N/A</v>
      </c>
      <c r="C16" s="106" t="s">
        <v>942</v>
      </c>
      <c r="D16" s="106" t="str">
        <f>IF(LEFT(C16,1)=".","",IF(profilKelas!$F$14=0,"",TEXT(profilKelas!$F$8,0)))</f>
        <v>0</v>
      </c>
      <c r="E16" s="106" t="str">
        <f>IF(LEFT(C16,1)=".","",IF(profilKelas!$F$14=0,"",TEXT(profilKelas!$F$9,0)))</f>
        <v>0</v>
      </c>
      <c r="F16" s="106" t="str">
        <f>IF(LEFT(C16,1)=".","",IF(profilKelas!$F$14=0,"",profilKelas!$F$5&amp;" ("&amp;IF(profilKelas!$F$14=0,"",TEXT(profilKelas!$F$6,0))&amp;")"))</f>
        <v xml:space="preserve"> (0)</v>
      </c>
      <c r="G16" s="106" t="str">
        <f>IF(LEFT(C16,1)=".","",IF(profilKelas!$F$14=0,"",TEXT(profilKelas!$F$7,0)))</f>
        <v>0</v>
      </c>
      <c r="H16" s="106" t="str">
        <f>IF(LEFT(C16,1)=".","",IF(profilKelas!$F$14=0,"",TEXT(profilKelas!$F$12,0)))</f>
        <v>0</v>
      </c>
      <c r="AO16" t="str">
        <f ca="1">CONCATENATE(CopyIni!PK3,",",CopyIni!PL3,",",CopyIni!PM3,",",CopyIni!PN3,",",CopyIni!PO3,",",CopyIni!PP3,",",CopyIni!PQ3,",",CopyIni!PR3,",",CopyIni!PS3,",",CopyIni!PT3,",",CopyIni!PU3,",",CopyIni!PV3,",",CopyIni!PW3,",",CopyIni!PX3,",",CopyIni!PY3,",",CopyIni!PZ3,",",CopyIni!QA3,",",CopyIni!QB3,",",CopyIni!QC3,",",CopyIni!QD3,",",CopyIni!QE3,",",CopyIni!QF3,",",CopyIni!QG3,",",CopyIni!QH3,",",CopyIni!QI3,",",CopyIni!QJ3,",",CopyIni!QK3,",",CopyIni!QL3,",",CopyIni!QM3,",",CopyIni!QN3,",",CopyIni!QO3,",",CopyIni!QP3,",")</f>
        <v>0,0,0,0,0,0,0,0,0,0,0,0,0,0,0,0,0,0,0,0,0,0,0,0,0,0,0,0,0,0,0,0,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</row>
    <row r="17" spans="1:193" hidden="1" x14ac:dyDescent="0.3">
      <c r="A17" s="15">
        <v>15</v>
      </c>
      <c r="B17" s="106" t="e">
        <f>IF(ISBLANK(C17),"",IF(LEN(D17)=0,"",VALUE(INDEX(info!$AV$2:$AV$39,MATCH('R'!D17,info!$AU$2:$AU$39,FALSE)))))</f>
        <v>#N/A</v>
      </c>
      <c r="C17" s="106" t="s">
        <v>938</v>
      </c>
      <c r="D17" s="106" t="str">
        <f>IF(LEFT(C17,1)=".","",IF(profilKelas!$F$14=0,"",TEXT(profilKelas!$F$8,0)))</f>
        <v>0</v>
      </c>
      <c r="E17" s="106" t="str">
        <f>IF(LEFT(C17,1)=".","",IF(profilKelas!$F$14=0,"",TEXT(profilKelas!$F$9,0)))</f>
        <v>0</v>
      </c>
      <c r="F17" s="106" t="str">
        <f>IF(LEFT(C17,1)=".","",IF(profilKelas!$F$14=0,"",profilKelas!$F$5&amp;" ("&amp;IF(profilKelas!$F$14=0,"",TEXT(profilKelas!$F$6,0))&amp;")"))</f>
        <v xml:space="preserve"> (0)</v>
      </c>
      <c r="G17" s="106" t="str">
        <f>IF(LEFT(C17,1)=".","",IF(profilKelas!$F$14=0,"",TEXT(profilKelas!$F$7,0)))</f>
        <v>0</v>
      </c>
      <c r="H17" s="106" t="str">
        <f>IF(LEFT(C17,1)=".","",IF(profilKelas!$F$14=0,"",TEXT(profilKelas!$F$12,0)))</f>
        <v>0</v>
      </c>
      <c r="AO17" t="str">
        <f ca="1">CONCATENATE(CopyIni!QQ3,",",CopyIni!QR3,",",CopyIni!QS3,",",CopyIni!QT3,",",CopyIni!QU3,",",CopyIni!QV3,",",CopyIni!QW3,",",CopyIni!QX3,",",CopyIni!QY3,",",CopyIni!QZ3,",",CopyIni!RA3,",",CopyIni!RB3,",",CopyIni!RC3,",",CopyIni!RD3,",",CopyIni!RE3,",",CopyIni!RF3,",",CopyIni!RG3,",",CopyIni!RH3,",",CopyIni!RI3,",",CopyIni!RJ3,",",CopyIni!RK3,",",CopyIni!RL3,",",CopyIni!RM3,",",CopyIni!RN3,",",CopyIni!RO3,",",CopyIni!RP3,",",CopyIni!RQ3,",",CopyIni!RR3,",",CopyIni!RS3,",",CopyIni!RT3,",",CopyIni!RU3,",",CopyIni!RV3,",")</f>
        <v>0,0,0,0,0,0,0,0,0,0,0,0,0,0,0,0,0,0,0,0,0,0,0,0,0,0,0,0,0,0,0,0,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</row>
    <row r="18" spans="1:193" hidden="1" x14ac:dyDescent="0.3">
      <c r="A18" s="15" t="str">
        <f ca="1">CONCATENATE(AO3,AO4,AO5,AO6,AO7,AO8,AO9,AO10,AO11,AO12,AO13,AO14,AO15,AO16,AO17)</f>
        <v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</v>
      </c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</row>
  </sheetData>
  <sheetProtection algorithmName="SHA-512" hashValue="AWxAZD7ffhOMEbEeGZbW0E5smpRVV2IhqUd/Kpwlzcm+ApthUfNFKjjM69v9MqkUbgZo3Yn8NR4jWgl+UHE8rg==" saltValue="7iY1s48J9l/PHCuaLc/ILw==" spinCount="100000" sheet="1" objects="1" scenarios="1" formatCells="0" formatColumns="0" formatRows="0" insertColumns="0" insertRows="0" insertHyperlinks="0" deleteColumns="0" deleteRows="0" autoFilter="0"/>
  <conditionalFormatting sqref="A2:L2 A3:H14">
    <cfRule type="expression" dxfId="303" priority="50">
      <formula>A2&lt;&gt;""</formula>
    </cfRule>
  </conditionalFormatting>
  <conditionalFormatting sqref="D15:H17">
    <cfRule type="expression" dxfId="302" priority="46">
      <formula>D15&lt;&gt;""</formula>
    </cfRule>
  </conditionalFormatting>
  <conditionalFormatting sqref="A15:A17">
    <cfRule type="expression" dxfId="301" priority="42">
      <formula>A15&lt;&gt;""</formula>
    </cfRule>
  </conditionalFormatting>
  <conditionalFormatting sqref="C15:C17">
    <cfRule type="expression" dxfId="300" priority="41">
      <formula>C15&lt;&gt;""</formula>
    </cfRule>
  </conditionalFormatting>
  <conditionalFormatting sqref="B15:B17">
    <cfRule type="expression" dxfId="299" priority="40">
      <formula>B15&lt;&gt;""</formula>
    </cfRule>
  </conditionalFormatting>
  <conditionalFormatting sqref="M2:P2">
    <cfRule type="expression" dxfId="298" priority="34">
      <formula>M2&lt;&gt;""</formula>
    </cfRule>
  </conditionalFormatting>
  <conditionalFormatting sqref="Q2:T2">
    <cfRule type="expression" dxfId="297" priority="33">
      <formula>Q2&lt;&gt;""</formula>
    </cfRule>
  </conditionalFormatting>
  <conditionalFormatting sqref="U2:X2">
    <cfRule type="expression" dxfId="296" priority="32">
      <formula>U2&lt;&gt;""</formula>
    </cfRule>
  </conditionalFormatting>
  <conditionalFormatting sqref="Y2:AB2">
    <cfRule type="expression" dxfId="295" priority="31">
      <formula>Y2&lt;&gt;""</formula>
    </cfRule>
  </conditionalFormatting>
  <conditionalFormatting sqref="AC2:AF2">
    <cfRule type="expression" dxfId="294" priority="30">
      <formula>AC2&lt;&gt;""</formula>
    </cfRule>
  </conditionalFormatting>
  <conditionalFormatting sqref="AG2:AJ2">
    <cfRule type="expression" dxfId="293" priority="29">
      <formula>AG2&lt;&gt;""</formula>
    </cfRule>
  </conditionalFormatting>
  <conditionalFormatting sqref="AK2:AN2">
    <cfRule type="expression" dxfId="292" priority="28">
      <formula>AK2&lt;&gt;""</formula>
    </cfRule>
  </conditionalFormatting>
  <pageMargins left="0.7" right="0.7" top="0.75" bottom="0.75" header="0.3" footer="0.3"/>
  <pageSetup orientation="portrait"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CopyIni"/>
  <dimension ref="B1:RV3"/>
  <sheetViews>
    <sheetView showRowColHeaders="0" topLeftCell="B1" workbookViewId="0">
      <selection activeCell="D3" sqref="D3"/>
    </sheetView>
  </sheetViews>
  <sheetFormatPr defaultColWidth="0" defaultRowHeight="14.4" zeroHeight="1" x14ac:dyDescent="0.3"/>
  <cols>
    <col min="1" max="1" width="9.109375" hidden="1" customWidth="1"/>
    <col min="2" max="490" width="9.109375" customWidth="1"/>
    <col min="491" max="491" width="9.109375" hidden="1" customWidth="1"/>
    <col min="492" max="16384" width="9.109375" hidden="1"/>
  </cols>
  <sheetData>
    <row r="1" spans="2:490" x14ac:dyDescent="0.3">
      <c r="B1" s="110" t="s">
        <v>996</v>
      </c>
      <c r="K1" s="116" t="str">
        <f>INDEX(progress!$B$2:$B$14,MATCH(COUNTIF($K$2:K2,K2),progress!$A$2:$A$14,FALSE))</f>
        <v>Juli</v>
      </c>
      <c r="L1" s="116" t="str">
        <f>INDEX(progress!$B$2:$B$14,MATCH(COUNTIF($K$2:L2,L2),progress!$A$2:$A$14,FALSE))</f>
        <v>Juli</v>
      </c>
      <c r="M1" s="116" t="str">
        <f>INDEX(progress!$B$2:$B$14,MATCH(COUNTIF($K$2:M2,M2),progress!$A$2:$A$14,FALSE))</f>
        <v>Juli</v>
      </c>
      <c r="N1" s="116" t="str">
        <f>INDEX(progress!$B$2:$B$14,MATCH(COUNTIF($K$2:N2,N2),progress!$A$2:$A$14,FALSE))</f>
        <v>Juli</v>
      </c>
      <c r="O1" s="116" t="str">
        <f>INDEX(progress!$B$2:$B$14,MATCH(COUNTIF($K$2:O2,O2),progress!$A$2:$A$14,FALSE))</f>
        <v>Juli</v>
      </c>
      <c r="P1" s="116" t="str">
        <f>INDEX(progress!$B$2:$B$14,MATCH(COUNTIF($K$2:P2,P2),progress!$A$2:$A$14,FALSE))</f>
        <v>Juli</v>
      </c>
      <c r="Q1" s="116" t="str">
        <f>INDEX(progress!$B$2:$B$14,MATCH(COUNTIF($K$2:Q2,Q2),progress!$A$2:$A$14,FALSE))</f>
        <v>Juli</v>
      </c>
      <c r="R1" s="116" t="str">
        <f>INDEX(progress!$B$2:$B$14,MATCH(COUNTIF($K$2:R2,R2),progress!$A$2:$A$14,FALSE))</f>
        <v>Juli</v>
      </c>
      <c r="S1" s="116" t="str">
        <f>INDEX(progress!$B$2:$B$14,MATCH(COUNTIF($K$2:S2,S2),progress!$A$2:$A$14,FALSE))</f>
        <v>Juli</v>
      </c>
      <c r="T1" s="116" t="str">
        <f>INDEX(progress!$B$2:$B$14,MATCH(COUNTIF($K$2:T2,T2),progress!$A$2:$A$14,FALSE))</f>
        <v>Juli</v>
      </c>
      <c r="U1" s="116" t="str">
        <f>INDEX(progress!$B$2:$B$14,MATCH(COUNTIF($K$2:U2,U2),progress!$A$2:$A$14,FALSE))</f>
        <v>Juli</v>
      </c>
      <c r="V1" s="116" t="str">
        <f>INDEX(progress!$B$2:$B$14,MATCH(COUNTIF($K$2:V2,V2),progress!$A$2:$A$14,FALSE))</f>
        <v>Juli</v>
      </c>
      <c r="W1" s="116" t="str">
        <f>INDEX(progress!$B$2:$B$14,MATCH(COUNTIF($K$2:W2,W2),progress!$A$2:$A$14,FALSE))</f>
        <v>Juli</v>
      </c>
      <c r="X1" s="116" t="str">
        <f>INDEX(progress!$B$2:$B$14,MATCH(COUNTIF($K$2:X2,X2),progress!$A$2:$A$14,FALSE))</f>
        <v>Juli</v>
      </c>
      <c r="Y1" s="116" t="str">
        <f>INDEX(progress!$B$2:$B$14,MATCH(COUNTIF($K$2:Y2,Y2),progress!$A$2:$A$14,FALSE))</f>
        <v>Juli</v>
      </c>
      <c r="Z1" s="116" t="str">
        <f>INDEX(progress!$B$2:$B$14,MATCH(COUNTIF($K$2:Z2,Z2),progress!$A$2:$A$14,FALSE))</f>
        <v>Juli</v>
      </c>
      <c r="AA1" s="116" t="str">
        <f>INDEX(progress!$B$2:$B$14,MATCH(COUNTIF($K$2:AA2,AA2),progress!$A$2:$A$14,FALSE))</f>
        <v>Juli</v>
      </c>
      <c r="AB1" s="116" t="str">
        <f>INDEX(progress!$B$2:$B$14,MATCH(COUNTIF($K$2:AB2,AB2),progress!$A$2:$A$14,FALSE))</f>
        <v>Juli</v>
      </c>
      <c r="AC1" s="116" t="str">
        <f>INDEX(progress!$B$2:$B$14,MATCH(COUNTIF($K$2:AC2,AC2),progress!$A$2:$A$14,FALSE))</f>
        <v>Juli</v>
      </c>
      <c r="AD1" s="116" t="str">
        <f>INDEX(progress!$B$2:$B$14,MATCH(COUNTIF($K$2:AD2,AD2),progress!$A$2:$A$14,FALSE))</f>
        <v>Juli</v>
      </c>
      <c r="AE1" s="116" t="str">
        <f>INDEX(progress!$B$2:$B$14,MATCH(COUNTIF($K$2:AE2,AE2),progress!$A$2:$A$14,FALSE))</f>
        <v>Juli</v>
      </c>
      <c r="AF1" s="116" t="str">
        <f>INDEX(progress!$B$2:$B$14,MATCH(COUNTIF($K$2:AF2,AF2),progress!$A$2:$A$14,FALSE))</f>
        <v>Juli</v>
      </c>
      <c r="AG1" s="116" t="str">
        <f>INDEX(progress!$B$2:$B$14,MATCH(COUNTIF($K$2:AG2,AG2),progress!$A$2:$A$14,FALSE))</f>
        <v>Juli</v>
      </c>
      <c r="AH1" s="116" t="str">
        <f>INDEX(progress!$B$2:$B$14,MATCH(COUNTIF($K$2:AH2,AH2),progress!$A$2:$A$14,FALSE))</f>
        <v>Juli</v>
      </c>
      <c r="AI1" s="116" t="str">
        <f>INDEX(progress!$B$2:$B$14,MATCH(COUNTIF($K$2:AI2,AI2),progress!$A$2:$A$14,FALSE))</f>
        <v>Juli</v>
      </c>
      <c r="AJ1" s="116" t="str">
        <f>INDEX(progress!$B$2:$B$14,MATCH(COUNTIF($K$2:AJ2,AJ2),progress!$A$2:$A$14,FALSE))</f>
        <v>Juli</v>
      </c>
      <c r="AK1" s="116" t="str">
        <f>INDEX(progress!$B$2:$B$14,MATCH(COUNTIF($K$2:AK2,AK2),progress!$A$2:$A$14,FALSE))</f>
        <v>Juli</v>
      </c>
      <c r="AL1" s="116" t="str">
        <f>INDEX(progress!$B$2:$B$14,MATCH(COUNTIF($K$2:AL2,AL2),progress!$A$2:$A$14,FALSE))</f>
        <v>Juli</v>
      </c>
      <c r="AM1" s="116" t="str">
        <f>INDEX(progress!$B$2:$B$14,MATCH(COUNTIF($K$2:AM2,AM2),progress!$A$2:$A$14,FALSE))</f>
        <v>Juli</v>
      </c>
      <c r="AN1" s="116" t="str">
        <f>INDEX(progress!$B$2:$B$14,MATCH(COUNTIF($K$2:AN2,AN2),progress!$A$2:$A$14,FALSE))</f>
        <v>Juli</v>
      </c>
      <c r="AO1" s="116" t="str">
        <f>INDEX(progress!$B$2:$B$14,MATCH(COUNTIF($K$2:AO2,AO2),progress!$A$2:$A$14,FALSE))</f>
        <v>Juli</v>
      </c>
      <c r="AP1" s="116" t="str">
        <f>INDEX(progress!$B$2:$B$14,MATCH(COUNTIF($K$2:AP2,AP2),progress!$A$2:$A$14,FALSE))</f>
        <v>Juli</v>
      </c>
      <c r="AQ1" s="116" t="str">
        <f>INDEX(progress!$B$2:$B$14,MATCH(COUNTIF($K$2:AQ2,AQ2),progress!$A$2:$A$14,FALSE))</f>
        <v>Agustus</v>
      </c>
      <c r="AR1" s="116" t="str">
        <f>INDEX(progress!$B$2:$B$14,MATCH(COUNTIF($K$2:AR2,AR2),progress!$A$2:$A$14,FALSE))</f>
        <v>Agustus</v>
      </c>
      <c r="AS1" s="116" t="str">
        <f>INDEX(progress!$B$2:$B$14,MATCH(COUNTIF($K$2:AS2,AS2),progress!$A$2:$A$14,FALSE))</f>
        <v>Agustus</v>
      </c>
      <c r="AT1" s="116" t="str">
        <f>INDEX(progress!$B$2:$B$14,MATCH(COUNTIF($K$2:AT2,AT2),progress!$A$2:$A$14,FALSE))</f>
        <v>Agustus</v>
      </c>
      <c r="AU1" s="116" t="str">
        <f>INDEX(progress!$B$2:$B$14,MATCH(COUNTIF($K$2:AU2,AU2),progress!$A$2:$A$14,FALSE))</f>
        <v>Agustus</v>
      </c>
      <c r="AV1" s="116" t="str">
        <f>INDEX(progress!$B$2:$B$14,MATCH(COUNTIF($K$2:AV2,AV2),progress!$A$2:$A$14,FALSE))</f>
        <v>Agustus</v>
      </c>
      <c r="AW1" s="116" t="str">
        <f>INDEX(progress!$B$2:$B$14,MATCH(COUNTIF($K$2:AW2,AW2),progress!$A$2:$A$14,FALSE))</f>
        <v>Agustus</v>
      </c>
      <c r="AX1" s="116" t="str">
        <f>INDEX(progress!$B$2:$B$14,MATCH(COUNTIF($K$2:AX2,AX2),progress!$A$2:$A$14,FALSE))</f>
        <v>Agustus</v>
      </c>
      <c r="AY1" s="116" t="str">
        <f>INDEX(progress!$B$2:$B$14,MATCH(COUNTIF($K$2:AY2,AY2),progress!$A$2:$A$14,FALSE))</f>
        <v>Agustus</v>
      </c>
      <c r="AZ1" s="116" t="str">
        <f>INDEX(progress!$B$2:$B$14,MATCH(COUNTIF($K$2:AZ2,AZ2),progress!$A$2:$A$14,FALSE))</f>
        <v>Agustus</v>
      </c>
      <c r="BA1" s="116" t="str">
        <f>INDEX(progress!$B$2:$B$14,MATCH(COUNTIF($K$2:BA2,BA2),progress!$A$2:$A$14,FALSE))</f>
        <v>Agustus</v>
      </c>
      <c r="BB1" s="116" t="str">
        <f>INDEX(progress!$B$2:$B$14,MATCH(COUNTIF($K$2:BB2,BB2),progress!$A$2:$A$14,FALSE))</f>
        <v>Agustus</v>
      </c>
      <c r="BC1" s="116" t="str">
        <f>INDEX(progress!$B$2:$B$14,MATCH(COUNTIF($K$2:BC2,BC2),progress!$A$2:$A$14,FALSE))</f>
        <v>Agustus</v>
      </c>
      <c r="BD1" s="116" t="str">
        <f>INDEX(progress!$B$2:$B$14,MATCH(COUNTIF($K$2:BD2,BD2),progress!$A$2:$A$14,FALSE))</f>
        <v>Agustus</v>
      </c>
      <c r="BE1" s="116" t="str">
        <f>INDEX(progress!$B$2:$B$14,MATCH(COUNTIF($K$2:BE2,BE2),progress!$A$2:$A$14,FALSE))</f>
        <v>Agustus</v>
      </c>
      <c r="BF1" s="116" t="str">
        <f>INDEX(progress!$B$2:$B$14,MATCH(COUNTIF($K$2:BF2,BF2),progress!$A$2:$A$14,FALSE))</f>
        <v>Agustus</v>
      </c>
      <c r="BG1" s="116" t="str">
        <f>INDEX(progress!$B$2:$B$14,MATCH(COUNTIF($K$2:BG2,BG2),progress!$A$2:$A$14,FALSE))</f>
        <v>Agustus</v>
      </c>
      <c r="BH1" s="116" t="str">
        <f>INDEX(progress!$B$2:$B$14,MATCH(COUNTIF($K$2:BH2,BH2),progress!$A$2:$A$14,FALSE))</f>
        <v>Agustus</v>
      </c>
      <c r="BI1" s="116" t="str">
        <f>INDEX(progress!$B$2:$B$14,MATCH(COUNTIF($K$2:BI2,BI2),progress!$A$2:$A$14,FALSE))</f>
        <v>Agustus</v>
      </c>
      <c r="BJ1" s="116" t="str">
        <f>INDEX(progress!$B$2:$B$14,MATCH(COUNTIF($K$2:BJ2,BJ2),progress!$A$2:$A$14,FALSE))</f>
        <v>Agustus</v>
      </c>
      <c r="BK1" s="116" t="str">
        <f>INDEX(progress!$B$2:$B$14,MATCH(COUNTIF($K$2:BK2,BK2),progress!$A$2:$A$14,FALSE))</f>
        <v>Agustus</v>
      </c>
      <c r="BL1" s="116" t="str">
        <f>INDEX(progress!$B$2:$B$14,MATCH(COUNTIF($K$2:BL2,BL2),progress!$A$2:$A$14,FALSE))</f>
        <v>Agustus</v>
      </c>
      <c r="BM1" s="116" t="str">
        <f>INDEX(progress!$B$2:$B$14,MATCH(COUNTIF($K$2:BM2,BM2),progress!$A$2:$A$14,FALSE))</f>
        <v>Agustus</v>
      </c>
      <c r="BN1" s="116" t="str">
        <f>INDEX(progress!$B$2:$B$14,MATCH(COUNTIF($K$2:BN2,BN2),progress!$A$2:$A$14,FALSE))</f>
        <v>Agustus</v>
      </c>
      <c r="BO1" s="116" t="str">
        <f>INDEX(progress!$B$2:$B$14,MATCH(COUNTIF($K$2:BO2,BO2),progress!$A$2:$A$14,FALSE))</f>
        <v>Agustus</v>
      </c>
      <c r="BP1" s="116" t="str">
        <f>INDEX(progress!$B$2:$B$14,MATCH(COUNTIF($K$2:BP2,BP2),progress!$A$2:$A$14,FALSE))</f>
        <v>Agustus</v>
      </c>
      <c r="BQ1" s="116" t="str">
        <f>INDEX(progress!$B$2:$B$14,MATCH(COUNTIF($K$2:BQ2,BQ2),progress!$A$2:$A$14,FALSE))</f>
        <v>Agustus</v>
      </c>
      <c r="BR1" s="116" t="str">
        <f>INDEX(progress!$B$2:$B$14,MATCH(COUNTIF($K$2:BR2,BR2),progress!$A$2:$A$14,FALSE))</f>
        <v>Agustus</v>
      </c>
      <c r="BS1" s="116" t="str">
        <f>INDEX(progress!$B$2:$B$14,MATCH(COUNTIF($K$2:BS2,BS2),progress!$A$2:$A$14,FALSE))</f>
        <v>Agustus</v>
      </c>
      <c r="BT1" s="116" t="str">
        <f>INDEX(progress!$B$2:$B$14,MATCH(COUNTIF($K$2:BT2,BT2),progress!$A$2:$A$14,FALSE))</f>
        <v>Agustus</v>
      </c>
      <c r="BU1" s="116" t="str">
        <f>INDEX(progress!$B$2:$B$14,MATCH(COUNTIF($K$2:BU2,BU2),progress!$A$2:$A$14,FALSE))</f>
        <v>Agustus</v>
      </c>
      <c r="BV1" s="116" t="str">
        <f>INDEX(progress!$B$2:$B$14,MATCH(COUNTIF($K$2:BV2,BV2),progress!$A$2:$A$14,FALSE))</f>
        <v>Agustus</v>
      </c>
      <c r="BW1" s="116" t="str">
        <f>INDEX(progress!$B$2:$B$14,MATCH(COUNTIF($K$2:BW2,BW2),progress!$A$2:$A$14,FALSE))</f>
        <v>September</v>
      </c>
      <c r="BX1" s="116" t="str">
        <f>INDEX(progress!$B$2:$B$14,MATCH(COUNTIF($K$2:BX2,BX2),progress!$A$2:$A$14,FALSE))</f>
        <v>September</v>
      </c>
      <c r="BY1" s="116" t="str">
        <f>INDEX(progress!$B$2:$B$14,MATCH(COUNTIF($K$2:BY2,BY2),progress!$A$2:$A$14,FALSE))</f>
        <v>September</v>
      </c>
      <c r="BZ1" s="116" t="str">
        <f>INDEX(progress!$B$2:$B$14,MATCH(COUNTIF($K$2:BZ2,BZ2),progress!$A$2:$A$14,FALSE))</f>
        <v>September</v>
      </c>
      <c r="CA1" s="116" t="str">
        <f>INDEX(progress!$B$2:$B$14,MATCH(COUNTIF($K$2:CA2,CA2),progress!$A$2:$A$14,FALSE))</f>
        <v>September</v>
      </c>
      <c r="CB1" s="116" t="str">
        <f>INDEX(progress!$B$2:$B$14,MATCH(COUNTIF($K$2:CB2,CB2),progress!$A$2:$A$14,FALSE))</f>
        <v>September</v>
      </c>
      <c r="CC1" s="116" t="str">
        <f>INDEX(progress!$B$2:$B$14,MATCH(COUNTIF($K$2:CC2,CC2),progress!$A$2:$A$14,FALSE))</f>
        <v>September</v>
      </c>
      <c r="CD1" s="116" t="str">
        <f>INDEX(progress!$B$2:$B$14,MATCH(COUNTIF($K$2:CD2,CD2),progress!$A$2:$A$14,FALSE))</f>
        <v>September</v>
      </c>
      <c r="CE1" s="116" t="str">
        <f>INDEX(progress!$B$2:$B$14,MATCH(COUNTIF($K$2:CE2,CE2),progress!$A$2:$A$14,FALSE))</f>
        <v>September</v>
      </c>
      <c r="CF1" s="116" t="str">
        <f>INDEX(progress!$B$2:$B$14,MATCH(COUNTIF($K$2:CF2,CF2),progress!$A$2:$A$14,FALSE))</f>
        <v>September</v>
      </c>
      <c r="CG1" s="116" t="str">
        <f>INDEX(progress!$B$2:$B$14,MATCH(COUNTIF($K$2:CG2,CG2),progress!$A$2:$A$14,FALSE))</f>
        <v>September</v>
      </c>
      <c r="CH1" s="116" t="str">
        <f>INDEX(progress!$B$2:$B$14,MATCH(COUNTIF($K$2:CH2,CH2),progress!$A$2:$A$14,FALSE))</f>
        <v>September</v>
      </c>
      <c r="CI1" s="116" t="str">
        <f>INDEX(progress!$B$2:$B$14,MATCH(COUNTIF($K$2:CI2,CI2),progress!$A$2:$A$14,FALSE))</f>
        <v>September</v>
      </c>
      <c r="CJ1" s="116" t="str">
        <f>INDEX(progress!$B$2:$B$14,MATCH(COUNTIF($K$2:CJ2,CJ2),progress!$A$2:$A$14,FALSE))</f>
        <v>September</v>
      </c>
      <c r="CK1" s="116" t="str">
        <f>INDEX(progress!$B$2:$B$14,MATCH(COUNTIF($K$2:CK2,CK2),progress!$A$2:$A$14,FALSE))</f>
        <v>September</v>
      </c>
      <c r="CL1" s="116" t="str">
        <f>INDEX(progress!$B$2:$B$14,MATCH(COUNTIF($K$2:CL2,CL2),progress!$A$2:$A$14,FALSE))</f>
        <v>September</v>
      </c>
      <c r="CM1" s="116" t="str">
        <f>INDEX(progress!$B$2:$B$14,MATCH(COUNTIF($K$2:CM2,CM2),progress!$A$2:$A$14,FALSE))</f>
        <v>September</v>
      </c>
      <c r="CN1" s="116" t="str">
        <f>INDEX(progress!$B$2:$B$14,MATCH(COUNTIF($K$2:CN2,CN2),progress!$A$2:$A$14,FALSE))</f>
        <v>September</v>
      </c>
      <c r="CO1" s="116" t="str">
        <f>INDEX(progress!$B$2:$B$14,MATCH(COUNTIF($K$2:CO2,CO2),progress!$A$2:$A$14,FALSE))</f>
        <v>September</v>
      </c>
      <c r="CP1" s="116" t="str">
        <f>INDEX(progress!$B$2:$B$14,MATCH(COUNTIF($K$2:CP2,CP2),progress!$A$2:$A$14,FALSE))</f>
        <v>September</v>
      </c>
      <c r="CQ1" s="116" t="str">
        <f>INDEX(progress!$B$2:$B$14,MATCH(COUNTIF($K$2:CQ2,CQ2),progress!$A$2:$A$14,FALSE))</f>
        <v>September</v>
      </c>
      <c r="CR1" s="116" t="str">
        <f>INDEX(progress!$B$2:$B$14,MATCH(COUNTIF($K$2:CR2,CR2),progress!$A$2:$A$14,FALSE))</f>
        <v>September</v>
      </c>
      <c r="CS1" s="116" t="str">
        <f>INDEX(progress!$B$2:$B$14,MATCH(COUNTIF($K$2:CS2,CS2),progress!$A$2:$A$14,FALSE))</f>
        <v>September</v>
      </c>
      <c r="CT1" s="116" t="str">
        <f>INDEX(progress!$B$2:$B$14,MATCH(COUNTIF($K$2:CT2,CT2),progress!$A$2:$A$14,FALSE))</f>
        <v>September</v>
      </c>
      <c r="CU1" s="116" t="str">
        <f>INDEX(progress!$B$2:$B$14,MATCH(COUNTIF($K$2:CU2,CU2),progress!$A$2:$A$14,FALSE))</f>
        <v>September</v>
      </c>
      <c r="CV1" s="116" t="str">
        <f>INDEX(progress!$B$2:$B$14,MATCH(COUNTIF($K$2:CV2,CV2),progress!$A$2:$A$14,FALSE))</f>
        <v>September</v>
      </c>
      <c r="CW1" s="116" t="str">
        <f>INDEX(progress!$B$2:$B$14,MATCH(COUNTIF($K$2:CW2,CW2),progress!$A$2:$A$14,FALSE))</f>
        <v>September</v>
      </c>
      <c r="CX1" s="116" t="str">
        <f>INDEX(progress!$B$2:$B$14,MATCH(COUNTIF($K$2:CX2,CX2),progress!$A$2:$A$14,FALSE))</f>
        <v>September</v>
      </c>
      <c r="CY1" s="116" t="str">
        <f>INDEX(progress!$B$2:$B$14,MATCH(COUNTIF($K$2:CY2,CY2),progress!$A$2:$A$14,FALSE))</f>
        <v>September</v>
      </c>
      <c r="CZ1" s="116" t="str">
        <f>INDEX(progress!$B$2:$B$14,MATCH(COUNTIF($K$2:CZ2,CZ2),progress!$A$2:$A$14,FALSE))</f>
        <v>September</v>
      </c>
      <c r="DA1" s="116" t="str">
        <f>INDEX(progress!$B$2:$B$14,MATCH(COUNTIF($K$2:DA2,DA2),progress!$A$2:$A$14,FALSE))</f>
        <v>September</v>
      </c>
      <c r="DB1" s="116" t="str">
        <f>INDEX(progress!$B$2:$B$14,MATCH(COUNTIF($K$2:DB2,DB2),progress!$A$2:$A$14,FALSE))</f>
        <v>September</v>
      </c>
      <c r="DC1" s="116" t="str">
        <f>INDEX(progress!$B$2:$B$14,MATCH(COUNTIF($K$2:DC2,DC2),progress!$A$2:$A$14,FALSE))</f>
        <v>Oktober</v>
      </c>
      <c r="DD1" s="116" t="str">
        <f>INDEX(progress!$B$2:$B$14,MATCH(COUNTIF($K$2:DD2,DD2),progress!$A$2:$A$14,FALSE))</f>
        <v>Oktober</v>
      </c>
      <c r="DE1" s="116" t="str">
        <f>INDEX(progress!$B$2:$B$14,MATCH(COUNTIF($K$2:DE2,DE2),progress!$A$2:$A$14,FALSE))</f>
        <v>Oktober</v>
      </c>
      <c r="DF1" s="116" t="str">
        <f>INDEX(progress!$B$2:$B$14,MATCH(COUNTIF($K$2:DF2,DF2),progress!$A$2:$A$14,FALSE))</f>
        <v>Oktober</v>
      </c>
      <c r="DG1" s="116" t="str">
        <f>INDEX(progress!$B$2:$B$14,MATCH(COUNTIF($K$2:DG2,DG2),progress!$A$2:$A$14,FALSE))</f>
        <v>Oktober</v>
      </c>
      <c r="DH1" s="116" t="str">
        <f>INDEX(progress!$B$2:$B$14,MATCH(COUNTIF($K$2:DH2,DH2),progress!$A$2:$A$14,FALSE))</f>
        <v>Oktober</v>
      </c>
      <c r="DI1" s="116" t="str">
        <f>INDEX(progress!$B$2:$B$14,MATCH(COUNTIF($K$2:DI2,DI2),progress!$A$2:$A$14,FALSE))</f>
        <v>Oktober</v>
      </c>
      <c r="DJ1" s="116" t="str">
        <f>INDEX(progress!$B$2:$B$14,MATCH(COUNTIF($K$2:DJ2,DJ2),progress!$A$2:$A$14,FALSE))</f>
        <v>Oktober</v>
      </c>
      <c r="DK1" s="116" t="str">
        <f>INDEX(progress!$B$2:$B$14,MATCH(COUNTIF($K$2:DK2,DK2),progress!$A$2:$A$14,FALSE))</f>
        <v>Oktober</v>
      </c>
      <c r="DL1" s="116" t="str">
        <f>INDEX(progress!$B$2:$B$14,MATCH(COUNTIF($K$2:DL2,DL2),progress!$A$2:$A$14,FALSE))</f>
        <v>Oktober</v>
      </c>
      <c r="DM1" s="116" t="str">
        <f>INDEX(progress!$B$2:$B$14,MATCH(COUNTIF($K$2:DM2,DM2),progress!$A$2:$A$14,FALSE))</f>
        <v>Oktober</v>
      </c>
      <c r="DN1" s="116" t="str">
        <f>INDEX(progress!$B$2:$B$14,MATCH(COUNTIF($K$2:DN2,DN2),progress!$A$2:$A$14,FALSE))</f>
        <v>Oktober</v>
      </c>
      <c r="DO1" s="116" t="str">
        <f>INDEX(progress!$B$2:$B$14,MATCH(COUNTIF($K$2:DO2,DO2),progress!$A$2:$A$14,FALSE))</f>
        <v>Oktober</v>
      </c>
      <c r="DP1" s="116" t="str">
        <f>INDEX(progress!$B$2:$B$14,MATCH(COUNTIF($K$2:DP2,DP2),progress!$A$2:$A$14,FALSE))</f>
        <v>Oktober</v>
      </c>
      <c r="DQ1" s="116" t="str">
        <f>INDEX(progress!$B$2:$B$14,MATCH(COUNTIF($K$2:DQ2,DQ2),progress!$A$2:$A$14,FALSE))</f>
        <v>Oktober</v>
      </c>
      <c r="DR1" s="116" t="str">
        <f>INDEX(progress!$B$2:$B$14,MATCH(COUNTIF($K$2:DR2,DR2),progress!$A$2:$A$14,FALSE))</f>
        <v>Oktober</v>
      </c>
      <c r="DS1" s="116" t="str">
        <f>INDEX(progress!$B$2:$B$14,MATCH(COUNTIF($K$2:DS2,DS2),progress!$A$2:$A$14,FALSE))</f>
        <v>Oktober</v>
      </c>
      <c r="DT1" s="116" t="str">
        <f>INDEX(progress!$B$2:$B$14,MATCH(COUNTIF($K$2:DT2,DT2),progress!$A$2:$A$14,FALSE))</f>
        <v>Oktober</v>
      </c>
      <c r="DU1" s="116" t="str">
        <f>INDEX(progress!$B$2:$B$14,MATCH(COUNTIF($K$2:DU2,DU2),progress!$A$2:$A$14,FALSE))</f>
        <v>Oktober</v>
      </c>
      <c r="DV1" s="116" t="str">
        <f>INDEX(progress!$B$2:$B$14,MATCH(COUNTIF($K$2:DV2,DV2),progress!$A$2:$A$14,FALSE))</f>
        <v>Oktober</v>
      </c>
      <c r="DW1" s="116" t="str">
        <f>INDEX(progress!$B$2:$B$14,MATCH(COUNTIF($K$2:DW2,DW2),progress!$A$2:$A$14,FALSE))</f>
        <v>Oktober</v>
      </c>
      <c r="DX1" s="116" t="str">
        <f>INDEX(progress!$B$2:$B$14,MATCH(COUNTIF($K$2:DX2,DX2),progress!$A$2:$A$14,FALSE))</f>
        <v>Oktober</v>
      </c>
      <c r="DY1" s="116" t="str">
        <f>INDEX(progress!$B$2:$B$14,MATCH(COUNTIF($K$2:DY2,DY2),progress!$A$2:$A$14,FALSE))</f>
        <v>Oktober</v>
      </c>
      <c r="DZ1" s="116" t="str">
        <f>INDEX(progress!$B$2:$B$14,MATCH(COUNTIF($K$2:DZ2,DZ2),progress!$A$2:$A$14,FALSE))</f>
        <v>Oktober</v>
      </c>
      <c r="EA1" s="116" t="str">
        <f>INDEX(progress!$B$2:$B$14,MATCH(COUNTIF($K$2:EA2,EA2),progress!$A$2:$A$14,FALSE))</f>
        <v>Oktober</v>
      </c>
      <c r="EB1" s="116" t="str">
        <f>INDEX(progress!$B$2:$B$14,MATCH(COUNTIF($K$2:EB2,EB2),progress!$A$2:$A$14,FALSE))</f>
        <v>Oktober</v>
      </c>
      <c r="EC1" s="116" t="str">
        <f>INDEX(progress!$B$2:$B$14,MATCH(COUNTIF($K$2:EC2,EC2),progress!$A$2:$A$14,FALSE))</f>
        <v>Oktober</v>
      </c>
      <c r="ED1" s="116" t="str">
        <f>INDEX(progress!$B$2:$B$14,MATCH(COUNTIF($K$2:ED2,ED2),progress!$A$2:$A$14,FALSE))</f>
        <v>Oktober</v>
      </c>
      <c r="EE1" s="116" t="str">
        <f>INDEX(progress!$B$2:$B$14,MATCH(COUNTIF($K$2:EE2,EE2),progress!$A$2:$A$14,FALSE))</f>
        <v>Oktober</v>
      </c>
      <c r="EF1" s="116" t="str">
        <f>INDEX(progress!$B$2:$B$14,MATCH(COUNTIF($K$2:EF2,EF2),progress!$A$2:$A$14,FALSE))</f>
        <v>Oktober</v>
      </c>
      <c r="EG1" s="116" t="str">
        <f>INDEX(progress!$B$2:$B$14,MATCH(COUNTIF($K$2:EG2,EG2),progress!$A$2:$A$14,FALSE))</f>
        <v>Oktober</v>
      </c>
      <c r="EH1" s="116" t="str">
        <f>INDEX(progress!$B$2:$B$14,MATCH(COUNTIF($K$2:EH2,EH2),progress!$A$2:$A$14,FALSE))</f>
        <v>Oktober</v>
      </c>
      <c r="EI1" s="116" t="str">
        <f>INDEX(progress!$B$2:$B$14,MATCH(COUNTIF($K$2:EI2,EI2),progress!$A$2:$A$14,FALSE))</f>
        <v>November</v>
      </c>
      <c r="EJ1" s="116" t="str">
        <f>INDEX(progress!$B$2:$B$14,MATCH(COUNTIF($K$2:EJ2,EJ2),progress!$A$2:$A$14,FALSE))</f>
        <v>November</v>
      </c>
      <c r="EK1" s="116" t="str">
        <f>INDEX(progress!$B$2:$B$14,MATCH(COUNTIF($K$2:EK2,EK2),progress!$A$2:$A$14,FALSE))</f>
        <v>November</v>
      </c>
      <c r="EL1" s="116" t="str">
        <f>INDEX(progress!$B$2:$B$14,MATCH(COUNTIF($K$2:EL2,EL2),progress!$A$2:$A$14,FALSE))</f>
        <v>November</v>
      </c>
      <c r="EM1" s="116" t="str">
        <f>INDEX(progress!$B$2:$B$14,MATCH(COUNTIF($K$2:EM2,EM2),progress!$A$2:$A$14,FALSE))</f>
        <v>November</v>
      </c>
      <c r="EN1" s="116" t="str">
        <f>INDEX(progress!$B$2:$B$14,MATCH(COUNTIF($K$2:EN2,EN2),progress!$A$2:$A$14,FALSE))</f>
        <v>November</v>
      </c>
      <c r="EO1" s="116" t="str">
        <f>INDEX(progress!$B$2:$B$14,MATCH(COUNTIF($K$2:EO2,EO2),progress!$A$2:$A$14,FALSE))</f>
        <v>November</v>
      </c>
      <c r="EP1" s="116" t="str">
        <f>INDEX(progress!$B$2:$B$14,MATCH(COUNTIF($K$2:EP2,EP2),progress!$A$2:$A$14,FALSE))</f>
        <v>November</v>
      </c>
      <c r="EQ1" s="116" t="str">
        <f>INDEX(progress!$B$2:$B$14,MATCH(COUNTIF($K$2:EQ2,EQ2),progress!$A$2:$A$14,FALSE))</f>
        <v>November</v>
      </c>
      <c r="ER1" s="116" t="str">
        <f>INDEX(progress!$B$2:$B$14,MATCH(COUNTIF($K$2:ER2,ER2),progress!$A$2:$A$14,FALSE))</f>
        <v>November</v>
      </c>
      <c r="ES1" s="116" t="str">
        <f>INDEX(progress!$B$2:$B$14,MATCH(COUNTIF($K$2:ES2,ES2),progress!$A$2:$A$14,FALSE))</f>
        <v>November</v>
      </c>
      <c r="ET1" s="116" t="str">
        <f>INDEX(progress!$B$2:$B$14,MATCH(COUNTIF($K$2:ET2,ET2),progress!$A$2:$A$14,FALSE))</f>
        <v>November</v>
      </c>
      <c r="EU1" s="116" t="str">
        <f>INDEX(progress!$B$2:$B$14,MATCH(COUNTIF($K$2:EU2,EU2),progress!$A$2:$A$14,FALSE))</f>
        <v>November</v>
      </c>
      <c r="EV1" s="116" t="str">
        <f>INDEX(progress!$B$2:$B$14,MATCH(COUNTIF($K$2:EV2,EV2),progress!$A$2:$A$14,FALSE))</f>
        <v>November</v>
      </c>
      <c r="EW1" s="116" t="str">
        <f>INDEX(progress!$B$2:$B$14,MATCH(COUNTIF($K$2:EW2,EW2),progress!$A$2:$A$14,FALSE))</f>
        <v>November</v>
      </c>
      <c r="EX1" s="116" t="str">
        <f>INDEX(progress!$B$2:$B$14,MATCH(COUNTIF($K$2:EX2,EX2),progress!$A$2:$A$14,FALSE))</f>
        <v>November</v>
      </c>
      <c r="EY1" s="116" t="str">
        <f>INDEX(progress!$B$2:$B$14,MATCH(COUNTIF($K$2:EY2,EY2),progress!$A$2:$A$14,FALSE))</f>
        <v>November</v>
      </c>
      <c r="EZ1" s="116" t="str">
        <f>INDEX(progress!$B$2:$B$14,MATCH(COUNTIF($K$2:EZ2,EZ2),progress!$A$2:$A$14,FALSE))</f>
        <v>November</v>
      </c>
      <c r="FA1" s="116" t="str">
        <f>INDEX(progress!$B$2:$B$14,MATCH(COUNTIF($K$2:FA2,FA2),progress!$A$2:$A$14,FALSE))</f>
        <v>November</v>
      </c>
      <c r="FB1" s="116" t="str">
        <f>INDEX(progress!$B$2:$B$14,MATCH(COUNTIF($K$2:FB2,FB2),progress!$A$2:$A$14,FALSE))</f>
        <v>November</v>
      </c>
      <c r="FC1" s="116" t="str">
        <f>INDEX(progress!$B$2:$B$14,MATCH(COUNTIF($K$2:FC2,FC2),progress!$A$2:$A$14,FALSE))</f>
        <v>November</v>
      </c>
      <c r="FD1" s="116" t="str">
        <f>INDEX(progress!$B$2:$B$14,MATCH(COUNTIF($K$2:FD2,FD2),progress!$A$2:$A$14,FALSE))</f>
        <v>November</v>
      </c>
      <c r="FE1" s="116" t="str">
        <f>INDEX(progress!$B$2:$B$14,MATCH(COUNTIF($K$2:FE2,FE2),progress!$A$2:$A$14,FALSE))</f>
        <v>November</v>
      </c>
      <c r="FF1" s="116" t="str">
        <f>INDEX(progress!$B$2:$B$14,MATCH(COUNTIF($K$2:FF2,FF2),progress!$A$2:$A$14,FALSE))</f>
        <v>November</v>
      </c>
      <c r="FG1" s="116" t="str">
        <f>INDEX(progress!$B$2:$B$14,MATCH(COUNTIF($K$2:FG2,FG2),progress!$A$2:$A$14,FALSE))</f>
        <v>November</v>
      </c>
      <c r="FH1" s="116" t="str">
        <f>INDEX(progress!$B$2:$B$14,MATCH(COUNTIF($K$2:FH2,FH2),progress!$A$2:$A$14,FALSE))</f>
        <v>November</v>
      </c>
      <c r="FI1" s="116" t="str">
        <f>INDEX(progress!$B$2:$B$14,MATCH(COUNTIF($K$2:FI2,FI2),progress!$A$2:$A$14,FALSE))</f>
        <v>November</v>
      </c>
      <c r="FJ1" s="116" t="str">
        <f>INDEX(progress!$B$2:$B$14,MATCH(COUNTIF($K$2:FJ2,FJ2),progress!$A$2:$A$14,FALSE))</f>
        <v>November</v>
      </c>
      <c r="FK1" s="116" t="str">
        <f>INDEX(progress!$B$2:$B$14,MATCH(COUNTIF($K$2:FK2,FK2),progress!$A$2:$A$14,FALSE))</f>
        <v>November</v>
      </c>
      <c r="FL1" s="116" t="str">
        <f>INDEX(progress!$B$2:$B$14,MATCH(COUNTIF($K$2:FL2,FL2),progress!$A$2:$A$14,FALSE))</f>
        <v>November</v>
      </c>
      <c r="FM1" s="116" t="str">
        <f>INDEX(progress!$B$2:$B$14,MATCH(COUNTIF($K$2:FM2,FM2),progress!$A$2:$A$14,FALSE))</f>
        <v>November</v>
      </c>
      <c r="FN1" s="116" t="str">
        <f>INDEX(progress!$B$2:$B$14,MATCH(COUNTIF($K$2:FN2,FN2),progress!$A$2:$A$14,FALSE))</f>
        <v>November</v>
      </c>
      <c r="FO1" s="116" t="str">
        <f>INDEX(progress!$B$2:$B$14,MATCH(COUNTIF($K$2:FO2,FO2),progress!$A$2:$A$14,FALSE))</f>
        <v>Desember</v>
      </c>
      <c r="FP1" s="116" t="str">
        <f>INDEX(progress!$B$2:$B$14,MATCH(COUNTIF($K$2:FP2,FP2),progress!$A$2:$A$14,FALSE))</f>
        <v>Desember</v>
      </c>
      <c r="FQ1" s="116" t="str">
        <f>INDEX(progress!$B$2:$B$14,MATCH(COUNTIF($K$2:FQ2,FQ2),progress!$A$2:$A$14,FALSE))</f>
        <v>Desember</v>
      </c>
      <c r="FR1" s="116" t="str">
        <f>INDEX(progress!$B$2:$B$14,MATCH(COUNTIF($K$2:FR2,FR2),progress!$A$2:$A$14,FALSE))</f>
        <v>Desember</v>
      </c>
      <c r="FS1" s="116" t="str">
        <f>INDEX(progress!$B$2:$B$14,MATCH(COUNTIF($K$2:FS2,FS2),progress!$A$2:$A$14,FALSE))</f>
        <v>Desember</v>
      </c>
      <c r="FT1" s="116" t="str">
        <f>INDEX(progress!$B$2:$B$14,MATCH(COUNTIF($K$2:FT2,FT2),progress!$A$2:$A$14,FALSE))</f>
        <v>Desember</v>
      </c>
      <c r="FU1" s="116" t="str">
        <f>INDEX(progress!$B$2:$B$14,MATCH(COUNTIF($K$2:FU2,FU2),progress!$A$2:$A$14,FALSE))</f>
        <v>Desember</v>
      </c>
      <c r="FV1" s="116" t="str">
        <f>INDEX(progress!$B$2:$B$14,MATCH(COUNTIF($K$2:FV2,FV2),progress!$A$2:$A$14,FALSE))</f>
        <v>Desember</v>
      </c>
      <c r="FW1" s="116" t="str">
        <f>INDEX(progress!$B$2:$B$14,MATCH(COUNTIF($K$2:FW2,FW2),progress!$A$2:$A$14,FALSE))</f>
        <v>Desember</v>
      </c>
      <c r="FX1" s="116" t="str">
        <f>INDEX(progress!$B$2:$B$14,MATCH(COUNTIF($K$2:FX2,FX2),progress!$A$2:$A$14,FALSE))</f>
        <v>Desember</v>
      </c>
      <c r="FY1" s="116" t="str">
        <f>INDEX(progress!$B$2:$B$14,MATCH(COUNTIF($K$2:FY2,FY2),progress!$A$2:$A$14,FALSE))</f>
        <v>Desember</v>
      </c>
      <c r="FZ1" s="116" t="str">
        <f>INDEX(progress!$B$2:$B$14,MATCH(COUNTIF($K$2:FZ2,FZ2),progress!$A$2:$A$14,FALSE))</f>
        <v>Desember</v>
      </c>
      <c r="GA1" s="116" t="str">
        <f>INDEX(progress!$B$2:$B$14,MATCH(COUNTIF($K$2:GA2,GA2),progress!$A$2:$A$14,FALSE))</f>
        <v>Desember</v>
      </c>
      <c r="GB1" s="116" t="str">
        <f>INDEX(progress!$B$2:$B$14,MATCH(COUNTIF($K$2:GB2,GB2),progress!$A$2:$A$14,FALSE))</f>
        <v>Desember</v>
      </c>
      <c r="GC1" s="116" t="str">
        <f>INDEX(progress!$B$2:$B$14,MATCH(COUNTIF($K$2:GC2,GC2),progress!$A$2:$A$14,FALSE))</f>
        <v>Desember</v>
      </c>
      <c r="GD1" s="116" t="str">
        <f>INDEX(progress!$B$2:$B$14,MATCH(COUNTIF($K$2:GD2,GD2),progress!$A$2:$A$14,FALSE))</f>
        <v>Desember</v>
      </c>
      <c r="GE1" s="116" t="str">
        <f>INDEX(progress!$B$2:$B$14,MATCH(COUNTIF($K$2:GE2,GE2),progress!$A$2:$A$14,FALSE))</f>
        <v>Desember</v>
      </c>
      <c r="GF1" s="116" t="str">
        <f>INDEX(progress!$B$2:$B$14,MATCH(COUNTIF($K$2:GF2,GF2),progress!$A$2:$A$14,FALSE))</f>
        <v>Desember</v>
      </c>
      <c r="GG1" s="116" t="str">
        <f>INDEX(progress!$B$2:$B$14,MATCH(COUNTIF($K$2:GG2,GG2),progress!$A$2:$A$14,FALSE))</f>
        <v>Desember</v>
      </c>
      <c r="GH1" s="116" t="str">
        <f>INDEX(progress!$B$2:$B$14,MATCH(COUNTIF($K$2:GH2,GH2),progress!$A$2:$A$14,FALSE))</f>
        <v>Desember</v>
      </c>
      <c r="GI1" s="116" t="str">
        <f>INDEX(progress!$B$2:$B$14,MATCH(COUNTIF($K$2:GI2,GI2),progress!$A$2:$A$14,FALSE))</f>
        <v>Desember</v>
      </c>
      <c r="GJ1" s="116" t="str">
        <f>INDEX(progress!$B$2:$B$14,MATCH(COUNTIF($K$2:GJ2,GJ2),progress!$A$2:$A$14,FALSE))</f>
        <v>Desember</v>
      </c>
      <c r="GK1" s="116" t="str">
        <f>INDEX(progress!$B$2:$B$14,MATCH(COUNTIF($K$2:GK2,GK2),progress!$A$2:$A$14,FALSE))</f>
        <v>Desember</v>
      </c>
      <c r="GL1" s="116" t="str">
        <f>INDEX(progress!$B$2:$B$14,MATCH(COUNTIF($K$2:GL2,GL2),progress!$A$2:$A$14,FALSE))</f>
        <v>Desember</v>
      </c>
      <c r="GM1" s="116" t="str">
        <f>INDEX(progress!$B$2:$B$14,MATCH(COUNTIF($K$2:GM2,GM2),progress!$A$2:$A$14,FALSE))</f>
        <v>Desember</v>
      </c>
      <c r="GN1" s="116" t="str">
        <f>INDEX(progress!$B$2:$B$14,MATCH(COUNTIF($K$2:GN2,GN2),progress!$A$2:$A$14,FALSE))</f>
        <v>Desember</v>
      </c>
      <c r="GO1" s="116" t="str">
        <f>INDEX(progress!$B$2:$B$14,MATCH(COUNTIF($K$2:GO2,GO2),progress!$A$2:$A$14,FALSE))</f>
        <v>Desember</v>
      </c>
      <c r="GP1" s="116" t="str">
        <f>INDEX(progress!$B$2:$B$14,MATCH(COUNTIF($K$2:GP2,GP2),progress!$A$2:$A$14,FALSE))</f>
        <v>Desember</v>
      </c>
      <c r="GQ1" s="116" t="str">
        <f>INDEX(progress!$B$2:$B$14,MATCH(COUNTIF($K$2:GQ2,GQ2),progress!$A$2:$A$14,FALSE))</f>
        <v>Desember</v>
      </c>
      <c r="GR1" s="116" t="str">
        <f>INDEX(progress!$B$2:$B$14,MATCH(COUNTIF($K$2:GR2,GR2),progress!$A$2:$A$14,FALSE))</f>
        <v>Desember</v>
      </c>
      <c r="GS1" s="116" t="str">
        <f>INDEX(progress!$B$2:$B$14,MATCH(COUNTIF($K$2:GS2,GS2),progress!$A$2:$A$14,FALSE))</f>
        <v>Desember</v>
      </c>
      <c r="GT1" s="116" t="str">
        <f>INDEX(progress!$B$2:$B$14,MATCH(COUNTIF($K$2:GT2,GT2),progress!$A$2:$A$14,FALSE))</f>
        <v>Desember</v>
      </c>
      <c r="GU1" s="116" t="str">
        <f>INDEX(progress!$B$2:$B$14,MATCH(COUNTIF($K$2:GU2,GU2),progress!$A$2:$A$14,FALSE))</f>
        <v>Januari</v>
      </c>
      <c r="GV1" s="116" t="str">
        <f>INDEX(progress!$B$2:$B$14,MATCH(COUNTIF($K$2:GV2,GV2),progress!$A$2:$A$14,FALSE))</f>
        <v>Januari</v>
      </c>
      <c r="GW1" s="116" t="str">
        <f>INDEX(progress!$B$2:$B$14,MATCH(COUNTIF($K$2:GW2,GW2),progress!$A$2:$A$14,FALSE))</f>
        <v>Januari</v>
      </c>
      <c r="GX1" s="116" t="str">
        <f>INDEX(progress!$B$2:$B$14,MATCH(COUNTIF($K$2:GX2,GX2),progress!$A$2:$A$14,FALSE))</f>
        <v>Januari</v>
      </c>
      <c r="GY1" s="116" t="str">
        <f>INDEX(progress!$B$2:$B$14,MATCH(COUNTIF($K$2:GY2,GY2),progress!$A$2:$A$14,FALSE))</f>
        <v>Januari</v>
      </c>
      <c r="GZ1" s="116" t="str">
        <f>INDEX(progress!$B$2:$B$14,MATCH(COUNTIF($K$2:GZ2,GZ2),progress!$A$2:$A$14,FALSE))</f>
        <v>Januari</v>
      </c>
      <c r="HA1" s="116" t="str">
        <f>INDEX(progress!$B$2:$B$14,MATCH(COUNTIF($K$2:HA2,HA2),progress!$A$2:$A$14,FALSE))</f>
        <v>Januari</v>
      </c>
      <c r="HB1" s="116" t="str">
        <f>INDEX(progress!$B$2:$B$14,MATCH(COUNTIF($K$2:HB2,HB2),progress!$A$2:$A$14,FALSE))</f>
        <v>Januari</v>
      </c>
      <c r="HC1" s="116" t="str">
        <f>INDEX(progress!$B$2:$B$14,MATCH(COUNTIF($K$2:HC2,HC2),progress!$A$2:$A$14,FALSE))</f>
        <v>Januari</v>
      </c>
      <c r="HD1" s="116" t="str">
        <f>INDEX(progress!$B$2:$B$14,MATCH(COUNTIF($K$2:HD2,HD2),progress!$A$2:$A$14,FALSE))</f>
        <v>Januari</v>
      </c>
      <c r="HE1" s="116" t="str">
        <f>INDEX(progress!$B$2:$B$14,MATCH(COUNTIF($K$2:HE2,HE2),progress!$A$2:$A$14,FALSE))</f>
        <v>Januari</v>
      </c>
      <c r="HF1" s="116" t="str">
        <f>INDEX(progress!$B$2:$B$14,MATCH(COUNTIF($K$2:HF2,HF2),progress!$A$2:$A$14,FALSE))</f>
        <v>Januari</v>
      </c>
      <c r="HG1" s="116" t="str">
        <f>INDEX(progress!$B$2:$B$14,MATCH(COUNTIF($K$2:HG2,HG2),progress!$A$2:$A$14,FALSE))</f>
        <v>Januari</v>
      </c>
      <c r="HH1" s="116" t="str">
        <f>INDEX(progress!$B$2:$B$14,MATCH(COUNTIF($K$2:HH2,HH2),progress!$A$2:$A$14,FALSE))</f>
        <v>Januari</v>
      </c>
      <c r="HI1" s="116" t="str">
        <f>INDEX(progress!$B$2:$B$14,MATCH(COUNTIF($K$2:HI2,HI2),progress!$A$2:$A$14,FALSE))</f>
        <v>Januari</v>
      </c>
      <c r="HJ1" s="116" t="str">
        <f>INDEX(progress!$B$2:$B$14,MATCH(COUNTIF($K$2:HJ2,HJ2),progress!$A$2:$A$14,FALSE))</f>
        <v>Januari</v>
      </c>
      <c r="HK1" s="116" t="str">
        <f>INDEX(progress!$B$2:$B$14,MATCH(COUNTIF($K$2:HK2,HK2),progress!$A$2:$A$14,FALSE))</f>
        <v>Januari</v>
      </c>
      <c r="HL1" s="116" t="str">
        <f>INDEX(progress!$B$2:$B$14,MATCH(COUNTIF($K$2:HL2,HL2),progress!$A$2:$A$14,FALSE))</f>
        <v>Januari</v>
      </c>
      <c r="HM1" s="116" t="str">
        <f>INDEX(progress!$B$2:$B$14,MATCH(COUNTIF($K$2:HM2,HM2),progress!$A$2:$A$14,FALSE))</f>
        <v>Januari</v>
      </c>
      <c r="HN1" s="116" t="str">
        <f>INDEX(progress!$B$2:$B$14,MATCH(COUNTIF($K$2:HN2,HN2),progress!$A$2:$A$14,FALSE))</f>
        <v>Januari</v>
      </c>
      <c r="HO1" s="116" t="str">
        <f>INDEX(progress!$B$2:$B$14,MATCH(COUNTIF($K$2:HO2,HO2),progress!$A$2:$A$14,FALSE))</f>
        <v>Januari</v>
      </c>
      <c r="HP1" s="116" t="str">
        <f>INDEX(progress!$B$2:$B$14,MATCH(COUNTIF($K$2:HP2,HP2),progress!$A$2:$A$14,FALSE))</f>
        <v>Januari</v>
      </c>
      <c r="HQ1" s="116" t="str">
        <f>INDEX(progress!$B$2:$B$14,MATCH(COUNTIF($K$2:HQ2,HQ2),progress!$A$2:$A$14,FALSE))</f>
        <v>Januari</v>
      </c>
      <c r="HR1" s="116" t="str">
        <f>INDEX(progress!$B$2:$B$14,MATCH(COUNTIF($K$2:HR2,HR2),progress!$A$2:$A$14,FALSE))</f>
        <v>Januari</v>
      </c>
      <c r="HS1" s="116" t="str">
        <f>INDEX(progress!$B$2:$B$14,MATCH(COUNTIF($K$2:HS2,HS2),progress!$A$2:$A$14,FALSE))</f>
        <v>Januari</v>
      </c>
      <c r="HT1" s="116" t="str">
        <f>INDEX(progress!$B$2:$B$14,MATCH(COUNTIF($K$2:HT2,HT2),progress!$A$2:$A$14,FALSE))</f>
        <v>Januari</v>
      </c>
      <c r="HU1" s="116" t="str">
        <f>INDEX(progress!$B$2:$B$14,MATCH(COUNTIF($K$2:HU2,HU2),progress!$A$2:$A$14,FALSE))</f>
        <v>Januari</v>
      </c>
      <c r="HV1" s="116" t="str">
        <f>INDEX(progress!$B$2:$B$14,MATCH(COUNTIF($K$2:HV2,HV2),progress!$A$2:$A$14,FALSE))</f>
        <v>Januari</v>
      </c>
      <c r="HW1" s="116" t="str">
        <f>INDEX(progress!$B$2:$B$14,MATCH(COUNTIF($K$2:HW2,HW2),progress!$A$2:$A$14,FALSE))</f>
        <v>Januari</v>
      </c>
      <c r="HX1" s="116" t="str">
        <f>INDEX(progress!$B$2:$B$14,MATCH(COUNTIF($K$2:HX2,HX2),progress!$A$2:$A$14,FALSE))</f>
        <v>Januari</v>
      </c>
      <c r="HY1" s="116" t="str">
        <f>INDEX(progress!$B$2:$B$14,MATCH(COUNTIF($K$2:HY2,HY2),progress!$A$2:$A$14,FALSE))</f>
        <v>Januari</v>
      </c>
      <c r="HZ1" s="116" t="str">
        <f>INDEX(progress!$B$2:$B$14,MATCH(COUNTIF($K$2:HZ2,HZ2),progress!$A$2:$A$14,FALSE))</f>
        <v>Januari</v>
      </c>
      <c r="IA1" s="116" t="str">
        <f>INDEX(progress!$B$2:$B$14,MATCH(COUNTIF($K$2:IA2,IA2),progress!$A$2:$A$14,FALSE))</f>
        <v>Februari</v>
      </c>
      <c r="IB1" s="116" t="str">
        <f>INDEX(progress!$B$2:$B$14,MATCH(COUNTIF($K$2:IB2,IB2),progress!$A$2:$A$14,FALSE))</f>
        <v>Februari</v>
      </c>
      <c r="IC1" s="116" t="str">
        <f>INDEX(progress!$B$2:$B$14,MATCH(COUNTIF($K$2:IC2,IC2),progress!$A$2:$A$14,FALSE))</f>
        <v>Februari</v>
      </c>
      <c r="ID1" s="116" t="str">
        <f>INDEX(progress!$B$2:$B$14,MATCH(COUNTIF($K$2:ID2,ID2),progress!$A$2:$A$14,FALSE))</f>
        <v>Februari</v>
      </c>
      <c r="IE1" s="116" t="str">
        <f>INDEX(progress!$B$2:$B$14,MATCH(COUNTIF($K$2:IE2,IE2),progress!$A$2:$A$14,FALSE))</f>
        <v>Februari</v>
      </c>
      <c r="IF1" s="116" t="str">
        <f>INDEX(progress!$B$2:$B$14,MATCH(COUNTIF($K$2:IF2,IF2),progress!$A$2:$A$14,FALSE))</f>
        <v>Februari</v>
      </c>
      <c r="IG1" s="116" t="str">
        <f>INDEX(progress!$B$2:$B$14,MATCH(COUNTIF($K$2:IG2,IG2),progress!$A$2:$A$14,FALSE))</f>
        <v>Februari</v>
      </c>
      <c r="IH1" s="116" t="str">
        <f>INDEX(progress!$B$2:$B$14,MATCH(COUNTIF($K$2:IH2,IH2),progress!$A$2:$A$14,FALSE))</f>
        <v>Februari</v>
      </c>
      <c r="II1" s="116" t="str">
        <f>INDEX(progress!$B$2:$B$14,MATCH(COUNTIF($K$2:II2,II2),progress!$A$2:$A$14,FALSE))</f>
        <v>Februari</v>
      </c>
      <c r="IJ1" s="116" t="str">
        <f>INDEX(progress!$B$2:$B$14,MATCH(COUNTIF($K$2:IJ2,IJ2),progress!$A$2:$A$14,FALSE))</f>
        <v>Februari</v>
      </c>
      <c r="IK1" s="116" t="str">
        <f>INDEX(progress!$B$2:$B$14,MATCH(COUNTIF($K$2:IK2,IK2),progress!$A$2:$A$14,FALSE))</f>
        <v>Februari</v>
      </c>
      <c r="IL1" s="116" t="str">
        <f>INDEX(progress!$B$2:$B$14,MATCH(COUNTIF($K$2:IL2,IL2),progress!$A$2:$A$14,FALSE))</f>
        <v>Februari</v>
      </c>
      <c r="IM1" s="116" t="str">
        <f>INDEX(progress!$B$2:$B$14,MATCH(COUNTIF($K$2:IM2,IM2),progress!$A$2:$A$14,FALSE))</f>
        <v>Februari</v>
      </c>
      <c r="IN1" s="116" t="str">
        <f>INDEX(progress!$B$2:$B$14,MATCH(COUNTIF($K$2:IN2,IN2),progress!$A$2:$A$14,FALSE))</f>
        <v>Februari</v>
      </c>
      <c r="IO1" s="116" t="str">
        <f>INDEX(progress!$B$2:$B$14,MATCH(COUNTIF($K$2:IO2,IO2),progress!$A$2:$A$14,FALSE))</f>
        <v>Februari</v>
      </c>
      <c r="IP1" s="116" t="str">
        <f>INDEX(progress!$B$2:$B$14,MATCH(COUNTIF($K$2:IP2,IP2),progress!$A$2:$A$14,FALSE))</f>
        <v>Februari</v>
      </c>
      <c r="IQ1" s="116" t="str">
        <f>INDEX(progress!$B$2:$B$14,MATCH(COUNTIF($K$2:IQ2,IQ2),progress!$A$2:$A$14,FALSE))</f>
        <v>Februari</v>
      </c>
      <c r="IR1" s="116" t="str">
        <f>INDEX(progress!$B$2:$B$14,MATCH(COUNTIF($K$2:IR2,IR2),progress!$A$2:$A$14,FALSE))</f>
        <v>Februari</v>
      </c>
      <c r="IS1" s="116" t="str">
        <f>INDEX(progress!$B$2:$B$14,MATCH(COUNTIF($K$2:IS2,IS2),progress!$A$2:$A$14,FALSE))</f>
        <v>Februari</v>
      </c>
      <c r="IT1" s="116" t="str">
        <f>INDEX(progress!$B$2:$B$14,MATCH(COUNTIF($K$2:IT2,IT2),progress!$A$2:$A$14,FALSE))</f>
        <v>Februari</v>
      </c>
      <c r="IU1" s="116" t="str">
        <f>INDEX(progress!$B$2:$B$14,MATCH(COUNTIF($K$2:IU2,IU2),progress!$A$2:$A$14,FALSE))</f>
        <v>Februari</v>
      </c>
      <c r="IV1" s="116" t="str">
        <f>INDEX(progress!$B$2:$B$14,MATCH(COUNTIF($K$2:IV2,IV2),progress!$A$2:$A$14,FALSE))</f>
        <v>Februari</v>
      </c>
      <c r="IW1" s="116" t="str">
        <f>INDEX(progress!$B$2:$B$14,MATCH(COUNTIF($K$2:IW2,IW2),progress!$A$2:$A$14,FALSE))</f>
        <v>Februari</v>
      </c>
      <c r="IX1" s="116" t="str">
        <f>INDEX(progress!$B$2:$B$14,MATCH(COUNTIF($K$2:IX2,IX2),progress!$A$2:$A$14,FALSE))</f>
        <v>Februari</v>
      </c>
      <c r="IY1" s="116" t="str">
        <f>INDEX(progress!$B$2:$B$14,MATCH(COUNTIF($K$2:IY2,IY2),progress!$A$2:$A$14,FALSE))</f>
        <v>Februari</v>
      </c>
      <c r="IZ1" s="116" t="str">
        <f>INDEX(progress!$B$2:$B$14,MATCH(COUNTIF($K$2:IZ2,IZ2),progress!$A$2:$A$14,FALSE))</f>
        <v>Februari</v>
      </c>
      <c r="JA1" s="116" t="str">
        <f>INDEX(progress!$B$2:$B$14,MATCH(COUNTIF($K$2:JA2,JA2),progress!$A$2:$A$14,FALSE))</f>
        <v>Februari</v>
      </c>
      <c r="JB1" s="116" t="str">
        <f>INDEX(progress!$B$2:$B$14,MATCH(COUNTIF($K$2:JB2,JB2),progress!$A$2:$A$14,FALSE))</f>
        <v>Februari</v>
      </c>
      <c r="JC1" s="116" t="str">
        <f>INDEX(progress!$B$2:$B$14,MATCH(COUNTIF($K$2:JC2,JC2),progress!$A$2:$A$14,FALSE))</f>
        <v>Februari</v>
      </c>
      <c r="JD1" s="116" t="str">
        <f>INDEX(progress!$B$2:$B$14,MATCH(COUNTIF($K$2:JD2,JD2),progress!$A$2:$A$14,FALSE))</f>
        <v>Februari</v>
      </c>
      <c r="JE1" s="116" t="str">
        <f>INDEX(progress!$B$2:$B$14,MATCH(COUNTIF($K$2:JE2,JE2),progress!$A$2:$A$14,FALSE))</f>
        <v>Februari</v>
      </c>
      <c r="JF1" s="116" t="str">
        <f>INDEX(progress!$B$2:$B$14,MATCH(COUNTIF($K$2:JF2,JF2),progress!$A$2:$A$14,FALSE))</f>
        <v>Februari</v>
      </c>
      <c r="JG1" s="116" t="str">
        <f>INDEX(progress!$B$2:$B$14,MATCH(COUNTIF($K$2:JG2,JG2),progress!$A$2:$A$14,FALSE))</f>
        <v>Maret</v>
      </c>
      <c r="JH1" s="116" t="str">
        <f>INDEX(progress!$B$2:$B$14,MATCH(COUNTIF($K$2:JH2,JH2),progress!$A$2:$A$14,FALSE))</f>
        <v>Maret</v>
      </c>
      <c r="JI1" s="116" t="str">
        <f>INDEX(progress!$B$2:$B$14,MATCH(COUNTIF($K$2:JI2,JI2),progress!$A$2:$A$14,FALSE))</f>
        <v>Maret</v>
      </c>
      <c r="JJ1" s="116" t="str">
        <f>INDEX(progress!$B$2:$B$14,MATCH(COUNTIF($K$2:JJ2,JJ2),progress!$A$2:$A$14,FALSE))</f>
        <v>Maret</v>
      </c>
      <c r="JK1" s="116" t="str">
        <f>INDEX(progress!$B$2:$B$14,MATCH(COUNTIF($K$2:JK2,JK2),progress!$A$2:$A$14,FALSE))</f>
        <v>Maret</v>
      </c>
      <c r="JL1" s="116" t="str">
        <f>INDEX(progress!$B$2:$B$14,MATCH(COUNTIF($K$2:JL2,JL2),progress!$A$2:$A$14,FALSE))</f>
        <v>Maret</v>
      </c>
      <c r="JM1" s="116" t="str">
        <f>INDEX(progress!$B$2:$B$14,MATCH(COUNTIF($K$2:JM2,JM2),progress!$A$2:$A$14,FALSE))</f>
        <v>Maret</v>
      </c>
      <c r="JN1" s="116" t="str">
        <f>INDEX(progress!$B$2:$B$14,MATCH(COUNTIF($K$2:JN2,JN2),progress!$A$2:$A$14,FALSE))</f>
        <v>Maret</v>
      </c>
      <c r="JO1" s="116" t="str">
        <f>INDEX(progress!$B$2:$B$14,MATCH(COUNTIF($K$2:JO2,JO2),progress!$A$2:$A$14,FALSE))</f>
        <v>Maret</v>
      </c>
      <c r="JP1" s="116" t="str">
        <f>INDEX(progress!$B$2:$B$14,MATCH(COUNTIF($K$2:JP2,JP2),progress!$A$2:$A$14,FALSE))</f>
        <v>Maret</v>
      </c>
      <c r="JQ1" s="116" t="str">
        <f>INDEX(progress!$B$2:$B$14,MATCH(COUNTIF($K$2:JQ2,JQ2),progress!$A$2:$A$14,FALSE))</f>
        <v>Maret</v>
      </c>
      <c r="JR1" s="116" t="str">
        <f>INDEX(progress!$B$2:$B$14,MATCH(COUNTIF($K$2:JR2,JR2),progress!$A$2:$A$14,FALSE))</f>
        <v>Maret</v>
      </c>
      <c r="JS1" s="116" t="str">
        <f>INDEX(progress!$B$2:$B$14,MATCH(COUNTIF($K$2:JS2,JS2),progress!$A$2:$A$14,FALSE))</f>
        <v>Maret</v>
      </c>
      <c r="JT1" s="116" t="str">
        <f>INDEX(progress!$B$2:$B$14,MATCH(COUNTIF($K$2:JT2,JT2),progress!$A$2:$A$14,FALSE))</f>
        <v>Maret</v>
      </c>
      <c r="JU1" s="116" t="str">
        <f>INDEX(progress!$B$2:$B$14,MATCH(COUNTIF($K$2:JU2,JU2),progress!$A$2:$A$14,FALSE))</f>
        <v>Maret</v>
      </c>
      <c r="JV1" s="116" t="str">
        <f>INDEX(progress!$B$2:$B$14,MATCH(COUNTIF($K$2:JV2,JV2),progress!$A$2:$A$14,FALSE))</f>
        <v>Maret</v>
      </c>
      <c r="JW1" s="116" t="str">
        <f>INDEX(progress!$B$2:$B$14,MATCH(COUNTIF($K$2:JW2,JW2),progress!$A$2:$A$14,FALSE))</f>
        <v>Maret</v>
      </c>
      <c r="JX1" s="116" t="str">
        <f>INDEX(progress!$B$2:$B$14,MATCH(COUNTIF($K$2:JX2,JX2),progress!$A$2:$A$14,FALSE))</f>
        <v>Maret</v>
      </c>
      <c r="JY1" s="116" t="str">
        <f>INDEX(progress!$B$2:$B$14,MATCH(COUNTIF($K$2:JY2,JY2),progress!$A$2:$A$14,FALSE))</f>
        <v>Maret</v>
      </c>
      <c r="JZ1" s="116" t="str">
        <f>INDEX(progress!$B$2:$B$14,MATCH(COUNTIF($K$2:JZ2,JZ2),progress!$A$2:$A$14,FALSE))</f>
        <v>Maret</v>
      </c>
      <c r="KA1" s="116" t="str">
        <f>INDEX(progress!$B$2:$B$14,MATCH(COUNTIF($K$2:KA2,KA2),progress!$A$2:$A$14,FALSE))</f>
        <v>Maret</v>
      </c>
      <c r="KB1" s="116" t="str">
        <f>INDEX(progress!$B$2:$B$14,MATCH(COUNTIF($K$2:KB2,KB2),progress!$A$2:$A$14,FALSE))</f>
        <v>Maret</v>
      </c>
      <c r="KC1" s="116" t="str">
        <f>INDEX(progress!$B$2:$B$14,MATCH(COUNTIF($K$2:KC2,KC2),progress!$A$2:$A$14,FALSE))</f>
        <v>Maret</v>
      </c>
      <c r="KD1" s="116" t="str">
        <f>INDEX(progress!$B$2:$B$14,MATCH(COUNTIF($K$2:KD2,KD2),progress!$A$2:$A$14,FALSE))</f>
        <v>Maret</v>
      </c>
      <c r="KE1" s="116" t="str">
        <f>INDEX(progress!$B$2:$B$14,MATCH(COUNTIF($K$2:KE2,KE2),progress!$A$2:$A$14,FALSE))</f>
        <v>Maret</v>
      </c>
      <c r="KF1" s="116" t="str">
        <f>INDEX(progress!$B$2:$B$14,MATCH(COUNTIF($K$2:KF2,KF2),progress!$A$2:$A$14,FALSE))</f>
        <v>Maret</v>
      </c>
      <c r="KG1" s="116" t="str">
        <f>INDEX(progress!$B$2:$B$14,MATCH(COUNTIF($K$2:KG2,KG2),progress!$A$2:$A$14,FALSE))</f>
        <v>Maret</v>
      </c>
      <c r="KH1" s="116" t="str">
        <f>INDEX(progress!$B$2:$B$14,MATCH(COUNTIF($K$2:KH2,KH2),progress!$A$2:$A$14,FALSE))</f>
        <v>Maret</v>
      </c>
      <c r="KI1" s="116" t="str">
        <f>INDEX(progress!$B$2:$B$14,MATCH(COUNTIF($K$2:KI2,KI2),progress!$A$2:$A$14,FALSE))</f>
        <v>Maret</v>
      </c>
      <c r="KJ1" s="116" t="str">
        <f>INDEX(progress!$B$2:$B$14,MATCH(COUNTIF($K$2:KJ2,KJ2),progress!$A$2:$A$14,FALSE))</f>
        <v>Maret</v>
      </c>
      <c r="KK1" s="116" t="str">
        <f>INDEX(progress!$B$2:$B$14,MATCH(COUNTIF($K$2:KK2,KK2),progress!$A$2:$A$14,FALSE))</f>
        <v>Maret</v>
      </c>
      <c r="KL1" s="116" t="str">
        <f>INDEX(progress!$B$2:$B$14,MATCH(COUNTIF($K$2:KL2,KL2),progress!$A$2:$A$14,FALSE))</f>
        <v>Maret</v>
      </c>
      <c r="KM1" s="116" t="str">
        <f>INDEX(progress!$B$2:$B$14,MATCH(COUNTIF($K$2:KM2,KM2),progress!$A$2:$A$14,FALSE))</f>
        <v>April</v>
      </c>
      <c r="KN1" s="116" t="str">
        <f>INDEX(progress!$B$2:$B$14,MATCH(COUNTIF($K$2:KN2,KN2),progress!$A$2:$A$14,FALSE))</f>
        <v>April</v>
      </c>
      <c r="KO1" s="116" t="str">
        <f>INDEX(progress!$B$2:$B$14,MATCH(COUNTIF($K$2:KO2,KO2),progress!$A$2:$A$14,FALSE))</f>
        <v>April</v>
      </c>
      <c r="KP1" s="116" t="str">
        <f>INDEX(progress!$B$2:$B$14,MATCH(COUNTIF($K$2:KP2,KP2),progress!$A$2:$A$14,FALSE))</f>
        <v>April</v>
      </c>
      <c r="KQ1" s="116" t="str">
        <f>INDEX(progress!$B$2:$B$14,MATCH(COUNTIF($K$2:KQ2,KQ2),progress!$A$2:$A$14,FALSE))</f>
        <v>April</v>
      </c>
      <c r="KR1" s="116" t="str">
        <f>INDEX(progress!$B$2:$B$14,MATCH(COUNTIF($K$2:KR2,KR2),progress!$A$2:$A$14,FALSE))</f>
        <v>April</v>
      </c>
      <c r="KS1" s="116" t="str">
        <f>INDEX(progress!$B$2:$B$14,MATCH(COUNTIF($K$2:KS2,KS2),progress!$A$2:$A$14,FALSE))</f>
        <v>April</v>
      </c>
      <c r="KT1" s="116" t="str">
        <f>INDEX(progress!$B$2:$B$14,MATCH(COUNTIF($K$2:KT2,KT2),progress!$A$2:$A$14,FALSE))</f>
        <v>April</v>
      </c>
      <c r="KU1" s="116" t="str">
        <f>INDEX(progress!$B$2:$B$14,MATCH(COUNTIF($K$2:KU2,KU2),progress!$A$2:$A$14,FALSE))</f>
        <v>April</v>
      </c>
      <c r="KV1" s="116" t="str">
        <f>INDEX(progress!$B$2:$B$14,MATCH(COUNTIF($K$2:KV2,KV2),progress!$A$2:$A$14,FALSE))</f>
        <v>April</v>
      </c>
      <c r="KW1" s="116" t="str">
        <f>INDEX(progress!$B$2:$B$14,MATCH(COUNTIF($K$2:KW2,KW2),progress!$A$2:$A$14,FALSE))</f>
        <v>April</v>
      </c>
      <c r="KX1" s="116" t="str">
        <f>INDEX(progress!$B$2:$B$14,MATCH(COUNTIF($K$2:KX2,KX2),progress!$A$2:$A$14,FALSE))</f>
        <v>April</v>
      </c>
      <c r="KY1" s="116" t="str">
        <f>INDEX(progress!$B$2:$B$14,MATCH(COUNTIF($K$2:KY2,KY2),progress!$A$2:$A$14,FALSE))</f>
        <v>April</v>
      </c>
      <c r="KZ1" s="116" t="str">
        <f>INDEX(progress!$B$2:$B$14,MATCH(COUNTIF($K$2:KZ2,KZ2),progress!$A$2:$A$14,FALSE))</f>
        <v>April</v>
      </c>
      <c r="LA1" s="116" t="str">
        <f>INDEX(progress!$B$2:$B$14,MATCH(COUNTIF($K$2:LA2,LA2),progress!$A$2:$A$14,FALSE))</f>
        <v>April</v>
      </c>
      <c r="LB1" s="116" t="str">
        <f>INDEX(progress!$B$2:$B$14,MATCH(COUNTIF($K$2:LB2,LB2),progress!$A$2:$A$14,FALSE))</f>
        <v>April</v>
      </c>
      <c r="LC1" s="116" t="str">
        <f>INDEX(progress!$B$2:$B$14,MATCH(COUNTIF($K$2:LC2,LC2),progress!$A$2:$A$14,FALSE))</f>
        <v>April</v>
      </c>
      <c r="LD1" s="116" t="str">
        <f>INDEX(progress!$B$2:$B$14,MATCH(COUNTIF($K$2:LD2,LD2),progress!$A$2:$A$14,FALSE))</f>
        <v>April</v>
      </c>
      <c r="LE1" s="116" t="str">
        <f>INDEX(progress!$B$2:$B$14,MATCH(COUNTIF($K$2:LE2,LE2),progress!$A$2:$A$14,FALSE))</f>
        <v>April</v>
      </c>
      <c r="LF1" s="116" t="str">
        <f>INDEX(progress!$B$2:$B$14,MATCH(COUNTIF($K$2:LF2,LF2),progress!$A$2:$A$14,FALSE))</f>
        <v>April</v>
      </c>
      <c r="LG1" s="116" t="str">
        <f>INDEX(progress!$B$2:$B$14,MATCH(COUNTIF($K$2:LG2,LG2),progress!$A$2:$A$14,FALSE))</f>
        <v>April</v>
      </c>
      <c r="LH1" s="116" t="str">
        <f>INDEX(progress!$B$2:$B$14,MATCH(COUNTIF($K$2:LH2,LH2),progress!$A$2:$A$14,FALSE))</f>
        <v>April</v>
      </c>
      <c r="LI1" s="116" t="str">
        <f>INDEX(progress!$B$2:$B$14,MATCH(COUNTIF($K$2:LI2,LI2),progress!$A$2:$A$14,FALSE))</f>
        <v>April</v>
      </c>
      <c r="LJ1" s="116" t="str">
        <f>INDEX(progress!$B$2:$B$14,MATCH(COUNTIF($K$2:LJ2,LJ2),progress!$A$2:$A$14,FALSE))</f>
        <v>April</v>
      </c>
      <c r="LK1" s="116" t="str">
        <f>INDEX(progress!$B$2:$B$14,MATCH(COUNTIF($K$2:LK2,LK2),progress!$A$2:$A$14,FALSE))</f>
        <v>April</v>
      </c>
      <c r="LL1" s="116" t="str">
        <f>INDEX(progress!$B$2:$B$14,MATCH(COUNTIF($K$2:LL2,LL2),progress!$A$2:$A$14,FALSE))</f>
        <v>April</v>
      </c>
      <c r="LM1" s="116" t="str">
        <f>INDEX(progress!$B$2:$B$14,MATCH(COUNTIF($K$2:LM2,LM2),progress!$A$2:$A$14,FALSE))</f>
        <v>April</v>
      </c>
      <c r="LN1" s="116" t="str">
        <f>INDEX(progress!$B$2:$B$14,MATCH(COUNTIF($K$2:LN2,LN2),progress!$A$2:$A$14,FALSE))</f>
        <v>April</v>
      </c>
      <c r="LO1" s="116" t="str">
        <f>INDEX(progress!$B$2:$B$14,MATCH(COUNTIF($K$2:LO2,LO2),progress!$A$2:$A$14,FALSE))</f>
        <v>April</v>
      </c>
      <c r="LP1" s="116" t="str">
        <f>INDEX(progress!$B$2:$B$14,MATCH(COUNTIF($K$2:LP2,LP2),progress!$A$2:$A$14,FALSE))</f>
        <v>April</v>
      </c>
      <c r="LQ1" s="116" t="str">
        <f>INDEX(progress!$B$2:$B$14,MATCH(COUNTIF($K$2:LQ2,LQ2),progress!$A$2:$A$14,FALSE))</f>
        <v>April</v>
      </c>
      <c r="LR1" s="116" t="str">
        <f>INDEX(progress!$B$2:$B$14,MATCH(COUNTIF($K$2:LR2,LR2),progress!$A$2:$A$14,FALSE))</f>
        <v>April</v>
      </c>
      <c r="LS1" s="116" t="str">
        <f>INDEX(progress!$B$2:$B$14,MATCH(COUNTIF($K$2:LS2,LS2),progress!$A$2:$A$14,FALSE))</f>
        <v>Mei</v>
      </c>
      <c r="LT1" s="116" t="str">
        <f>INDEX(progress!$B$2:$B$14,MATCH(COUNTIF($K$2:LT2,LT2),progress!$A$2:$A$14,FALSE))</f>
        <v>Mei</v>
      </c>
      <c r="LU1" s="116" t="str">
        <f>INDEX(progress!$B$2:$B$14,MATCH(COUNTIF($K$2:LU2,LU2),progress!$A$2:$A$14,FALSE))</f>
        <v>Mei</v>
      </c>
      <c r="LV1" s="116" t="str">
        <f>INDEX(progress!$B$2:$B$14,MATCH(COUNTIF($K$2:LV2,LV2),progress!$A$2:$A$14,FALSE))</f>
        <v>Mei</v>
      </c>
      <c r="LW1" s="116" t="str">
        <f>INDEX(progress!$B$2:$B$14,MATCH(COUNTIF($K$2:LW2,LW2),progress!$A$2:$A$14,FALSE))</f>
        <v>Mei</v>
      </c>
      <c r="LX1" s="116" t="str">
        <f>INDEX(progress!$B$2:$B$14,MATCH(COUNTIF($K$2:LX2,LX2),progress!$A$2:$A$14,FALSE))</f>
        <v>Mei</v>
      </c>
      <c r="LY1" s="116" t="str">
        <f>INDEX(progress!$B$2:$B$14,MATCH(COUNTIF($K$2:LY2,LY2),progress!$A$2:$A$14,FALSE))</f>
        <v>Mei</v>
      </c>
      <c r="LZ1" s="116" t="str">
        <f>INDEX(progress!$B$2:$B$14,MATCH(COUNTIF($K$2:LZ2,LZ2),progress!$A$2:$A$14,FALSE))</f>
        <v>Mei</v>
      </c>
      <c r="MA1" s="116" t="str">
        <f>INDEX(progress!$B$2:$B$14,MATCH(COUNTIF($K$2:MA2,MA2),progress!$A$2:$A$14,FALSE))</f>
        <v>Mei</v>
      </c>
      <c r="MB1" s="116" t="str">
        <f>INDEX(progress!$B$2:$B$14,MATCH(COUNTIF($K$2:MB2,MB2),progress!$A$2:$A$14,FALSE))</f>
        <v>Mei</v>
      </c>
      <c r="MC1" s="116" t="str">
        <f>INDEX(progress!$B$2:$B$14,MATCH(COUNTIF($K$2:MC2,MC2),progress!$A$2:$A$14,FALSE))</f>
        <v>Mei</v>
      </c>
      <c r="MD1" s="116" t="str">
        <f>INDEX(progress!$B$2:$B$14,MATCH(COUNTIF($K$2:MD2,MD2),progress!$A$2:$A$14,FALSE))</f>
        <v>Mei</v>
      </c>
      <c r="ME1" s="116" t="str">
        <f>INDEX(progress!$B$2:$B$14,MATCH(COUNTIF($K$2:ME2,ME2),progress!$A$2:$A$14,FALSE))</f>
        <v>Mei</v>
      </c>
      <c r="MF1" s="116" t="str">
        <f>INDEX(progress!$B$2:$B$14,MATCH(COUNTIF($K$2:MF2,MF2),progress!$A$2:$A$14,FALSE))</f>
        <v>Mei</v>
      </c>
      <c r="MG1" s="116" t="str">
        <f>INDEX(progress!$B$2:$B$14,MATCH(COUNTIF($K$2:MG2,MG2),progress!$A$2:$A$14,FALSE))</f>
        <v>Mei</v>
      </c>
      <c r="MH1" s="116" t="str">
        <f>INDEX(progress!$B$2:$B$14,MATCH(COUNTIF($K$2:MH2,MH2),progress!$A$2:$A$14,FALSE))</f>
        <v>Mei</v>
      </c>
      <c r="MI1" s="116" t="str">
        <f>INDEX(progress!$B$2:$B$14,MATCH(COUNTIF($K$2:MI2,MI2),progress!$A$2:$A$14,FALSE))</f>
        <v>Mei</v>
      </c>
      <c r="MJ1" s="116" t="str">
        <f>INDEX(progress!$B$2:$B$14,MATCH(COUNTIF($K$2:MJ2,MJ2),progress!$A$2:$A$14,FALSE))</f>
        <v>Mei</v>
      </c>
      <c r="MK1" s="116" t="str">
        <f>INDEX(progress!$B$2:$B$14,MATCH(COUNTIF($K$2:MK2,MK2),progress!$A$2:$A$14,FALSE))</f>
        <v>Mei</v>
      </c>
      <c r="ML1" s="116" t="str">
        <f>INDEX(progress!$B$2:$B$14,MATCH(COUNTIF($K$2:ML2,ML2),progress!$A$2:$A$14,FALSE))</f>
        <v>Mei</v>
      </c>
      <c r="MM1" s="116" t="str">
        <f>INDEX(progress!$B$2:$B$14,MATCH(COUNTIF($K$2:MM2,MM2),progress!$A$2:$A$14,FALSE))</f>
        <v>Mei</v>
      </c>
      <c r="MN1" s="116" t="str">
        <f>INDEX(progress!$B$2:$B$14,MATCH(COUNTIF($K$2:MN2,MN2),progress!$A$2:$A$14,FALSE))</f>
        <v>Mei</v>
      </c>
      <c r="MO1" s="116" t="str">
        <f>INDEX(progress!$B$2:$B$14,MATCH(COUNTIF($K$2:MO2,MO2),progress!$A$2:$A$14,FALSE))</f>
        <v>Mei</v>
      </c>
      <c r="MP1" s="116" t="str">
        <f>INDEX(progress!$B$2:$B$14,MATCH(COUNTIF($K$2:MP2,MP2),progress!$A$2:$A$14,FALSE))</f>
        <v>Mei</v>
      </c>
      <c r="MQ1" s="116" t="str">
        <f>INDEX(progress!$B$2:$B$14,MATCH(COUNTIF($K$2:MQ2,MQ2),progress!$A$2:$A$14,FALSE))</f>
        <v>Mei</v>
      </c>
      <c r="MR1" s="116" t="str">
        <f>INDEX(progress!$B$2:$B$14,MATCH(COUNTIF($K$2:MR2,MR2),progress!$A$2:$A$14,FALSE))</f>
        <v>Mei</v>
      </c>
      <c r="MS1" s="116" t="str">
        <f>INDEX(progress!$B$2:$B$14,MATCH(COUNTIF($K$2:MS2,MS2),progress!$A$2:$A$14,FALSE))</f>
        <v>Mei</v>
      </c>
      <c r="MT1" s="116" t="str">
        <f>INDEX(progress!$B$2:$B$14,MATCH(COUNTIF($K$2:MT2,MT2),progress!$A$2:$A$14,FALSE))</f>
        <v>Mei</v>
      </c>
      <c r="MU1" s="116" t="str">
        <f>INDEX(progress!$B$2:$B$14,MATCH(COUNTIF($K$2:MU2,MU2),progress!$A$2:$A$14,FALSE))</f>
        <v>Mei</v>
      </c>
      <c r="MV1" s="116" t="str">
        <f>INDEX(progress!$B$2:$B$14,MATCH(COUNTIF($K$2:MV2,MV2),progress!$A$2:$A$14,FALSE))</f>
        <v>Mei</v>
      </c>
      <c r="MW1" s="116" t="str">
        <f>INDEX(progress!$B$2:$B$14,MATCH(COUNTIF($K$2:MW2,MW2),progress!$A$2:$A$14,FALSE))</f>
        <v>Mei</v>
      </c>
      <c r="MX1" s="116" t="str">
        <f>INDEX(progress!$B$2:$B$14,MATCH(COUNTIF($K$2:MX2,MX2),progress!$A$2:$A$14,FALSE))</f>
        <v>Mei</v>
      </c>
      <c r="MY1" s="116" t="str">
        <f>INDEX(progress!$B$2:$B$14,MATCH(COUNTIF($K$2:MY2,MY2),progress!$A$2:$A$14,FALSE))</f>
        <v>Juni</v>
      </c>
      <c r="MZ1" s="116" t="str">
        <f>INDEX(progress!$B$2:$B$14,MATCH(COUNTIF($K$2:MZ2,MZ2),progress!$A$2:$A$14,FALSE))</f>
        <v>Juni</v>
      </c>
      <c r="NA1" s="116" t="str">
        <f>INDEX(progress!$B$2:$B$14,MATCH(COUNTIF($K$2:NA2,NA2),progress!$A$2:$A$14,FALSE))</f>
        <v>Juni</v>
      </c>
      <c r="NB1" s="116" t="str">
        <f>INDEX(progress!$B$2:$B$14,MATCH(COUNTIF($K$2:NB2,NB2),progress!$A$2:$A$14,FALSE))</f>
        <v>Juni</v>
      </c>
      <c r="NC1" s="116" t="str">
        <f>INDEX(progress!$B$2:$B$14,MATCH(COUNTIF($K$2:NC2,NC2),progress!$A$2:$A$14,FALSE))</f>
        <v>Juni</v>
      </c>
      <c r="ND1" s="116" t="str">
        <f>INDEX(progress!$B$2:$B$14,MATCH(COUNTIF($K$2:ND2,ND2),progress!$A$2:$A$14,FALSE))</f>
        <v>Juni</v>
      </c>
      <c r="NE1" s="116" t="str">
        <f>INDEX(progress!$B$2:$B$14,MATCH(COUNTIF($K$2:NE2,NE2),progress!$A$2:$A$14,FALSE))</f>
        <v>Juni</v>
      </c>
      <c r="NF1" s="116" t="str">
        <f>INDEX(progress!$B$2:$B$14,MATCH(COUNTIF($K$2:NF2,NF2),progress!$A$2:$A$14,FALSE))</f>
        <v>Juni</v>
      </c>
      <c r="NG1" s="116" t="str">
        <f>INDEX(progress!$B$2:$B$14,MATCH(COUNTIF($K$2:NG2,NG2),progress!$A$2:$A$14,FALSE))</f>
        <v>Juni</v>
      </c>
      <c r="NH1" s="116" t="str">
        <f>INDEX(progress!$B$2:$B$14,MATCH(COUNTIF($K$2:NH2,NH2),progress!$A$2:$A$14,FALSE))</f>
        <v>Juni</v>
      </c>
      <c r="NI1" s="116" t="str">
        <f>INDEX(progress!$B$2:$B$14,MATCH(COUNTIF($K$2:NI2,NI2),progress!$A$2:$A$14,FALSE))</f>
        <v>Juni</v>
      </c>
      <c r="NJ1" s="116" t="str">
        <f>INDEX(progress!$B$2:$B$14,MATCH(COUNTIF($K$2:NJ2,NJ2),progress!$A$2:$A$14,FALSE))</f>
        <v>Juni</v>
      </c>
      <c r="NK1" s="116" t="str">
        <f>INDEX(progress!$B$2:$B$14,MATCH(COUNTIF($K$2:NK2,NK2),progress!$A$2:$A$14,FALSE))</f>
        <v>Juni</v>
      </c>
      <c r="NL1" s="116" t="str">
        <f>INDEX(progress!$B$2:$B$14,MATCH(COUNTIF($K$2:NL2,NL2),progress!$A$2:$A$14,FALSE))</f>
        <v>Juni</v>
      </c>
      <c r="NM1" s="116" t="str">
        <f>INDEX(progress!$B$2:$B$14,MATCH(COUNTIF($K$2:NM2,NM2),progress!$A$2:$A$14,FALSE))</f>
        <v>Juni</v>
      </c>
      <c r="NN1" s="116" t="str">
        <f>INDEX(progress!$B$2:$B$14,MATCH(COUNTIF($K$2:NN2,NN2),progress!$A$2:$A$14,FALSE))</f>
        <v>Juni</v>
      </c>
      <c r="NO1" s="116" t="str">
        <f>INDEX(progress!$B$2:$B$14,MATCH(COUNTIF($K$2:NO2,NO2),progress!$A$2:$A$14,FALSE))</f>
        <v>Juni</v>
      </c>
      <c r="NP1" s="116" t="str">
        <f>INDEX(progress!$B$2:$B$14,MATCH(COUNTIF($K$2:NP2,NP2),progress!$A$2:$A$14,FALSE))</f>
        <v>Juni</v>
      </c>
      <c r="NQ1" s="116" t="str">
        <f>INDEX(progress!$B$2:$B$14,MATCH(COUNTIF($K$2:NQ2,NQ2),progress!$A$2:$A$14,FALSE))</f>
        <v>Juni</v>
      </c>
      <c r="NR1" s="116" t="str">
        <f>INDEX(progress!$B$2:$B$14,MATCH(COUNTIF($K$2:NR2,NR2),progress!$A$2:$A$14,FALSE))</f>
        <v>Juni</v>
      </c>
      <c r="NS1" s="116" t="str">
        <f>INDEX(progress!$B$2:$B$14,MATCH(COUNTIF($K$2:NS2,NS2),progress!$A$2:$A$14,FALSE))</f>
        <v>Juni</v>
      </c>
      <c r="NT1" s="116" t="str">
        <f>INDEX(progress!$B$2:$B$14,MATCH(COUNTIF($K$2:NT2,NT2),progress!$A$2:$A$14,FALSE))</f>
        <v>Juni</v>
      </c>
      <c r="NU1" s="116" t="str">
        <f>INDEX(progress!$B$2:$B$14,MATCH(COUNTIF($K$2:NU2,NU2),progress!$A$2:$A$14,FALSE))</f>
        <v>Juni</v>
      </c>
      <c r="NV1" s="116" t="str">
        <f>INDEX(progress!$B$2:$B$14,MATCH(COUNTIF($K$2:NV2,NV2),progress!$A$2:$A$14,FALSE))</f>
        <v>Juni</v>
      </c>
      <c r="NW1" s="116" t="str">
        <f>INDEX(progress!$B$2:$B$14,MATCH(COUNTIF($K$2:NW2,NW2),progress!$A$2:$A$14,FALSE))</f>
        <v>Juni</v>
      </c>
      <c r="NX1" s="116" t="str">
        <f>INDEX(progress!$B$2:$B$14,MATCH(COUNTIF($K$2:NX2,NX2),progress!$A$2:$A$14,FALSE))</f>
        <v>Juni</v>
      </c>
      <c r="NY1" s="116" t="str">
        <f>INDEX(progress!$B$2:$B$14,MATCH(COUNTIF($K$2:NY2,NY2),progress!$A$2:$A$14,FALSE))</f>
        <v>Juni</v>
      </c>
      <c r="NZ1" s="116" t="str">
        <f>INDEX(progress!$B$2:$B$14,MATCH(COUNTIF($K$2:NZ2,NZ2),progress!$A$2:$A$14,FALSE))</f>
        <v>Juni</v>
      </c>
      <c r="OA1" s="116" t="str">
        <f>INDEX(progress!$B$2:$B$14,MATCH(COUNTIF($K$2:OA2,OA2),progress!$A$2:$A$14,FALSE))</f>
        <v>Juni</v>
      </c>
      <c r="OB1" s="116" t="str">
        <f>INDEX(progress!$B$2:$B$14,MATCH(COUNTIF($K$2:OB2,OB2),progress!$A$2:$A$14,FALSE))</f>
        <v>Juni</v>
      </c>
      <c r="OC1" s="116" t="str">
        <f>INDEX(progress!$B$2:$B$14,MATCH(COUNTIF($K$2:OC2,OC2),progress!$A$2:$A$14,FALSE))</f>
        <v>Juni</v>
      </c>
      <c r="OD1" s="116" t="str">
        <f>INDEX(progress!$B$2:$B$14,MATCH(COUNTIF($K$2:OD2,OD2),progress!$A$2:$A$14,FALSE))</f>
        <v>Juni</v>
      </c>
      <c r="OE1" s="116" t="str">
        <f>INDEX(progress!$B$2:$B$17,MATCH(COUNTIF($K$2:OE2,OE2),progress!$A$2:$A$17,FALSE))</f>
        <v>Semester1</v>
      </c>
      <c r="OF1" s="116" t="str">
        <f>INDEX(progress!$B$2:$B$17,MATCH(COUNTIF($K$2:OF2,OF2),progress!$A$2:$A$17,FALSE))</f>
        <v>Semester1</v>
      </c>
      <c r="OG1" s="116" t="str">
        <f>INDEX(progress!$B$2:$B$17,MATCH(COUNTIF($K$2:OG2,OG2),progress!$A$2:$A$17,FALSE))</f>
        <v>Semester1</v>
      </c>
      <c r="OH1" s="116" t="str">
        <f>INDEX(progress!$B$2:$B$17,MATCH(COUNTIF($K$2:OH2,OH2),progress!$A$2:$A$17,FALSE))</f>
        <v>Semester1</v>
      </c>
      <c r="OI1" s="116" t="str">
        <f>INDEX(progress!$B$2:$B$17,MATCH(COUNTIF($K$2:OI2,OI2),progress!$A$2:$A$17,FALSE))</f>
        <v>Semester1</v>
      </c>
      <c r="OJ1" s="116" t="str">
        <f>INDEX(progress!$B$2:$B$17,MATCH(COUNTIF($K$2:OJ2,OJ2),progress!$A$2:$A$17,FALSE))</f>
        <v>Semester1</v>
      </c>
      <c r="OK1" s="116" t="str">
        <f>INDEX(progress!$B$2:$B$17,MATCH(COUNTIF($K$2:OK2,OK2),progress!$A$2:$A$17,FALSE))</f>
        <v>Semester1</v>
      </c>
      <c r="OL1" s="116" t="str">
        <f>INDEX(progress!$B$2:$B$17,MATCH(COUNTIF($K$2:OL2,OL2),progress!$A$2:$A$17,FALSE))</f>
        <v>Semester1</v>
      </c>
      <c r="OM1" s="116" t="str">
        <f>INDEX(progress!$B$2:$B$17,MATCH(COUNTIF($K$2:OM2,OM2),progress!$A$2:$A$17,FALSE))</f>
        <v>Semester1</v>
      </c>
      <c r="ON1" s="116" t="str">
        <f>INDEX(progress!$B$2:$B$17,MATCH(COUNTIF($K$2:ON2,ON2),progress!$A$2:$A$17,FALSE))</f>
        <v>Semester1</v>
      </c>
      <c r="OO1" s="116" t="str">
        <f>INDEX(progress!$B$2:$B$17,MATCH(COUNTIF($K$2:OO2,OO2),progress!$A$2:$A$17,FALSE))</f>
        <v>Semester1</v>
      </c>
      <c r="OP1" s="116" t="str">
        <f>INDEX(progress!$B$2:$B$17,MATCH(COUNTIF($K$2:OP2,OP2),progress!$A$2:$A$17,FALSE))</f>
        <v>Semester1</v>
      </c>
      <c r="OQ1" s="116" t="str">
        <f>INDEX(progress!$B$2:$B$17,MATCH(COUNTIF($K$2:OQ2,OQ2),progress!$A$2:$A$17,FALSE))</f>
        <v>Semester1</v>
      </c>
      <c r="OR1" s="116" t="str">
        <f>INDEX(progress!$B$2:$B$17,MATCH(COUNTIF($K$2:OR2,OR2),progress!$A$2:$A$17,FALSE))</f>
        <v>Semester1</v>
      </c>
      <c r="OS1" s="116" t="str">
        <f>INDEX(progress!$B$2:$B$17,MATCH(COUNTIF($K$2:OS2,OS2),progress!$A$2:$A$17,FALSE))</f>
        <v>Semester1</v>
      </c>
      <c r="OT1" s="116" t="str">
        <f>INDEX(progress!$B$2:$B$17,MATCH(COUNTIF($K$2:OT2,OT2),progress!$A$2:$A$17,FALSE))</f>
        <v>Semester1</v>
      </c>
      <c r="OU1" s="116" t="str">
        <f>INDEX(progress!$B$2:$B$17,MATCH(COUNTIF($K$2:OU2,OU2),progress!$A$2:$A$17,FALSE))</f>
        <v>Semester1</v>
      </c>
      <c r="OV1" s="116" t="str">
        <f>INDEX(progress!$B$2:$B$17,MATCH(COUNTIF($K$2:OV2,OV2),progress!$A$2:$A$17,FALSE))</f>
        <v>Semester1</v>
      </c>
      <c r="OW1" s="116" t="str">
        <f>INDEX(progress!$B$2:$B$17,MATCH(COUNTIF($K$2:OW2,OW2),progress!$A$2:$A$17,FALSE))</f>
        <v>Semester1</v>
      </c>
      <c r="OX1" s="116" t="str">
        <f>INDEX(progress!$B$2:$B$17,MATCH(COUNTIF($K$2:OX2,OX2),progress!$A$2:$A$17,FALSE))</f>
        <v>Semester1</v>
      </c>
      <c r="OY1" s="116" t="str">
        <f>INDEX(progress!$B$2:$B$17,MATCH(COUNTIF($K$2:OY2,OY2),progress!$A$2:$A$17,FALSE))</f>
        <v>Semester1</v>
      </c>
      <c r="OZ1" s="116" t="str">
        <f>INDEX(progress!$B$2:$B$17,MATCH(COUNTIF($K$2:OZ2,OZ2),progress!$A$2:$A$17,FALSE))</f>
        <v>Semester1</v>
      </c>
      <c r="PA1" s="116" t="str">
        <f>INDEX(progress!$B$2:$B$17,MATCH(COUNTIF($K$2:PA2,PA2),progress!$A$2:$A$17,FALSE))</f>
        <v>Semester1</v>
      </c>
      <c r="PB1" s="116" t="str">
        <f>INDEX(progress!$B$2:$B$17,MATCH(COUNTIF($K$2:PB2,PB2),progress!$A$2:$A$17,FALSE))</f>
        <v>Semester1</v>
      </c>
      <c r="PC1" s="116" t="str">
        <f>INDEX(progress!$B$2:$B$17,MATCH(COUNTIF($K$2:PC2,PC2),progress!$A$2:$A$17,FALSE))</f>
        <v>Semester1</v>
      </c>
      <c r="PD1" s="116" t="str">
        <f>INDEX(progress!$B$2:$B$17,MATCH(COUNTIF($K$2:PD2,PD2),progress!$A$2:$A$17,FALSE))</f>
        <v>Semester1</v>
      </c>
      <c r="PE1" s="116" t="str">
        <f>INDEX(progress!$B$2:$B$17,MATCH(COUNTIF($K$2:PE2,PE2),progress!$A$2:$A$17,FALSE))</f>
        <v>Semester1</v>
      </c>
      <c r="PF1" s="116" t="str">
        <f>INDEX(progress!$B$2:$B$17,MATCH(COUNTIF($K$2:PF2,PF2),progress!$A$2:$A$17,FALSE))</f>
        <v>Semester1</v>
      </c>
      <c r="PG1" s="116" t="str">
        <f>INDEX(progress!$B$2:$B$17,MATCH(COUNTIF($K$2:PG2,PG2),progress!$A$2:$A$17,FALSE))</f>
        <v>Semester1</v>
      </c>
      <c r="PH1" s="116" t="str">
        <f>INDEX(progress!$B$2:$B$17,MATCH(COUNTIF($K$2:PH2,PH2),progress!$A$2:$A$17,FALSE))</f>
        <v>Semester1</v>
      </c>
      <c r="PI1" s="116" t="str">
        <f>INDEX(progress!$B$2:$B$17,MATCH(COUNTIF($K$2:PI2,PI2),progress!$A$2:$A$17,FALSE))</f>
        <v>Semester1</v>
      </c>
      <c r="PJ1" s="116" t="str">
        <f>INDEX(progress!$B$2:$B$17,MATCH(COUNTIF($K$2:PJ2,PJ2),progress!$A$2:$A$17,FALSE))</f>
        <v>Semester1</v>
      </c>
      <c r="PK1" s="116" t="str">
        <f>INDEX(progress!$B$2:$B$17,MATCH(COUNTIF($K$2:PK2,PK2),progress!$A$2:$A$17,FALSE))</f>
        <v>Semester2</v>
      </c>
      <c r="PL1" s="116" t="str">
        <f>INDEX(progress!$B$2:$B$17,MATCH(COUNTIF($K$2:PL2,PL2),progress!$A$2:$A$17,FALSE))</f>
        <v>Semester2</v>
      </c>
      <c r="PM1" s="116" t="str">
        <f>INDEX(progress!$B$2:$B$17,MATCH(COUNTIF($K$2:PM2,PM2),progress!$A$2:$A$17,FALSE))</f>
        <v>Semester2</v>
      </c>
      <c r="PN1" s="116" t="str">
        <f>INDEX(progress!$B$2:$B$17,MATCH(COUNTIF($K$2:PN2,PN2),progress!$A$2:$A$17,FALSE))</f>
        <v>Semester2</v>
      </c>
      <c r="PO1" s="116" t="str">
        <f>INDEX(progress!$B$2:$B$17,MATCH(COUNTIF($K$2:PO2,PO2),progress!$A$2:$A$17,FALSE))</f>
        <v>Semester2</v>
      </c>
      <c r="PP1" s="116" t="str">
        <f>INDEX(progress!$B$2:$B$17,MATCH(COUNTIF($K$2:PP2,PP2),progress!$A$2:$A$17,FALSE))</f>
        <v>Semester2</v>
      </c>
      <c r="PQ1" s="116" t="str">
        <f>INDEX(progress!$B$2:$B$17,MATCH(COUNTIF($K$2:PQ2,PQ2),progress!$A$2:$A$17,FALSE))</f>
        <v>Semester2</v>
      </c>
      <c r="PR1" s="116" t="str">
        <f>INDEX(progress!$B$2:$B$17,MATCH(COUNTIF($K$2:PR2,PR2),progress!$A$2:$A$17,FALSE))</f>
        <v>Semester2</v>
      </c>
      <c r="PS1" s="116" t="str">
        <f>INDEX(progress!$B$2:$B$17,MATCH(COUNTIF($K$2:PS2,PS2),progress!$A$2:$A$17,FALSE))</f>
        <v>Semester2</v>
      </c>
      <c r="PT1" s="116" t="str">
        <f>INDEX(progress!$B$2:$B$17,MATCH(COUNTIF($K$2:PT2,PT2),progress!$A$2:$A$17,FALSE))</f>
        <v>Semester2</v>
      </c>
      <c r="PU1" s="116" t="str">
        <f>INDEX(progress!$B$2:$B$17,MATCH(COUNTIF($K$2:PU2,PU2),progress!$A$2:$A$17,FALSE))</f>
        <v>Semester2</v>
      </c>
      <c r="PV1" s="116" t="str">
        <f>INDEX(progress!$B$2:$B$17,MATCH(COUNTIF($K$2:PV2,PV2),progress!$A$2:$A$17,FALSE))</f>
        <v>Semester2</v>
      </c>
      <c r="PW1" s="116" t="str">
        <f>INDEX(progress!$B$2:$B$17,MATCH(COUNTIF($K$2:PW2,PW2),progress!$A$2:$A$17,FALSE))</f>
        <v>Semester2</v>
      </c>
      <c r="PX1" s="116" t="str">
        <f>INDEX(progress!$B$2:$B$17,MATCH(COUNTIF($K$2:PX2,PX2),progress!$A$2:$A$17,FALSE))</f>
        <v>Semester2</v>
      </c>
      <c r="PY1" s="116" t="str">
        <f>INDEX(progress!$B$2:$B$17,MATCH(COUNTIF($K$2:PY2,PY2),progress!$A$2:$A$17,FALSE))</f>
        <v>Semester2</v>
      </c>
      <c r="PZ1" s="116" t="str">
        <f>INDEX(progress!$B$2:$B$17,MATCH(COUNTIF($K$2:PZ2,PZ2),progress!$A$2:$A$17,FALSE))</f>
        <v>Semester2</v>
      </c>
      <c r="QA1" s="116" t="str">
        <f>INDEX(progress!$B$2:$B$17,MATCH(COUNTIF($K$2:QA2,QA2),progress!$A$2:$A$17,FALSE))</f>
        <v>Semester2</v>
      </c>
      <c r="QB1" s="116" t="str">
        <f>INDEX(progress!$B$2:$B$17,MATCH(COUNTIF($K$2:QB2,QB2),progress!$A$2:$A$17,FALSE))</f>
        <v>Semester2</v>
      </c>
      <c r="QC1" s="116" t="str">
        <f>INDEX(progress!$B$2:$B$17,MATCH(COUNTIF($K$2:QC2,QC2),progress!$A$2:$A$17,FALSE))</f>
        <v>Semester2</v>
      </c>
      <c r="QD1" s="116" t="str">
        <f>INDEX(progress!$B$2:$B$17,MATCH(COUNTIF($K$2:QD2,QD2),progress!$A$2:$A$17,FALSE))</f>
        <v>Semester2</v>
      </c>
      <c r="QE1" s="116" t="str">
        <f>INDEX(progress!$B$2:$B$17,MATCH(COUNTIF($K$2:QE2,QE2),progress!$A$2:$A$17,FALSE))</f>
        <v>Semester2</v>
      </c>
      <c r="QF1" s="116" t="str">
        <f>INDEX(progress!$B$2:$B$17,MATCH(COUNTIF($K$2:QF2,QF2),progress!$A$2:$A$17,FALSE))</f>
        <v>Semester2</v>
      </c>
      <c r="QG1" s="116" t="str">
        <f>INDEX(progress!$B$2:$B$17,MATCH(COUNTIF($K$2:QG2,QG2),progress!$A$2:$A$17,FALSE))</f>
        <v>Semester2</v>
      </c>
      <c r="QH1" s="116" t="str">
        <f>INDEX(progress!$B$2:$B$17,MATCH(COUNTIF($K$2:QH2,QH2),progress!$A$2:$A$17,FALSE))</f>
        <v>Semester2</v>
      </c>
      <c r="QI1" s="116" t="str">
        <f>INDEX(progress!$B$2:$B$17,MATCH(COUNTIF($K$2:QI2,QI2),progress!$A$2:$A$17,FALSE))</f>
        <v>Semester2</v>
      </c>
      <c r="QJ1" s="116" t="str">
        <f>INDEX(progress!$B$2:$B$17,MATCH(COUNTIF($K$2:QJ2,QJ2),progress!$A$2:$A$17,FALSE))</f>
        <v>Semester2</v>
      </c>
      <c r="QK1" s="116" t="str">
        <f>INDEX(progress!$B$2:$B$17,MATCH(COUNTIF($K$2:QK2,QK2),progress!$A$2:$A$17,FALSE))</f>
        <v>Semester2</v>
      </c>
      <c r="QL1" s="116" t="str">
        <f>INDEX(progress!$B$2:$B$17,MATCH(COUNTIF($K$2:QL2,QL2),progress!$A$2:$A$17,FALSE))</f>
        <v>Semester2</v>
      </c>
      <c r="QM1" s="116" t="str">
        <f>INDEX(progress!$B$2:$B$17,MATCH(COUNTIF($K$2:QM2,QM2),progress!$A$2:$A$17,FALSE))</f>
        <v>Semester2</v>
      </c>
      <c r="QN1" s="116" t="str">
        <f>INDEX(progress!$B$2:$B$17,MATCH(COUNTIF($K$2:QN2,QN2),progress!$A$2:$A$17,FALSE))</f>
        <v>Semester2</v>
      </c>
      <c r="QO1" s="116" t="str">
        <f>INDEX(progress!$B$2:$B$17,MATCH(COUNTIF($K$2:QO2,QO2),progress!$A$2:$A$17,FALSE))</f>
        <v>Semester2</v>
      </c>
      <c r="QP1" s="116" t="str">
        <f>INDEX(progress!$B$2:$B$17,MATCH(COUNTIF($K$2:QP2,QP2),progress!$A$2:$A$17,FALSE))</f>
        <v>Semester2</v>
      </c>
      <c r="QQ1" s="116" t="str">
        <f>INDEX(progress!$B$2:$B$17,MATCH(COUNTIF($K$2:QQ2,QQ2),progress!$A$2:$A$17,FALSE))</f>
        <v>Tahun</v>
      </c>
      <c r="QR1" s="116" t="str">
        <f>INDEX(progress!$B$2:$B$17,MATCH(COUNTIF($K$2:QR2,QR2),progress!$A$2:$A$17,FALSE))</f>
        <v>Tahun</v>
      </c>
      <c r="QS1" s="116" t="str">
        <f>INDEX(progress!$B$2:$B$17,MATCH(COUNTIF($K$2:QS2,QS2),progress!$A$2:$A$17,FALSE))</f>
        <v>Tahun</v>
      </c>
      <c r="QT1" s="116" t="str">
        <f>INDEX(progress!$B$2:$B$17,MATCH(COUNTIF($K$2:QT2,QT2),progress!$A$2:$A$17,FALSE))</f>
        <v>Tahun</v>
      </c>
      <c r="QU1" s="116" t="str">
        <f>INDEX(progress!$B$2:$B$17,MATCH(COUNTIF($K$2:QU2,QU2),progress!$A$2:$A$17,FALSE))</f>
        <v>Tahun</v>
      </c>
      <c r="QV1" s="116" t="str">
        <f>INDEX(progress!$B$2:$B$17,MATCH(COUNTIF($K$2:QV2,QV2),progress!$A$2:$A$17,FALSE))</f>
        <v>Tahun</v>
      </c>
      <c r="QW1" s="116" t="str">
        <f>INDEX(progress!$B$2:$B$17,MATCH(COUNTIF($K$2:QW2,QW2),progress!$A$2:$A$17,FALSE))</f>
        <v>Tahun</v>
      </c>
      <c r="QX1" s="116" t="str">
        <f>INDEX(progress!$B$2:$B$17,MATCH(COUNTIF($K$2:QX2,QX2),progress!$A$2:$A$17,FALSE))</f>
        <v>Tahun</v>
      </c>
      <c r="QY1" s="116" t="str">
        <f>INDEX(progress!$B$2:$B$17,MATCH(COUNTIF($K$2:QY2,QY2),progress!$A$2:$A$17,FALSE))</f>
        <v>Tahun</v>
      </c>
      <c r="QZ1" s="116" t="str">
        <f>INDEX(progress!$B$2:$B$17,MATCH(COUNTIF($K$2:QZ2,QZ2),progress!$A$2:$A$17,FALSE))</f>
        <v>Tahun</v>
      </c>
      <c r="RA1" s="116" t="str">
        <f>INDEX(progress!$B$2:$B$17,MATCH(COUNTIF($K$2:RA2,RA2),progress!$A$2:$A$17,FALSE))</f>
        <v>Tahun</v>
      </c>
      <c r="RB1" s="116" t="str">
        <f>INDEX(progress!$B$2:$B$17,MATCH(COUNTIF($K$2:RB2,RB2),progress!$A$2:$A$17,FALSE))</f>
        <v>Tahun</v>
      </c>
      <c r="RC1" s="116" t="str">
        <f>INDEX(progress!$B$2:$B$17,MATCH(COUNTIF($K$2:RC2,RC2),progress!$A$2:$A$17,FALSE))</f>
        <v>Tahun</v>
      </c>
      <c r="RD1" s="116" t="str">
        <f>INDEX(progress!$B$2:$B$17,MATCH(COUNTIF($K$2:RD2,RD2),progress!$A$2:$A$17,FALSE))</f>
        <v>Tahun</v>
      </c>
      <c r="RE1" s="116" t="str">
        <f>INDEX(progress!$B$2:$B$17,MATCH(COUNTIF($K$2:RE2,RE2),progress!$A$2:$A$17,FALSE))</f>
        <v>Tahun</v>
      </c>
      <c r="RF1" s="116" t="str">
        <f>INDEX(progress!$B$2:$B$17,MATCH(COUNTIF($K$2:RF2,RF2),progress!$A$2:$A$17,FALSE))</f>
        <v>Tahun</v>
      </c>
      <c r="RG1" s="116" t="str">
        <f>INDEX(progress!$B$2:$B$17,MATCH(COUNTIF($K$2:RG2,RG2),progress!$A$2:$A$17,FALSE))</f>
        <v>Tahun</v>
      </c>
      <c r="RH1" s="116" t="str">
        <f>INDEX(progress!$B$2:$B$17,MATCH(COUNTIF($K$2:RH2,RH2),progress!$A$2:$A$17,FALSE))</f>
        <v>Tahun</v>
      </c>
      <c r="RI1" s="116" t="str">
        <f>INDEX(progress!$B$2:$B$17,MATCH(COUNTIF($K$2:RI2,RI2),progress!$A$2:$A$17,FALSE))</f>
        <v>Tahun</v>
      </c>
      <c r="RJ1" s="116" t="str">
        <f>INDEX(progress!$B$2:$B$17,MATCH(COUNTIF($K$2:RJ2,RJ2),progress!$A$2:$A$17,FALSE))</f>
        <v>Tahun</v>
      </c>
      <c r="RK1" s="116" t="str">
        <f>INDEX(progress!$B$2:$B$17,MATCH(COUNTIF($K$2:RK2,RK2),progress!$A$2:$A$17,FALSE))</f>
        <v>Tahun</v>
      </c>
      <c r="RL1" s="116" t="str">
        <f>INDEX(progress!$B$2:$B$17,MATCH(COUNTIF($K$2:RL2,RL2),progress!$A$2:$A$17,FALSE))</f>
        <v>Tahun</v>
      </c>
      <c r="RM1" s="116" t="str">
        <f>INDEX(progress!$B$2:$B$17,MATCH(COUNTIF($K$2:RM2,RM2),progress!$A$2:$A$17,FALSE))</f>
        <v>Tahun</v>
      </c>
      <c r="RN1" s="116" t="str">
        <f>INDEX(progress!$B$2:$B$17,MATCH(COUNTIF($K$2:RN2,RN2),progress!$A$2:$A$17,FALSE))</f>
        <v>Tahun</v>
      </c>
      <c r="RO1" s="116" t="str">
        <f>INDEX(progress!$B$2:$B$17,MATCH(COUNTIF($K$2:RO2,RO2),progress!$A$2:$A$17,FALSE))</f>
        <v>Tahun</v>
      </c>
      <c r="RP1" s="116" t="str">
        <f>INDEX(progress!$B$2:$B$17,MATCH(COUNTIF($K$2:RP2,RP2),progress!$A$2:$A$17,FALSE))</f>
        <v>Tahun</v>
      </c>
      <c r="RQ1" s="116" t="str">
        <f>INDEX(progress!$B$2:$B$17,MATCH(COUNTIF($K$2:RQ2,RQ2),progress!$A$2:$A$17,FALSE))</f>
        <v>Tahun</v>
      </c>
      <c r="RR1" s="116" t="str">
        <f>INDEX(progress!$B$2:$B$17,MATCH(COUNTIF($K$2:RR2,RR2),progress!$A$2:$A$17,FALSE))</f>
        <v>Tahun</v>
      </c>
      <c r="RS1" s="116" t="str">
        <f>INDEX(progress!$B$2:$B$17,MATCH(COUNTIF($K$2:RS2,RS2),progress!$A$2:$A$17,FALSE))</f>
        <v>Tahun</v>
      </c>
      <c r="RT1" s="116" t="str">
        <f>INDEX(progress!$B$2:$B$17,MATCH(COUNTIF($K$2:RT2,RT2),progress!$A$2:$A$17,FALSE))</f>
        <v>Tahun</v>
      </c>
      <c r="RU1" s="116" t="str">
        <f>INDEX(progress!$B$2:$B$17,MATCH(COUNTIF($K$2:RU2,RU2),progress!$A$2:$A$17,FALSE))</f>
        <v>Tahun</v>
      </c>
      <c r="RV1" s="116" t="str">
        <f>INDEX(progress!$B$2:$B$17,MATCH(COUNTIF($K$2:RV2,RV2),progress!$A$2:$A$17,FALSE))</f>
        <v>Tahun</v>
      </c>
    </row>
    <row r="2" spans="2:490" ht="15.6" x14ac:dyDescent="0.3">
      <c r="D2" s="117" t="s">
        <v>611</v>
      </c>
      <c r="E2" s="105" t="s">
        <v>26</v>
      </c>
      <c r="F2" s="105" t="s">
        <v>27</v>
      </c>
      <c r="G2" s="105" t="s">
        <v>835</v>
      </c>
      <c r="H2" s="105" t="s">
        <v>12</v>
      </c>
      <c r="I2" s="105" t="s">
        <v>612</v>
      </c>
      <c r="J2" s="105" t="s">
        <v>880</v>
      </c>
      <c r="K2" s="105" t="s">
        <v>953</v>
      </c>
      <c r="L2" s="105" t="s">
        <v>954</v>
      </c>
      <c r="M2" s="105" t="s">
        <v>955</v>
      </c>
      <c r="N2" s="105" t="s">
        <v>956</v>
      </c>
      <c r="O2" s="105" t="s">
        <v>957</v>
      </c>
      <c r="P2" s="105" t="s">
        <v>958</v>
      </c>
      <c r="Q2" s="105" t="s">
        <v>959</v>
      </c>
      <c r="R2" s="105" t="s">
        <v>960</v>
      </c>
      <c r="S2" s="105" t="s">
        <v>961</v>
      </c>
      <c r="T2" s="105" t="s">
        <v>962</v>
      </c>
      <c r="U2" s="105" t="s">
        <v>963</v>
      </c>
      <c r="V2" s="105" t="s">
        <v>964</v>
      </c>
      <c r="W2" s="105" t="s">
        <v>965</v>
      </c>
      <c r="X2" s="105" t="s">
        <v>966</v>
      </c>
      <c r="Y2" s="105" t="s">
        <v>967</v>
      </c>
      <c r="Z2" s="105" t="s">
        <v>968</v>
      </c>
      <c r="AA2" s="105" t="s">
        <v>969</v>
      </c>
      <c r="AB2" s="105" t="s">
        <v>970</v>
      </c>
      <c r="AC2" s="105" t="s">
        <v>971</v>
      </c>
      <c r="AD2" s="105" t="s">
        <v>972</v>
      </c>
      <c r="AE2" s="105" t="s">
        <v>973</v>
      </c>
      <c r="AF2" s="105" t="s">
        <v>974</v>
      </c>
      <c r="AG2" s="105" t="s">
        <v>975</v>
      </c>
      <c r="AH2" s="105" t="s">
        <v>976</v>
      </c>
      <c r="AI2" s="105" t="s">
        <v>977</v>
      </c>
      <c r="AJ2" s="105" t="s">
        <v>978</v>
      </c>
      <c r="AK2" s="105" t="s">
        <v>979</v>
      </c>
      <c r="AL2" s="105" t="s">
        <v>980</v>
      </c>
      <c r="AM2" s="105" t="s">
        <v>981</v>
      </c>
      <c r="AN2" s="105" t="s">
        <v>982</v>
      </c>
      <c r="AO2" s="105" t="s">
        <v>983</v>
      </c>
      <c r="AP2" s="105" t="s">
        <v>984</v>
      </c>
      <c r="AQ2" s="105" t="s">
        <v>953</v>
      </c>
      <c r="AR2" s="105" t="s">
        <v>954</v>
      </c>
      <c r="AS2" s="105" t="s">
        <v>955</v>
      </c>
      <c r="AT2" s="105" t="s">
        <v>956</v>
      </c>
      <c r="AU2" s="105" t="s">
        <v>957</v>
      </c>
      <c r="AV2" s="105" t="s">
        <v>958</v>
      </c>
      <c r="AW2" s="105" t="s">
        <v>959</v>
      </c>
      <c r="AX2" s="105" t="s">
        <v>960</v>
      </c>
      <c r="AY2" s="105" t="s">
        <v>961</v>
      </c>
      <c r="AZ2" s="105" t="s">
        <v>962</v>
      </c>
      <c r="BA2" s="105" t="s">
        <v>963</v>
      </c>
      <c r="BB2" s="105" t="s">
        <v>964</v>
      </c>
      <c r="BC2" s="105" t="s">
        <v>965</v>
      </c>
      <c r="BD2" s="105" t="s">
        <v>966</v>
      </c>
      <c r="BE2" s="105" t="s">
        <v>967</v>
      </c>
      <c r="BF2" s="105" t="s">
        <v>968</v>
      </c>
      <c r="BG2" s="105" t="s">
        <v>969</v>
      </c>
      <c r="BH2" s="105" t="s">
        <v>970</v>
      </c>
      <c r="BI2" s="105" t="s">
        <v>971</v>
      </c>
      <c r="BJ2" s="105" t="s">
        <v>972</v>
      </c>
      <c r="BK2" s="105" t="s">
        <v>973</v>
      </c>
      <c r="BL2" s="105" t="s">
        <v>974</v>
      </c>
      <c r="BM2" s="105" t="s">
        <v>975</v>
      </c>
      <c r="BN2" s="105" t="s">
        <v>976</v>
      </c>
      <c r="BO2" s="105" t="s">
        <v>977</v>
      </c>
      <c r="BP2" s="105" t="s">
        <v>978</v>
      </c>
      <c r="BQ2" s="105" t="s">
        <v>979</v>
      </c>
      <c r="BR2" s="105" t="s">
        <v>980</v>
      </c>
      <c r="BS2" s="105" t="s">
        <v>981</v>
      </c>
      <c r="BT2" s="105" t="s">
        <v>982</v>
      </c>
      <c r="BU2" s="105" t="s">
        <v>983</v>
      </c>
      <c r="BV2" s="105" t="s">
        <v>984</v>
      </c>
      <c r="BW2" s="105" t="s">
        <v>953</v>
      </c>
      <c r="BX2" s="105" t="s">
        <v>954</v>
      </c>
      <c r="BY2" s="105" t="s">
        <v>955</v>
      </c>
      <c r="BZ2" s="105" t="s">
        <v>956</v>
      </c>
      <c r="CA2" s="105" t="s">
        <v>957</v>
      </c>
      <c r="CB2" s="105" t="s">
        <v>958</v>
      </c>
      <c r="CC2" s="105" t="s">
        <v>959</v>
      </c>
      <c r="CD2" s="105" t="s">
        <v>960</v>
      </c>
      <c r="CE2" s="105" t="s">
        <v>961</v>
      </c>
      <c r="CF2" s="105" t="s">
        <v>962</v>
      </c>
      <c r="CG2" s="105" t="s">
        <v>963</v>
      </c>
      <c r="CH2" s="105" t="s">
        <v>964</v>
      </c>
      <c r="CI2" s="105" t="s">
        <v>965</v>
      </c>
      <c r="CJ2" s="105" t="s">
        <v>966</v>
      </c>
      <c r="CK2" s="105" t="s">
        <v>967</v>
      </c>
      <c r="CL2" s="105" t="s">
        <v>968</v>
      </c>
      <c r="CM2" s="105" t="s">
        <v>969</v>
      </c>
      <c r="CN2" s="105" t="s">
        <v>970</v>
      </c>
      <c r="CO2" s="105" t="s">
        <v>971</v>
      </c>
      <c r="CP2" s="105" t="s">
        <v>972</v>
      </c>
      <c r="CQ2" s="105" t="s">
        <v>973</v>
      </c>
      <c r="CR2" s="105" t="s">
        <v>974</v>
      </c>
      <c r="CS2" s="105" t="s">
        <v>975</v>
      </c>
      <c r="CT2" s="105" t="s">
        <v>976</v>
      </c>
      <c r="CU2" s="105" t="s">
        <v>977</v>
      </c>
      <c r="CV2" s="105" t="s">
        <v>978</v>
      </c>
      <c r="CW2" s="105" t="s">
        <v>979</v>
      </c>
      <c r="CX2" s="105" t="s">
        <v>980</v>
      </c>
      <c r="CY2" s="105" t="s">
        <v>981</v>
      </c>
      <c r="CZ2" s="105" t="s">
        <v>982</v>
      </c>
      <c r="DA2" s="105" t="s">
        <v>983</v>
      </c>
      <c r="DB2" s="105" t="s">
        <v>984</v>
      </c>
      <c r="DC2" s="105" t="s">
        <v>953</v>
      </c>
      <c r="DD2" s="105" t="s">
        <v>954</v>
      </c>
      <c r="DE2" s="105" t="s">
        <v>955</v>
      </c>
      <c r="DF2" s="105" t="s">
        <v>956</v>
      </c>
      <c r="DG2" s="105" t="s">
        <v>957</v>
      </c>
      <c r="DH2" s="105" t="s">
        <v>958</v>
      </c>
      <c r="DI2" s="105" t="s">
        <v>959</v>
      </c>
      <c r="DJ2" s="105" t="s">
        <v>960</v>
      </c>
      <c r="DK2" s="105" t="s">
        <v>961</v>
      </c>
      <c r="DL2" s="105" t="s">
        <v>962</v>
      </c>
      <c r="DM2" s="105" t="s">
        <v>963</v>
      </c>
      <c r="DN2" s="105" t="s">
        <v>964</v>
      </c>
      <c r="DO2" s="105" t="s">
        <v>965</v>
      </c>
      <c r="DP2" s="105" t="s">
        <v>966</v>
      </c>
      <c r="DQ2" s="105" t="s">
        <v>967</v>
      </c>
      <c r="DR2" s="105" t="s">
        <v>968</v>
      </c>
      <c r="DS2" s="105" t="s">
        <v>969</v>
      </c>
      <c r="DT2" s="105" t="s">
        <v>970</v>
      </c>
      <c r="DU2" s="105" t="s">
        <v>971</v>
      </c>
      <c r="DV2" s="105" t="s">
        <v>972</v>
      </c>
      <c r="DW2" s="105" t="s">
        <v>973</v>
      </c>
      <c r="DX2" s="105" t="s">
        <v>974</v>
      </c>
      <c r="DY2" s="105" t="s">
        <v>975</v>
      </c>
      <c r="DZ2" s="105" t="s">
        <v>976</v>
      </c>
      <c r="EA2" s="105" t="s">
        <v>977</v>
      </c>
      <c r="EB2" s="105" t="s">
        <v>978</v>
      </c>
      <c r="EC2" s="105" t="s">
        <v>979</v>
      </c>
      <c r="ED2" s="105" t="s">
        <v>980</v>
      </c>
      <c r="EE2" s="105" t="s">
        <v>981</v>
      </c>
      <c r="EF2" s="105" t="s">
        <v>982</v>
      </c>
      <c r="EG2" s="105" t="s">
        <v>983</v>
      </c>
      <c r="EH2" s="105" t="s">
        <v>984</v>
      </c>
      <c r="EI2" s="105" t="s">
        <v>953</v>
      </c>
      <c r="EJ2" s="105" t="s">
        <v>954</v>
      </c>
      <c r="EK2" s="105" t="s">
        <v>955</v>
      </c>
      <c r="EL2" s="105" t="s">
        <v>956</v>
      </c>
      <c r="EM2" s="105" t="s">
        <v>957</v>
      </c>
      <c r="EN2" s="105" t="s">
        <v>958</v>
      </c>
      <c r="EO2" s="105" t="s">
        <v>959</v>
      </c>
      <c r="EP2" s="105" t="s">
        <v>960</v>
      </c>
      <c r="EQ2" s="105" t="s">
        <v>961</v>
      </c>
      <c r="ER2" s="105" t="s">
        <v>962</v>
      </c>
      <c r="ES2" s="105" t="s">
        <v>963</v>
      </c>
      <c r="ET2" s="105" t="s">
        <v>964</v>
      </c>
      <c r="EU2" s="105" t="s">
        <v>965</v>
      </c>
      <c r="EV2" s="105" t="s">
        <v>966</v>
      </c>
      <c r="EW2" s="105" t="s">
        <v>967</v>
      </c>
      <c r="EX2" s="105" t="s">
        <v>968</v>
      </c>
      <c r="EY2" s="105" t="s">
        <v>969</v>
      </c>
      <c r="EZ2" s="105" t="s">
        <v>970</v>
      </c>
      <c r="FA2" s="105" t="s">
        <v>971</v>
      </c>
      <c r="FB2" s="105" t="s">
        <v>972</v>
      </c>
      <c r="FC2" s="105" t="s">
        <v>973</v>
      </c>
      <c r="FD2" s="105" t="s">
        <v>974</v>
      </c>
      <c r="FE2" s="105" t="s">
        <v>975</v>
      </c>
      <c r="FF2" s="105" t="s">
        <v>976</v>
      </c>
      <c r="FG2" s="105" t="s">
        <v>977</v>
      </c>
      <c r="FH2" s="105" t="s">
        <v>978</v>
      </c>
      <c r="FI2" s="105" t="s">
        <v>979</v>
      </c>
      <c r="FJ2" s="105" t="s">
        <v>980</v>
      </c>
      <c r="FK2" s="105" t="s">
        <v>981</v>
      </c>
      <c r="FL2" s="105" t="s">
        <v>982</v>
      </c>
      <c r="FM2" s="105" t="s">
        <v>983</v>
      </c>
      <c r="FN2" s="105" t="s">
        <v>984</v>
      </c>
      <c r="FO2" s="105" t="s">
        <v>953</v>
      </c>
      <c r="FP2" s="105" t="s">
        <v>954</v>
      </c>
      <c r="FQ2" s="105" t="s">
        <v>955</v>
      </c>
      <c r="FR2" s="105" t="s">
        <v>956</v>
      </c>
      <c r="FS2" s="105" t="s">
        <v>957</v>
      </c>
      <c r="FT2" s="105" t="s">
        <v>958</v>
      </c>
      <c r="FU2" s="105" t="s">
        <v>959</v>
      </c>
      <c r="FV2" s="105" t="s">
        <v>960</v>
      </c>
      <c r="FW2" s="105" t="s">
        <v>961</v>
      </c>
      <c r="FX2" s="105" t="s">
        <v>962</v>
      </c>
      <c r="FY2" s="105" t="s">
        <v>963</v>
      </c>
      <c r="FZ2" s="105" t="s">
        <v>964</v>
      </c>
      <c r="GA2" s="105" t="s">
        <v>965</v>
      </c>
      <c r="GB2" s="105" t="s">
        <v>966</v>
      </c>
      <c r="GC2" s="105" t="s">
        <v>967</v>
      </c>
      <c r="GD2" s="105" t="s">
        <v>968</v>
      </c>
      <c r="GE2" s="105" t="s">
        <v>969</v>
      </c>
      <c r="GF2" s="105" t="s">
        <v>970</v>
      </c>
      <c r="GG2" s="105" t="s">
        <v>971</v>
      </c>
      <c r="GH2" s="105" t="s">
        <v>972</v>
      </c>
      <c r="GI2" s="105" t="s">
        <v>973</v>
      </c>
      <c r="GJ2" s="105" t="s">
        <v>974</v>
      </c>
      <c r="GK2" s="105" t="s">
        <v>975</v>
      </c>
      <c r="GL2" s="105" t="s">
        <v>976</v>
      </c>
      <c r="GM2" s="105" t="s">
        <v>977</v>
      </c>
      <c r="GN2" s="105" t="s">
        <v>978</v>
      </c>
      <c r="GO2" s="105" t="s">
        <v>979</v>
      </c>
      <c r="GP2" s="105" t="s">
        <v>980</v>
      </c>
      <c r="GQ2" s="105" t="s">
        <v>981</v>
      </c>
      <c r="GR2" s="105" t="s">
        <v>982</v>
      </c>
      <c r="GS2" s="105" t="s">
        <v>983</v>
      </c>
      <c r="GT2" s="105" t="s">
        <v>984</v>
      </c>
      <c r="GU2" s="105" t="s">
        <v>953</v>
      </c>
      <c r="GV2" s="105" t="s">
        <v>954</v>
      </c>
      <c r="GW2" s="105" t="s">
        <v>955</v>
      </c>
      <c r="GX2" s="105" t="s">
        <v>956</v>
      </c>
      <c r="GY2" s="105" t="s">
        <v>957</v>
      </c>
      <c r="GZ2" s="105" t="s">
        <v>958</v>
      </c>
      <c r="HA2" s="105" t="s">
        <v>959</v>
      </c>
      <c r="HB2" s="105" t="s">
        <v>960</v>
      </c>
      <c r="HC2" s="105" t="s">
        <v>961</v>
      </c>
      <c r="HD2" s="105" t="s">
        <v>962</v>
      </c>
      <c r="HE2" s="105" t="s">
        <v>963</v>
      </c>
      <c r="HF2" s="105" t="s">
        <v>964</v>
      </c>
      <c r="HG2" s="105" t="s">
        <v>965</v>
      </c>
      <c r="HH2" s="105" t="s">
        <v>966</v>
      </c>
      <c r="HI2" s="105" t="s">
        <v>967</v>
      </c>
      <c r="HJ2" s="105" t="s">
        <v>968</v>
      </c>
      <c r="HK2" s="105" t="s">
        <v>969</v>
      </c>
      <c r="HL2" s="105" t="s">
        <v>970</v>
      </c>
      <c r="HM2" s="105" t="s">
        <v>971</v>
      </c>
      <c r="HN2" s="105" t="s">
        <v>972</v>
      </c>
      <c r="HO2" s="105" t="s">
        <v>973</v>
      </c>
      <c r="HP2" s="105" t="s">
        <v>974</v>
      </c>
      <c r="HQ2" s="105" t="s">
        <v>975</v>
      </c>
      <c r="HR2" s="105" t="s">
        <v>976</v>
      </c>
      <c r="HS2" s="105" t="s">
        <v>977</v>
      </c>
      <c r="HT2" s="105" t="s">
        <v>978</v>
      </c>
      <c r="HU2" s="105" t="s">
        <v>979</v>
      </c>
      <c r="HV2" s="105" t="s">
        <v>980</v>
      </c>
      <c r="HW2" s="105" t="s">
        <v>981</v>
      </c>
      <c r="HX2" s="105" t="s">
        <v>982</v>
      </c>
      <c r="HY2" s="105" t="s">
        <v>983</v>
      </c>
      <c r="HZ2" s="105" t="s">
        <v>984</v>
      </c>
      <c r="IA2" s="105" t="s">
        <v>953</v>
      </c>
      <c r="IB2" s="105" t="s">
        <v>954</v>
      </c>
      <c r="IC2" s="105" t="s">
        <v>955</v>
      </c>
      <c r="ID2" s="105" t="s">
        <v>956</v>
      </c>
      <c r="IE2" s="105" t="s">
        <v>957</v>
      </c>
      <c r="IF2" s="105" t="s">
        <v>958</v>
      </c>
      <c r="IG2" s="105" t="s">
        <v>959</v>
      </c>
      <c r="IH2" s="105" t="s">
        <v>960</v>
      </c>
      <c r="II2" s="105" t="s">
        <v>961</v>
      </c>
      <c r="IJ2" s="105" t="s">
        <v>962</v>
      </c>
      <c r="IK2" s="105" t="s">
        <v>963</v>
      </c>
      <c r="IL2" s="105" t="s">
        <v>964</v>
      </c>
      <c r="IM2" s="105" t="s">
        <v>965</v>
      </c>
      <c r="IN2" s="105" t="s">
        <v>966</v>
      </c>
      <c r="IO2" s="105" t="s">
        <v>967</v>
      </c>
      <c r="IP2" s="105" t="s">
        <v>968</v>
      </c>
      <c r="IQ2" s="105" t="s">
        <v>969</v>
      </c>
      <c r="IR2" s="105" t="s">
        <v>970</v>
      </c>
      <c r="IS2" s="105" t="s">
        <v>971</v>
      </c>
      <c r="IT2" s="105" t="s">
        <v>972</v>
      </c>
      <c r="IU2" s="105" t="s">
        <v>973</v>
      </c>
      <c r="IV2" s="105" t="s">
        <v>974</v>
      </c>
      <c r="IW2" s="105" t="s">
        <v>975</v>
      </c>
      <c r="IX2" s="105" t="s">
        <v>976</v>
      </c>
      <c r="IY2" s="105" t="s">
        <v>977</v>
      </c>
      <c r="IZ2" s="105" t="s">
        <v>978</v>
      </c>
      <c r="JA2" s="105" t="s">
        <v>979</v>
      </c>
      <c r="JB2" s="105" t="s">
        <v>980</v>
      </c>
      <c r="JC2" s="105" t="s">
        <v>981</v>
      </c>
      <c r="JD2" s="105" t="s">
        <v>982</v>
      </c>
      <c r="JE2" s="105" t="s">
        <v>983</v>
      </c>
      <c r="JF2" s="105" t="s">
        <v>984</v>
      </c>
      <c r="JG2" s="105" t="s">
        <v>953</v>
      </c>
      <c r="JH2" s="105" t="s">
        <v>954</v>
      </c>
      <c r="JI2" s="105" t="s">
        <v>955</v>
      </c>
      <c r="JJ2" s="105" t="s">
        <v>956</v>
      </c>
      <c r="JK2" s="105" t="s">
        <v>957</v>
      </c>
      <c r="JL2" s="105" t="s">
        <v>958</v>
      </c>
      <c r="JM2" s="105" t="s">
        <v>959</v>
      </c>
      <c r="JN2" s="105" t="s">
        <v>960</v>
      </c>
      <c r="JO2" s="105" t="s">
        <v>961</v>
      </c>
      <c r="JP2" s="105" t="s">
        <v>962</v>
      </c>
      <c r="JQ2" s="105" t="s">
        <v>963</v>
      </c>
      <c r="JR2" s="105" t="s">
        <v>964</v>
      </c>
      <c r="JS2" s="105" t="s">
        <v>965</v>
      </c>
      <c r="JT2" s="105" t="s">
        <v>966</v>
      </c>
      <c r="JU2" s="105" t="s">
        <v>967</v>
      </c>
      <c r="JV2" s="105" t="s">
        <v>968</v>
      </c>
      <c r="JW2" s="105" t="s">
        <v>969</v>
      </c>
      <c r="JX2" s="105" t="s">
        <v>970</v>
      </c>
      <c r="JY2" s="105" t="s">
        <v>971</v>
      </c>
      <c r="JZ2" s="105" t="s">
        <v>972</v>
      </c>
      <c r="KA2" s="105" t="s">
        <v>973</v>
      </c>
      <c r="KB2" s="105" t="s">
        <v>974</v>
      </c>
      <c r="KC2" s="105" t="s">
        <v>975</v>
      </c>
      <c r="KD2" s="105" t="s">
        <v>976</v>
      </c>
      <c r="KE2" s="105" t="s">
        <v>977</v>
      </c>
      <c r="KF2" s="105" t="s">
        <v>978</v>
      </c>
      <c r="KG2" s="105" t="s">
        <v>979</v>
      </c>
      <c r="KH2" s="105" t="s">
        <v>980</v>
      </c>
      <c r="KI2" s="105" t="s">
        <v>981</v>
      </c>
      <c r="KJ2" s="105" t="s">
        <v>982</v>
      </c>
      <c r="KK2" s="105" t="s">
        <v>983</v>
      </c>
      <c r="KL2" s="105" t="s">
        <v>984</v>
      </c>
      <c r="KM2" s="105" t="s">
        <v>953</v>
      </c>
      <c r="KN2" s="105" t="s">
        <v>954</v>
      </c>
      <c r="KO2" s="105" t="s">
        <v>955</v>
      </c>
      <c r="KP2" s="105" t="s">
        <v>956</v>
      </c>
      <c r="KQ2" s="105" t="s">
        <v>957</v>
      </c>
      <c r="KR2" s="105" t="s">
        <v>958</v>
      </c>
      <c r="KS2" s="105" t="s">
        <v>959</v>
      </c>
      <c r="KT2" s="105" t="s">
        <v>960</v>
      </c>
      <c r="KU2" s="105" t="s">
        <v>961</v>
      </c>
      <c r="KV2" s="105" t="s">
        <v>962</v>
      </c>
      <c r="KW2" s="105" t="s">
        <v>963</v>
      </c>
      <c r="KX2" s="105" t="s">
        <v>964</v>
      </c>
      <c r="KY2" s="105" t="s">
        <v>965</v>
      </c>
      <c r="KZ2" s="105" t="s">
        <v>966</v>
      </c>
      <c r="LA2" s="105" t="s">
        <v>967</v>
      </c>
      <c r="LB2" s="105" t="s">
        <v>968</v>
      </c>
      <c r="LC2" s="105" t="s">
        <v>969</v>
      </c>
      <c r="LD2" s="105" t="s">
        <v>970</v>
      </c>
      <c r="LE2" s="105" t="s">
        <v>971</v>
      </c>
      <c r="LF2" s="105" t="s">
        <v>972</v>
      </c>
      <c r="LG2" s="105" t="s">
        <v>973</v>
      </c>
      <c r="LH2" s="105" t="s">
        <v>974</v>
      </c>
      <c r="LI2" s="105" t="s">
        <v>975</v>
      </c>
      <c r="LJ2" s="105" t="s">
        <v>976</v>
      </c>
      <c r="LK2" s="105" t="s">
        <v>977</v>
      </c>
      <c r="LL2" s="105" t="s">
        <v>978</v>
      </c>
      <c r="LM2" s="105" t="s">
        <v>979</v>
      </c>
      <c r="LN2" s="105" t="s">
        <v>980</v>
      </c>
      <c r="LO2" s="105" t="s">
        <v>981</v>
      </c>
      <c r="LP2" s="105" t="s">
        <v>982</v>
      </c>
      <c r="LQ2" s="105" t="s">
        <v>983</v>
      </c>
      <c r="LR2" s="105" t="s">
        <v>984</v>
      </c>
      <c r="LS2" s="105" t="s">
        <v>953</v>
      </c>
      <c r="LT2" s="105" t="s">
        <v>954</v>
      </c>
      <c r="LU2" s="105" t="s">
        <v>955</v>
      </c>
      <c r="LV2" s="105" t="s">
        <v>956</v>
      </c>
      <c r="LW2" s="105" t="s">
        <v>957</v>
      </c>
      <c r="LX2" s="105" t="s">
        <v>958</v>
      </c>
      <c r="LY2" s="105" t="s">
        <v>959</v>
      </c>
      <c r="LZ2" s="105" t="s">
        <v>960</v>
      </c>
      <c r="MA2" s="105" t="s">
        <v>961</v>
      </c>
      <c r="MB2" s="105" t="s">
        <v>962</v>
      </c>
      <c r="MC2" s="105" t="s">
        <v>963</v>
      </c>
      <c r="MD2" s="105" t="s">
        <v>964</v>
      </c>
      <c r="ME2" s="105" t="s">
        <v>965</v>
      </c>
      <c r="MF2" s="105" t="s">
        <v>966</v>
      </c>
      <c r="MG2" s="105" t="s">
        <v>967</v>
      </c>
      <c r="MH2" s="105" t="s">
        <v>968</v>
      </c>
      <c r="MI2" s="105" t="s">
        <v>969</v>
      </c>
      <c r="MJ2" s="105" t="s">
        <v>970</v>
      </c>
      <c r="MK2" s="105" t="s">
        <v>971</v>
      </c>
      <c r="ML2" s="105" t="s">
        <v>972</v>
      </c>
      <c r="MM2" s="105" t="s">
        <v>973</v>
      </c>
      <c r="MN2" s="105" t="s">
        <v>974</v>
      </c>
      <c r="MO2" s="105" t="s">
        <v>975</v>
      </c>
      <c r="MP2" s="105" t="s">
        <v>976</v>
      </c>
      <c r="MQ2" s="105" t="s">
        <v>977</v>
      </c>
      <c r="MR2" s="105" t="s">
        <v>978</v>
      </c>
      <c r="MS2" s="105" t="s">
        <v>979</v>
      </c>
      <c r="MT2" s="105" t="s">
        <v>980</v>
      </c>
      <c r="MU2" s="105" t="s">
        <v>981</v>
      </c>
      <c r="MV2" s="105" t="s">
        <v>982</v>
      </c>
      <c r="MW2" s="105" t="s">
        <v>983</v>
      </c>
      <c r="MX2" s="105" t="s">
        <v>984</v>
      </c>
      <c r="MY2" s="105" t="s">
        <v>953</v>
      </c>
      <c r="MZ2" s="105" t="s">
        <v>954</v>
      </c>
      <c r="NA2" s="105" t="s">
        <v>955</v>
      </c>
      <c r="NB2" s="105" t="s">
        <v>956</v>
      </c>
      <c r="NC2" s="105" t="s">
        <v>957</v>
      </c>
      <c r="ND2" s="105" t="s">
        <v>958</v>
      </c>
      <c r="NE2" s="105" t="s">
        <v>959</v>
      </c>
      <c r="NF2" s="105" t="s">
        <v>960</v>
      </c>
      <c r="NG2" s="105" t="s">
        <v>961</v>
      </c>
      <c r="NH2" s="105" t="s">
        <v>962</v>
      </c>
      <c r="NI2" s="105" t="s">
        <v>963</v>
      </c>
      <c r="NJ2" s="105" t="s">
        <v>964</v>
      </c>
      <c r="NK2" s="105" t="s">
        <v>965</v>
      </c>
      <c r="NL2" s="105" t="s">
        <v>966</v>
      </c>
      <c r="NM2" s="105" t="s">
        <v>967</v>
      </c>
      <c r="NN2" s="105" t="s">
        <v>968</v>
      </c>
      <c r="NO2" s="105" t="s">
        <v>969</v>
      </c>
      <c r="NP2" s="105" t="s">
        <v>970</v>
      </c>
      <c r="NQ2" s="105" t="s">
        <v>971</v>
      </c>
      <c r="NR2" s="105" t="s">
        <v>972</v>
      </c>
      <c r="NS2" s="105" t="s">
        <v>973</v>
      </c>
      <c r="NT2" s="105" t="s">
        <v>974</v>
      </c>
      <c r="NU2" s="105" t="s">
        <v>975</v>
      </c>
      <c r="NV2" s="105" t="s">
        <v>976</v>
      </c>
      <c r="NW2" s="105" t="s">
        <v>977</v>
      </c>
      <c r="NX2" s="105" t="s">
        <v>978</v>
      </c>
      <c r="NY2" s="105" t="s">
        <v>979</v>
      </c>
      <c r="NZ2" s="105" t="s">
        <v>980</v>
      </c>
      <c r="OA2" s="105" t="s">
        <v>981</v>
      </c>
      <c r="OB2" s="105" t="s">
        <v>982</v>
      </c>
      <c r="OC2" s="105" t="s">
        <v>983</v>
      </c>
      <c r="OD2" s="105" t="s">
        <v>984</v>
      </c>
      <c r="OE2" s="105" t="s">
        <v>953</v>
      </c>
      <c r="OF2" s="105" t="s">
        <v>954</v>
      </c>
      <c r="OG2" s="105" t="s">
        <v>955</v>
      </c>
      <c r="OH2" s="105" t="s">
        <v>956</v>
      </c>
      <c r="OI2" s="105" t="s">
        <v>957</v>
      </c>
      <c r="OJ2" s="105" t="s">
        <v>958</v>
      </c>
      <c r="OK2" s="105" t="s">
        <v>959</v>
      </c>
      <c r="OL2" s="105" t="s">
        <v>960</v>
      </c>
      <c r="OM2" s="105" t="s">
        <v>961</v>
      </c>
      <c r="ON2" s="105" t="s">
        <v>962</v>
      </c>
      <c r="OO2" s="105" t="s">
        <v>963</v>
      </c>
      <c r="OP2" s="105" t="s">
        <v>964</v>
      </c>
      <c r="OQ2" s="105" t="s">
        <v>965</v>
      </c>
      <c r="OR2" s="105" t="s">
        <v>966</v>
      </c>
      <c r="OS2" s="105" t="s">
        <v>967</v>
      </c>
      <c r="OT2" s="105" t="s">
        <v>968</v>
      </c>
      <c r="OU2" s="105" t="s">
        <v>969</v>
      </c>
      <c r="OV2" s="105" t="s">
        <v>970</v>
      </c>
      <c r="OW2" s="105" t="s">
        <v>971</v>
      </c>
      <c r="OX2" s="105" t="s">
        <v>972</v>
      </c>
      <c r="OY2" s="105" t="s">
        <v>973</v>
      </c>
      <c r="OZ2" s="105" t="s">
        <v>974</v>
      </c>
      <c r="PA2" s="105" t="s">
        <v>975</v>
      </c>
      <c r="PB2" s="105" t="s">
        <v>976</v>
      </c>
      <c r="PC2" s="105" t="s">
        <v>977</v>
      </c>
      <c r="PD2" s="105" t="s">
        <v>978</v>
      </c>
      <c r="PE2" s="105" t="s">
        <v>979</v>
      </c>
      <c r="PF2" s="105" t="s">
        <v>980</v>
      </c>
      <c r="PG2" s="105" t="s">
        <v>981</v>
      </c>
      <c r="PH2" s="105" t="s">
        <v>982</v>
      </c>
      <c r="PI2" s="105" t="s">
        <v>983</v>
      </c>
      <c r="PJ2" s="105" t="s">
        <v>984</v>
      </c>
      <c r="PK2" s="105" t="s">
        <v>953</v>
      </c>
      <c r="PL2" s="105" t="s">
        <v>954</v>
      </c>
      <c r="PM2" s="105" t="s">
        <v>955</v>
      </c>
      <c r="PN2" s="105" t="s">
        <v>956</v>
      </c>
      <c r="PO2" s="105" t="s">
        <v>957</v>
      </c>
      <c r="PP2" s="105" t="s">
        <v>958</v>
      </c>
      <c r="PQ2" s="105" t="s">
        <v>959</v>
      </c>
      <c r="PR2" s="105" t="s">
        <v>960</v>
      </c>
      <c r="PS2" s="105" t="s">
        <v>961</v>
      </c>
      <c r="PT2" s="105" t="s">
        <v>962</v>
      </c>
      <c r="PU2" s="105" t="s">
        <v>963</v>
      </c>
      <c r="PV2" s="105" t="s">
        <v>964</v>
      </c>
      <c r="PW2" s="105" t="s">
        <v>965</v>
      </c>
      <c r="PX2" s="105" t="s">
        <v>966</v>
      </c>
      <c r="PY2" s="105" t="s">
        <v>967</v>
      </c>
      <c r="PZ2" s="105" t="s">
        <v>968</v>
      </c>
      <c r="QA2" s="105" t="s">
        <v>969</v>
      </c>
      <c r="QB2" s="105" t="s">
        <v>970</v>
      </c>
      <c r="QC2" s="105" t="s">
        <v>971</v>
      </c>
      <c r="QD2" s="105" t="s">
        <v>972</v>
      </c>
      <c r="QE2" s="105" t="s">
        <v>973</v>
      </c>
      <c r="QF2" s="105" t="s">
        <v>974</v>
      </c>
      <c r="QG2" s="105" t="s">
        <v>975</v>
      </c>
      <c r="QH2" s="105" t="s">
        <v>976</v>
      </c>
      <c r="QI2" s="105" t="s">
        <v>977</v>
      </c>
      <c r="QJ2" s="105" t="s">
        <v>978</v>
      </c>
      <c r="QK2" s="105" t="s">
        <v>979</v>
      </c>
      <c r="QL2" s="105" t="s">
        <v>980</v>
      </c>
      <c r="QM2" s="105" t="s">
        <v>981</v>
      </c>
      <c r="QN2" s="105" t="s">
        <v>982</v>
      </c>
      <c r="QO2" s="105" t="s">
        <v>983</v>
      </c>
      <c r="QP2" s="105" t="s">
        <v>984</v>
      </c>
      <c r="QQ2" s="105" t="s">
        <v>953</v>
      </c>
      <c r="QR2" s="105" t="s">
        <v>954</v>
      </c>
      <c r="QS2" s="105" t="s">
        <v>955</v>
      </c>
      <c r="QT2" s="105" t="s">
        <v>956</v>
      </c>
      <c r="QU2" s="105" t="s">
        <v>957</v>
      </c>
      <c r="QV2" s="105" t="s">
        <v>958</v>
      </c>
      <c r="QW2" s="105" t="s">
        <v>959</v>
      </c>
      <c r="QX2" s="105" t="s">
        <v>960</v>
      </c>
      <c r="QY2" s="105" t="s">
        <v>961</v>
      </c>
      <c r="QZ2" s="105" t="s">
        <v>962</v>
      </c>
      <c r="RA2" s="105" t="s">
        <v>963</v>
      </c>
      <c r="RB2" s="105" t="s">
        <v>964</v>
      </c>
      <c r="RC2" s="105" t="s">
        <v>965</v>
      </c>
      <c r="RD2" s="105" t="s">
        <v>966</v>
      </c>
      <c r="RE2" s="105" t="s">
        <v>967</v>
      </c>
      <c r="RF2" s="105" t="s">
        <v>968</v>
      </c>
      <c r="RG2" s="105" t="s">
        <v>969</v>
      </c>
      <c r="RH2" s="105" t="s">
        <v>970</v>
      </c>
      <c r="RI2" s="105" t="s">
        <v>971</v>
      </c>
      <c r="RJ2" s="105" t="s">
        <v>972</v>
      </c>
      <c r="RK2" s="105" t="s">
        <v>973</v>
      </c>
      <c r="RL2" s="105" t="s">
        <v>974</v>
      </c>
      <c r="RM2" s="105" t="s">
        <v>975</v>
      </c>
      <c r="RN2" s="105" t="s">
        <v>976</v>
      </c>
      <c r="RO2" s="105" t="s">
        <v>977</v>
      </c>
      <c r="RP2" s="105" t="s">
        <v>978</v>
      </c>
      <c r="RQ2" s="105" t="s">
        <v>979</v>
      </c>
      <c r="RR2" s="105" t="s">
        <v>980</v>
      </c>
      <c r="RS2" s="105" t="s">
        <v>981</v>
      </c>
      <c r="RT2" s="105" t="s">
        <v>982</v>
      </c>
      <c r="RU2" s="105" t="s">
        <v>983</v>
      </c>
      <c r="RV2" s="105" t="s">
        <v>984</v>
      </c>
    </row>
    <row r="3" spans="2:490" ht="15.6" x14ac:dyDescent="0.3">
      <c r="B3" s="118" t="str">
        <f ca="1">CONCATENATE(profilKelas!F8,",",profilKelas!F9,",",profilKelas!F5,",",profilKelas!F6,",",profilKelas!F7,",",profilKelas!F12,",",profilKelas!H13,",",'R'!A18)</f>
        <v>,,,,,,Pilih Kelas dan Rombel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</v>
      </c>
      <c r="D3" s="123" t="str">
        <f ca="1">profilKelas!H13</f>
        <v>Pilih Kelas dan Rombel</v>
      </c>
      <c r="E3" s="123">
        <f>profilKelas!F8</f>
        <v>0</v>
      </c>
      <c r="F3" s="123">
        <f>profilKelas!F9</f>
        <v>0</v>
      </c>
      <c r="G3" s="123">
        <f>profilKelas!F5</f>
        <v>0</v>
      </c>
      <c r="H3" s="123">
        <f>profilKelas!F6</f>
        <v>0</v>
      </c>
      <c r="I3" s="123">
        <f>profilKelas!F7</f>
        <v>0</v>
      </c>
      <c r="J3" s="123">
        <f>profilKelas!F12</f>
        <v>0</v>
      </c>
      <c r="K3" s="121">
        <f ca="1">IF(LEFT('R'!C3,1)=".",,COUNTIFS(INDIRECT(SUBSTITUTE("@@!U13:U57","@@",'R'!$C3)),"Sudah terbiasa",INDIRECT("12Month!$CU$3:CU47"),"L"))</f>
        <v>0</v>
      </c>
      <c r="L3" s="121">
        <f ca="1">IF(LEFT('R'!C3,1)=".",,COUNTIFS(INDIRECT(SUBSTITUTE("@@!U13:U57","@@",'R'!$C3)),"Belum terbiasa",INDIRECT("12Month!$CU$3:$CU$47"),"L"))</f>
        <v>0</v>
      </c>
      <c r="M3" s="121">
        <f ca="1">IF(LEFT('R'!C3,1)=".",,COUNTIFS(INDIRECT(SUBSTITUTE("@@!U13:U57","@@",'R'!$C3)),"Sudah terbiasa",INDIRECT("12Month!$CU$3:CU47"),"P"))</f>
        <v>0</v>
      </c>
      <c r="N3" s="121">
        <f ca="1">IF(LEFT('R'!C3,1)=".",,COUNTIFS(INDIRECT(SUBSTITUTE("@@!U13:U57","@@",'R'!$C3)),"Belum terbiasa",INDIRECT("12Month!$CU$3:$CU$47"),"P"))</f>
        <v>0</v>
      </c>
      <c r="O3" s="121">
        <f ca="1">IF(LEFT('R'!C3,1)=".",,COUNTIFS(INDIRECT(SUBSTITUTE("@@!V13:V57","@@",'R'!$C3)),"Sudah terbiasa",INDIRECT("12Month!$CU$3:CU47"),"L"))</f>
        <v>0</v>
      </c>
      <c r="P3" s="121">
        <f ca="1">IF(LEFT('R'!C3,1)=".",,COUNTIFS(INDIRECT(SUBSTITUTE("@@!V13:V57","@@",'R'!$C3)),"Belum terbiasa",INDIRECT("12Month!$CU$3:$CU$47"),"L"))</f>
        <v>0</v>
      </c>
      <c r="Q3" s="121">
        <f ca="1">IF(LEFT('R'!C3,1)=".",,COUNTIFS(INDIRECT(SUBSTITUTE("@@!V13:V57","@@",'R'!$C3)),"Sudah terbiasa",INDIRECT("12Month!$CU$3:CU47"),"P"))</f>
        <v>0</v>
      </c>
      <c r="R3" s="121">
        <f ca="1">IF(LEFT('R'!C3,1)=".",,COUNTIFS(INDIRECT(SUBSTITUTE("@@!V13:V57","@@",'R'!$C3)),"Belum terbiasa",INDIRECT("12Month!$CU$3:$CU$47"),"P"))</f>
        <v>0</v>
      </c>
      <c r="S3" s="121">
        <f ca="1">IF(LEFT('R'!C3,1)=".",,COUNTIFS(INDIRECT(SUBSTITUTE("@@!W13:W57","@@",'R'!$C3)),"Sudah terbiasa",INDIRECT("12Month!$CU$3:CU47"),"L"))</f>
        <v>0</v>
      </c>
      <c r="T3" s="121">
        <f ca="1">IF(LEFT('R'!C3,1)=".",,COUNTIFS(INDIRECT(SUBSTITUTE("@@!W13:W57","@@",'R'!$C3)),"Belum terbiasa",INDIRECT("12Month!$CU$3:$CU$47"),"L"))</f>
        <v>0</v>
      </c>
      <c r="U3" s="121">
        <f ca="1">IF(LEFT('R'!C3,1)=".",,COUNTIFS(INDIRECT(SUBSTITUTE("@@!W13:W57","@@",'R'!$C3)),"Sudah terbiasa",INDIRECT("12Month!$CU$3:CU47"),"P"))</f>
        <v>0</v>
      </c>
      <c r="V3" s="121">
        <f ca="1">IF(LEFT('R'!C3,1)=".",,COUNTIFS(INDIRECT(SUBSTITUTE("@@!W13:W57","@@",'R'!$C3)),"Belum terbiasa",INDIRECT("12Month!$CU$3:$CU$47"),"P"))</f>
        <v>0</v>
      </c>
      <c r="W3" s="121">
        <f ca="1">IF(LEFT('R'!C3,1)=".",,COUNTIFS(INDIRECT(SUBSTITUTE("@@!X13:X57","@@",'R'!$C3)),"Sudah terbiasa",INDIRECT("12Month!$CU$3:CU47"),"L"))</f>
        <v>0</v>
      </c>
      <c r="X3" s="121">
        <f ca="1">IF(LEFT('R'!C3,1)=".",,COUNTIFS(INDIRECT(SUBSTITUTE("@@!X13:X57","@@",'R'!$C3)),"Belum terbiasa",INDIRECT("12Month!$CU$3:$CU$47"),"L"))</f>
        <v>0</v>
      </c>
      <c r="Y3" s="121">
        <f ca="1">IF(LEFT('R'!C3,1)=".",,COUNTIFS(INDIRECT(SUBSTITUTE("@@!X13:X57","@@",'R'!$C3)),"Sudah terbiasa",INDIRECT("12Month!$CU$3:CU47"),"P"))</f>
        <v>0</v>
      </c>
      <c r="Z3" s="121">
        <f ca="1">IF(LEFT('R'!C3,1)=".",,COUNTIFS(INDIRECT(SUBSTITUTE("@@!X13:X57","@@",'R'!$C3)),"Belum terbiasa",INDIRECT("12Month!$CU$3:$CU$47"),"P"))</f>
        <v>0</v>
      </c>
      <c r="AA3" s="121">
        <f ca="1">IF(LEFT('R'!C3,1)=".",,COUNTIFS(INDIRECT(SUBSTITUTE("@@!Y13:Y57","@@",'R'!$C3)),"Sudah terbiasa",INDIRECT("12Month!$CU$3:CU47"),"L"))</f>
        <v>0</v>
      </c>
      <c r="AB3" s="121">
        <f ca="1">IF(LEFT('R'!C3,1)=".",,COUNTIFS(INDIRECT(SUBSTITUTE("@@!Y13:Y57","@@",'R'!$C3)),"Belum terbiasa",INDIRECT("12Month!$CU$3:$CU$47"),"L"))</f>
        <v>0</v>
      </c>
      <c r="AC3" s="121">
        <f ca="1">IF(LEFT('R'!C3,1)=".",,COUNTIFS(INDIRECT(SUBSTITUTE("@@!Y13:Y57","@@",'R'!$C3)),"Sudah terbiasa",INDIRECT("12Month!$CU$3:CU47"),"P"))</f>
        <v>0</v>
      </c>
      <c r="AD3" s="121">
        <f ca="1">IF(LEFT('R'!C3,1)=".",,COUNTIFS(INDIRECT(SUBSTITUTE("@@!Y13:Y57","@@",'R'!$C3)),"Belum terbiasa",INDIRECT("12Month!$CU$3:$CU$47"),"P"))</f>
        <v>0</v>
      </c>
      <c r="AE3" s="121">
        <f ca="1">IF(LEFT('R'!C3,1)=".",,COUNTIFS(INDIRECT(SUBSTITUTE("@@!Z13:Z57","@@",'R'!$C3)),"Sudah terbiasa",INDIRECT("12Month!$CU$3:CU47"),"L"))</f>
        <v>0</v>
      </c>
      <c r="AF3" s="121">
        <f ca="1">IF(LEFT('R'!C3,1)=".",,COUNTIFS(INDIRECT(SUBSTITUTE("@@!Z13:Z57","@@",'R'!$C3)),"Belum terbiasa",INDIRECT("12Month!$CU$3:$CU$47"),"L"))</f>
        <v>0</v>
      </c>
      <c r="AG3" s="121">
        <f ca="1">IF(LEFT('R'!C3,1)=".",,COUNTIFS(INDIRECT(SUBSTITUTE("@@!Z13:Z57","@@",'R'!$C3)),"Sudah terbiasa",INDIRECT("12Month!$CU$3:CU47"),"P"))</f>
        <v>0</v>
      </c>
      <c r="AH3" s="121">
        <f ca="1">IF(LEFT('R'!C3,1)=".",,COUNTIFS(INDIRECT(SUBSTITUTE("@@!Z13:Z57","@@",'R'!$C3)),"Belum terbiasa",INDIRECT("12Month!$CU$3:$CU$47"),"P"))</f>
        <v>0</v>
      </c>
      <c r="AI3" s="121">
        <f ca="1">IF(LEFT('R'!C3,1)=".",,COUNTIFS(INDIRECT(SUBSTITUTE("@@!AA13:AA57","@@",'R'!$C3)),"Sudah terbiasa",INDIRECT("12Month!$CU$3:CU47"),"L"))</f>
        <v>0</v>
      </c>
      <c r="AJ3" s="121">
        <f ca="1">IF(LEFT('R'!C3,1)=".",,COUNTIFS(INDIRECT(SUBSTITUTE("@@!AA13:AA57","@@",'R'!$C3)),"Belum terbiasa",INDIRECT("12Month!$CU$3:$CU$47"),"L"))</f>
        <v>0</v>
      </c>
      <c r="AK3" s="121">
        <f ca="1">IF(LEFT('R'!C3,1)=".",,COUNTIFS(INDIRECT(SUBSTITUTE("@@!AA13:AA57","@@",'R'!$C3)),"Sudah terbiasa",INDIRECT("12Month!$CU$3:CU47"),"P"))</f>
        <v>0</v>
      </c>
      <c r="AL3" s="121">
        <f ca="1">IF(LEFT('R'!C3,1)=".",,COUNTIFS(INDIRECT(SUBSTITUTE("@@!AA13:AA57","@@",'R'!$C3)),"Belum terbiasa",INDIRECT("12Month!$CU$3:$CU$47"),"P"))</f>
        <v>0</v>
      </c>
      <c r="AM3" s="121">
        <f ca="1">IF(LEFT('R'!C3,1)=".",,COUNTIFS(INDIRECT(SUBSTITUTE("@@!AB13:AB57","@@",'R'!$C3)),"Sudah terbiasa",INDIRECT("12Month!$CU$3:CU47"),"L"))</f>
        <v>0</v>
      </c>
      <c r="AN3" s="121">
        <f ca="1">IF(LEFT('R'!C3,1)=".",,COUNTIFS(INDIRECT(SUBSTITUTE("@@!AB13:AB57","@@",'R'!$C3)),"Belum terbiasa",INDIRECT("12Month!$CU$3:$CU$47"),"L"))</f>
        <v>0</v>
      </c>
      <c r="AO3" s="121">
        <f ca="1">IF(LEFT('R'!C3,1)=".",,COUNTIFS(INDIRECT(SUBSTITUTE("@@!AB13:AB57","@@",'R'!$C3)),"Sudah terbiasa",INDIRECT("12Month!$CU$3:CU47"),"P"))</f>
        <v>0</v>
      </c>
      <c r="AP3" s="121">
        <f ca="1">IF(LEFT('R'!C3,1)=".",,COUNTIFS(INDIRECT(SUBSTITUTE("@@!AB13:AB57","@@",'R'!$C3)),"Belum terbiasa",INDIRECT("12Month!$CU$3:$CU$47"),"P"))</f>
        <v>0</v>
      </c>
      <c r="AQ3" s="121">
        <f ca="1">IF(LEFT('R'!C4,1)=".",,COUNTIFS(INDIRECT(SUBSTITUTE("@@!U13:U57","@@",'R'!$C4)),"Sudah terbiasa",INDIRECT("12Month!$CU$3:CU47"),"L"))</f>
        <v>0</v>
      </c>
      <c r="AR3" s="121">
        <f ca="1">IF(LEFT('R'!C4,1)=".",,COUNTIFS(INDIRECT(SUBSTITUTE("@@!U13:U57","@@",'R'!$C4)),"Belum terbiasa",INDIRECT("12Month!$CU$3:$CU$47"),"L"))</f>
        <v>0</v>
      </c>
      <c r="AS3" s="121">
        <f ca="1">IF(LEFT('R'!C4,1)=".",,COUNTIFS(INDIRECT(SUBSTITUTE("@@!U13:U57","@@",'R'!$C4)),"Sudah terbiasa",INDIRECT("12Month!$CU$3:CU47"),"P"))</f>
        <v>0</v>
      </c>
      <c r="AT3" s="121">
        <f ca="1">IF(LEFT('R'!C4,1)=".",,COUNTIFS(INDIRECT(SUBSTITUTE("@@!U13:U57","@@",'R'!$C4)),"Belum terbiasa",INDIRECT("12Month!$CU$3:$CU$47"),"P"))</f>
        <v>0</v>
      </c>
      <c r="AU3" s="121">
        <f ca="1">IF(LEFT('R'!C4,1)=".",,COUNTIFS(INDIRECT(SUBSTITUTE("@@!V13:V57","@@",'R'!$C4)),"Sudah terbiasa",INDIRECT("12Month!$CU$3:CU47"),"L"))</f>
        <v>0</v>
      </c>
      <c r="AV3" s="121">
        <f ca="1">IF(LEFT('R'!C4,1)=".",,COUNTIFS(INDIRECT(SUBSTITUTE("@@!V13:V57","@@",'R'!$C4)),"Belum terbiasa",INDIRECT("12Month!$CU$3:$CU$47"),"L"))</f>
        <v>0</v>
      </c>
      <c r="AW3" s="121">
        <f ca="1">IF(LEFT('R'!C4,1)=".",,COUNTIFS(INDIRECT(SUBSTITUTE("@@!V13:V57","@@",'R'!$C4)),"Sudah terbiasa",INDIRECT("12Month!$CU$3:CU47"),"P"))</f>
        <v>0</v>
      </c>
      <c r="AX3" s="121">
        <f ca="1">IF(LEFT('R'!C4,1)=".",,COUNTIFS(INDIRECT(SUBSTITUTE("@@!V13:V57","@@",'R'!$C4)),"Belum terbiasa",INDIRECT("12Month!$CU$3:$CU$47"),"P"))</f>
        <v>0</v>
      </c>
      <c r="AY3" s="121">
        <f ca="1">IF(LEFT('R'!C4,1)=".",,COUNTIFS(INDIRECT(SUBSTITUTE("@@!W13:W57","@@",'R'!$C4)),"Sudah terbiasa",INDIRECT("12Month!$CU$3:CU47"),"L"))</f>
        <v>0</v>
      </c>
      <c r="AZ3" s="121">
        <f ca="1">IF(LEFT('R'!C4,1)=".",,COUNTIFS(INDIRECT(SUBSTITUTE("@@!W13:W57","@@",'R'!$C4)),"Belum terbiasa",INDIRECT("12Month!$CU$3:$CU$47"),"L"))</f>
        <v>0</v>
      </c>
      <c r="BA3" s="121">
        <f ca="1">IF(LEFT('R'!C4,1)=".",,COUNTIFS(INDIRECT(SUBSTITUTE("@@!W13:W57","@@",'R'!$C4)),"Sudah terbiasa",INDIRECT("12Month!$CU$3:CU47"),"P"))</f>
        <v>0</v>
      </c>
      <c r="BB3" s="121">
        <f ca="1">IF(LEFT('R'!C4,1)=".",,COUNTIFS(INDIRECT(SUBSTITUTE("@@!W13:W57","@@",'R'!$C4)),"Belum terbiasa",INDIRECT("12Month!$CU$3:$CU$47"),"P"))</f>
        <v>0</v>
      </c>
      <c r="BC3" s="121">
        <f ca="1">IF(LEFT('R'!C4,1)=".",,COUNTIFS(INDIRECT(SUBSTITUTE("@@!X13:X57","@@",'R'!$C4)),"Sudah terbiasa",INDIRECT("12Month!$CU$3:CU47"),"L"))</f>
        <v>0</v>
      </c>
      <c r="BD3" s="121">
        <f ca="1">IF(LEFT('R'!C4,1)=".",,COUNTIFS(INDIRECT(SUBSTITUTE("@@!X13:X57","@@",'R'!$C4)),"Belum terbiasa",INDIRECT("12Month!$CU$3:$CU$47"),"L"))</f>
        <v>0</v>
      </c>
      <c r="BE3" s="121">
        <f ca="1">IF(LEFT('R'!C4,1)=".",,COUNTIFS(INDIRECT(SUBSTITUTE("@@!X13:X57","@@",'R'!$C4)),"Sudah terbiasa",INDIRECT("12Month!$CU$3:CU47"),"P"))</f>
        <v>0</v>
      </c>
      <c r="BF3" s="121">
        <f ca="1">IF(LEFT('R'!C4,1)=".",,COUNTIFS(INDIRECT(SUBSTITUTE("@@!X13:X57","@@",'R'!$C4)),"Belum terbiasa",INDIRECT("12Month!$CU$3:$CU$47"),"P"))</f>
        <v>0</v>
      </c>
      <c r="BG3" s="121">
        <f ca="1">IF(LEFT('R'!C4,1)=".",,COUNTIFS(INDIRECT(SUBSTITUTE("@@!Y13:Y57","@@",'R'!$C4)),"Sudah terbiasa",INDIRECT("12Month!$CU$3:CU47"),"L"))</f>
        <v>0</v>
      </c>
      <c r="BH3" s="121">
        <f ca="1">IF(LEFT('R'!C4,1)=".",,COUNTIFS(INDIRECT(SUBSTITUTE("@@!Y13:Y57","@@",'R'!$C4)),"Belum terbiasa",INDIRECT("12Month!$CU$3:$CU$47"),"L"))</f>
        <v>0</v>
      </c>
      <c r="BI3" s="121">
        <f ca="1">IF(LEFT('R'!C4,1)=".",,COUNTIFS(INDIRECT(SUBSTITUTE("@@!Y13:Y57","@@",'R'!$C4)),"Sudah terbiasa",INDIRECT("12Month!$CU$3:CU47"),"P"))</f>
        <v>0</v>
      </c>
      <c r="BJ3" s="121">
        <f ca="1">IF(LEFT('R'!C4,1)=".",,COUNTIFS(INDIRECT(SUBSTITUTE("@@!Y13:Y57","@@",'R'!$C4)),"Belum terbiasa",INDIRECT("12Month!$CU$3:$CU$47"),"P"))</f>
        <v>0</v>
      </c>
      <c r="BK3" s="121">
        <f ca="1">IF(LEFT('R'!C4,1)=".",,COUNTIFS(INDIRECT(SUBSTITUTE("@@!Z13:Z57","@@",'R'!$C4)),"Sudah terbiasa",INDIRECT("12Month!$CU$3:CU47"),"L"))</f>
        <v>0</v>
      </c>
      <c r="BL3" s="121">
        <f ca="1">IF(LEFT('R'!C4,1)=".",,COUNTIFS(INDIRECT(SUBSTITUTE("@@!Z13:Z57","@@",'R'!$C4)),"Belum terbiasa",INDIRECT("12Month!$CU$3:$CU$47"),"L"))</f>
        <v>0</v>
      </c>
      <c r="BM3" s="121">
        <f ca="1">IF(LEFT('R'!C4,1)=".",,COUNTIFS(INDIRECT(SUBSTITUTE("@@!Z13:Z57","@@",'R'!$C4)),"Sudah terbiasa",INDIRECT("12Month!$CU$3:CU47"),"P"))</f>
        <v>0</v>
      </c>
      <c r="BN3" s="121">
        <f ca="1">IF(LEFT('R'!C4,1)=".",,COUNTIFS(INDIRECT(SUBSTITUTE("@@!Z13:Z57","@@",'R'!$C4)),"Belum terbiasa",INDIRECT("12Month!$CU$3:$CU$47"),"P"))</f>
        <v>0</v>
      </c>
      <c r="BO3" s="121">
        <f ca="1">IF(LEFT('R'!C4,1)=".",,COUNTIFS(INDIRECT(SUBSTITUTE("@@!AA13:AA57","@@",'R'!$C4)),"Sudah terbiasa",INDIRECT("12Month!$CU$3:CU47"),"L"))</f>
        <v>0</v>
      </c>
      <c r="BP3" s="121">
        <f ca="1">IF(LEFT('R'!C4,1)=".",,COUNTIFS(INDIRECT(SUBSTITUTE("@@!AA13:AA57","@@",'R'!$C4)),"Belum terbiasa",INDIRECT("12Month!$CU$3:$CU$47"),"L"))</f>
        <v>0</v>
      </c>
      <c r="BQ3" s="121">
        <f ca="1">IF(LEFT('R'!C4,1)=".",,COUNTIFS(INDIRECT(SUBSTITUTE("@@!AA13:AA57","@@",'R'!$C4)),"Sudah terbiasa",INDIRECT("12Month!$CU$3:CU47"),"P"))</f>
        <v>0</v>
      </c>
      <c r="BR3" s="121">
        <f ca="1">IF(LEFT('R'!C4,1)=".",,COUNTIFS(INDIRECT(SUBSTITUTE("@@!AA13:AA57","@@",'R'!$C4)),"Belum terbiasa",INDIRECT("12Month!$CU$3:$CU$47"),"P"))</f>
        <v>0</v>
      </c>
      <c r="BS3" s="121">
        <f ca="1">IF(LEFT('R'!C4,1)=".",,COUNTIFS(INDIRECT(SUBSTITUTE("@@!AB13:AB57","@@",'R'!$C4)),"Sudah terbiasa",INDIRECT("12Month!$CU$3:CU47"),"L"))</f>
        <v>0</v>
      </c>
      <c r="BT3" s="121">
        <f ca="1">IF(LEFT('R'!C4,1)=".",,COUNTIFS(INDIRECT(SUBSTITUTE("@@!AB13:AB57","@@",'R'!$C4)),"Belum terbiasa",INDIRECT("12Month!$CU$3:$CU$47"),"L"))</f>
        <v>0</v>
      </c>
      <c r="BU3" s="121">
        <f ca="1">IF(LEFT('R'!C4,1)=".",,COUNTIFS(INDIRECT(SUBSTITUTE("@@!AB13:AB57","@@",'R'!$C4)),"Sudah terbiasa",INDIRECT("12Month!$CU$3:CU47"),"P"))</f>
        <v>0</v>
      </c>
      <c r="BV3" s="121">
        <f ca="1">IF(LEFT('R'!C4,1)=".",,COUNTIFS(INDIRECT(SUBSTITUTE("@@!AB13:AB57","@@",'R'!$C4)),"Belum terbiasa",INDIRECT("12Month!$CU$3:$CU$47"),"P"))</f>
        <v>0</v>
      </c>
      <c r="BW3" s="121">
        <f ca="1">IF(LEFT('R'!C5,1)=".",,COUNTIFS(INDIRECT(SUBSTITUTE("@@!U13:U57","@@",'R'!$C5)),"Sudah terbiasa",INDIRECT("12Month!$CU$3:CU47"),"L"))</f>
        <v>0</v>
      </c>
      <c r="BX3" s="121">
        <f ca="1">IF(LEFT('R'!C5,1)=".",,COUNTIFS(INDIRECT(SUBSTITUTE("@@!U13:U57","@@",'R'!$C5)),"Belum terbiasa",INDIRECT("12Month!$CU$3:$CU$47"),"L"))</f>
        <v>0</v>
      </c>
      <c r="BY3" s="121">
        <f ca="1">IF(LEFT('R'!C5,1)=".",,COUNTIFS(INDIRECT(SUBSTITUTE("@@!U13:U57","@@",'R'!$C5)),"Sudah terbiasa",INDIRECT("12Month!$CU$3:CU47"),"P"))</f>
        <v>0</v>
      </c>
      <c r="BZ3" s="121">
        <f ca="1">IF(LEFT('R'!C5,1)=".",,COUNTIFS(INDIRECT(SUBSTITUTE("@@!U13:U57","@@",'R'!$C5)),"Belum terbiasa",INDIRECT("12Month!$CU$3:$CU$47"),"P"))</f>
        <v>0</v>
      </c>
      <c r="CA3" s="121">
        <f ca="1">IF(LEFT('R'!C5,1)=".",,COUNTIFS(INDIRECT(SUBSTITUTE("@@!V13:V57","@@",'R'!$C5)),"Sudah terbiasa",INDIRECT("12Month!$CU$3:CU47"),"L"))</f>
        <v>0</v>
      </c>
      <c r="CB3" s="121">
        <f ca="1">IF(LEFT('R'!C5,1)=".",,COUNTIFS(INDIRECT(SUBSTITUTE("@@!V13:V57","@@",'R'!$C5)),"Belum terbiasa",INDIRECT("12Month!$CU$3:$CU$47"),"L"))</f>
        <v>0</v>
      </c>
      <c r="CC3" s="121">
        <f ca="1">IF(LEFT('R'!C5,1)=".",,COUNTIFS(INDIRECT(SUBSTITUTE("@@!V13:V57","@@",'R'!$C5)),"Sudah terbiasa",INDIRECT("12Month!$CU$3:CU47"),"P"))</f>
        <v>0</v>
      </c>
      <c r="CD3" s="121">
        <f ca="1">IF(LEFT('R'!C5,1)=".",,COUNTIFS(INDIRECT(SUBSTITUTE("@@!V13:V57","@@",'R'!$C5)),"Belum terbiasa",INDIRECT("12Month!$CU$3:$CU$47"),"P"))</f>
        <v>0</v>
      </c>
      <c r="CE3" s="121">
        <f ca="1">IF(LEFT('R'!C5,1)=".",,COUNTIFS(INDIRECT(SUBSTITUTE("@@!W13:W57","@@",'R'!$C5)),"Sudah terbiasa",INDIRECT("12Month!$CU$3:CU47"),"L"))</f>
        <v>0</v>
      </c>
      <c r="CF3" s="121">
        <f ca="1">IF(LEFT('R'!C5,1)=".",,COUNTIFS(INDIRECT(SUBSTITUTE("@@!W13:W57","@@",'R'!$C5)),"Belum terbiasa",INDIRECT("12Month!$CU$3:$CU$47"),"L"))</f>
        <v>0</v>
      </c>
      <c r="CG3" s="121">
        <f ca="1">IF(LEFT('R'!C5,1)=".",,COUNTIFS(INDIRECT(SUBSTITUTE("@@!W13:W57","@@",'R'!$C5)),"Sudah terbiasa",INDIRECT("12Month!$CU$3:CU47"),"P"))</f>
        <v>0</v>
      </c>
      <c r="CH3" s="121">
        <f ca="1">IF(LEFT('R'!C5,1)=".",,COUNTIFS(INDIRECT(SUBSTITUTE("@@!W13:W57","@@",'R'!$C5)),"Belum terbiasa",INDIRECT("12Month!$CU$3:$CU$47"),"P"))</f>
        <v>0</v>
      </c>
      <c r="CI3" s="121">
        <f ca="1">IF(LEFT('R'!C5,1)=".",,COUNTIFS(INDIRECT(SUBSTITUTE("@@!X13:X57","@@",'R'!$C5)),"Sudah terbiasa",INDIRECT("12Month!$CU$3:CU47"),"L"))</f>
        <v>0</v>
      </c>
      <c r="CJ3" s="121">
        <f ca="1">IF(LEFT('R'!C5,1)=".",,COUNTIFS(INDIRECT(SUBSTITUTE("@@!X13:X57","@@",'R'!$C5)),"Belum terbiasa",INDIRECT("12Month!$CU$3:$CU$47"),"L"))</f>
        <v>0</v>
      </c>
      <c r="CK3" s="121">
        <f ca="1">IF(LEFT('R'!C5,1)=".",,COUNTIFS(INDIRECT(SUBSTITUTE("@@!X13:X57","@@",'R'!$C5)),"Sudah terbiasa",INDIRECT("12Month!$CU$3:CU47"),"P"))</f>
        <v>0</v>
      </c>
      <c r="CL3" s="121">
        <f ca="1">IF(LEFT('R'!C5,1)=".",,COUNTIFS(INDIRECT(SUBSTITUTE("@@!X13:X57","@@",'R'!$C5)),"Belum terbiasa",INDIRECT("12Month!$CU$3:$CU$47"),"P"))</f>
        <v>0</v>
      </c>
      <c r="CM3" s="121">
        <f ca="1">IF(LEFT('R'!C5,1)=".",,COUNTIFS(INDIRECT(SUBSTITUTE("@@!Y13:Y57","@@",'R'!$C5)),"Sudah terbiasa",INDIRECT("12Month!$CU$3:CU47"),"L"))</f>
        <v>0</v>
      </c>
      <c r="CN3" s="121">
        <f ca="1">IF(LEFT('R'!C5,1)=".",,COUNTIFS(INDIRECT(SUBSTITUTE("@@!Y13:Y57","@@",'R'!$C5)),"Belum terbiasa",INDIRECT("12Month!$CU$3:$CU$47"),"L"))</f>
        <v>0</v>
      </c>
      <c r="CO3" s="121">
        <f ca="1">IF(LEFT('R'!C5,1)=".",,COUNTIFS(INDIRECT(SUBSTITUTE("@@!Y13:Y57","@@",'R'!$C5)),"Sudah terbiasa",INDIRECT("12Month!$CU$3:CU47"),"P"))</f>
        <v>0</v>
      </c>
      <c r="CP3" s="121">
        <f ca="1">IF(LEFT('R'!C5,1)=".",,COUNTIFS(INDIRECT(SUBSTITUTE("@@!Y13:Y57","@@",'R'!$C5)),"Belum terbiasa",INDIRECT("12Month!$CU$3:$CU$47"),"P"))</f>
        <v>0</v>
      </c>
      <c r="CQ3" s="121">
        <f ca="1">IF(LEFT('R'!C5,1)=".",,COUNTIFS(INDIRECT(SUBSTITUTE("@@!Z13:Z57","@@",'R'!$C5)),"Sudah terbiasa",INDIRECT("12Month!$CU$3:CU47"),"L"))</f>
        <v>0</v>
      </c>
      <c r="CR3" s="121">
        <f ca="1">IF(LEFT('R'!C5,1)=".",,COUNTIFS(INDIRECT(SUBSTITUTE("@@!Z13:Z57","@@",'R'!$C5)),"Belum terbiasa",INDIRECT("12Month!$CU$3:$CU$47"),"L"))</f>
        <v>0</v>
      </c>
      <c r="CS3" s="121">
        <f ca="1">IF(LEFT('R'!C5,1)=".",,COUNTIFS(INDIRECT(SUBSTITUTE("@@!Z13:Z57","@@",'R'!$C5)),"Sudah terbiasa",INDIRECT("12Month!$CU$3:CU47"),"P"))</f>
        <v>0</v>
      </c>
      <c r="CT3" s="121">
        <f ca="1">IF(LEFT('R'!C5,1)=".",,COUNTIFS(INDIRECT(SUBSTITUTE("@@!Z13:Z57","@@",'R'!$C5)),"Belum terbiasa",INDIRECT("12Month!$CU$3:$CU$47"),"P"))</f>
        <v>0</v>
      </c>
      <c r="CU3" s="121">
        <f ca="1">IF(LEFT('R'!C5,1)=".",,COUNTIFS(INDIRECT(SUBSTITUTE("@@!AA13:AA57","@@",'R'!$C5)),"Sudah terbiasa",INDIRECT("12Month!$CU$3:CU47"),"L"))</f>
        <v>0</v>
      </c>
      <c r="CV3" s="121">
        <f ca="1">IF(LEFT('R'!C5,1)=".",,COUNTIFS(INDIRECT(SUBSTITUTE("@@!AA13:AA57","@@",'R'!$C5)),"Belum terbiasa",INDIRECT("12Month!$CU$3:$CU$47"),"L"))</f>
        <v>0</v>
      </c>
      <c r="CW3" s="121">
        <f ca="1">IF(LEFT('R'!C5,1)=".",,COUNTIFS(INDIRECT(SUBSTITUTE("@@!AA13:AA57","@@",'R'!$C5)),"Sudah terbiasa",INDIRECT("12Month!$CU$3:CU47"),"P"))</f>
        <v>0</v>
      </c>
      <c r="CX3" s="121">
        <f ca="1">IF(LEFT('R'!C5,1)=".",,COUNTIFS(INDIRECT(SUBSTITUTE("@@!AA13:AA57","@@",'R'!$C5)),"Belum terbiasa",INDIRECT("12Month!$CU$3:$CU$47"),"P"))</f>
        <v>0</v>
      </c>
      <c r="CY3" s="121">
        <f ca="1">IF(LEFT('R'!C5,1)=".",,COUNTIFS(INDIRECT(SUBSTITUTE("@@!AB13:AB57","@@",'R'!$C5)),"Sudah terbiasa",INDIRECT("12Month!$CU$3:CU47"),"L"))</f>
        <v>0</v>
      </c>
      <c r="CZ3" s="121">
        <f ca="1">IF(LEFT('R'!C5,1)=".",,COUNTIFS(INDIRECT(SUBSTITUTE("@@!AB13:AB57","@@",'R'!$C5)),"Belum terbiasa",INDIRECT("12Month!$CU$3:$CU$47"),"L"))</f>
        <v>0</v>
      </c>
      <c r="DA3" s="121">
        <f ca="1">IF(LEFT('R'!C5,1)=".",,COUNTIFS(INDIRECT(SUBSTITUTE("@@!AB13:AB57","@@",'R'!$C5)),"Sudah terbiasa",INDIRECT("12Month!$CU$3:CU47"),"P"))</f>
        <v>0</v>
      </c>
      <c r="DB3" s="121">
        <f ca="1">IF(LEFT('R'!C5,1)=".",,COUNTIFS(INDIRECT(SUBSTITUTE("@@!AB13:AB57","@@",'R'!$C5)),"Belum terbiasa",INDIRECT("12Month!$CU$3:$CU$47"),"P"))</f>
        <v>0</v>
      </c>
      <c r="DC3" s="121">
        <f ca="1">IF(LEFT('R'!C6,1)=".",,COUNTIFS(INDIRECT(SUBSTITUTE("@@!U13:U57","@@",'R'!$C6)),"Sudah terbiasa",INDIRECT("12Month!$CU$3:CU47"),"L"))</f>
        <v>0</v>
      </c>
      <c r="DD3" s="121">
        <f ca="1">IF(LEFT('R'!C6,1)=".",,COUNTIFS(INDIRECT(SUBSTITUTE("@@!U13:U57","@@",'R'!$C6)),"Belum terbiasa",INDIRECT("12Month!$CU$3:$CU$47"),"L"))</f>
        <v>0</v>
      </c>
      <c r="DE3" s="121">
        <f ca="1">IF(LEFT('R'!C6,1)=".",,COUNTIFS(INDIRECT(SUBSTITUTE("@@!U13:U57","@@",'R'!$C6)),"Sudah terbiasa",INDIRECT("12Month!$CU$3:CU47"),"P"))</f>
        <v>0</v>
      </c>
      <c r="DF3" s="121">
        <f ca="1">IF(LEFT('R'!C6,1)=".",,COUNTIFS(INDIRECT(SUBSTITUTE("@@!U13:U57","@@",'R'!$C6)),"Belum terbiasa",INDIRECT("12Month!$CU$3:$CU$47"),"P"))</f>
        <v>0</v>
      </c>
      <c r="DG3" s="121">
        <f ca="1">IF(LEFT('R'!C6,1)=".",,COUNTIFS(INDIRECT(SUBSTITUTE("@@!V13:V57","@@",'R'!$C6)),"Sudah terbiasa",INDIRECT("12Month!$CU$3:CU47"),"L"))</f>
        <v>0</v>
      </c>
      <c r="DH3" s="121">
        <f ca="1">IF(LEFT('R'!C6,1)=".",,COUNTIFS(INDIRECT(SUBSTITUTE("@@!V13:V57","@@",'R'!$C6)),"Belum terbiasa",INDIRECT("12Month!$CU$3:$CU$47"),"L"))</f>
        <v>0</v>
      </c>
      <c r="DI3" s="121">
        <f ca="1">IF(LEFT('R'!C6,1)=".",,COUNTIFS(INDIRECT(SUBSTITUTE("@@!V13:V57","@@",'R'!$C6)),"Sudah terbiasa",INDIRECT("12Month!$CU$3:CU47"),"P"))</f>
        <v>0</v>
      </c>
      <c r="DJ3" s="121">
        <f ca="1">IF(LEFT('R'!C6,1)=".",,COUNTIFS(INDIRECT(SUBSTITUTE("@@!V13:V57","@@",'R'!$C6)),"Belum terbiasa",INDIRECT("12Month!$CU$3:$CU$47"),"P"))</f>
        <v>0</v>
      </c>
      <c r="DK3" s="121">
        <f ca="1">IF(LEFT('R'!C6,1)=".",,COUNTIFS(INDIRECT(SUBSTITUTE("@@!W13:W57","@@",'R'!$C6)),"Sudah terbiasa",INDIRECT("12Month!$CU$3:CU47"),"L"))</f>
        <v>0</v>
      </c>
      <c r="DL3" s="121">
        <f ca="1">IF(LEFT('R'!C6,1)=".",,COUNTIFS(INDIRECT(SUBSTITUTE("@@!W13:W57","@@",'R'!$C6)),"Belum terbiasa",INDIRECT("12Month!$CU$3:$CU$47"),"L"))</f>
        <v>0</v>
      </c>
      <c r="DM3" s="121">
        <f ca="1">IF(LEFT('R'!C6,1)=".",,COUNTIFS(INDIRECT(SUBSTITUTE("@@!W13:W57","@@",'R'!$C6)),"Sudah terbiasa",INDIRECT("12Month!$CU$3:CU47"),"P"))</f>
        <v>0</v>
      </c>
      <c r="DN3" s="121">
        <f ca="1">IF(LEFT('R'!C6,1)=".",,COUNTIFS(INDIRECT(SUBSTITUTE("@@!W13:W57","@@",'R'!$C6)),"Belum terbiasa",INDIRECT("12Month!$CU$3:$CU$47"),"P"))</f>
        <v>0</v>
      </c>
      <c r="DO3" s="121">
        <f ca="1">IF(LEFT('R'!C6,1)=".",,COUNTIFS(INDIRECT(SUBSTITUTE("@@!X13:X57","@@",'R'!$C6)),"Sudah terbiasa",INDIRECT("12Month!$CU$3:CU47"),"L"))</f>
        <v>0</v>
      </c>
      <c r="DP3" s="121">
        <f ca="1">IF(LEFT('R'!C6,1)=".",,COUNTIFS(INDIRECT(SUBSTITUTE("@@!X13:X57","@@",'R'!$C6)),"Belum terbiasa",INDIRECT("12Month!$CU$3:$CU$47"),"L"))</f>
        <v>0</v>
      </c>
      <c r="DQ3" s="121">
        <f ca="1">IF(LEFT('R'!C6,1)=".",,COUNTIFS(INDIRECT(SUBSTITUTE("@@!X13:X57","@@",'R'!$C6)),"Sudah terbiasa",INDIRECT("12Month!$CU$3:CU47"),"P"))</f>
        <v>0</v>
      </c>
      <c r="DR3" s="121">
        <f ca="1">IF(LEFT('R'!C6,1)=".",,COUNTIFS(INDIRECT(SUBSTITUTE("@@!X13:X57","@@",'R'!$C6)),"Belum terbiasa",INDIRECT("12Month!$CU$3:$CU$47"),"P"))</f>
        <v>0</v>
      </c>
      <c r="DS3" s="121">
        <f ca="1">IF(LEFT('R'!C6,1)=".",,COUNTIFS(INDIRECT(SUBSTITUTE("@@!Y13:Y57","@@",'R'!$C6)),"Sudah terbiasa",INDIRECT("12Month!$CU$3:CU47"),"L"))</f>
        <v>0</v>
      </c>
      <c r="DT3" s="121">
        <f ca="1">IF(LEFT('R'!C6,1)=".",,COUNTIFS(INDIRECT(SUBSTITUTE("@@!Y13:Y57","@@",'R'!$C6)),"Belum terbiasa",INDIRECT("12Month!$CU$3:$CU$47"),"L"))</f>
        <v>0</v>
      </c>
      <c r="DU3" s="121">
        <f ca="1">IF(LEFT('R'!C6,1)=".",,COUNTIFS(INDIRECT(SUBSTITUTE("@@!Y13:Y57","@@",'R'!$C6)),"Sudah terbiasa",INDIRECT("12Month!$CU$3:CU47"),"P"))</f>
        <v>0</v>
      </c>
      <c r="DV3" s="121">
        <f ca="1">IF(LEFT('R'!C6,1)=".",,COUNTIFS(INDIRECT(SUBSTITUTE("@@!Y13:Y57","@@",'R'!$C6)),"Belum terbiasa",INDIRECT("12Month!$CU$3:$CU$47"),"P"))</f>
        <v>0</v>
      </c>
      <c r="DW3" s="121">
        <f ca="1">IF(LEFT('R'!C6,1)=".",,COUNTIFS(INDIRECT(SUBSTITUTE("@@!Z13:Z57","@@",'R'!$C6)),"Sudah terbiasa",INDIRECT("12Month!$CU$3:CU47"),"L"))</f>
        <v>0</v>
      </c>
      <c r="DX3" s="121">
        <f ca="1">IF(LEFT('R'!C6,1)=".",,COUNTIFS(INDIRECT(SUBSTITUTE("@@!Z13:Z57","@@",'R'!$C6)),"Belum terbiasa",INDIRECT("12Month!$CU$3:$CU$47"),"L"))</f>
        <v>0</v>
      </c>
      <c r="DY3" s="121">
        <f ca="1">IF(LEFT('R'!C6,1)=".",,COUNTIFS(INDIRECT(SUBSTITUTE("@@!Z13:Z57","@@",'R'!$C6)),"Sudah terbiasa",INDIRECT("12Month!$CU$3:CU47"),"P"))</f>
        <v>0</v>
      </c>
      <c r="DZ3" s="121">
        <f ca="1">IF(LEFT('R'!C6,1)=".",,COUNTIFS(INDIRECT(SUBSTITUTE("@@!Z13:Z57","@@",'R'!$C6)),"Belum terbiasa",INDIRECT("12Month!$CU$3:$CU$47"),"P"))</f>
        <v>0</v>
      </c>
      <c r="EA3" s="121">
        <f ca="1">IF(LEFT('R'!C6,1)=".",,COUNTIFS(INDIRECT(SUBSTITUTE("@@!AA13:AA57","@@",'R'!$C6)),"Sudah terbiasa",INDIRECT("12Month!$CU$3:CU47"),"L"))</f>
        <v>0</v>
      </c>
      <c r="EB3" s="121">
        <f ca="1">IF(LEFT('R'!C6,1)=".",,COUNTIFS(INDIRECT(SUBSTITUTE("@@!AA13:AA57","@@",'R'!$C6)),"Belum terbiasa",INDIRECT("12Month!$CU$3:$CU$47"),"L"))</f>
        <v>0</v>
      </c>
      <c r="EC3" s="121">
        <f ca="1">IF(LEFT('R'!C6,1)=".",,COUNTIFS(INDIRECT(SUBSTITUTE("@@!AA13:AA57","@@",'R'!$C6)),"Sudah terbiasa",INDIRECT("12Month!$CU$3:CU47"),"P"))</f>
        <v>0</v>
      </c>
      <c r="ED3" s="121">
        <f ca="1">IF(LEFT('R'!C6,1)=".",,COUNTIFS(INDIRECT(SUBSTITUTE("@@!AA13:AA57","@@",'R'!$C6)),"Belum terbiasa",INDIRECT("12Month!$CU$3:$CU$47"),"P"))</f>
        <v>0</v>
      </c>
      <c r="EE3" s="121">
        <f ca="1">IF(LEFT('R'!C6,1)=".",,COUNTIFS(INDIRECT(SUBSTITUTE("@@!AB13:AB57","@@",'R'!$C6)),"Sudah terbiasa",INDIRECT("12Month!$CU$3:CU47"),"L"))</f>
        <v>0</v>
      </c>
      <c r="EF3" s="121">
        <f ca="1">IF(LEFT('R'!C6,1)=".",,COUNTIFS(INDIRECT(SUBSTITUTE("@@!AB13:AB57","@@",'R'!$C6)),"Belum terbiasa",INDIRECT("12Month!$CU$3:$CU$47"),"L"))</f>
        <v>0</v>
      </c>
      <c r="EG3" s="121">
        <f ca="1">IF(LEFT('R'!C6,1)=".",,COUNTIFS(INDIRECT(SUBSTITUTE("@@!AB13:AB57","@@",'R'!$C6)),"Sudah terbiasa",INDIRECT("12Month!$CU$3:CU47"),"P"))</f>
        <v>0</v>
      </c>
      <c r="EH3" s="121">
        <f ca="1">IF(LEFT('R'!C6,1)=".",,COUNTIFS(INDIRECT(SUBSTITUTE("@@!AB13:AB57","@@",'R'!$C6)),"Belum terbiasa",INDIRECT("12Month!$CU$3:$CU$47"),"P"))</f>
        <v>0</v>
      </c>
      <c r="EI3" s="121">
        <f ca="1">IF(LEFT('R'!C7,1)=".",,COUNTIFS(INDIRECT(SUBSTITUTE("@@!U13:U57","@@",'R'!$C7)),"Sudah terbiasa",INDIRECT("12Month!$CU$3:CU47"),"L"))</f>
        <v>0</v>
      </c>
      <c r="EJ3" s="121">
        <f ca="1">IF(LEFT('R'!C7,1)=".",,COUNTIFS(INDIRECT(SUBSTITUTE("@@!U13:U57","@@",'R'!$C7)),"Belum terbiasa",INDIRECT("12Month!$CU$3:$CU$47"),"L"))</f>
        <v>0</v>
      </c>
      <c r="EK3" s="121">
        <f ca="1">IF(LEFT('R'!C7,1)=".",,COUNTIFS(INDIRECT(SUBSTITUTE("@@!U13:U57","@@",'R'!$C7)),"Sudah terbiasa",INDIRECT("12Month!$CU$3:CU47"),"P"))</f>
        <v>0</v>
      </c>
      <c r="EL3" s="121">
        <f ca="1">IF(LEFT('R'!C7,1)=".",,COUNTIFS(INDIRECT(SUBSTITUTE("@@!U13:U57","@@",'R'!$C7)),"Belum terbiasa",INDIRECT("12Month!$CU$3:$CU$47"),"P"))</f>
        <v>0</v>
      </c>
      <c r="EM3" s="121">
        <f ca="1">IF(LEFT('R'!C7,1)=".",,COUNTIFS(INDIRECT(SUBSTITUTE("@@!V13:V57","@@",'R'!$C7)),"Sudah terbiasa",INDIRECT("12Month!$CU$3:CU47"),"L"))</f>
        <v>0</v>
      </c>
      <c r="EN3" s="121">
        <f ca="1">IF(LEFT('R'!C7,1)=".",,COUNTIFS(INDIRECT(SUBSTITUTE("@@!V13:V57","@@",'R'!$C7)),"Belum terbiasa",INDIRECT("12Month!$CU$3:$CU$47"),"L"))</f>
        <v>0</v>
      </c>
      <c r="EO3" s="121">
        <f ca="1">IF(LEFT('R'!C7,1)=".",,COUNTIFS(INDIRECT(SUBSTITUTE("@@!V13:V57","@@",'R'!$C7)),"Sudah terbiasa",INDIRECT("12Month!$CU$3:CU47"),"P"))</f>
        <v>0</v>
      </c>
      <c r="EP3" s="121">
        <f ca="1">IF(LEFT('R'!C7,1)=".",,COUNTIFS(INDIRECT(SUBSTITUTE("@@!V13:V57","@@",'R'!$C7)),"Belum terbiasa",INDIRECT("12Month!$CU$3:$CU$47"),"P"))</f>
        <v>0</v>
      </c>
      <c r="EQ3" s="121">
        <f ca="1">IF(LEFT('R'!C7,1)=".",,COUNTIFS(INDIRECT(SUBSTITUTE("@@!W13:W57","@@",'R'!$C7)),"Sudah terbiasa",INDIRECT("12Month!$CU$3:CU47"),"L"))</f>
        <v>0</v>
      </c>
      <c r="ER3" s="121">
        <f ca="1">IF(LEFT('R'!C7,1)=".",,COUNTIFS(INDIRECT(SUBSTITUTE("@@!W13:W57","@@",'R'!$C7)),"Belum terbiasa",INDIRECT("12Month!$CU$3:$CU$47"),"L"))</f>
        <v>0</v>
      </c>
      <c r="ES3" s="121">
        <f ca="1">IF(LEFT('R'!C7,1)=".",,COUNTIFS(INDIRECT(SUBSTITUTE("@@!W13:W57","@@",'R'!$C7)),"Sudah terbiasa",INDIRECT("12Month!$CU$3:CU47"),"P"))</f>
        <v>0</v>
      </c>
      <c r="ET3" s="121">
        <f ca="1">IF(LEFT('R'!C7,1)=".",,COUNTIFS(INDIRECT(SUBSTITUTE("@@!W13:W57","@@",'R'!$C7)),"Belum terbiasa",INDIRECT("12Month!$CU$3:$CU$47"),"P"))</f>
        <v>0</v>
      </c>
      <c r="EU3" s="121">
        <f ca="1">IF(LEFT('R'!C7,1)=".",,COUNTIFS(INDIRECT(SUBSTITUTE("@@!X13:X57","@@",'R'!$C7)),"Sudah terbiasa",INDIRECT("12Month!$CU$3:CU47"),"L"))</f>
        <v>0</v>
      </c>
      <c r="EV3" s="121">
        <f ca="1">IF(LEFT('R'!C7,1)=".",,COUNTIFS(INDIRECT(SUBSTITUTE("@@!X13:X57","@@",'R'!$C7)),"Belum terbiasa",INDIRECT("12Month!$CU$3:$CU$47"),"L"))</f>
        <v>0</v>
      </c>
      <c r="EW3" s="121">
        <f ca="1">IF(LEFT('R'!C7,1)=".",,COUNTIFS(INDIRECT(SUBSTITUTE("@@!X13:X57","@@",'R'!$C7)),"Sudah terbiasa",INDIRECT("12Month!$CU$3:CU47"),"P"))</f>
        <v>0</v>
      </c>
      <c r="EX3" s="121">
        <f ca="1">IF(LEFT('R'!C7,1)=".",,COUNTIFS(INDIRECT(SUBSTITUTE("@@!X13:X57","@@",'R'!$C7)),"Belum terbiasa",INDIRECT("12Month!$CU$3:$CU$47"),"P"))</f>
        <v>0</v>
      </c>
      <c r="EY3" s="121">
        <f ca="1">IF(LEFT('R'!C7,1)=".",,COUNTIFS(INDIRECT(SUBSTITUTE("@@!Y13:Y57","@@",'R'!$C7)),"Sudah terbiasa",INDIRECT("12Month!$CU$3:CU47"),"L"))</f>
        <v>0</v>
      </c>
      <c r="EZ3" s="121">
        <f ca="1">IF(LEFT('R'!C7,1)=".",,COUNTIFS(INDIRECT(SUBSTITUTE("@@!Y13:Y57","@@",'R'!$C7)),"Belum terbiasa",INDIRECT("12Month!$CU$3:$CU$47"),"L"))</f>
        <v>0</v>
      </c>
      <c r="FA3" s="121">
        <f ca="1">IF(LEFT('R'!C7,1)=".",,COUNTIFS(INDIRECT(SUBSTITUTE("@@!Y13:Y57","@@",'R'!$C7)),"Sudah terbiasa",INDIRECT("12Month!$CU$3:CU47"),"P"))</f>
        <v>0</v>
      </c>
      <c r="FB3" s="121">
        <f ca="1">IF(LEFT('R'!C7,1)=".",,COUNTIFS(INDIRECT(SUBSTITUTE("@@!Y13:Y57","@@",'R'!$C7)),"Belum terbiasa",INDIRECT("12Month!$CU$3:$CU$47"),"P"))</f>
        <v>0</v>
      </c>
      <c r="FC3" s="121">
        <f ca="1">IF(LEFT('R'!C7,1)=".",,COUNTIFS(INDIRECT(SUBSTITUTE("@@!Z13:Z57","@@",'R'!$C7)),"Sudah terbiasa",INDIRECT("12Month!$CU$3:CU47"),"L"))</f>
        <v>0</v>
      </c>
      <c r="FD3" s="121">
        <f ca="1">IF(LEFT('R'!C7,1)=".",,COUNTIFS(INDIRECT(SUBSTITUTE("@@!Z13:Z57","@@",'R'!$C7)),"Belum terbiasa",INDIRECT("12Month!$CU$3:$CU$47"),"L"))</f>
        <v>0</v>
      </c>
      <c r="FE3" s="121">
        <f ca="1">IF(LEFT('R'!C7,1)=".",,COUNTIFS(INDIRECT(SUBSTITUTE("@@!Z13:Z57","@@",'R'!$C7)),"Sudah terbiasa",INDIRECT("12Month!$CU$3:CU47"),"P"))</f>
        <v>0</v>
      </c>
      <c r="FF3" s="121">
        <f ca="1">IF(LEFT('R'!C7,1)=".",,COUNTIFS(INDIRECT(SUBSTITUTE("@@!Z13:Z57","@@",'R'!$C7)),"Belum terbiasa",INDIRECT("12Month!$CU$3:$CU$47"),"P"))</f>
        <v>0</v>
      </c>
      <c r="FG3" s="121">
        <f ca="1">IF(LEFT('R'!C7,1)=".",,COUNTIFS(INDIRECT(SUBSTITUTE("@@!AA13:AA57","@@",'R'!$C7)),"Sudah terbiasa",INDIRECT("12Month!$CU$3:CU47"),"L"))</f>
        <v>0</v>
      </c>
      <c r="FH3" s="121">
        <f ca="1">IF(LEFT('R'!C7,1)=".",,COUNTIFS(INDIRECT(SUBSTITUTE("@@!AA13:AA57","@@",'R'!$C7)),"Belum terbiasa",INDIRECT("12Month!$CU$3:$CU$47"),"L"))</f>
        <v>0</v>
      </c>
      <c r="FI3" s="121">
        <f ca="1">IF(LEFT('R'!C7,1)=".",,COUNTIFS(INDIRECT(SUBSTITUTE("@@!AA13:AA57","@@",'R'!$C7)),"Sudah terbiasa",INDIRECT("12Month!$CU$3:CU47"),"P"))</f>
        <v>0</v>
      </c>
      <c r="FJ3" s="121">
        <f ca="1">IF(LEFT('R'!C7,1)=".",,COUNTIFS(INDIRECT(SUBSTITUTE("@@!AA13:AA57","@@",'R'!$C7)),"Belum terbiasa",INDIRECT("12Month!$CU$3:$CU$47"),"P"))</f>
        <v>0</v>
      </c>
      <c r="FK3" s="121">
        <f ca="1">IF(LEFT('R'!C7,1)=".",,COUNTIFS(INDIRECT(SUBSTITUTE("@@!AB13:AB57","@@",'R'!$C7)),"Sudah terbiasa",INDIRECT("12Month!$CU$3:CU47"),"L"))</f>
        <v>0</v>
      </c>
      <c r="FL3" s="121">
        <f ca="1">IF(LEFT('R'!C7,1)=".",,COUNTIFS(INDIRECT(SUBSTITUTE("@@!AB13:AB57","@@",'R'!$C7)),"Belum terbiasa",INDIRECT("12Month!$CU$3:$CU$47"),"L"))</f>
        <v>0</v>
      </c>
      <c r="FM3" s="121">
        <f ca="1">IF(LEFT('R'!C7,1)=".",,COUNTIFS(INDIRECT(SUBSTITUTE("@@!AB13:AB57","@@",'R'!$C7)),"Sudah terbiasa",INDIRECT("12Month!$CU$3:CU47"),"P"))</f>
        <v>0</v>
      </c>
      <c r="FN3" s="121">
        <f ca="1">IF(LEFT('R'!C7,1)=".",,COUNTIFS(INDIRECT(SUBSTITUTE("@@!AB13:AB57","@@",'R'!$C7)),"Belum terbiasa",INDIRECT("12Month!$CU$3:$CU$47"),"P"))</f>
        <v>0</v>
      </c>
      <c r="FO3" s="121">
        <f ca="1">IF(LEFT('R'!C8,1)=".",,COUNTIFS(INDIRECT(SUBSTITUTE("@@!U13:U57","@@",'R'!$C8)),"Sudah terbiasa",INDIRECT("12Month!$CU$3:CU47"),"L"))</f>
        <v>0</v>
      </c>
      <c r="FP3" s="121">
        <f ca="1">IF(LEFT('R'!C8,1)=".",,COUNTIFS(INDIRECT(SUBSTITUTE("@@!U13:U57","@@",'R'!$C8)),"Belum terbiasa",INDIRECT("12Month!$CU$3:$CU$47"),"L"))</f>
        <v>0</v>
      </c>
      <c r="FQ3" s="121">
        <f ca="1">IF(LEFT('R'!C8,1)=".",,COUNTIFS(INDIRECT(SUBSTITUTE("@@!U13:U57","@@",'R'!$C8)),"Sudah terbiasa",INDIRECT("12Month!$CU$3:CU47"),"P"))</f>
        <v>0</v>
      </c>
      <c r="FR3" s="121">
        <f ca="1">IF(LEFT('R'!C8,1)=".",,COUNTIFS(INDIRECT(SUBSTITUTE("@@!U13:U57","@@",'R'!$C8)),"Belum terbiasa",INDIRECT("12Month!$CU$3:$CU$47"),"P"))</f>
        <v>0</v>
      </c>
      <c r="FS3" s="121">
        <f ca="1">IF(LEFT('R'!C8,1)=".",,COUNTIFS(INDIRECT(SUBSTITUTE("@@!V13:V57","@@",'R'!$C8)),"Sudah terbiasa",INDIRECT("12Month!$CU$3:CU47"),"L"))</f>
        <v>0</v>
      </c>
      <c r="FT3" s="121">
        <f ca="1">IF(LEFT('R'!C8,1)=".",,COUNTIFS(INDIRECT(SUBSTITUTE("@@!V13:V57","@@",'R'!$C8)),"Belum terbiasa",INDIRECT("12Month!$CU$3:$CU$47"),"L"))</f>
        <v>0</v>
      </c>
      <c r="FU3" s="121">
        <f ca="1">IF(LEFT('R'!C8,1)=".",,COUNTIFS(INDIRECT(SUBSTITUTE("@@!V13:V57","@@",'R'!$C8)),"Sudah terbiasa",INDIRECT("12Month!$CU$3:CU47"),"P"))</f>
        <v>0</v>
      </c>
      <c r="FV3" s="121">
        <f ca="1">IF(LEFT('R'!C8,1)=".",,COUNTIFS(INDIRECT(SUBSTITUTE("@@!V13:V57","@@",'R'!$C8)),"Belum terbiasa",INDIRECT("12Month!$CU$3:$CU$47"),"P"))</f>
        <v>0</v>
      </c>
      <c r="FW3" s="121">
        <f ca="1">IF(LEFT('R'!C8,1)=".",,COUNTIFS(INDIRECT(SUBSTITUTE("@@!W13:W57","@@",'R'!$C8)),"Sudah terbiasa",INDIRECT("12Month!$CU$3:CU47"),"L"))</f>
        <v>0</v>
      </c>
      <c r="FX3" s="121">
        <f ca="1">IF(LEFT('R'!C8,1)=".",,COUNTIFS(INDIRECT(SUBSTITUTE("@@!W13:W57","@@",'R'!$C8)),"Belum terbiasa",INDIRECT("12Month!$CU$3:$CU$47"),"L"))</f>
        <v>0</v>
      </c>
      <c r="FY3" s="121">
        <f ca="1">IF(LEFT('R'!C8,1)=".",,COUNTIFS(INDIRECT(SUBSTITUTE("@@!W13:W57","@@",'R'!$C8)),"Sudah terbiasa",INDIRECT("12Month!$CU$3:CU47"),"P"))</f>
        <v>0</v>
      </c>
      <c r="FZ3" s="121">
        <f ca="1">IF(LEFT('R'!C8,1)=".",,COUNTIFS(INDIRECT(SUBSTITUTE("@@!W13:W57","@@",'R'!$C8)),"Belum terbiasa",INDIRECT("12Month!$CU$3:$CU$47"),"P"))</f>
        <v>0</v>
      </c>
      <c r="GA3" s="121">
        <f ca="1">IF(LEFT('R'!C8,1)=".",,COUNTIFS(INDIRECT(SUBSTITUTE("@@!X13:X57","@@",'R'!$C8)),"Sudah terbiasa",INDIRECT("12Month!$CU$3:CU47"),"L"))</f>
        <v>0</v>
      </c>
      <c r="GB3" s="121">
        <f ca="1">IF(LEFT('R'!C8,1)=".",,COUNTIFS(INDIRECT(SUBSTITUTE("@@!X13:X57","@@",'R'!$C8)),"Belum terbiasa",INDIRECT("12Month!$CU$3:$CU$47"),"L"))</f>
        <v>0</v>
      </c>
      <c r="GC3" s="121">
        <f ca="1">IF(LEFT('R'!C8,1)=".",,COUNTIFS(INDIRECT(SUBSTITUTE("@@!X13:X57","@@",'R'!$C8)),"Sudah terbiasa",INDIRECT("12Month!$CU$3:CU47"),"P"))</f>
        <v>0</v>
      </c>
      <c r="GD3" s="121">
        <f ca="1">IF(LEFT('R'!C8,1)=".",,COUNTIFS(INDIRECT(SUBSTITUTE("@@!X13:X57","@@",'R'!$C8)),"Belum terbiasa",INDIRECT("12Month!$CU$3:$CU$47"),"P"))</f>
        <v>0</v>
      </c>
      <c r="GE3" s="121">
        <f ca="1">IF(LEFT('R'!C8,1)=".",,COUNTIFS(INDIRECT(SUBSTITUTE("@@!Y13:Y57","@@",'R'!$C8)),"Sudah terbiasa",INDIRECT("12Month!$CU$3:CU47"),"L"))</f>
        <v>0</v>
      </c>
      <c r="GF3" s="121">
        <f ca="1">IF(LEFT('R'!C8,1)=".",,COUNTIFS(INDIRECT(SUBSTITUTE("@@!Y13:Y57","@@",'R'!$C8)),"Belum terbiasa",INDIRECT("12Month!$CU$3:$CU$47"),"L"))</f>
        <v>0</v>
      </c>
      <c r="GG3" s="121">
        <f ca="1">IF(LEFT('R'!C8,1)=".",,COUNTIFS(INDIRECT(SUBSTITUTE("@@!Y13:Y57","@@",'R'!$C8)),"Sudah terbiasa",INDIRECT("12Month!$CU$3:CU47"),"P"))</f>
        <v>0</v>
      </c>
      <c r="GH3" s="121">
        <f ca="1">IF(LEFT('R'!C8,1)=".",,COUNTIFS(INDIRECT(SUBSTITUTE("@@!Y13:Y57","@@",'R'!$C8)),"Belum terbiasa",INDIRECT("12Month!$CU$3:$CU$47"),"P"))</f>
        <v>0</v>
      </c>
      <c r="GI3" s="121">
        <f ca="1">IF(LEFT('R'!C8,1)=".",,COUNTIFS(INDIRECT(SUBSTITUTE("@@!Z13:Z57","@@",'R'!$C8)),"Sudah terbiasa",INDIRECT("12Month!$CU$3:CU47"),"L"))</f>
        <v>0</v>
      </c>
      <c r="GJ3" s="121">
        <f ca="1">IF(LEFT('R'!C8,1)=".",,COUNTIFS(INDIRECT(SUBSTITUTE("@@!Z13:Z57","@@",'R'!$C8)),"Belum terbiasa",INDIRECT("12Month!$CU$3:$CU$47"),"L"))</f>
        <v>0</v>
      </c>
      <c r="GK3" s="121">
        <f ca="1">IF(LEFT('R'!C8,1)=".",,COUNTIFS(INDIRECT(SUBSTITUTE("@@!Z13:Z57","@@",'R'!$C8)),"Sudah terbiasa",INDIRECT("12Month!$CU$3:CU47"),"P"))</f>
        <v>0</v>
      </c>
      <c r="GL3" s="121">
        <f ca="1">IF(LEFT('R'!C8,1)=".",,COUNTIFS(INDIRECT(SUBSTITUTE("@@!Z13:Z57","@@",'R'!$C8)),"Belum terbiasa",INDIRECT("12Month!$CU$3:$CU$47"),"P"))</f>
        <v>0</v>
      </c>
      <c r="GM3" s="121">
        <f ca="1">IF(LEFT('R'!C8,1)=".",,COUNTIFS(INDIRECT(SUBSTITUTE("@@!AA13:AA57","@@",'R'!$C8)),"Sudah terbiasa",INDIRECT("12Month!$CU$3:CU47"),"L"))</f>
        <v>0</v>
      </c>
      <c r="GN3" s="121">
        <f ca="1">IF(LEFT('R'!C8,1)=".",,COUNTIFS(INDIRECT(SUBSTITUTE("@@!AA13:AA57","@@",'R'!$C8)),"Belum terbiasa",INDIRECT("12Month!$CU$3:$CU$47"),"L"))</f>
        <v>0</v>
      </c>
      <c r="GO3" s="121">
        <f ca="1">IF(LEFT('R'!C8,1)=".",,COUNTIFS(INDIRECT(SUBSTITUTE("@@!AA13:AA57","@@",'R'!$C8)),"Sudah terbiasa",INDIRECT("12Month!$CU$3:CU47"),"P"))</f>
        <v>0</v>
      </c>
      <c r="GP3" s="121">
        <f ca="1">IF(LEFT('R'!C8,1)=".",,COUNTIFS(INDIRECT(SUBSTITUTE("@@!AA13:AA57","@@",'R'!$C8)),"Belum terbiasa",INDIRECT("12Month!$CU$3:$CU$47"),"P"))</f>
        <v>0</v>
      </c>
      <c r="GQ3" s="121">
        <f ca="1">IF(LEFT('R'!C8,1)=".",,COUNTIFS(INDIRECT(SUBSTITUTE("@@!AB13:AB57","@@",'R'!$C8)),"Sudah terbiasa",INDIRECT("12Month!$CU$3:CU47"),"L"))</f>
        <v>0</v>
      </c>
      <c r="GR3" s="121">
        <f ca="1">IF(LEFT('R'!C8,1)=".",,COUNTIFS(INDIRECT(SUBSTITUTE("@@!AB13:AB57","@@",'R'!$C8)),"Belum terbiasa",INDIRECT("12Month!$CU$3:$CU$47"),"L"))</f>
        <v>0</v>
      </c>
      <c r="GS3" s="121">
        <f ca="1">IF(LEFT('R'!C8,1)=".",,COUNTIFS(INDIRECT(SUBSTITUTE("@@!AB13:AB57","@@",'R'!$C8)),"Sudah terbiasa",INDIRECT("12Month!$CU$3:CU47"),"P"))</f>
        <v>0</v>
      </c>
      <c r="GT3" s="121">
        <f ca="1">IF(LEFT('R'!C8,1)=".",,COUNTIFS(INDIRECT(SUBSTITUTE("@@!AB13:AB57","@@",'R'!$C8)),"Belum terbiasa",INDIRECT("12Month!$CU$3:$CU$47"),"P"))</f>
        <v>0</v>
      </c>
      <c r="GU3" s="121">
        <f ca="1">IF(LEFT('R'!C9,1)=".",,COUNTIFS(INDIRECT(SUBSTITUTE("@@!U13:U57","@@",'R'!$C9)),"Sudah terbiasa",INDIRECT("12Month!$CU$3:CU47"),"L"))</f>
        <v>0</v>
      </c>
      <c r="GV3" s="121">
        <f ca="1">IF(LEFT('R'!C9,1)=".",,COUNTIFS(INDIRECT(SUBSTITUTE("@@!U13:U57","@@",'R'!$C9)),"Belum terbiasa",INDIRECT("12Month!$CU$3:$CU$47"),"L"))</f>
        <v>0</v>
      </c>
      <c r="GW3" s="121">
        <f ca="1">IF(LEFT('R'!C9,1)=".",,COUNTIFS(INDIRECT(SUBSTITUTE("@@!U13:U57","@@",'R'!$C9)),"Sudah terbiasa",INDIRECT("12Month!$CU$3:CU47"),"P"))</f>
        <v>0</v>
      </c>
      <c r="GX3" s="121">
        <f ca="1">IF(LEFT('R'!C9,1)=".",,COUNTIFS(INDIRECT(SUBSTITUTE("@@!U13:U57","@@",'R'!$C9)),"Belum terbiasa",INDIRECT("12Month!$CU$3:$CU$47"),"P"))</f>
        <v>0</v>
      </c>
      <c r="GY3" s="121">
        <f ca="1">IF(LEFT('R'!C9,1)=".",,COUNTIFS(INDIRECT(SUBSTITUTE("@@!V13:V57","@@",'R'!$C9)),"Sudah terbiasa",INDIRECT("12Month!$CU$3:CU47"),"L"))</f>
        <v>0</v>
      </c>
      <c r="GZ3" s="121">
        <f ca="1">IF(LEFT('R'!C9,1)=".",,COUNTIFS(INDIRECT(SUBSTITUTE("@@!V13:V57","@@",'R'!$C9)),"Belum terbiasa",INDIRECT("12Month!$CU$3:$CU$47"),"L"))</f>
        <v>0</v>
      </c>
      <c r="HA3" s="121">
        <f ca="1">IF(LEFT('R'!C9,1)=".",,COUNTIFS(INDIRECT(SUBSTITUTE("@@!V13:V57","@@",'R'!$C9)),"Sudah terbiasa",INDIRECT("12Month!$CU$3:CU47"),"P"))</f>
        <v>0</v>
      </c>
      <c r="HB3" s="121">
        <f ca="1">IF(LEFT('R'!C9,1)=".",,COUNTIFS(INDIRECT(SUBSTITUTE("@@!V13:V57","@@",'R'!$C9)),"Belum terbiasa",INDIRECT("12Month!$CU$3:$CU$47"),"P"))</f>
        <v>0</v>
      </c>
      <c r="HC3" s="121">
        <f ca="1">IF(LEFT('R'!C9,1)=".",,COUNTIFS(INDIRECT(SUBSTITUTE("@@!W13:W57","@@",'R'!$C9)),"Sudah terbiasa",INDIRECT("12Month!$CU$3:CU47"),"L"))</f>
        <v>0</v>
      </c>
      <c r="HD3" s="121">
        <f ca="1">IF(LEFT('R'!C9,1)=".",,COUNTIFS(INDIRECT(SUBSTITUTE("@@!W13:W57","@@",'R'!$C9)),"Belum terbiasa",INDIRECT("12Month!$CU$3:$CU$47"),"L"))</f>
        <v>0</v>
      </c>
      <c r="HE3" s="121">
        <f ca="1">IF(LEFT('R'!C9,1)=".",,COUNTIFS(INDIRECT(SUBSTITUTE("@@!W13:W57","@@",'R'!$C9)),"Sudah terbiasa",INDIRECT("12Month!$CU$3:CU47"),"P"))</f>
        <v>0</v>
      </c>
      <c r="HF3" s="121">
        <f ca="1">IF(LEFT('R'!C9,1)=".",,COUNTIFS(INDIRECT(SUBSTITUTE("@@!W13:W57","@@",'R'!$C9)),"Belum terbiasa",INDIRECT("12Month!$CU$3:$CU$47"),"P"))</f>
        <v>0</v>
      </c>
      <c r="HG3" s="121">
        <f ca="1">IF(LEFT('R'!C9,1)=".",,COUNTIFS(INDIRECT(SUBSTITUTE("@@!X13:X57","@@",'R'!$C9)),"Sudah terbiasa",INDIRECT("12Month!$CU$3:CU47"),"L"))</f>
        <v>0</v>
      </c>
      <c r="HH3" s="121">
        <f ca="1">IF(LEFT('R'!C9,1)=".",,COUNTIFS(INDIRECT(SUBSTITUTE("@@!X13:X57","@@",'R'!$C9)),"Belum terbiasa",INDIRECT("12Month!$CU$3:$CU$47"),"L"))</f>
        <v>0</v>
      </c>
      <c r="HI3" s="121">
        <f ca="1">IF(LEFT('R'!C9,1)=".",,COUNTIFS(INDIRECT(SUBSTITUTE("@@!X13:X57","@@",'R'!$C9)),"Sudah terbiasa",INDIRECT("12Month!$CU$3:CU47"),"P"))</f>
        <v>0</v>
      </c>
      <c r="HJ3" s="121">
        <f ca="1">IF(LEFT('R'!C9,1)=".",,COUNTIFS(INDIRECT(SUBSTITUTE("@@!X13:X57","@@",'R'!$C9)),"Belum terbiasa",INDIRECT("12Month!$CU$3:$CU$47"),"P"))</f>
        <v>0</v>
      </c>
      <c r="HK3" s="121">
        <f ca="1">IF(LEFT('R'!C9,1)=".",,COUNTIFS(INDIRECT(SUBSTITUTE("@@!Y13:Y57","@@",'R'!$C9)),"Sudah terbiasa",INDIRECT("12Month!$CU$3:CU47"),"L"))</f>
        <v>0</v>
      </c>
      <c r="HL3" s="121">
        <f ca="1">IF(LEFT('R'!C9,1)=".",,COUNTIFS(INDIRECT(SUBSTITUTE("@@!Y13:Y57","@@",'R'!$C9)),"Belum terbiasa",INDIRECT("12Month!$CU$3:$CU$47"),"L"))</f>
        <v>0</v>
      </c>
      <c r="HM3" s="121">
        <f ca="1">IF(LEFT('R'!C9,1)=".",,COUNTIFS(INDIRECT(SUBSTITUTE("@@!Y13:Y57","@@",'R'!$C9)),"Sudah terbiasa",INDIRECT("12Month!$CU$3:CU47"),"P"))</f>
        <v>0</v>
      </c>
      <c r="HN3" s="121">
        <f ca="1">IF(LEFT('R'!C9,1)=".",,COUNTIFS(INDIRECT(SUBSTITUTE("@@!Y13:Y57","@@",'R'!$C9)),"Belum terbiasa",INDIRECT("12Month!$CU$3:$CU$47"),"P"))</f>
        <v>0</v>
      </c>
      <c r="HO3" s="121">
        <f ca="1">IF(LEFT('R'!C9,1)=".",,COUNTIFS(INDIRECT(SUBSTITUTE("@@!Z13:Z57","@@",'R'!$C9)),"Sudah terbiasa",INDIRECT("12Month!$CU$3:CU47"),"L"))</f>
        <v>0</v>
      </c>
      <c r="HP3" s="121">
        <f ca="1">IF(LEFT('R'!C9,1)=".",,COUNTIFS(INDIRECT(SUBSTITUTE("@@!Z13:Z57","@@",'R'!$C9)),"Belum terbiasa",INDIRECT("12Month!$CU$3:$CU$47"),"L"))</f>
        <v>0</v>
      </c>
      <c r="HQ3" s="121">
        <f ca="1">IF(LEFT('R'!C9,1)=".",,COUNTIFS(INDIRECT(SUBSTITUTE("@@!Z13:Z57","@@",'R'!$C9)),"Sudah terbiasa",INDIRECT("12Month!$CU$3:CU47"),"P"))</f>
        <v>0</v>
      </c>
      <c r="HR3" s="121">
        <f ca="1">IF(LEFT('R'!C9,1)=".",,COUNTIFS(INDIRECT(SUBSTITUTE("@@!Z13:Z57","@@",'R'!$C9)),"Belum terbiasa",INDIRECT("12Month!$CU$3:$CU$47"),"P"))</f>
        <v>0</v>
      </c>
      <c r="HS3" s="121">
        <f ca="1">IF(LEFT('R'!C9,1)=".",,COUNTIFS(INDIRECT(SUBSTITUTE("@@!AA13:AA57","@@",'R'!$C9)),"Sudah terbiasa",INDIRECT("12Month!$CU$3:CU47"),"L"))</f>
        <v>0</v>
      </c>
      <c r="HT3" s="121">
        <f ca="1">IF(LEFT('R'!C9,1)=".",,COUNTIFS(INDIRECT(SUBSTITUTE("@@!AA13:AA57","@@",'R'!$C9)),"Belum terbiasa",INDIRECT("12Month!$CU$3:$CU$47"),"L"))</f>
        <v>0</v>
      </c>
      <c r="HU3" s="121">
        <f ca="1">IF(LEFT('R'!C9,1)=".",,COUNTIFS(INDIRECT(SUBSTITUTE("@@!AA13:AA57","@@",'R'!$C9)),"Sudah terbiasa",INDIRECT("12Month!$CU$3:CU47"),"P"))</f>
        <v>0</v>
      </c>
      <c r="HV3" s="121">
        <f ca="1">IF(LEFT('R'!C9,1)=".",,COUNTIFS(INDIRECT(SUBSTITUTE("@@!AA13:AA57","@@",'R'!$C9)),"Belum terbiasa",INDIRECT("12Month!$CU$3:$CU$47"),"P"))</f>
        <v>0</v>
      </c>
      <c r="HW3" s="121">
        <f ca="1">IF(LEFT('R'!C9,1)=".",,COUNTIFS(INDIRECT(SUBSTITUTE("@@!AB13:AB57","@@",'R'!$C9)),"Sudah terbiasa",INDIRECT("12Month!$CU$3:CU47"),"L"))</f>
        <v>0</v>
      </c>
      <c r="HX3" s="121">
        <f ca="1">IF(LEFT('R'!C9,1)=".",,COUNTIFS(INDIRECT(SUBSTITUTE("@@!AB13:AB57","@@",'R'!$C9)),"Belum terbiasa",INDIRECT("12Month!$CU$3:$CU$47"),"L"))</f>
        <v>0</v>
      </c>
      <c r="HY3" s="121">
        <f ca="1">IF(LEFT('R'!C9,1)=".",,COUNTIFS(INDIRECT(SUBSTITUTE("@@!AB13:AB57","@@",'R'!$C9)),"Sudah terbiasa",INDIRECT("12Month!$CU$3:CU47"),"P"))</f>
        <v>0</v>
      </c>
      <c r="HZ3" s="121">
        <f ca="1">IF(LEFT('R'!C9,1)=".",,COUNTIFS(INDIRECT(SUBSTITUTE("@@!AB13:AB57","@@",'R'!$C9)),"Belum terbiasa",INDIRECT("12Month!$CU$3:$CU$47"),"P"))</f>
        <v>0</v>
      </c>
      <c r="IA3" s="121">
        <f ca="1">IF(LEFT('R'!C10,1)=".",,COUNTIFS(INDIRECT(SUBSTITUTE("@@!U13:U57","@@",'R'!$C10)),"Sudah terbiasa",INDIRECT("12Month!$CU$3:CU47"),"L"))</f>
        <v>0</v>
      </c>
      <c r="IB3" s="121">
        <f ca="1">IF(LEFT('R'!C10,1)=".",,COUNTIFS(INDIRECT(SUBSTITUTE("@@!U13:U57","@@",'R'!$C10)),"Belum terbiasa",INDIRECT("12Month!$CU$3:$CU$47"),"L"))</f>
        <v>0</v>
      </c>
      <c r="IC3" s="121">
        <f ca="1">IF(LEFT('R'!C10,1)=".",,COUNTIFS(INDIRECT(SUBSTITUTE("@@!U13:U57","@@",'R'!$C10)),"Sudah terbiasa",INDIRECT("12Month!$CU$3:CU47"),"P"))</f>
        <v>0</v>
      </c>
      <c r="ID3" s="121">
        <f ca="1">IF(LEFT('R'!C10,1)=".",,COUNTIFS(INDIRECT(SUBSTITUTE("@@!U13:U57","@@",'R'!$C10)),"Belum terbiasa",INDIRECT("12Month!$CU$3:$CU$47"),"P"))</f>
        <v>0</v>
      </c>
      <c r="IE3" s="121">
        <f ca="1">IF(LEFT('R'!C10,1)=".",,COUNTIFS(INDIRECT(SUBSTITUTE("@@!V13:V57","@@",'R'!$C10)),"Sudah terbiasa",INDIRECT("12Month!$CU$3:CU47"),"L"))</f>
        <v>0</v>
      </c>
      <c r="IF3" s="121">
        <f ca="1">IF(LEFT('R'!C10,1)=".",,COUNTIFS(INDIRECT(SUBSTITUTE("@@!V13:V57","@@",'R'!$C10)),"Belum terbiasa",INDIRECT("12Month!$CU$3:$CU$47"),"L"))</f>
        <v>0</v>
      </c>
      <c r="IG3" s="121">
        <f ca="1">IF(LEFT('R'!C10,1)=".",,COUNTIFS(INDIRECT(SUBSTITUTE("@@!V13:V57","@@",'R'!$C10)),"Sudah terbiasa",INDIRECT("12Month!$CU$3:CU47"),"P"))</f>
        <v>0</v>
      </c>
      <c r="IH3" s="121">
        <f ca="1">IF(LEFT('R'!C10,1)=".",,COUNTIFS(INDIRECT(SUBSTITUTE("@@!V13:V57","@@",'R'!$C10)),"Belum terbiasa",INDIRECT("12Month!$CU$3:$CU$47"),"P"))</f>
        <v>0</v>
      </c>
      <c r="II3" s="121">
        <f ca="1">IF(LEFT('R'!C10,1)=".",,COUNTIFS(INDIRECT(SUBSTITUTE("@@!W13:W57","@@",'R'!$C10)),"Sudah terbiasa",INDIRECT("12Month!$CU$3:CU47"),"L"))</f>
        <v>0</v>
      </c>
      <c r="IJ3" s="121">
        <f ca="1">IF(LEFT('R'!C10,1)=".",,COUNTIFS(INDIRECT(SUBSTITUTE("@@!W13:W57","@@",'R'!$C10)),"Belum terbiasa",INDIRECT("12Month!$CU$3:$CU$47"),"L"))</f>
        <v>0</v>
      </c>
      <c r="IK3" s="121">
        <f ca="1">IF(LEFT('R'!C10,1)=".",,COUNTIFS(INDIRECT(SUBSTITUTE("@@!W13:W57","@@",'R'!$C10)),"Sudah terbiasa",INDIRECT("12Month!$CU$3:CU47"),"P"))</f>
        <v>0</v>
      </c>
      <c r="IL3" s="121">
        <f ca="1">IF(LEFT('R'!C10,1)=".",,COUNTIFS(INDIRECT(SUBSTITUTE("@@!W13:W57","@@",'R'!$C10)),"Belum terbiasa",INDIRECT("12Month!$CU$3:$CU$47"),"P"))</f>
        <v>0</v>
      </c>
      <c r="IM3" s="121">
        <f ca="1">IF(LEFT('R'!C10,1)=".",,COUNTIFS(INDIRECT(SUBSTITUTE("@@!X13:X57","@@",'R'!$C10)),"Sudah terbiasa",INDIRECT("12Month!$CU$3:CU47"),"L"))</f>
        <v>0</v>
      </c>
      <c r="IN3" s="121">
        <f ca="1">IF(LEFT('R'!C10,1)=".",,COUNTIFS(INDIRECT(SUBSTITUTE("@@!X13:X57","@@",'R'!$C10)),"Belum terbiasa",INDIRECT("12Month!$CU$3:$CU$47"),"L"))</f>
        <v>0</v>
      </c>
      <c r="IO3" s="121">
        <f ca="1">IF(LEFT('R'!C10,1)=".",,COUNTIFS(INDIRECT(SUBSTITUTE("@@!X13:X57","@@",'R'!$C10)),"Sudah terbiasa",INDIRECT("12Month!$CU$3:CU47"),"P"))</f>
        <v>0</v>
      </c>
      <c r="IP3" s="121">
        <f ca="1">IF(LEFT('R'!C10,1)=".",,COUNTIFS(INDIRECT(SUBSTITUTE("@@!X13:X57","@@",'R'!$C10)),"Belum terbiasa",INDIRECT("12Month!$CU$3:$CU$47"),"P"))</f>
        <v>0</v>
      </c>
      <c r="IQ3" s="121">
        <f ca="1">IF(LEFT('R'!C10,1)=".",,COUNTIFS(INDIRECT(SUBSTITUTE("@@!Y13:Y57","@@",'R'!$C10)),"Sudah terbiasa",INDIRECT("12Month!$CU$3:CU47"),"L"))</f>
        <v>0</v>
      </c>
      <c r="IR3" s="121">
        <f ca="1">IF(LEFT('R'!C10,1)=".",,COUNTIFS(INDIRECT(SUBSTITUTE("@@!Y13:Y57","@@",'R'!$C10)),"Belum terbiasa",INDIRECT("12Month!$CU$3:$CU$47"),"L"))</f>
        <v>0</v>
      </c>
      <c r="IS3" s="121">
        <f ca="1">IF(LEFT('R'!C10,1)=".",,COUNTIFS(INDIRECT(SUBSTITUTE("@@!Y13:Y57","@@",'R'!$C10)),"Sudah terbiasa",INDIRECT("12Month!$CU$3:CU47"),"P"))</f>
        <v>0</v>
      </c>
      <c r="IT3" s="121">
        <f ca="1">IF(LEFT('R'!C10,1)=".",,COUNTIFS(INDIRECT(SUBSTITUTE("@@!Y13:Y57","@@",'R'!$C10)),"Belum terbiasa",INDIRECT("12Month!$CU$3:$CU$47"),"P"))</f>
        <v>0</v>
      </c>
      <c r="IU3" s="121">
        <f ca="1">IF(LEFT('R'!C10,1)=".",,COUNTIFS(INDIRECT(SUBSTITUTE("@@!Z13:Z57","@@",'R'!$C10)),"Sudah terbiasa",INDIRECT("12Month!$CU$3:CU47"),"L"))</f>
        <v>0</v>
      </c>
      <c r="IV3" s="121">
        <f ca="1">IF(LEFT('R'!C10,1)=".",,COUNTIFS(INDIRECT(SUBSTITUTE("@@!Z13:Z57","@@",'R'!$C10)),"Belum terbiasa",INDIRECT("12Month!$CU$3:$CU$47"),"L"))</f>
        <v>0</v>
      </c>
      <c r="IW3" s="121">
        <f ca="1">IF(LEFT('R'!C10,1)=".",,COUNTIFS(INDIRECT(SUBSTITUTE("@@!Z13:Z57","@@",'R'!$C10)),"Sudah terbiasa",INDIRECT("12Month!$CU$3:CU47"),"P"))</f>
        <v>0</v>
      </c>
      <c r="IX3" s="121">
        <f ca="1">IF(LEFT('R'!C10,1)=".",,COUNTIFS(INDIRECT(SUBSTITUTE("@@!Z13:Z57","@@",'R'!$C10)),"Belum terbiasa",INDIRECT("12Month!$CU$3:$CU$47"),"P"))</f>
        <v>0</v>
      </c>
      <c r="IY3" s="121">
        <f ca="1">IF(LEFT('R'!C10,1)=".",,COUNTIFS(INDIRECT(SUBSTITUTE("@@!AA13:AA57","@@",'R'!$C10)),"Sudah terbiasa",INDIRECT("12Month!$CU$3:CU47"),"L"))</f>
        <v>0</v>
      </c>
      <c r="IZ3" s="121">
        <f ca="1">IF(LEFT('R'!C10,1)=".",,COUNTIFS(INDIRECT(SUBSTITUTE("@@!AA13:AA57","@@",'R'!$C10)),"Belum terbiasa",INDIRECT("12Month!$CU$3:$CU$47"),"L"))</f>
        <v>0</v>
      </c>
      <c r="JA3" s="121">
        <f ca="1">IF(LEFT('R'!C10,1)=".",,COUNTIFS(INDIRECT(SUBSTITUTE("@@!AA13:AA57","@@",'R'!$C10)),"Sudah terbiasa",INDIRECT("12Month!$CU$3:CU47"),"P"))</f>
        <v>0</v>
      </c>
      <c r="JB3" s="121">
        <f ca="1">IF(LEFT('R'!C10,1)=".",,COUNTIFS(INDIRECT(SUBSTITUTE("@@!AA13:AA57","@@",'R'!$C10)),"Belum terbiasa",INDIRECT("12Month!$CU$3:$CU$47"),"P"))</f>
        <v>0</v>
      </c>
      <c r="JC3" s="121">
        <f ca="1">IF(LEFT('R'!C10,1)=".",,COUNTIFS(INDIRECT(SUBSTITUTE("@@!AB13:AB57","@@",'R'!$C10)),"Sudah terbiasa",INDIRECT("12Month!$CU$3:CU47"),"L"))</f>
        <v>0</v>
      </c>
      <c r="JD3" s="121">
        <f ca="1">IF(LEFT('R'!C10,1)=".",,COUNTIFS(INDIRECT(SUBSTITUTE("@@!AB13:AB57","@@",'R'!$C10)),"Belum terbiasa",INDIRECT("12Month!$CU$3:$CU$47"),"L"))</f>
        <v>0</v>
      </c>
      <c r="JE3" s="121">
        <f ca="1">IF(LEFT('R'!C10,1)=".",,COUNTIFS(INDIRECT(SUBSTITUTE("@@!AB13:AB57","@@",'R'!$C10)),"Sudah terbiasa",INDIRECT("12Month!$CU$3:CU47"),"P"))</f>
        <v>0</v>
      </c>
      <c r="JF3" s="121">
        <f ca="1">IF(LEFT('R'!C10,1)=".",,COUNTIFS(INDIRECT(SUBSTITUTE("@@!AB13:AB57","@@",'R'!$C10)),"Belum terbiasa",INDIRECT("12Month!$CU$3:$CU$47"),"P"))</f>
        <v>0</v>
      </c>
      <c r="JG3" s="121">
        <f ca="1">IF(LEFT('R'!C11,1)=".",,COUNTIFS(INDIRECT(SUBSTITUTE("@@!U13:U57","@@",'R'!$C11)),"Sudah terbiasa",INDIRECT("12Month!$CU$3:CU47"),"L"))</f>
        <v>0</v>
      </c>
      <c r="JH3" s="121">
        <f ca="1">IF(LEFT('R'!C11,1)=".",,COUNTIFS(INDIRECT(SUBSTITUTE("@@!U13:U57","@@",'R'!$C11)),"Belum terbiasa",INDIRECT("12Month!$CU$3:$CU$47"),"L"))</f>
        <v>0</v>
      </c>
      <c r="JI3" s="121">
        <f ca="1">IF(LEFT('R'!C11,1)=".",,COUNTIFS(INDIRECT(SUBSTITUTE("@@!U13:U57","@@",'R'!$C11)),"Sudah terbiasa",INDIRECT("12Month!$CU$3:CU47"),"P"))</f>
        <v>0</v>
      </c>
      <c r="JJ3" s="121">
        <f ca="1">IF(LEFT('R'!C11,1)=".",,COUNTIFS(INDIRECT(SUBSTITUTE("@@!U13:U57","@@",'R'!$C11)),"Belum terbiasa",INDIRECT("12Month!$CU$3:$CU$47"),"P"))</f>
        <v>0</v>
      </c>
      <c r="JK3" s="121">
        <f ca="1">IF(LEFT('R'!C11,1)=".",,COUNTIFS(INDIRECT(SUBSTITUTE("@@!V13:V57","@@",'R'!$C11)),"Sudah terbiasa",INDIRECT("12Month!$CU$3:CU47"),"L"))</f>
        <v>0</v>
      </c>
      <c r="JL3" s="121">
        <f ca="1">IF(LEFT('R'!C11,1)=".",,COUNTIFS(INDIRECT(SUBSTITUTE("@@!V13:V57","@@",'R'!$C11)),"Belum terbiasa",INDIRECT("12Month!$CU$3:$CU$47"),"L"))</f>
        <v>0</v>
      </c>
      <c r="JM3" s="121">
        <f ca="1">IF(LEFT('R'!C11,1)=".",,COUNTIFS(INDIRECT(SUBSTITUTE("@@!V13:V57","@@",'R'!$C11)),"Sudah terbiasa",INDIRECT("12Month!$CU$3:CU47"),"P"))</f>
        <v>0</v>
      </c>
      <c r="JN3" s="121">
        <f ca="1">IF(LEFT('R'!C11,1)=".",,COUNTIFS(INDIRECT(SUBSTITUTE("@@!V13:V57","@@",'R'!$C11)),"Belum terbiasa",INDIRECT("12Month!$CU$3:$CU$47"),"P"))</f>
        <v>0</v>
      </c>
      <c r="JO3" s="121">
        <f ca="1">IF(LEFT('R'!C11,1)=".",,COUNTIFS(INDIRECT(SUBSTITUTE("@@!W13:W57","@@",'R'!$C11)),"Sudah terbiasa",INDIRECT("12Month!$CU$3:CU47"),"L"))</f>
        <v>0</v>
      </c>
      <c r="JP3" s="121">
        <f ca="1">IF(LEFT('R'!C11,1)=".",,COUNTIFS(INDIRECT(SUBSTITUTE("@@!W13:W57","@@",'R'!$C11)),"Belum terbiasa",INDIRECT("12Month!$CU$3:$CU$47"),"L"))</f>
        <v>0</v>
      </c>
      <c r="JQ3" s="121">
        <f ca="1">IF(LEFT('R'!C11,1)=".",,COUNTIFS(INDIRECT(SUBSTITUTE("@@!W13:W57","@@",'R'!$C11)),"Sudah terbiasa",INDIRECT("12Month!$CU$3:CU47"),"P"))</f>
        <v>0</v>
      </c>
      <c r="JR3" s="121">
        <f ca="1">IF(LEFT('R'!C11,1)=".",,COUNTIFS(INDIRECT(SUBSTITUTE("@@!W13:W57","@@",'R'!$C11)),"Belum terbiasa",INDIRECT("12Month!$CU$3:$CU$47"),"P"))</f>
        <v>0</v>
      </c>
      <c r="JS3" s="121">
        <f ca="1">IF(LEFT('R'!C11,1)=".",,COUNTIFS(INDIRECT(SUBSTITUTE("@@!X13:X57","@@",'R'!$C11)),"Sudah terbiasa",INDIRECT("12Month!$CU$3:CU47"),"L"))</f>
        <v>0</v>
      </c>
      <c r="JT3" s="121">
        <f ca="1">IF(LEFT('R'!C11,1)=".",,COUNTIFS(INDIRECT(SUBSTITUTE("@@!X13:X57","@@",'R'!$C11)),"Belum terbiasa",INDIRECT("12Month!$CU$3:$CU$47"),"L"))</f>
        <v>0</v>
      </c>
      <c r="JU3" s="121">
        <f ca="1">IF(LEFT('R'!C11,1)=".",,COUNTIFS(INDIRECT(SUBSTITUTE("@@!X13:X57","@@",'R'!$C11)),"Sudah terbiasa",INDIRECT("12Month!$CU$3:CU47"),"P"))</f>
        <v>0</v>
      </c>
      <c r="JV3" s="121">
        <f ca="1">IF(LEFT('R'!C11,1)=".",,COUNTIFS(INDIRECT(SUBSTITUTE("@@!X13:X57","@@",'R'!$C11)),"Belum terbiasa",INDIRECT("12Month!$CU$3:$CU$47"),"P"))</f>
        <v>0</v>
      </c>
      <c r="JW3" s="121">
        <f ca="1">IF(LEFT('R'!C11,1)=".",,COUNTIFS(INDIRECT(SUBSTITUTE("@@!Y13:Y57","@@",'R'!$C11)),"Sudah terbiasa",INDIRECT("12Month!$CU$3:CU47"),"L"))</f>
        <v>0</v>
      </c>
      <c r="JX3" s="121">
        <f ca="1">IF(LEFT('R'!C11,1)=".",,COUNTIFS(INDIRECT(SUBSTITUTE("@@!Y13:Y57","@@",'R'!$C11)),"Belum terbiasa",INDIRECT("12Month!$CU$3:$CU$47"),"L"))</f>
        <v>0</v>
      </c>
      <c r="JY3" s="121">
        <f ca="1">IF(LEFT('R'!C11,1)=".",,COUNTIFS(INDIRECT(SUBSTITUTE("@@!Y13:Y57","@@",'R'!$C11)),"Sudah terbiasa",INDIRECT("12Month!$CU$3:CU47"),"P"))</f>
        <v>0</v>
      </c>
      <c r="JZ3" s="121">
        <f ca="1">IF(LEFT('R'!C11,1)=".",,COUNTIFS(INDIRECT(SUBSTITUTE("@@!Y13:Y57","@@",'R'!$C11)),"Belum terbiasa",INDIRECT("12Month!$CU$3:$CU$47"),"P"))</f>
        <v>0</v>
      </c>
      <c r="KA3" s="121">
        <f ca="1">IF(LEFT('R'!C11,1)=".",,COUNTIFS(INDIRECT(SUBSTITUTE("@@!Z13:Z57","@@",'R'!$C11)),"Sudah terbiasa",INDIRECT("12Month!$CU$3:CU47"),"L"))</f>
        <v>0</v>
      </c>
      <c r="KB3" s="121">
        <f ca="1">IF(LEFT('R'!C11,1)=".",,COUNTIFS(INDIRECT(SUBSTITUTE("@@!Z13:Z57","@@",'R'!$C11)),"Belum terbiasa",INDIRECT("12Month!$CU$3:$CU$47"),"L"))</f>
        <v>0</v>
      </c>
      <c r="KC3" s="121">
        <f ca="1">IF(LEFT('R'!C11,1)=".",,COUNTIFS(INDIRECT(SUBSTITUTE("@@!Z13:Z57","@@",'R'!$C11)),"Sudah terbiasa",INDIRECT("12Month!$CU$3:CU47"),"P"))</f>
        <v>0</v>
      </c>
      <c r="KD3" s="121">
        <f ca="1">IF(LEFT('R'!C11,1)=".",,COUNTIFS(INDIRECT(SUBSTITUTE("@@!Z13:Z57","@@",'R'!$C11)),"Belum terbiasa",INDIRECT("12Month!$CU$3:$CU$47"),"P"))</f>
        <v>0</v>
      </c>
      <c r="KE3" s="121">
        <f ca="1">IF(LEFT('R'!C11,1)=".",,COUNTIFS(INDIRECT(SUBSTITUTE("@@!AA13:AA57","@@",'R'!$C11)),"Sudah terbiasa",INDIRECT("12Month!$CU$3:CU47"),"L"))</f>
        <v>0</v>
      </c>
      <c r="KF3" s="121">
        <f ca="1">IF(LEFT('R'!C11,1)=".",,COUNTIFS(INDIRECT(SUBSTITUTE("@@!AA13:AA57","@@",'R'!$C11)),"Belum terbiasa",INDIRECT("12Month!$CU$3:$CU$47"),"L"))</f>
        <v>0</v>
      </c>
      <c r="KG3" s="121">
        <f ca="1">IF(LEFT('R'!C11,1)=".",,COUNTIFS(INDIRECT(SUBSTITUTE("@@!AA13:AA57","@@",'R'!$C11)),"Sudah terbiasa",INDIRECT("12Month!$CU$3:CU47"),"P"))</f>
        <v>0</v>
      </c>
      <c r="KH3" s="121">
        <f ca="1">IF(LEFT('R'!C11,1)=".",,COUNTIFS(INDIRECT(SUBSTITUTE("@@!AA13:AA57","@@",'R'!$C11)),"Belum terbiasa",INDIRECT("12Month!$CU$3:$CU$47"),"P"))</f>
        <v>0</v>
      </c>
      <c r="KI3" s="121">
        <f ca="1">IF(LEFT('R'!C11,1)=".",,COUNTIFS(INDIRECT(SUBSTITUTE("@@!AB13:AB57","@@",'R'!$C11)),"Sudah terbiasa",INDIRECT("12Month!$CU$3:CU47"),"L"))</f>
        <v>0</v>
      </c>
      <c r="KJ3" s="121">
        <f ca="1">IF(LEFT('R'!C11,1)=".",,COUNTIFS(INDIRECT(SUBSTITUTE("@@!AB13:AB57","@@",'R'!$C11)),"Belum terbiasa",INDIRECT("12Month!$CU$3:$CU$47"),"L"))</f>
        <v>0</v>
      </c>
      <c r="KK3" s="121">
        <f ca="1">IF(LEFT('R'!C11,1)=".",,COUNTIFS(INDIRECT(SUBSTITUTE("@@!AB13:AB57","@@",'R'!$C11)),"Sudah terbiasa",INDIRECT("12Month!$CU$3:CU47"),"P"))</f>
        <v>0</v>
      </c>
      <c r="KL3" s="121">
        <f ca="1">IF(LEFT('R'!C11,1)=".",,COUNTIFS(INDIRECT(SUBSTITUTE("@@!AB13:AB57","@@",'R'!$C11)),"Belum terbiasa",INDIRECT("12Month!$CU$3:$CU$47"),"P"))</f>
        <v>0</v>
      </c>
      <c r="KM3" s="121">
        <f ca="1">IF(LEFT('R'!C12,1)=".",,COUNTIFS(INDIRECT(SUBSTITUTE("@@!U13:U57","@@",'R'!$C12)),"Sudah terbiasa",INDIRECT("12Month!$CU$3:CU47"),"L"))</f>
        <v>0</v>
      </c>
      <c r="KN3" s="121">
        <f ca="1">IF(LEFT('R'!C12,1)=".",,COUNTIFS(INDIRECT(SUBSTITUTE("@@!U13:U57","@@",'R'!$C12)),"Belum terbiasa",INDIRECT("12Month!$CU$3:$CU$47"),"L"))</f>
        <v>0</v>
      </c>
      <c r="KO3" s="121">
        <f ca="1">IF(LEFT('R'!C12,1)=".",,COUNTIFS(INDIRECT(SUBSTITUTE("@@!U13:U57","@@",'R'!$C12)),"Sudah terbiasa",INDIRECT("12Month!$CU$3:CU47"),"P"))</f>
        <v>0</v>
      </c>
      <c r="KP3" s="121">
        <f ca="1">IF(LEFT('R'!C12,1)=".",,COUNTIFS(INDIRECT(SUBSTITUTE("@@!U13:U57","@@",'R'!$C12)),"Belum terbiasa",INDIRECT("12Month!$CU$3:$CU$47"),"P"))</f>
        <v>0</v>
      </c>
      <c r="KQ3" s="121">
        <f ca="1">IF(LEFT('R'!C12,1)=".",,COUNTIFS(INDIRECT(SUBSTITUTE("@@!V13:V57","@@",'R'!$C12)),"Sudah terbiasa",INDIRECT("12Month!$CU$3:CU47"),"L"))</f>
        <v>0</v>
      </c>
      <c r="KR3" s="121">
        <f ca="1">IF(LEFT('R'!C12,1)=".",,COUNTIFS(INDIRECT(SUBSTITUTE("@@!V13:V57","@@",'R'!$C12)),"Belum terbiasa",INDIRECT("12Month!$CU$3:$CU$47"),"L"))</f>
        <v>0</v>
      </c>
      <c r="KS3" s="121">
        <f ca="1">IF(LEFT('R'!C12,1)=".",,COUNTIFS(INDIRECT(SUBSTITUTE("@@!V13:V57","@@",'R'!$C12)),"Sudah terbiasa",INDIRECT("12Month!$CU$3:CU47"),"P"))</f>
        <v>0</v>
      </c>
      <c r="KT3" s="121">
        <f ca="1">IF(LEFT('R'!C12,1)=".",,COUNTIFS(INDIRECT(SUBSTITUTE("@@!V13:V57","@@",'R'!$C12)),"Belum terbiasa",INDIRECT("12Month!$CU$3:$CU$47"),"P"))</f>
        <v>0</v>
      </c>
      <c r="KU3" s="121">
        <f ca="1">IF(LEFT('R'!C12,1)=".",,COUNTIFS(INDIRECT(SUBSTITUTE("@@!W13:W57","@@",'R'!$C12)),"Sudah terbiasa",INDIRECT("12Month!$CU$3:CU47"),"L"))</f>
        <v>0</v>
      </c>
      <c r="KV3" s="121">
        <f ca="1">IF(LEFT('R'!C12,1)=".",,COUNTIFS(INDIRECT(SUBSTITUTE("@@!W13:W57","@@",'R'!$C12)),"Belum terbiasa",INDIRECT("12Month!$CU$3:$CU$47"),"L"))</f>
        <v>0</v>
      </c>
      <c r="KW3" s="121">
        <f ca="1">IF(LEFT('R'!C12,1)=".",,COUNTIFS(INDIRECT(SUBSTITUTE("@@!W13:W57","@@",'R'!$C12)),"Sudah terbiasa",INDIRECT("12Month!$CU$3:CU47"),"P"))</f>
        <v>0</v>
      </c>
      <c r="KX3" s="121">
        <f ca="1">IF(LEFT('R'!C12,1)=".",,COUNTIFS(INDIRECT(SUBSTITUTE("@@!W13:W57","@@",'R'!$C12)),"Belum terbiasa",INDIRECT("12Month!$CU$3:$CU$47"),"P"))</f>
        <v>0</v>
      </c>
      <c r="KY3" s="121">
        <f ca="1">IF(LEFT('R'!C12,1)=".",,COUNTIFS(INDIRECT(SUBSTITUTE("@@!X13:X57","@@",'R'!$C12)),"Sudah terbiasa",INDIRECT("12Month!$CU$3:CU47"),"L"))</f>
        <v>0</v>
      </c>
      <c r="KZ3" s="121">
        <f ca="1">IF(LEFT('R'!C12,1)=".",,COUNTIFS(INDIRECT(SUBSTITUTE("@@!X13:X57","@@",'R'!$C12)),"Belum terbiasa",INDIRECT("12Month!$CU$3:$CU$47"),"L"))</f>
        <v>0</v>
      </c>
      <c r="LA3" s="121">
        <f ca="1">IF(LEFT('R'!C12,1)=".",,COUNTIFS(INDIRECT(SUBSTITUTE("@@!X13:X57","@@",'R'!$C12)),"Sudah terbiasa",INDIRECT("12Month!$CU$3:CU47"),"P"))</f>
        <v>0</v>
      </c>
      <c r="LB3" s="121">
        <f ca="1">IF(LEFT('R'!C12,1)=".",,COUNTIFS(INDIRECT(SUBSTITUTE("@@!X13:X57","@@",'R'!$C12)),"Belum terbiasa",INDIRECT("12Month!$CU$3:$CU$47"),"P"))</f>
        <v>0</v>
      </c>
      <c r="LC3" s="121">
        <f ca="1">IF(LEFT('R'!C12,1)=".",,COUNTIFS(INDIRECT(SUBSTITUTE("@@!Y13:Y57","@@",'R'!$C12)),"Sudah terbiasa",INDIRECT("12Month!$CU$3:CU47"),"L"))</f>
        <v>0</v>
      </c>
      <c r="LD3" s="121">
        <f ca="1">IF(LEFT('R'!C12,1)=".",,COUNTIFS(INDIRECT(SUBSTITUTE("@@!Y13:Y57","@@",'R'!$C12)),"Belum terbiasa",INDIRECT("12Month!$CU$3:$CU$47"),"L"))</f>
        <v>0</v>
      </c>
      <c r="LE3" s="121">
        <f ca="1">IF(LEFT('R'!C12,1)=".",,COUNTIFS(INDIRECT(SUBSTITUTE("@@!Y13:Y57","@@",'R'!$C12)),"Sudah terbiasa",INDIRECT("12Month!$CU$3:CU47"),"P"))</f>
        <v>0</v>
      </c>
      <c r="LF3" s="121">
        <f ca="1">IF(LEFT('R'!C12,1)=".",,COUNTIFS(INDIRECT(SUBSTITUTE("@@!Y13:Y57","@@",'R'!$C12)),"Belum terbiasa",INDIRECT("12Month!$CU$3:$CU$47"),"P"))</f>
        <v>0</v>
      </c>
      <c r="LG3" s="121">
        <f ca="1">IF(LEFT('R'!C12,1)=".",,COUNTIFS(INDIRECT(SUBSTITUTE("@@!Z13:Z57","@@",'R'!$C12)),"Sudah terbiasa",INDIRECT("12Month!$CU$3:CU47"),"L"))</f>
        <v>0</v>
      </c>
      <c r="LH3" s="121">
        <f ca="1">IF(LEFT('R'!C12,1)=".",,COUNTIFS(INDIRECT(SUBSTITUTE("@@!Z13:Z57","@@",'R'!$C12)),"Belum terbiasa",INDIRECT("12Month!$CU$3:$CU$47"),"L"))</f>
        <v>0</v>
      </c>
      <c r="LI3" s="121">
        <f ca="1">IF(LEFT('R'!C12,1)=".",,COUNTIFS(INDIRECT(SUBSTITUTE("@@!Z13:Z57","@@",'R'!$C12)),"Sudah terbiasa",INDIRECT("12Month!$CU$3:CU47"),"P"))</f>
        <v>0</v>
      </c>
      <c r="LJ3" s="121">
        <f ca="1">IF(LEFT('R'!C12,1)=".",,COUNTIFS(INDIRECT(SUBSTITUTE("@@!Z13:Z57","@@",'R'!$C12)),"Belum terbiasa",INDIRECT("12Month!$CU$3:$CU$47"),"P"))</f>
        <v>0</v>
      </c>
      <c r="LK3" s="121">
        <f ca="1">IF(LEFT('R'!C12,1)=".",,COUNTIFS(INDIRECT(SUBSTITUTE("@@!AA13:AA57","@@",'R'!$C12)),"Sudah terbiasa",INDIRECT("12Month!$CU$3:CU47"),"L"))</f>
        <v>0</v>
      </c>
      <c r="LL3" s="121">
        <f ca="1">IF(LEFT('R'!C12,1)=".",,COUNTIFS(INDIRECT(SUBSTITUTE("@@!AA13:AA57","@@",'R'!$C12)),"Belum terbiasa",INDIRECT("12Month!$CU$3:$CU$47"),"L"))</f>
        <v>0</v>
      </c>
      <c r="LM3" s="121">
        <f ca="1">IF(LEFT('R'!C12,1)=".",,COUNTIFS(INDIRECT(SUBSTITUTE("@@!AA13:AA57","@@",'R'!$C12)),"Sudah terbiasa",INDIRECT("12Month!$CU$3:CU47"),"P"))</f>
        <v>0</v>
      </c>
      <c r="LN3" s="121">
        <f ca="1">IF(LEFT('R'!C12,1)=".",,COUNTIFS(INDIRECT(SUBSTITUTE("@@!AA13:AA57","@@",'R'!$C12)),"Belum terbiasa",INDIRECT("12Month!$CU$3:$CU$47"),"P"))</f>
        <v>0</v>
      </c>
      <c r="LO3" s="121">
        <f ca="1">IF(LEFT('R'!C12,1)=".",,COUNTIFS(INDIRECT(SUBSTITUTE("@@!AB13:AB57","@@",'R'!$C12)),"Sudah terbiasa",INDIRECT("12Month!$CU$3:CU47"),"L"))</f>
        <v>0</v>
      </c>
      <c r="LP3" s="121">
        <f ca="1">IF(LEFT('R'!C12,1)=".",,COUNTIFS(INDIRECT(SUBSTITUTE("@@!AB13:AB57","@@",'R'!$C12)),"Belum terbiasa",INDIRECT("12Month!$CU$3:$CU$47"),"L"))</f>
        <v>0</v>
      </c>
      <c r="LQ3" s="121">
        <f ca="1">IF(LEFT('R'!C12,1)=".",,COUNTIFS(INDIRECT(SUBSTITUTE("@@!AB13:AB57","@@",'R'!$C12)),"Sudah terbiasa",INDIRECT("12Month!$CU$3:CU47"),"P"))</f>
        <v>0</v>
      </c>
      <c r="LR3" s="121">
        <f ca="1">IF(LEFT('R'!C12,1)=".",,COUNTIFS(INDIRECT(SUBSTITUTE("@@!AB13:AB57","@@",'R'!$C12)),"Belum terbiasa",INDIRECT("12Month!$CU$3:$CU$47"),"P"))</f>
        <v>0</v>
      </c>
      <c r="LS3" s="121">
        <f ca="1">IF(LEFT('R'!C13,1)=".",,COUNTIFS(INDIRECT(SUBSTITUTE("@@!U13:U57","@@",'R'!$C13)),"Sudah terbiasa",INDIRECT("12Month!$CU$3:CU47"),"L"))</f>
        <v>0</v>
      </c>
      <c r="LT3" s="121">
        <f ca="1">IF(LEFT('R'!C13,1)=".",,COUNTIFS(INDIRECT(SUBSTITUTE("@@!U13:U57","@@",'R'!$C13)),"Belum terbiasa",INDIRECT("12Month!$CU$3:$CU$47"),"L"))</f>
        <v>0</v>
      </c>
      <c r="LU3" s="121">
        <f ca="1">IF(LEFT('R'!C13,1)=".",,COUNTIFS(INDIRECT(SUBSTITUTE("@@!U13:U57","@@",'R'!$C13)),"Sudah terbiasa",INDIRECT("12Month!$CU$3:CU47"),"P"))</f>
        <v>0</v>
      </c>
      <c r="LV3" s="121">
        <f ca="1">IF(LEFT('R'!C13,1)=".",,COUNTIFS(INDIRECT(SUBSTITUTE("@@!U13:U57","@@",'R'!$C13)),"Belum terbiasa",INDIRECT("12Month!$CU$3:$CU$47"),"P"))</f>
        <v>0</v>
      </c>
      <c r="LW3" s="121">
        <f ca="1">IF(LEFT('R'!C13,1)=".",,COUNTIFS(INDIRECT(SUBSTITUTE("@@!V13:V57","@@",'R'!$C13)),"Sudah terbiasa",INDIRECT("12Month!$CU$3:CU47"),"L"))</f>
        <v>0</v>
      </c>
      <c r="LX3" s="121">
        <f ca="1">IF(LEFT('R'!C13,1)=".",,COUNTIFS(INDIRECT(SUBSTITUTE("@@!V13:V57","@@",'R'!$C13)),"Belum terbiasa",INDIRECT("12Month!$CU$3:$CU$47"),"L"))</f>
        <v>0</v>
      </c>
      <c r="LY3" s="121">
        <f ca="1">IF(LEFT('R'!C13,1)=".",,COUNTIFS(INDIRECT(SUBSTITUTE("@@!V13:V57","@@",'R'!$C13)),"Sudah terbiasa",INDIRECT("12Month!$CU$3:CU47"),"P"))</f>
        <v>0</v>
      </c>
      <c r="LZ3" s="121">
        <f ca="1">IF(LEFT('R'!C13,1)=".",,COUNTIFS(INDIRECT(SUBSTITUTE("@@!V13:V57","@@",'R'!$C13)),"Belum terbiasa",INDIRECT("12Month!$CU$3:$CU$47"),"P"))</f>
        <v>0</v>
      </c>
      <c r="MA3" s="121">
        <f ca="1">IF(LEFT('R'!C13,1)=".",,COUNTIFS(INDIRECT(SUBSTITUTE("@@!W13:W57","@@",'R'!$C13)),"Sudah terbiasa",INDIRECT("12Month!$CU$3:CU47"),"L"))</f>
        <v>0</v>
      </c>
      <c r="MB3" s="121">
        <f ca="1">IF(LEFT('R'!C13,1)=".",,COUNTIFS(INDIRECT(SUBSTITUTE("@@!W13:W57","@@",'R'!$C13)),"Belum terbiasa",INDIRECT("12Month!$CU$3:$CU$47"),"L"))</f>
        <v>0</v>
      </c>
      <c r="MC3" s="121">
        <f ca="1">IF(LEFT('R'!C13,1)=".",,COUNTIFS(INDIRECT(SUBSTITUTE("@@!W13:W57","@@",'R'!$C13)),"Sudah terbiasa",INDIRECT("12Month!$CU$3:CU47"),"P"))</f>
        <v>0</v>
      </c>
      <c r="MD3" s="121">
        <f ca="1">IF(LEFT('R'!C13,1)=".",,COUNTIFS(INDIRECT(SUBSTITUTE("@@!W13:W57","@@",'R'!$C13)),"Belum terbiasa",INDIRECT("12Month!$CU$3:$CU$47"),"P"))</f>
        <v>0</v>
      </c>
      <c r="ME3" s="121">
        <f ca="1">IF(LEFT('R'!C13,1)=".",,COUNTIFS(INDIRECT(SUBSTITUTE("@@!X13:X57","@@",'R'!$C13)),"Sudah terbiasa",INDIRECT("12Month!$CU$3:CU47"),"L"))</f>
        <v>0</v>
      </c>
      <c r="MF3" s="121">
        <f ca="1">IF(LEFT('R'!C13,1)=".",,COUNTIFS(INDIRECT(SUBSTITUTE("@@!X13:X57","@@",'R'!$C13)),"Belum terbiasa",INDIRECT("12Month!$CU$3:$CU$47"),"L"))</f>
        <v>0</v>
      </c>
      <c r="MG3" s="121">
        <f ca="1">IF(LEFT('R'!C13,1)=".",,COUNTIFS(INDIRECT(SUBSTITUTE("@@!X13:X57","@@",'R'!$C13)),"Sudah terbiasa",INDIRECT("12Month!$CU$3:CU47"),"P"))</f>
        <v>0</v>
      </c>
      <c r="MH3" s="121">
        <f ca="1">IF(LEFT('R'!C13,1)=".",,COUNTIFS(INDIRECT(SUBSTITUTE("@@!X13:X57","@@",'R'!$C13)),"Belum terbiasa",INDIRECT("12Month!$CU$3:$CU$47"),"P"))</f>
        <v>0</v>
      </c>
      <c r="MI3" s="121">
        <f ca="1">IF(LEFT('R'!C13,1)=".",,COUNTIFS(INDIRECT(SUBSTITUTE("@@!Y13:Y57","@@",'R'!$C13)),"Sudah terbiasa",INDIRECT("12Month!$CU$3:CU47"),"L"))</f>
        <v>0</v>
      </c>
      <c r="MJ3" s="121">
        <f ca="1">IF(LEFT('R'!C13,1)=".",,COUNTIFS(INDIRECT(SUBSTITUTE("@@!Y13:Y57","@@",'R'!$C13)),"Belum terbiasa",INDIRECT("12Month!$CU$3:$CU$47"),"L"))</f>
        <v>0</v>
      </c>
      <c r="MK3" s="121">
        <f ca="1">IF(LEFT('R'!C13,1)=".",,COUNTIFS(INDIRECT(SUBSTITUTE("@@!Y13:Y57","@@",'R'!$C13)),"Sudah terbiasa",INDIRECT("12Month!$CU$3:CU47"),"P"))</f>
        <v>0</v>
      </c>
      <c r="ML3" s="121">
        <f ca="1">IF(LEFT('R'!C13,1)=".",,COUNTIFS(INDIRECT(SUBSTITUTE("@@!Y13:Y57","@@",'R'!$C13)),"Belum terbiasa",INDIRECT("12Month!$CU$3:$CU$47"),"P"))</f>
        <v>0</v>
      </c>
      <c r="MM3" s="121">
        <f ca="1">IF(LEFT('R'!C13,1)=".",,COUNTIFS(INDIRECT(SUBSTITUTE("@@!Z13:Z57","@@",'R'!$C13)),"Sudah terbiasa",INDIRECT("12Month!$CU$3:CU47"),"L"))</f>
        <v>0</v>
      </c>
      <c r="MN3" s="121">
        <f ca="1">IF(LEFT('R'!C13,1)=".",,COUNTIFS(INDIRECT(SUBSTITUTE("@@!Z13:Z57","@@",'R'!$C13)),"Belum terbiasa",INDIRECT("12Month!$CU$3:$CU$47"),"L"))</f>
        <v>0</v>
      </c>
      <c r="MO3" s="121">
        <f ca="1">IF(LEFT('R'!C13,1)=".",,COUNTIFS(INDIRECT(SUBSTITUTE("@@!Z13:Z57","@@",'R'!$C13)),"Sudah terbiasa",INDIRECT("12Month!$CU$3:CU47"),"P"))</f>
        <v>0</v>
      </c>
      <c r="MP3" s="121">
        <f ca="1">IF(LEFT('R'!C13,1)=".",,COUNTIFS(INDIRECT(SUBSTITUTE("@@!Z13:Z57","@@",'R'!$C13)),"Belum terbiasa",INDIRECT("12Month!$CU$3:$CU$47"),"P"))</f>
        <v>0</v>
      </c>
      <c r="MQ3" s="121">
        <f ca="1">IF(LEFT('R'!C13,1)=".",,COUNTIFS(INDIRECT(SUBSTITUTE("@@!AA13:AA57","@@",'R'!$C13)),"Sudah terbiasa",INDIRECT("12Month!$CU$3:CU47"),"L"))</f>
        <v>0</v>
      </c>
      <c r="MR3" s="121">
        <f ca="1">IF(LEFT('R'!C13,1)=".",,COUNTIFS(INDIRECT(SUBSTITUTE("@@!AA13:AA57","@@",'R'!$C13)),"Belum terbiasa",INDIRECT("12Month!$CU$3:$CU$47"),"L"))</f>
        <v>0</v>
      </c>
      <c r="MS3" s="121">
        <f ca="1">IF(LEFT('R'!C13,1)=".",,COUNTIFS(INDIRECT(SUBSTITUTE("@@!AA13:AA57","@@",'R'!$C13)),"Sudah terbiasa",INDIRECT("12Month!$CU$3:CU47"),"P"))</f>
        <v>0</v>
      </c>
      <c r="MT3" s="121">
        <f ca="1">IF(LEFT('R'!C13,1)=".",,COUNTIFS(INDIRECT(SUBSTITUTE("@@!AA13:AA57","@@",'R'!$C13)),"Belum terbiasa",INDIRECT("12Month!$CU$3:$CU$47"),"P"))</f>
        <v>0</v>
      </c>
      <c r="MU3" s="121">
        <f ca="1">IF(LEFT('R'!C13,1)=".",,COUNTIFS(INDIRECT(SUBSTITUTE("@@!AB13:AB57","@@",'R'!$C13)),"Sudah terbiasa",INDIRECT("12Month!$CU$3:CU47"),"L"))</f>
        <v>0</v>
      </c>
      <c r="MV3" s="121">
        <f ca="1">IF(LEFT('R'!C13,1)=".",,COUNTIFS(INDIRECT(SUBSTITUTE("@@!AB13:AB57","@@",'R'!$C13)),"Belum terbiasa",INDIRECT("12Month!$CU$3:$CU$47"),"L"))</f>
        <v>0</v>
      </c>
      <c r="MW3" s="121">
        <f ca="1">IF(LEFT('R'!C13,1)=".",,COUNTIFS(INDIRECT(SUBSTITUTE("@@!AB13:AB57","@@",'R'!$C13)),"Sudah terbiasa",INDIRECT("12Month!$CU$3:CU47"),"P"))</f>
        <v>0</v>
      </c>
      <c r="MX3" s="121">
        <f ca="1">IF(LEFT('R'!C13,1)=".",,COUNTIFS(INDIRECT(SUBSTITUTE("@@!AB13:AB57","@@",'R'!$C13)),"Belum terbiasa",INDIRECT("12Month!$CU$3:$CU$47"),"P"))</f>
        <v>0</v>
      </c>
      <c r="MY3" s="121">
        <f ca="1">IF(LEFT('R'!C14,1)=".",,COUNTIFS(INDIRECT(SUBSTITUTE("@@!U13:U57","@@",'R'!$C14)),"Sudah terbiasa",INDIRECT("12Month!$CU$3:CU47"),"L"))</f>
        <v>0</v>
      </c>
      <c r="MZ3" s="121">
        <f ca="1">IF(LEFT('R'!C14,1)=".",,COUNTIFS(INDIRECT(SUBSTITUTE("@@!U13:U57","@@",'R'!$C14)),"Belum terbiasa",INDIRECT("12Month!$CU$3:$CU$47"),"L"))</f>
        <v>0</v>
      </c>
      <c r="NA3" s="121">
        <f ca="1">IF(LEFT('R'!C14,1)=".",,COUNTIFS(INDIRECT(SUBSTITUTE("@@!U13:U57","@@",'R'!$C14)),"Sudah terbiasa",INDIRECT("12Month!$CU$3:CU47"),"P"))</f>
        <v>0</v>
      </c>
      <c r="NB3" s="121">
        <f ca="1">IF(LEFT('R'!C14,1)=".",,COUNTIFS(INDIRECT(SUBSTITUTE("@@!U13:U57","@@",'R'!$C14)),"Belum terbiasa",INDIRECT("12Month!$CU$3:$CU$47"),"P"))</f>
        <v>0</v>
      </c>
      <c r="NC3" s="121">
        <f ca="1">IF(LEFT('R'!C14,1)=".",,COUNTIFS(INDIRECT(SUBSTITUTE("@@!V13:V57","@@",'R'!$C14)),"Sudah terbiasa",INDIRECT("12Month!$CU$3:CU47"),"L"))</f>
        <v>0</v>
      </c>
      <c r="ND3" s="121">
        <f ca="1">IF(LEFT('R'!C14,1)=".",,COUNTIFS(INDIRECT(SUBSTITUTE("@@!V13:V57","@@",'R'!$C14)),"Belum terbiasa",INDIRECT("12Month!$CU$3:$CU$47"),"L"))</f>
        <v>0</v>
      </c>
      <c r="NE3" s="121">
        <f ca="1">IF(LEFT('R'!C14,1)=".",,COUNTIFS(INDIRECT(SUBSTITUTE("@@!V13:V57","@@",'R'!$C14)),"Sudah terbiasa",INDIRECT("12Month!$CU$3:CU47"),"P"))</f>
        <v>0</v>
      </c>
      <c r="NF3" s="121">
        <f ca="1">IF(LEFT('R'!C14,1)=".",,COUNTIFS(INDIRECT(SUBSTITUTE("@@!V13:V57","@@",'R'!$C14)),"Belum terbiasa",INDIRECT("12Month!$CU$3:$CU$47"),"P"))</f>
        <v>0</v>
      </c>
      <c r="NG3" s="121">
        <f ca="1">IF(LEFT('R'!C14,1)=".",,COUNTIFS(INDIRECT(SUBSTITUTE("@@!W13:W57","@@",'R'!$C14)),"Sudah terbiasa",INDIRECT("12Month!$CU$3:CU47"),"L"))</f>
        <v>0</v>
      </c>
      <c r="NH3" s="121">
        <f ca="1">IF(LEFT('R'!C14,1)=".",,COUNTIFS(INDIRECT(SUBSTITUTE("@@!W13:W57","@@",'R'!$C14)),"Belum terbiasa",INDIRECT("12Month!$CU$3:$CU$47"),"L"))</f>
        <v>0</v>
      </c>
      <c r="NI3" s="121">
        <f ca="1">IF(LEFT('R'!C14,1)=".",,COUNTIFS(INDIRECT(SUBSTITUTE("@@!W13:W57","@@",'R'!$C14)),"Sudah terbiasa",INDIRECT("12Month!$CU$3:CU47"),"P"))</f>
        <v>0</v>
      </c>
      <c r="NJ3" s="121">
        <f ca="1">IF(LEFT('R'!C14,1)=".",,COUNTIFS(INDIRECT(SUBSTITUTE("@@!W13:W57","@@",'R'!$C14)),"Belum terbiasa",INDIRECT("12Month!$CU$3:$CU$47"),"P"))</f>
        <v>0</v>
      </c>
      <c r="NK3" s="121">
        <f ca="1">IF(LEFT('R'!C14,1)=".",,COUNTIFS(INDIRECT(SUBSTITUTE("@@!X13:X57","@@",'R'!$C14)),"Sudah terbiasa",INDIRECT("12Month!$CU$3:CU47"),"L"))</f>
        <v>0</v>
      </c>
      <c r="NL3" s="121">
        <f ca="1">IF(LEFT('R'!C14,1)=".",,COUNTIFS(INDIRECT(SUBSTITUTE("@@!X13:X57","@@",'R'!$C14)),"Belum terbiasa",INDIRECT("12Month!$CU$3:$CU$47"),"L"))</f>
        <v>0</v>
      </c>
      <c r="NM3" s="121">
        <f ca="1">IF(LEFT('R'!C14,1)=".",,COUNTIFS(INDIRECT(SUBSTITUTE("@@!X13:X57","@@",'R'!$C14)),"Sudah terbiasa",INDIRECT("12Month!$CU$3:CU47"),"P"))</f>
        <v>0</v>
      </c>
      <c r="NN3" s="121">
        <f ca="1">IF(LEFT('R'!C14,1)=".",,COUNTIFS(INDIRECT(SUBSTITUTE("@@!X13:X57","@@",'R'!$C14)),"Belum terbiasa",INDIRECT("12Month!$CU$3:$CU$47"),"P"))</f>
        <v>0</v>
      </c>
      <c r="NO3" s="121">
        <f ca="1">IF(LEFT('R'!C14,1)=".",,COUNTIFS(INDIRECT(SUBSTITUTE("@@!Y13:Y57","@@",'R'!$C14)),"Sudah terbiasa",INDIRECT("12Month!$CU$3:CU47"),"L"))</f>
        <v>0</v>
      </c>
      <c r="NP3" s="121">
        <f ca="1">IF(LEFT('R'!C14,1)=".",,COUNTIFS(INDIRECT(SUBSTITUTE("@@!Y13:Y57","@@",'R'!$C14)),"Belum terbiasa",INDIRECT("12Month!$CU$3:$CU$47"),"L"))</f>
        <v>0</v>
      </c>
      <c r="NQ3" s="121">
        <f ca="1">IF(LEFT('R'!C14,1)=".",,COUNTIFS(INDIRECT(SUBSTITUTE("@@!Y13:Y57","@@",'R'!$C14)),"Sudah terbiasa",INDIRECT("12Month!$CU$3:CU47"),"P"))</f>
        <v>0</v>
      </c>
      <c r="NR3" s="121">
        <f ca="1">IF(LEFT('R'!C14,1)=".",,COUNTIFS(INDIRECT(SUBSTITUTE("@@!Y13:Y57","@@",'R'!$C14)),"Belum terbiasa",INDIRECT("12Month!$CU$3:$CU$47"),"P"))</f>
        <v>0</v>
      </c>
      <c r="NS3" s="121">
        <f ca="1">IF(LEFT('R'!C14,1)=".",,COUNTIFS(INDIRECT(SUBSTITUTE("@@!Z13:Z57","@@",'R'!$C14)),"Sudah terbiasa",INDIRECT("12Month!$CU$3:CU47"),"L"))</f>
        <v>0</v>
      </c>
      <c r="NT3" s="121">
        <f ca="1">IF(LEFT('R'!C14,1)=".",,COUNTIFS(INDIRECT(SUBSTITUTE("@@!Z13:Z57","@@",'R'!$C14)),"Belum terbiasa",INDIRECT("12Month!$CU$3:$CU$47"),"L"))</f>
        <v>0</v>
      </c>
      <c r="NU3" s="121">
        <f ca="1">IF(LEFT('R'!C14,1)=".",,COUNTIFS(INDIRECT(SUBSTITUTE("@@!Z13:Z57","@@",'R'!$C14)),"Sudah terbiasa",INDIRECT("12Month!$CU$3:CU47"),"P"))</f>
        <v>0</v>
      </c>
      <c r="NV3" s="121">
        <f ca="1">IF(LEFT('R'!C14,1)=".",,COUNTIFS(INDIRECT(SUBSTITUTE("@@!Z13:Z57","@@",'R'!$C14)),"Belum terbiasa",INDIRECT("12Month!$CU$3:$CU$47"),"P"))</f>
        <v>0</v>
      </c>
      <c r="NW3" s="121">
        <f ca="1">IF(LEFT('R'!C14,1)=".",,COUNTIFS(INDIRECT(SUBSTITUTE("@@!AA13:AA57","@@",'R'!$C14)),"Sudah terbiasa",INDIRECT("12Month!$CU$3:CU47"),"L"))</f>
        <v>0</v>
      </c>
      <c r="NX3" s="121">
        <f ca="1">IF(LEFT('R'!C14,1)=".",,COUNTIFS(INDIRECT(SUBSTITUTE("@@!AA13:AA57","@@",'R'!$C14)),"Belum terbiasa",INDIRECT("12Month!$CU$3:$CU$47"),"L"))</f>
        <v>0</v>
      </c>
      <c r="NY3" s="121">
        <f ca="1">IF(LEFT('R'!C14,1)=".",,COUNTIFS(INDIRECT(SUBSTITUTE("@@!AA13:AA57","@@",'R'!$C14)),"Sudah terbiasa",INDIRECT("12Month!$CU$3:CU47"),"P"))</f>
        <v>0</v>
      </c>
      <c r="NZ3" s="121">
        <f ca="1">IF(LEFT('R'!C14,1)=".",,COUNTIFS(INDIRECT(SUBSTITUTE("@@!AA13:AA57","@@",'R'!$C14)),"Belum terbiasa",INDIRECT("12Month!$CU$3:$CU$47"),"P"))</f>
        <v>0</v>
      </c>
      <c r="OA3" s="121">
        <f ca="1">IF(LEFT('R'!C14,1)=".",,COUNTIFS(INDIRECT(SUBSTITUTE("@@!AB13:AB57","@@",'R'!$C14)),"Sudah terbiasa",INDIRECT("12Month!$CU$3:CU47"),"L"))</f>
        <v>0</v>
      </c>
      <c r="OB3" s="121">
        <f ca="1">IF(LEFT('R'!C14,1)=".",,COUNTIFS(INDIRECT(SUBSTITUTE("@@!AB13:AB57","@@",'R'!$C14)),"Belum terbiasa",INDIRECT("12Month!$CU$3:$CU$47"),"L"))</f>
        <v>0</v>
      </c>
      <c r="OC3" s="121">
        <f ca="1">IF(LEFT('R'!C14,1)=".",,COUNTIFS(INDIRECT(SUBSTITUTE("@@!AB13:AB57","@@",'R'!$C14)),"Sudah terbiasa",INDIRECT("12Month!$CU$3:CU47"),"P"))</f>
        <v>0</v>
      </c>
      <c r="OD3" s="121">
        <f ca="1">IF(LEFT('R'!C14,1)=".",,COUNTIFS(INDIRECT(SUBSTITUTE("@@!AB13:AB57","@@",'R'!$C14)),"Belum terbiasa",INDIRECT("12Month!$CU$3:$CU$47"),"P"))</f>
        <v>0</v>
      </c>
      <c r="OE3" s="121">
        <f ca="1">COUNTIFS(INDIRECT("'12Month'!"&amp;ADDRESS(3,COLUMN('R'!CV1))&amp;":"&amp;ADDRESS(47,COLUMN('R'!CV1))),"Sudah terbiasa",INDIRECT("12Month!$CU$3:CU47"),"L")</f>
        <v>0</v>
      </c>
      <c r="OF3" s="121">
        <f ca="1">COUNTIFS(INDIRECT("'12Month'!"&amp;ADDRESS(3,COLUMN('R'!CV1))&amp;":"&amp;ADDRESS(47,COLUMN('R'!CV1))),"Belum terbiasa",INDIRECT("12Month!$CU$3:$CU$47"),"L")</f>
        <v>0</v>
      </c>
      <c r="OG3" s="121">
        <f ca="1">COUNTIFS(INDIRECT("'12Month'!"&amp;ADDRESS(3,COLUMN('R'!CV1))&amp;":"&amp;ADDRESS(47,COLUMN('R'!CV1))),"Sudah terbiasa",INDIRECT("12Month!$CU$3:CU47"),"P")</f>
        <v>0</v>
      </c>
      <c r="OH3" s="121">
        <f ca="1">COUNTIFS(INDIRECT("'12Month'!"&amp;ADDRESS(3,COLUMN('R'!CV1))&amp;":"&amp;ADDRESS(47,COLUMN('R'!CV1))),"Belum terbiasa",INDIRECT("12Month!$CU$3:$CU$47"),"P")</f>
        <v>0</v>
      </c>
      <c r="OI3" s="121">
        <f ca="1">COUNTIFS(INDIRECT("'12Month'!"&amp;ADDRESS(3,COLUMN('R'!CW1))&amp;":"&amp;ADDRESS(47,COLUMN('R'!CW1))),"Sudah terbiasa",INDIRECT("12Month!$CU$3:CU47"),"L")</f>
        <v>0</v>
      </c>
      <c r="OJ3" s="121">
        <f ca="1">COUNTIFS(INDIRECT("'12Month'!"&amp;ADDRESS(3,COLUMN('R'!CW1))&amp;":"&amp;ADDRESS(47,COLUMN('R'!CW1))),"Belum terbiasa",INDIRECT("12Month!$CU$3:$CU$47"),"L")</f>
        <v>0</v>
      </c>
      <c r="OK3" s="121">
        <f ca="1">COUNTIFS(INDIRECT("'12Month'!"&amp;ADDRESS(3,COLUMN('R'!CW1))&amp;":"&amp;ADDRESS(47,COLUMN('R'!CW1))),"Sudah terbiasa",INDIRECT("12Month!$CU$3:CU47"),"P")</f>
        <v>0</v>
      </c>
      <c r="OL3" s="121">
        <f ca="1">COUNTIFS(INDIRECT("'12Month'!"&amp;ADDRESS(3,COLUMN('R'!CW1))&amp;":"&amp;ADDRESS(47,COLUMN('R'!CW1))),"Belum terbiasa",INDIRECT("12Month!$CU$3:$CU$47"),"P")</f>
        <v>0</v>
      </c>
      <c r="OM3" s="121">
        <f ca="1">COUNTIFS(INDIRECT("'12Month'!"&amp;ADDRESS(3,COLUMN('R'!CX1))&amp;":"&amp;ADDRESS(47,COLUMN('R'!CX1))),"Sudah terbiasa",INDIRECT("12Month!$CU$3:CU47"),"L")</f>
        <v>0</v>
      </c>
      <c r="ON3" s="121">
        <f ca="1">COUNTIFS(INDIRECT("'12Month'!"&amp;ADDRESS(3,COLUMN('R'!CX1))&amp;":"&amp;ADDRESS(47,COLUMN('R'!CX1))),"Belum terbiasa",INDIRECT("12Month!$CU$3:$CU$47"),"L")</f>
        <v>0</v>
      </c>
      <c r="OO3" s="121">
        <f ca="1">COUNTIFS(INDIRECT("'12Month'!"&amp;ADDRESS(3,COLUMN('R'!CX1))&amp;":"&amp;ADDRESS(47,COLUMN('R'!CX1))),"Sudah terbiasa",INDIRECT("12Month!$CU$3:CU47"),"P")</f>
        <v>0</v>
      </c>
      <c r="OP3" s="121">
        <f ca="1">COUNTIFS(INDIRECT("'12Month'!"&amp;ADDRESS(3,COLUMN('R'!CX1))&amp;":"&amp;ADDRESS(47,COLUMN('R'!CX1))),"Belum terbiasa",INDIRECT("12Month!$CU$3:$CU$47"),"P")</f>
        <v>0</v>
      </c>
      <c r="OQ3" s="121">
        <f ca="1">COUNTIFS(INDIRECT("'12Month'!"&amp;ADDRESS(3,COLUMN('R'!CY1))&amp;":"&amp;ADDRESS(47,COLUMN('R'!CY1))),"Sudah terbiasa",INDIRECT("12Month!$CU$3:CU47"),"L")</f>
        <v>0</v>
      </c>
      <c r="OR3" s="121">
        <f ca="1">COUNTIFS(INDIRECT("'12Month'!"&amp;ADDRESS(3,COLUMN('R'!CY1))&amp;":"&amp;ADDRESS(47,COLUMN('R'!CY1))),"Belum terbiasa",INDIRECT("12Month!$CU$3:$CU$47"),"L")</f>
        <v>0</v>
      </c>
      <c r="OS3" s="121">
        <f ca="1">COUNTIFS(INDIRECT("'12Month'!"&amp;ADDRESS(3,COLUMN('R'!CY1))&amp;":"&amp;ADDRESS(47,COLUMN('R'!CY1))),"Sudah terbiasa",INDIRECT("12Month!$CU$3:CU47"),"P")</f>
        <v>0</v>
      </c>
      <c r="OT3" s="121">
        <f ca="1">COUNTIFS(INDIRECT("'12Month'!"&amp;ADDRESS(3,COLUMN('R'!CY1))&amp;":"&amp;ADDRESS(47,COLUMN('R'!CY1))),"Belum terbiasa",INDIRECT("12Month!$CU$3:$CU$47"),"P")</f>
        <v>0</v>
      </c>
      <c r="OU3" s="121">
        <f ca="1">COUNTIFS(INDIRECT("'12Month'!"&amp;ADDRESS(3,COLUMN('R'!CZ1))&amp;":"&amp;ADDRESS(47,COLUMN('R'!CZ1))),"Sudah terbiasa",INDIRECT("12Month!$CU$3:CU47"),"L")</f>
        <v>0</v>
      </c>
      <c r="OV3" s="121">
        <f ca="1">COUNTIFS(INDIRECT("'12Month'!"&amp;ADDRESS(3,COLUMN('R'!CZ1))&amp;":"&amp;ADDRESS(47,COLUMN('R'!CZ1))),"Belum terbiasa",INDIRECT("12Month!$CU$3:$CU$47"),"L")</f>
        <v>0</v>
      </c>
      <c r="OW3" s="121">
        <f ca="1">COUNTIFS(INDIRECT("'12Month'!"&amp;ADDRESS(3,COLUMN('R'!CZ1))&amp;":"&amp;ADDRESS(47,COLUMN('R'!CZ1))),"Sudah terbiasa",INDIRECT("12Month!$CU$3:CU47"),"P")</f>
        <v>0</v>
      </c>
      <c r="OX3" s="121">
        <f ca="1">COUNTIFS(INDIRECT("'12Month'!"&amp;ADDRESS(3,COLUMN('R'!CZ1))&amp;":"&amp;ADDRESS(47,COLUMN('R'!CZ1))),"Belum terbiasa",INDIRECT("12Month!$CU$3:$CU$47"),"P")</f>
        <v>0</v>
      </c>
      <c r="OY3" s="121">
        <f ca="1">COUNTIFS(INDIRECT("'12Month'!"&amp;ADDRESS(3,COLUMN('R'!DA1))&amp;":"&amp;ADDRESS(47,COLUMN('R'!DA1))),"Sudah terbiasa",INDIRECT("12Month!$CU$3:CU47"),"L")</f>
        <v>0</v>
      </c>
      <c r="OZ3" s="121">
        <f ca="1">COUNTIFS(INDIRECT("'12Month'!"&amp;ADDRESS(3,COLUMN('R'!DA1))&amp;":"&amp;ADDRESS(47,COLUMN('R'!DA1))),"Belum terbiasa",INDIRECT("12Month!$CU$3:$CU$47"),"L")</f>
        <v>0</v>
      </c>
      <c r="PA3" s="121">
        <f ca="1">COUNTIFS(INDIRECT("'12Month'!"&amp;ADDRESS(3,COLUMN('R'!DA1))&amp;":"&amp;ADDRESS(47,COLUMN('R'!DA1))),"Sudah terbiasa",INDIRECT("12Month!$CU$3:CU47"),"P")</f>
        <v>0</v>
      </c>
      <c r="PB3" s="121">
        <f ca="1">COUNTIFS(INDIRECT("'12Month'!"&amp;ADDRESS(3,COLUMN('R'!DA1))&amp;":"&amp;ADDRESS(47,COLUMN('R'!DA1))),"Belum terbiasa",INDIRECT("12Month!$CU$3:$CU$47"),"P")</f>
        <v>0</v>
      </c>
      <c r="PC3" s="121">
        <f ca="1">COUNTIFS(INDIRECT("'12Month'!"&amp;ADDRESS(3,COLUMN('R'!DB1))&amp;":"&amp;ADDRESS(47,COLUMN('R'!DB1))),"Sudah terbiasa",INDIRECT("12Month!$CU$3:CU47"),"L")</f>
        <v>0</v>
      </c>
      <c r="PD3" s="121">
        <f ca="1">COUNTIFS(INDIRECT("'12Month'!"&amp;ADDRESS(3,COLUMN('R'!DB1))&amp;":"&amp;ADDRESS(47,COLUMN('R'!DB1))),"Belum terbiasa",INDIRECT("12Month!$CU$3:$CU$47"),"L")</f>
        <v>0</v>
      </c>
      <c r="PE3" s="121">
        <f ca="1">COUNTIFS(INDIRECT("'12Month'!"&amp;ADDRESS(3,COLUMN('R'!DB1))&amp;":"&amp;ADDRESS(47,COLUMN('R'!DB1))),"Sudah terbiasa",INDIRECT("12Month!$CU$3:CU47"),"P")</f>
        <v>0</v>
      </c>
      <c r="PF3" s="121">
        <f ca="1">COUNTIFS(INDIRECT("'12Month'!"&amp;ADDRESS(3,COLUMN('R'!DB1))&amp;":"&amp;ADDRESS(47,COLUMN('R'!DB1))),"Belum terbiasa",INDIRECT("12Month!$CU$3:$CU$47"),"P")</f>
        <v>0</v>
      </c>
      <c r="PG3" s="121">
        <f ca="1">COUNTIFS(INDIRECT("'12Month'!"&amp;ADDRESS(3,COLUMN('R'!DC1))&amp;":"&amp;ADDRESS(47,COLUMN('R'!DC1))),"Sudah terbiasa",INDIRECT("12Month!$CU$3:CU47"),"L")</f>
        <v>0</v>
      </c>
      <c r="PH3" s="121">
        <f ca="1">COUNTIFS(INDIRECT("'12Month'!"&amp;ADDRESS(3,COLUMN('R'!DC1))&amp;":"&amp;ADDRESS(47,COLUMN('R'!DC1))),"Belum terbiasa",INDIRECT("12Month!$CU$3:$CU$47"),"L")</f>
        <v>0</v>
      </c>
      <c r="PI3" s="121">
        <f ca="1">COUNTIFS(INDIRECT("'12Month'!"&amp;ADDRESS(3,COLUMN('R'!DC1))&amp;":"&amp;ADDRESS(47,COLUMN('R'!DC1))),"Sudah terbiasa",INDIRECT("12Month!$CU$3:CU47"),"P")</f>
        <v>0</v>
      </c>
      <c r="PJ3" s="121">
        <f ca="1">COUNTIFS(INDIRECT("'12Month'!"&amp;ADDRESS(3,COLUMN('R'!DC1))&amp;":"&amp;ADDRESS(47,COLUMN('R'!DC1))),"Belum terbiasa",INDIRECT("12Month!$CU$3:$CU$47"),"P")</f>
        <v>0</v>
      </c>
      <c r="PK3" s="121">
        <f ca="1">COUNTIFS(INDIRECT("'12Month'!"&amp;ADDRESS(3,COLUMN('R'!DD1))&amp;":"&amp;ADDRESS(47,COLUMN('R'!DD1))),"Sudah terbiasa",INDIRECT("12Month!$CU$3:CU47"),"L")</f>
        <v>0</v>
      </c>
      <c r="PL3" s="121">
        <f ca="1">COUNTIFS(INDIRECT("'12Month'!"&amp;ADDRESS(3,COLUMN('R'!DD1))&amp;":"&amp;ADDRESS(47,COLUMN('R'!DD1))),"Belum terbiasa",INDIRECT("12Month!$CU$3:CU47"),"L")</f>
        <v>0</v>
      </c>
      <c r="PM3" s="121">
        <f ca="1">COUNTIFS(INDIRECT("'12Month'!"&amp;ADDRESS(3,COLUMN('R'!DD1))&amp;":"&amp;ADDRESS(47,COLUMN('R'!DD1))),"Sudah terbiasa",INDIRECT("12Month!$CU$3:CU47"),"P")</f>
        <v>0</v>
      </c>
      <c r="PN3" s="121">
        <f ca="1">COUNTIFS(INDIRECT("'12Month'!"&amp;ADDRESS(3,COLUMN('R'!DD1))&amp;":"&amp;ADDRESS(47,COLUMN('R'!DD1))),"Belum terbiasa",INDIRECT("12Month!$CU$3:CU47"),"P")</f>
        <v>0</v>
      </c>
      <c r="PO3" s="121">
        <f ca="1">COUNTIFS(INDIRECT("'12Month'!"&amp;ADDRESS(3,COLUMN('R'!DE1))&amp;":"&amp;ADDRESS(47,COLUMN('R'!DE1))),"Sudah terbiasa",INDIRECT("12Month!$CU$3:CU47"),"L")</f>
        <v>0</v>
      </c>
      <c r="PP3" s="121">
        <f ca="1">COUNTIFS(INDIRECT("'12Month'!"&amp;ADDRESS(3,COLUMN('R'!DE1))&amp;":"&amp;ADDRESS(47,COLUMN('R'!DE1))),"Belum terbiasa",INDIRECT("12Month!$CU$3:CU47"),"L")</f>
        <v>0</v>
      </c>
      <c r="PQ3" s="121">
        <f ca="1">COUNTIFS(INDIRECT("'12Month'!"&amp;ADDRESS(3,COLUMN('R'!DE1))&amp;":"&amp;ADDRESS(47,COLUMN('R'!DE1))),"Sudah terbiasa",INDIRECT("12Month!$CU$3:CU47"),"P")</f>
        <v>0</v>
      </c>
      <c r="PR3" s="121">
        <f ca="1">COUNTIFS(INDIRECT("'12Month'!"&amp;ADDRESS(3,COLUMN('R'!DE1))&amp;":"&amp;ADDRESS(47,COLUMN('R'!DE1))),"Belum terbiasa",INDIRECT("12Month!$CU$3:CU47"),"P")</f>
        <v>0</v>
      </c>
      <c r="PS3" s="121">
        <f ca="1">COUNTIFS(INDIRECT("'12Month'!"&amp;ADDRESS(3,COLUMN('R'!DF1))&amp;":"&amp;ADDRESS(47,COLUMN('R'!DF1))),"Sudah terbiasa",INDIRECT("12Month!$CU$3:CU47"),"L")</f>
        <v>0</v>
      </c>
      <c r="PT3" s="121">
        <f ca="1">COUNTIFS(INDIRECT("'12Month'!"&amp;ADDRESS(3,COLUMN('R'!DF1))&amp;":"&amp;ADDRESS(47,COLUMN('R'!DF1))),"Belum terbiasa",INDIRECT("12Month!$CU$3:CU47"),"L")</f>
        <v>0</v>
      </c>
      <c r="PU3" s="121">
        <f ca="1">COUNTIFS(INDIRECT("'12Month'!"&amp;ADDRESS(3,COLUMN('R'!DF1))&amp;":"&amp;ADDRESS(47,COLUMN('R'!DF1))),"Sudah terbiasa",INDIRECT("12Month!$CU$3:CU47"),"P")</f>
        <v>0</v>
      </c>
      <c r="PV3" s="121">
        <f ca="1">COUNTIFS(INDIRECT("'12Month'!"&amp;ADDRESS(3,COLUMN('R'!DF1))&amp;":"&amp;ADDRESS(47,COLUMN('R'!DF1))),"Belum terbiasa",INDIRECT("12Month!$CU$3:CU47"),"P")</f>
        <v>0</v>
      </c>
      <c r="PW3" s="121">
        <f ca="1">COUNTIFS(INDIRECT("'12Month'!"&amp;ADDRESS(3,COLUMN('R'!DG1))&amp;":"&amp;ADDRESS(47,COLUMN('R'!DG1))),"Sudah terbiasa",INDIRECT("12Month!$CU$3:CU47"),"L")</f>
        <v>0</v>
      </c>
      <c r="PX3" s="121">
        <f ca="1">COUNTIFS(INDIRECT("'12Month'!"&amp;ADDRESS(3,COLUMN('R'!DG1))&amp;":"&amp;ADDRESS(47,COLUMN('R'!DG1))),"Belum terbiasa",INDIRECT("12Month!$CU$3:CU47"),"L")</f>
        <v>0</v>
      </c>
      <c r="PY3" s="121">
        <f ca="1">COUNTIFS(INDIRECT("'12Month'!"&amp;ADDRESS(3,COLUMN('R'!DG1))&amp;":"&amp;ADDRESS(47,COLUMN('R'!DG1))),"Sudah terbiasa",INDIRECT("12Month!$CU$3:CU47"),"P")</f>
        <v>0</v>
      </c>
      <c r="PZ3" s="121">
        <f ca="1">COUNTIFS(INDIRECT("'12Month'!"&amp;ADDRESS(3,COLUMN('R'!DG1))&amp;":"&amp;ADDRESS(47,COLUMN('R'!DG1))),"Belum terbiasa",INDIRECT("12Month!$CU$3:CU47"),"P")</f>
        <v>0</v>
      </c>
      <c r="QA3" s="121">
        <f ca="1">COUNTIFS(INDIRECT("'12Month'!"&amp;ADDRESS(3,COLUMN('R'!DH1))&amp;":"&amp;ADDRESS(47,COLUMN('R'!DH1))),"Sudah terbiasa",INDIRECT("12Month!$CU$3:CU47"),"L")</f>
        <v>0</v>
      </c>
      <c r="QB3" s="121">
        <f ca="1">COUNTIFS(INDIRECT("'12Month'!"&amp;ADDRESS(3,COLUMN('R'!DH1))&amp;":"&amp;ADDRESS(47,COLUMN('R'!DH1))),"Belum terbiasa",INDIRECT("12Month!$CU$3:CU47"),"L")</f>
        <v>0</v>
      </c>
      <c r="QC3" s="121">
        <f ca="1">COUNTIFS(INDIRECT("'12Month'!"&amp;ADDRESS(3,COLUMN('R'!DH1))&amp;":"&amp;ADDRESS(47,COLUMN('R'!DH1))),"Sudah terbiasa",INDIRECT("12Month!$CU$3:CU47"),"P")</f>
        <v>0</v>
      </c>
      <c r="QD3" s="121">
        <f ca="1">COUNTIFS(INDIRECT("'12Month'!"&amp;ADDRESS(3,COLUMN('R'!DH1))&amp;":"&amp;ADDRESS(47,COLUMN('R'!DH1))),"Belum terbiasa",INDIRECT("12Month!$CU$3:CU47"),"P")</f>
        <v>0</v>
      </c>
      <c r="QE3" s="121">
        <f ca="1">COUNTIFS(INDIRECT("'12Month'!"&amp;ADDRESS(3,COLUMN('R'!DI1))&amp;":"&amp;ADDRESS(47,COLUMN('R'!DI1))),"Sudah terbiasa",INDIRECT("12Month!$CU$3:CU47"),"L")</f>
        <v>0</v>
      </c>
      <c r="QF3" s="121">
        <f ca="1">COUNTIFS(INDIRECT("'12Month'!"&amp;ADDRESS(3,COLUMN('R'!DI1))&amp;":"&amp;ADDRESS(47,COLUMN('R'!DI1))),"Belum terbiasa",INDIRECT("12Month!$CU$3:CU47"),"L")</f>
        <v>0</v>
      </c>
      <c r="QG3" s="121">
        <f ca="1">COUNTIFS(INDIRECT("'12Month'!"&amp;ADDRESS(3,COLUMN('R'!DI1))&amp;":"&amp;ADDRESS(47,COLUMN('R'!DI1))),"Sudah terbiasa",INDIRECT("12Month!$CU$3:CU47"),"P")</f>
        <v>0</v>
      </c>
      <c r="QH3" s="121">
        <f ca="1">COUNTIFS(INDIRECT("'12Month'!"&amp;ADDRESS(3,COLUMN('R'!DI1))&amp;":"&amp;ADDRESS(47,COLUMN('R'!DI1))),"Belum terbiasa",INDIRECT("12Month!$CU$3:CU47"),"P")</f>
        <v>0</v>
      </c>
      <c r="QI3" s="121">
        <f ca="1">COUNTIFS(INDIRECT("'12Month'!"&amp;ADDRESS(3,COLUMN('R'!DJ1))&amp;":"&amp;ADDRESS(47,COLUMN('R'!DJ1))),"Sudah terbiasa",INDIRECT("12Month!$CU$3:CU47"),"L")</f>
        <v>0</v>
      </c>
      <c r="QJ3" s="121">
        <f ca="1">COUNTIFS(INDIRECT("'12Month'!"&amp;ADDRESS(3,COLUMN('R'!DJ1))&amp;":"&amp;ADDRESS(47,COLUMN('R'!DJ1))),"Belum terbiasa",INDIRECT("12Month!$CU$3:CU47"),"L")</f>
        <v>0</v>
      </c>
      <c r="QK3" s="121">
        <f ca="1">COUNTIFS(INDIRECT("'12Month'!"&amp;ADDRESS(3,COLUMN('R'!DJ1))&amp;":"&amp;ADDRESS(47,COLUMN('R'!DJ1))),"Sudah terbiasa",INDIRECT("12Month!$CU$3:CU47"),"P")</f>
        <v>0</v>
      </c>
      <c r="QL3" s="121">
        <f ca="1">COUNTIFS(INDIRECT("'12Month'!"&amp;ADDRESS(3,COLUMN('R'!DJ1))&amp;":"&amp;ADDRESS(47,COLUMN('R'!DJ1))),"Belum terbiasa",INDIRECT("12Month!$CU$3:CU47"),"P")</f>
        <v>0</v>
      </c>
      <c r="QM3" s="121">
        <f ca="1">COUNTIFS(INDIRECT("'12Month'!"&amp;ADDRESS(3,COLUMN('R'!DK1))&amp;":"&amp;ADDRESS(47,COLUMN('R'!DK1))),"Sudah terbiasa",INDIRECT("12Month!$CU$3:CU47"),"L")</f>
        <v>0</v>
      </c>
      <c r="QN3" s="121">
        <f ca="1">COUNTIFS(INDIRECT("'12Month'!"&amp;ADDRESS(3,COLUMN('R'!DK1))&amp;":"&amp;ADDRESS(47,COLUMN('R'!DK1))),"Belum terbiasa",INDIRECT("12Month!$CU$3:CU47"),"L")</f>
        <v>0</v>
      </c>
      <c r="QO3" s="121">
        <f ca="1">COUNTIFS(INDIRECT("'12Month'!"&amp;ADDRESS(3,COLUMN('R'!DK1))&amp;":"&amp;ADDRESS(47,COLUMN('R'!DK1))),"Sudah terbiasa",INDIRECT("12Month!$CU$3:CU47"),"P")</f>
        <v>0</v>
      </c>
      <c r="QP3" s="121">
        <f ca="1">COUNTIFS(INDIRECT("'12Month'!"&amp;ADDRESS(3,COLUMN('R'!DK1))&amp;":"&amp;ADDRESS(47,COLUMN('R'!DK1))),"Belum terbiasa",INDIRECT("12Month!$CU$3:CU47"),"P")</f>
        <v>0</v>
      </c>
      <c r="QQ3" s="121">
        <f ca="1">COUNTIFS(INDIRECT("'12Month'!"&amp;ADDRESS(3,COLUMN('R'!DL1))&amp;":"&amp;ADDRESS(47,COLUMN('R'!DL1))),"Sudah terbiasa",INDIRECT("12Month!$CU$3:CU47"),"L")</f>
        <v>0</v>
      </c>
      <c r="QR3" s="121">
        <f ca="1">COUNTIFS(INDIRECT("'12Month'!"&amp;ADDRESS(3,COLUMN('R'!DL1))&amp;":"&amp;ADDRESS(47,COLUMN('R'!DL1))),"Belum terbiasa",INDIRECT("12Month!$CU$3:CU47"),"L")</f>
        <v>0</v>
      </c>
      <c r="QS3" s="121">
        <f ca="1">COUNTIFS(INDIRECT("'12Month'!"&amp;ADDRESS(3,COLUMN('R'!DL1))&amp;":"&amp;ADDRESS(47,COLUMN('R'!DL1))),"Sudah terbiasa",INDIRECT("12Month!$CU$3:CU47"),"P")</f>
        <v>0</v>
      </c>
      <c r="QT3" s="121">
        <f ca="1">COUNTIFS(INDIRECT("'12Month'!"&amp;ADDRESS(3,COLUMN('R'!DL1))&amp;":"&amp;ADDRESS(47,COLUMN('R'!DL1))),"Belum terbiasa",INDIRECT("12Month!$CU$3:CU47"),"P")</f>
        <v>0</v>
      </c>
      <c r="QU3" s="121">
        <f ca="1">COUNTIFS(INDIRECT("'12Month'!"&amp;ADDRESS(3,COLUMN('R'!DM1))&amp;":"&amp;ADDRESS(47,COLUMN('R'!DM1))),"Sudah terbiasa",INDIRECT("12Month!$CU$3:CU47"),"L")</f>
        <v>0</v>
      </c>
      <c r="QV3" s="121">
        <f ca="1">COUNTIFS(INDIRECT("'12Month'!"&amp;ADDRESS(3,COLUMN('R'!DM1))&amp;":"&amp;ADDRESS(47,COLUMN('R'!DM1))),"Belum terbiasa",INDIRECT("12Month!$CU$3:CU47"),"L")</f>
        <v>0</v>
      </c>
      <c r="QW3" s="121">
        <f ca="1">COUNTIFS(INDIRECT("'12Month'!"&amp;ADDRESS(3,COLUMN('R'!DM1))&amp;":"&amp;ADDRESS(47,COLUMN('R'!DM1))),"Sudah terbiasa",INDIRECT("12Month!$CU$3:CU47"),"P")</f>
        <v>0</v>
      </c>
      <c r="QX3" s="121">
        <f ca="1">COUNTIFS(INDIRECT("'12Month'!"&amp;ADDRESS(3,COLUMN('R'!DM1))&amp;":"&amp;ADDRESS(47,COLUMN('R'!DM1))),"Belum terbiasa",INDIRECT("12Month!$CU$3:CU47"),"P")</f>
        <v>0</v>
      </c>
      <c r="QY3" s="121">
        <f ca="1">COUNTIFS(INDIRECT("'12Month'!"&amp;ADDRESS(3,COLUMN('R'!DN1))&amp;":"&amp;ADDRESS(47,COLUMN('R'!DN1))),"Sudah terbiasa",INDIRECT("12Month!$CU$3:CU47"),"L")</f>
        <v>0</v>
      </c>
      <c r="QZ3" s="121">
        <f ca="1">COUNTIFS(INDIRECT("'12Month'!"&amp;ADDRESS(3,COLUMN('R'!DN1))&amp;":"&amp;ADDRESS(47,COLUMN('R'!DN1))),"Belum terbiasa",INDIRECT("12Month!$CU$3:CU47"),"L")</f>
        <v>0</v>
      </c>
      <c r="RA3" s="121">
        <f ca="1">COUNTIFS(INDIRECT("'12Month'!"&amp;ADDRESS(3,COLUMN('R'!DN1))&amp;":"&amp;ADDRESS(47,COLUMN('R'!DN1))),"Sudah terbiasa",INDIRECT("12Month!$CU$3:CU47"),"P")</f>
        <v>0</v>
      </c>
      <c r="RB3" s="121">
        <f ca="1">COUNTIFS(INDIRECT("'12Month'!"&amp;ADDRESS(3,COLUMN('R'!DN1))&amp;":"&amp;ADDRESS(47,COLUMN('R'!DN1))),"Belum terbiasa",INDIRECT("12Month!$CU$3:CU47"),"P")</f>
        <v>0</v>
      </c>
      <c r="RC3" s="121">
        <f ca="1">COUNTIFS(INDIRECT("'12Month'!"&amp;ADDRESS(3,COLUMN('R'!DO1))&amp;":"&amp;ADDRESS(47,COLUMN('R'!DO1))),"Sudah terbiasa",INDIRECT("12Month!$CU$3:CU47"),"L")</f>
        <v>0</v>
      </c>
      <c r="RD3" s="121">
        <f ca="1">COUNTIFS(INDIRECT("'12Month'!"&amp;ADDRESS(3,COLUMN('R'!DO1))&amp;":"&amp;ADDRESS(47,COLUMN('R'!DO1))),"Belum terbiasa",INDIRECT("12Month!$CU$3:CU47"),"L")</f>
        <v>0</v>
      </c>
      <c r="RE3" s="121">
        <f ca="1">COUNTIFS(INDIRECT("'12Month'!"&amp;ADDRESS(3,COLUMN('R'!DO1))&amp;":"&amp;ADDRESS(47,COLUMN('R'!DO1))),"Sudah terbiasa",INDIRECT("12Month!$CU$3:CU47"),"P")</f>
        <v>0</v>
      </c>
      <c r="RF3" s="121">
        <f ca="1">COUNTIFS(INDIRECT("'12Month'!"&amp;ADDRESS(3,COLUMN('R'!DO1))&amp;":"&amp;ADDRESS(47,COLUMN('R'!DO1))),"Belum terbiasa",INDIRECT("12Month!$CU$3:CU47"),"P")</f>
        <v>0</v>
      </c>
      <c r="RG3" s="121">
        <f ca="1">COUNTIFS(INDIRECT("'12Month'!"&amp;ADDRESS(3,COLUMN('R'!DP1))&amp;":"&amp;ADDRESS(47,COLUMN('R'!DP1))),"Sudah terbiasa",INDIRECT("12Month!$CU$3:CU47"),"L")</f>
        <v>0</v>
      </c>
      <c r="RH3" s="121">
        <f ca="1">COUNTIFS(INDIRECT("'12Month'!"&amp;ADDRESS(3,COLUMN('R'!DP1))&amp;":"&amp;ADDRESS(47,COLUMN('R'!DP1))),"Belum terbiasa",INDIRECT("12Month!$CU$3:CU47"),"L")</f>
        <v>0</v>
      </c>
      <c r="RI3" s="121">
        <f ca="1">COUNTIFS(INDIRECT("'12Month'!"&amp;ADDRESS(3,COLUMN('R'!DP1))&amp;":"&amp;ADDRESS(47,COLUMN('R'!DP1))),"Sudah terbiasa",INDIRECT("12Month!$CU$3:CU47"),"P")</f>
        <v>0</v>
      </c>
      <c r="RJ3" s="121">
        <f ca="1">COUNTIFS(INDIRECT("'12Month'!"&amp;ADDRESS(3,COLUMN('R'!DP1))&amp;":"&amp;ADDRESS(47,COLUMN('R'!DP1))),"Belum terbiasa",INDIRECT("12Month!$CU$3:CU47"),"P")</f>
        <v>0</v>
      </c>
      <c r="RK3" s="121">
        <f ca="1">COUNTIFS(INDIRECT("'12Month'!"&amp;ADDRESS(3,COLUMN('R'!DQ1))&amp;":"&amp;ADDRESS(47,COLUMN('R'!DQ1))),"Sudah terbiasa",INDIRECT("12Month!$CU$3:CU47"),"L")</f>
        <v>0</v>
      </c>
      <c r="RL3" s="121">
        <f ca="1">COUNTIFS(INDIRECT("'12Month'!"&amp;ADDRESS(3,COLUMN('R'!DQ1))&amp;":"&amp;ADDRESS(47,COLUMN('R'!DQ1))),"Belum terbiasa",INDIRECT("12Month!$CU$3:CU47"),"L")</f>
        <v>0</v>
      </c>
      <c r="RM3" s="121">
        <f ca="1">COUNTIFS(INDIRECT("'12Month'!"&amp;ADDRESS(3,COLUMN('R'!DQ1))&amp;":"&amp;ADDRESS(47,COLUMN('R'!DQ1))),"Sudah terbiasa",INDIRECT("12Month!$CU$3:CU47"),"P")</f>
        <v>0</v>
      </c>
      <c r="RN3" s="121">
        <f ca="1">COUNTIFS(INDIRECT("'12Month'!"&amp;ADDRESS(3,COLUMN('R'!DQ1))&amp;":"&amp;ADDRESS(47,COLUMN('R'!DQ1))),"Belum terbiasa",INDIRECT("12Month!$CU$3:CU47"),"P")</f>
        <v>0</v>
      </c>
      <c r="RO3" s="121">
        <f ca="1">COUNTIFS(INDIRECT("'12Month'!"&amp;ADDRESS(3,COLUMN('R'!DR1))&amp;":"&amp;ADDRESS(47,COLUMN('R'!DR1))),"Sudah terbiasa",INDIRECT("12Month!$CU$3:CU47"),"L")</f>
        <v>0</v>
      </c>
      <c r="RP3" s="121">
        <f ca="1">COUNTIFS(INDIRECT("'12Month'!"&amp;ADDRESS(3,COLUMN('R'!DR1))&amp;":"&amp;ADDRESS(47,COLUMN('R'!DR1))),"Belum terbiasa",INDIRECT("12Month!$CU$3:CU47"),"L")</f>
        <v>0</v>
      </c>
      <c r="RQ3" s="121">
        <f ca="1">COUNTIFS(INDIRECT("'12Month'!"&amp;ADDRESS(3,COLUMN('R'!DR1))&amp;":"&amp;ADDRESS(47,COLUMN('R'!DR1))),"Sudah terbiasa",INDIRECT("12Month!$CU$3:CU47"),"P")</f>
        <v>0</v>
      </c>
      <c r="RR3" s="121">
        <f ca="1">COUNTIFS(INDIRECT("'12Month'!"&amp;ADDRESS(3,COLUMN('R'!DR1))&amp;":"&amp;ADDRESS(47,COLUMN('R'!DR1))),"Belum terbiasa",INDIRECT("12Month!$CU$3:CU47"),"P")</f>
        <v>0</v>
      </c>
      <c r="RS3" s="121">
        <f ca="1">COUNTIFS(INDIRECT("'12Month'!"&amp;ADDRESS(3,COLUMN('R'!DS1))&amp;":"&amp;ADDRESS(47,COLUMN('R'!DS1))),"Sudah terbiasa",INDIRECT("12Month!$CU$3:CU47"),"L")</f>
        <v>0</v>
      </c>
      <c r="RT3" s="121">
        <f ca="1">COUNTIFS(INDIRECT("'12Month'!"&amp;ADDRESS(3,COLUMN('R'!DS1))&amp;":"&amp;ADDRESS(47,COLUMN('R'!DS1))),"Belum terbiasa",INDIRECT("12Month!$CU$3:CU47"),"L")</f>
        <v>0</v>
      </c>
      <c r="RU3" s="121">
        <f ca="1">COUNTIFS(INDIRECT("'12Month'!"&amp;ADDRESS(3,COLUMN('R'!DS1))&amp;":"&amp;ADDRESS(47,COLUMN('R'!DS1))),"Sudah terbiasa",INDIRECT("12Month!$CU$3:CU47"),"P")</f>
        <v>0</v>
      </c>
      <c r="RV3" s="121">
        <f ca="1">COUNTIFS(INDIRECT("'12Month'!"&amp;ADDRESS(3,COLUMN('R'!DS1))&amp;":"&amp;ADDRESS(47,COLUMN('R'!DS1))),"Belum terbiasa",INDIRECT("12Month!$CU$3:CU47"),"P")</f>
        <v>0</v>
      </c>
    </row>
  </sheetData>
  <sheetProtection algorithmName="SHA-512" hashValue="ECvSmC50pQGAEc0e94BKFqivSJKudn1Ibb1dXWDikqJZTnjqIekLjZHejXpcDhdEfVRV64CA40zITPZHEaFZ4A==" saltValue="PPHdP2ql2d/eXM6f4XIwjw==" spinCount="100000" sheet="1" objects="1" scenarios="1" formatCells="0" formatColumns="0" formatRows="0" insertColumns="0" insertRows="0" insertHyperlinks="0" deleteColumns="0" deleteRows="0" autoFilter="0"/>
  <conditionalFormatting sqref="E2:N2">
    <cfRule type="expression" dxfId="291" priority="315">
      <formula>E2&lt;&gt;""</formula>
    </cfRule>
  </conditionalFormatting>
  <conditionalFormatting sqref="O2:R2">
    <cfRule type="expression" dxfId="290" priority="314">
      <formula>O2&lt;&gt;""</formula>
    </cfRule>
  </conditionalFormatting>
  <conditionalFormatting sqref="S2:V2">
    <cfRule type="expression" dxfId="289" priority="313">
      <formula>S2&lt;&gt;""</formula>
    </cfRule>
  </conditionalFormatting>
  <conditionalFormatting sqref="W2:Z2">
    <cfRule type="expression" dxfId="288" priority="312">
      <formula>W2&lt;&gt;""</formula>
    </cfRule>
  </conditionalFormatting>
  <conditionalFormatting sqref="AA2:AD2">
    <cfRule type="expression" dxfId="287" priority="311">
      <formula>AA2&lt;&gt;""</formula>
    </cfRule>
  </conditionalFormatting>
  <conditionalFormatting sqref="AE2:AH2">
    <cfRule type="expression" dxfId="286" priority="310">
      <formula>AE2&lt;&gt;""</formula>
    </cfRule>
  </conditionalFormatting>
  <conditionalFormatting sqref="AI2:AL2">
    <cfRule type="expression" dxfId="285" priority="309">
      <formula>AI2&lt;&gt;""</formula>
    </cfRule>
  </conditionalFormatting>
  <conditionalFormatting sqref="AM2:AP2">
    <cfRule type="expression" dxfId="284" priority="308">
      <formula>AM2&lt;&gt;""</formula>
    </cfRule>
  </conditionalFormatting>
  <conditionalFormatting sqref="AQ2:AT2">
    <cfRule type="expression" dxfId="283" priority="120">
      <formula>AQ2&lt;&gt;""</formula>
    </cfRule>
  </conditionalFormatting>
  <conditionalFormatting sqref="AU2:AX2">
    <cfRule type="expression" dxfId="282" priority="119">
      <formula>AU2&lt;&gt;""</formula>
    </cfRule>
  </conditionalFormatting>
  <conditionalFormatting sqref="AY2:BB2">
    <cfRule type="expression" dxfId="281" priority="118">
      <formula>AY2&lt;&gt;""</formula>
    </cfRule>
  </conditionalFormatting>
  <conditionalFormatting sqref="BC2:BF2">
    <cfRule type="expression" dxfId="280" priority="117">
      <formula>BC2&lt;&gt;""</formula>
    </cfRule>
  </conditionalFormatting>
  <conditionalFormatting sqref="BG2:BJ2">
    <cfRule type="expression" dxfId="279" priority="116">
      <formula>BG2&lt;&gt;""</formula>
    </cfRule>
  </conditionalFormatting>
  <conditionalFormatting sqref="BK2:BN2">
    <cfRule type="expression" dxfId="278" priority="115">
      <formula>BK2&lt;&gt;""</formula>
    </cfRule>
  </conditionalFormatting>
  <conditionalFormatting sqref="BO2:BR2">
    <cfRule type="expression" dxfId="277" priority="114">
      <formula>BO2&lt;&gt;""</formula>
    </cfRule>
  </conditionalFormatting>
  <conditionalFormatting sqref="BS2:BV2">
    <cfRule type="expression" dxfId="276" priority="113">
      <formula>BS2&lt;&gt;""</formula>
    </cfRule>
  </conditionalFormatting>
  <conditionalFormatting sqref="BW2:BZ2">
    <cfRule type="expression" dxfId="275" priority="112">
      <formula>BW2&lt;&gt;""</formula>
    </cfRule>
  </conditionalFormatting>
  <conditionalFormatting sqref="CA2:CD2">
    <cfRule type="expression" dxfId="274" priority="111">
      <formula>CA2&lt;&gt;""</formula>
    </cfRule>
  </conditionalFormatting>
  <conditionalFormatting sqref="CE2:CH2">
    <cfRule type="expression" dxfId="273" priority="110">
      <formula>CE2&lt;&gt;""</formula>
    </cfRule>
  </conditionalFormatting>
  <conditionalFormatting sqref="CI2:CL2">
    <cfRule type="expression" dxfId="272" priority="109">
      <formula>CI2&lt;&gt;""</formula>
    </cfRule>
  </conditionalFormatting>
  <conditionalFormatting sqref="CM2:CP2">
    <cfRule type="expression" dxfId="271" priority="108">
      <formula>CM2&lt;&gt;""</formula>
    </cfRule>
  </conditionalFormatting>
  <conditionalFormatting sqref="CQ2:CT2">
    <cfRule type="expression" dxfId="270" priority="107">
      <formula>CQ2&lt;&gt;""</formula>
    </cfRule>
  </conditionalFormatting>
  <conditionalFormatting sqref="CU2:CX2">
    <cfRule type="expression" dxfId="269" priority="106">
      <formula>CU2&lt;&gt;""</formula>
    </cfRule>
  </conditionalFormatting>
  <conditionalFormatting sqref="CY2:DB2">
    <cfRule type="expression" dxfId="268" priority="105">
      <formula>CY2&lt;&gt;""</formula>
    </cfRule>
  </conditionalFormatting>
  <conditionalFormatting sqref="DC2:DF2">
    <cfRule type="expression" dxfId="267" priority="104">
      <formula>DC2&lt;&gt;""</formula>
    </cfRule>
  </conditionalFormatting>
  <conditionalFormatting sqref="DG2:DJ2">
    <cfRule type="expression" dxfId="266" priority="103">
      <formula>DG2&lt;&gt;""</formula>
    </cfRule>
  </conditionalFormatting>
  <conditionalFormatting sqref="DK2:DN2">
    <cfRule type="expression" dxfId="265" priority="102">
      <formula>DK2&lt;&gt;""</formula>
    </cfRule>
  </conditionalFormatting>
  <conditionalFormatting sqref="DO2:DR2">
    <cfRule type="expression" dxfId="264" priority="101">
      <formula>DO2&lt;&gt;""</formula>
    </cfRule>
  </conditionalFormatting>
  <conditionalFormatting sqref="DS2:DV2">
    <cfRule type="expression" dxfId="263" priority="100">
      <formula>DS2&lt;&gt;""</formula>
    </cfRule>
  </conditionalFormatting>
  <conditionalFormatting sqref="DW2:DZ2">
    <cfRule type="expression" dxfId="262" priority="99">
      <formula>DW2&lt;&gt;""</formula>
    </cfRule>
  </conditionalFormatting>
  <conditionalFormatting sqref="EA2:ED2">
    <cfRule type="expression" dxfId="261" priority="98">
      <formula>EA2&lt;&gt;""</formula>
    </cfRule>
  </conditionalFormatting>
  <conditionalFormatting sqref="EE2:EH2">
    <cfRule type="expression" dxfId="260" priority="97">
      <formula>EE2&lt;&gt;""</formula>
    </cfRule>
  </conditionalFormatting>
  <conditionalFormatting sqref="EI2:EL2">
    <cfRule type="expression" dxfId="259" priority="96">
      <formula>EI2&lt;&gt;""</formula>
    </cfRule>
  </conditionalFormatting>
  <conditionalFormatting sqref="EM2:EP2">
    <cfRule type="expression" dxfId="258" priority="95">
      <formula>EM2&lt;&gt;""</formula>
    </cfRule>
  </conditionalFormatting>
  <conditionalFormatting sqref="EQ2:ET2">
    <cfRule type="expression" dxfId="257" priority="94">
      <formula>EQ2&lt;&gt;""</formula>
    </cfRule>
  </conditionalFormatting>
  <conditionalFormatting sqref="EU2:EX2">
    <cfRule type="expression" dxfId="256" priority="93">
      <formula>EU2&lt;&gt;""</formula>
    </cfRule>
  </conditionalFormatting>
  <conditionalFormatting sqref="EY2:FB2">
    <cfRule type="expression" dxfId="255" priority="92">
      <formula>EY2&lt;&gt;""</formula>
    </cfRule>
  </conditionalFormatting>
  <conditionalFormatting sqref="FC2:FF2">
    <cfRule type="expression" dxfId="254" priority="91">
      <formula>FC2&lt;&gt;""</formula>
    </cfRule>
  </conditionalFormatting>
  <conditionalFormatting sqref="FG2:FJ2">
    <cfRule type="expression" dxfId="253" priority="90">
      <formula>FG2&lt;&gt;""</formula>
    </cfRule>
  </conditionalFormatting>
  <conditionalFormatting sqref="FK2:FN2">
    <cfRule type="expression" dxfId="252" priority="89">
      <formula>FK2&lt;&gt;""</formula>
    </cfRule>
  </conditionalFormatting>
  <conditionalFormatting sqref="FO2:FR2">
    <cfRule type="expression" dxfId="251" priority="88">
      <formula>FO2&lt;&gt;""</formula>
    </cfRule>
  </conditionalFormatting>
  <conditionalFormatting sqref="FS2:FV2">
    <cfRule type="expression" dxfId="250" priority="87">
      <formula>FS2&lt;&gt;""</formula>
    </cfRule>
  </conditionalFormatting>
  <conditionalFormatting sqref="FW2:FZ2">
    <cfRule type="expression" dxfId="249" priority="86">
      <formula>FW2&lt;&gt;""</formula>
    </cfRule>
  </conditionalFormatting>
  <conditionalFormatting sqref="GA2:GD2">
    <cfRule type="expression" dxfId="248" priority="85">
      <formula>GA2&lt;&gt;""</formula>
    </cfRule>
  </conditionalFormatting>
  <conditionalFormatting sqref="GE2:GH2">
    <cfRule type="expression" dxfId="247" priority="84">
      <formula>GE2&lt;&gt;""</formula>
    </cfRule>
  </conditionalFormatting>
  <conditionalFormatting sqref="GI2:GL2">
    <cfRule type="expression" dxfId="246" priority="83">
      <formula>GI2&lt;&gt;""</formula>
    </cfRule>
  </conditionalFormatting>
  <conditionalFormatting sqref="GM2:GP2">
    <cfRule type="expression" dxfId="245" priority="82">
      <formula>GM2&lt;&gt;""</formula>
    </cfRule>
  </conditionalFormatting>
  <conditionalFormatting sqref="GQ2:GT2">
    <cfRule type="expression" dxfId="244" priority="81">
      <formula>GQ2&lt;&gt;""</formula>
    </cfRule>
  </conditionalFormatting>
  <conditionalFormatting sqref="GU2:GX2">
    <cfRule type="expression" dxfId="243" priority="80">
      <formula>GU2&lt;&gt;""</formula>
    </cfRule>
  </conditionalFormatting>
  <conditionalFormatting sqref="GY2:HB2">
    <cfRule type="expression" dxfId="242" priority="79">
      <formula>GY2&lt;&gt;""</formula>
    </cfRule>
  </conditionalFormatting>
  <conditionalFormatting sqref="HC2:HF2">
    <cfRule type="expression" dxfId="241" priority="78">
      <formula>HC2&lt;&gt;""</formula>
    </cfRule>
  </conditionalFormatting>
  <conditionalFormatting sqref="HG2:HJ2">
    <cfRule type="expression" dxfId="240" priority="77">
      <formula>HG2&lt;&gt;""</formula>
    </cfRule>
  </conditionalFormatting>
  <conditionalFormatting sqref="HK2:HN2">
    <cfRule type="expression" dxfId="239" priority="76">
      <formula>HK2&lt;&gt;""</formula>
    </cfRule>
  </conditionalFormatting>
  <conditionalFormatting sqref="HO2:HR2">
    <cfRule type="expression" dxfId="238" priority="75">
      <formula>HO2&lt;&gt;""</formula>
    </cfRule>
  </conditionalFormatting>
  <conditionalFormatting sqref="HS2:HV2">
    <cfRule type="expression" dxfId="237" priority="74">
      <formula>HS2&lt;&gt;""</formula>
    </cfRule>
  </conditionalFormatting>
  <conditionalFormatting sqref="HW2:HZ2">
    <cfRule type="expression" dxfId="236" priority="73">
      <formula>HW2&lt;&gt;""</formula>
    </cfRule>
  </conditionalFormatting>
  <conditionalFormatting sqref="IA2:ID2">
    <cfRule type="expression" dxfId="235" priority="72">
      <formula>IA2&lt;&gt;""</formula>
    </cfRule>
  </conditionalFormatting>
  <conditionalFormatting sqref="IE2:IH2">
    <cfRule type="expression" dxfId="234" priority="71">
      <formula>IE2&lt;&gt;""</formula>
    </cfRule>
  </conditionalFormatting>
  <conditionalFormatting sqref="II2:IL2">
    <cfRule type="expression" dxfId="233" priority="70">
      <formula>II2&lt;&gt;""</formula>
    </cfRule>
  </conditionalFormatting>
  <conditionalFormatting sqref="IM2:IP2">
    <cfRule type="expression" dxfId="232" priority="69">
      <formula>IM2&lt;&gt;""</formula>
    </cfRule>
  </conditionalFormatting>
  <conditionalFormatting sqref="IQ2:IT2">
    <cfRule type="expression" dxfId="231" priority="68">
      <formula>IQ2&lt;&gt;""</formula>
    </cfRule>
  </conditionalFormatting>
  <conditionalFormatting sqref="IU2:IX2">
    <cfRule type="expression" dxfId="230" priority="67">
      <formula>IU2&lt;&gt;""</formula>
    </cfRule>
  </conditionalFormatting>
  <conditionalFormatting sqref="IY2:JB2">
    <cfRule type="expression" dxfId="229" priority="66">
      <formula>IY2&lt;&gt;""</formula>
    </cfRule>
  </conditionalFormatting>
  <conditionalFormatting sqref="JC2:JF2">
    <cfRule type="expression" dxfId="228" priority="65">
      <formula>JC2&lt;&gt;""</formula>
    </cfRule>
  </conditionalFormatting>
  <conditionalFormatting sqref="JG2:JJ2">
    <cfRule type="expression" dxfId="227" priority="64">
      <formula>JG2&lt;&gt;""</formula>
    </cfRule>
  </conditionalFormatting>
  <conditionalFormatting sqref="JK2:JN2">
    <cfRule type="expression" dxfId="226" priority="63">
      <formula>JK2&lt;&gt;""</formula>
    </cfRule>
  </conditionalFormatting>
  <conditionalFormatting sqref="JO2:JR2">
    <cfRule type="expression" dxfId="225" priority="62">
      <formula>JO2&lt;&gt;""</formula>
    </cfRule>
  </conditionalFormatting>
  <conditionalFormatting sqref="JS2:JV2">
    <cfRule type="expression" dxfId="224" priority="61">
      <formula>JS2&lt;&gt;""</formula>
    </cfRule>
  </conditionalFormatting>
  <conditionalFormatting sqref="JW2:JZ2">
    <cfRule type="expression" dxfId="223" priority="60">
      <formula>JW2&lt;&gt;""</formula>
    </cfRule>
  </conditionalFormatting>
  <conditionalFormatting sqref="KA2:KD2">
    <cfRule type="expression" dxfId="222" priority="59">
      <formula>KA2&lt;&gt;""</formula>
    </cfRule>
  </conditionalFormatting>
  <conditionalFormatting sqref="KE2:KH2">
    <cfRule type="expression" dxfId="221" priority="58">
      <formula>KE2&lt;&gt;""</formula>
    </cfRule>
  </conditionalFormatting>
  <conditionalFormatting sqref="KI2:KL2">
    <cfRule type="expression" dxfId="220" priority="57">
      <formula>KI2&lt;&gt;""</formula>
    </cfRule>
  </conditionalFormatting>
  <conditionalFormatting sqref="KM2:KP2">
    <cfRule type="expression" dxfId="219" priority="56">
      <formula>KM2&lt;&gt;""</formula>
    </cfRule>
  </conditionalFormatting>
  <conditionalFormatting sqref="KQ2:KT2">
    <cfRule type="expression" dxfId="218" priority="55">
      <formula>KQ2&lt;&gt;""</formula>
    </cfRule>
  </conditionalFormatting>
  <conditionalFormatting sqref="KU2:KX2">
    <cfRule type="expression" dxfId="217" priority="54">
      <formula>KU2&lt;&gt;""</formula>
    </cfRule>
  </conditionalFormatting>
  <conditionalFormatting sqref="KY2:LB2">
    <cfRule type="expression" dxfId="216" priority="53">
      <formula>KY2&lt;&gt;""</formula>
    </cfRule>
  </conditionalFormatting>
  <conditionalFormatting sqref="LC2:LF2">
    <cfRule type="expression" dxfId="215" priority="52">
      <formula>LC2&lt;&gt;""</formula>
    </cfRule>
  </conditionalFormatting>
  <conditionalFormatting sqref="LG2:LJ2">
    <cfRule type="expression" dxfId="214" priority="51">
      <formula>LG2&lt;&gt;""</formula>
    </cfRule>
  </conditionalFormatting>
  <conditionalFormatting sqref="LK2:LN2">
    <cfRule type="expression" dxfId="213" priority="50">
      <formula>LK2&lt;&gt;""</formula>
    </cfRule>
  </conditionalFormatting>
  <conditionalFormatting sqref="LO2:LR2">
    <cfRule type="expression" dxfId="212" priority="49">
      <formula>LO2&lt;&gt;""</formula>
    </cfRule>
  </conditionalFormatting>
  <conditionalFormatting sqref="LS2:LV2">
    <cfRule type="expression" dxfId="211" priority="48">
      <formula>LS2&lt;&gt;""</formula>
    </cfRule>
  </conditionalFormatting>
  <conditionalFormatting sqref="LW2:LZ2">
    <cfRule type="expression" dxfId="210" priority="47">
      <formula>LW2&lt;&gt;""</formula>
    </cfRule>
  </conditionalFormatting>
  <conditionalFormatting sqref="MA2:MD2">
    <cfRule type="expression" dxfId="209" priority="46">
      <formula>MA2&lt;&gt;""</formula>
    </cfRule>
  </conditionalFormatting>
  <conditionalFormatting sqref="ME2:MH2">
    <cfRule type="expression" dxfId="208" priority="45">
      <formula>ME2&lt;&gt;""</formula>
    </cfRule>
  </conditionalFormatting>
  <conditionalFormatting sqref="MI2:ML2">
    <cfRule type="expression" dxfId="207" priority="44">
      <formula>MI2&lt;&gt;""</formula>
    </cfRule>
  </conditionalFormatting>
  <conditionalFormatting sqref="MM2:MP2">
    <cfRule type="expression" dxfId="206" priority="43">
      <formula>MM2&lt;&gt;""</formula>
    </cfRule>
  </conditionalFormatting>
  <conditionalFormatting sqref="MQ2:MT2">
    <cfRule type="expression" dxfId="205" priority="42">
      <formula>MQ2&lt;&gt;""</formula>
    </cfRule>
  </conditionalFormatting>
  <conditionalFormatting sqref="MU2:MX2">
    <cfRule type="expression" dxfId="204" priority="41">
      <formula>MU2&lt;&gt;""</formula>
    </cfRule>
  </conditionalFormatting>
  <conditionalFormatting sqref="MY2:NB2">
    <cfRule type="expression" dxfId="203" priority="40">
      <formula>MY2&lt;&gt;""</formula>
    </cfRule>
  </conditionalFormatting>
  <conditionalFormatting sqref="NC2:NF2">
    <cfRule type="expression" dxfId="202" priority="39">
      <formula>NC2&lt;&gt;""</formula>
    </cfRule>
  </conditionalFormatting>
  <conditionalFormatting sqref="NG2:NJ2">
    <cfRule type="expression" dxfId="201" priority="38">
      <formula>NG2&lt;&gt;""</formula>
    </cfRule>
  </conditionalFormatting>
  <conditionalFormatting sqref="NK2:NN2">
    <cfRule type="expression" dxfId="200" priority="37">
      <formula>NK2&lt;&gt;""</formula>
    </cfRule>
  </conditionalFormatting>
  <conditionalFormatting sqref="NO2:NR2">
    <cfRule type="expression" dxfId="199" priority="36">
      <formula>NO2&lt;&gt;""</formula>
    </cfRule>
  </conditionalFormatting>
  <conditionalFormatting sqref="NS2:NV2">
    <cfRule type="expression" dxfId="198" priority="35">
      <formula>NS2&lt;&gt;""</formula>
    </cfRule>
  </conditionalFormatting>
  <conditionalFormatting sqref="NW2:NZ2">
    <cfRule type="expression" dxfId="197" priority="34">
      <formula>NW2&lt;&gt;""</formula>
    </cfRule>
  </conditionalFormatting>
  <conditionalFormatting sqref="OA2:OD2">
    <cfRule type="expression" dxfId="196" priority="33">
      <formula>OA2&lt;&gt;""</formula>
    </cfRule>
  </conditionalFormatting>
  <conditionalFormatting sqref="OE2:OH2">
    <cfRule type="expression" dxfId="195" priority="32">
      <formula>OE2&lt;&gt;""</formula>
    </cfRule>
  </conditionalFormatting>
  <conditionalFormatting sqref="OI2:OL2">
    <cfRule type="expression" dxfId="194" priority="31">
      <formula>OI2&lt;&gt;""</formula>
    </cfRule>
  </conditionalFormatting>
  <conditionalFormatting sqref="OM2:OP2">
    <cfRule type="expression" dxfId="193" priority="30">
      <formula>OM2&lt;&gt;""</formula>
    </cfRule>
  </conditionalFormatting>
  <conditionalFormatting sqref="OQ2:OT2">
    <cfRule type="expression" dxfId="192" priority="29">
      <formula>OQ2&lt;&gt;""</formula>
    </cfRule>
  </conditionalFormatting>
  <conditionalFormatting sqref="OU2:OX2">
    <cfRule type="expression" dxfId="191" priority="28">
      <formula>OU2&lt;&gt;""</formula>
    </cfRule>
  </conditionalFormatting>
  <conditionalFormatting sqref="OY2:PB2">
    <cfRule type="expression" dxfId="190" priority="27">
      <formula>OY2&lt;&gt;""</formula>
    </cfRule>
  </conditionalFormatting>
  <conditionalFormatting sqref="PC2:PF2">
    <cfRule type="expression" dxfId="189" priority="26">
      <formula>PC2&lt;&gt;""</formula>
    </cfRule>
  </conditionalFormatting>
  <conditionalFormatting sqref="PG2:PJ2">
    <cfRule type="expression" dxfId="188" priority="25">
      <formula>PG2&lt;&gt;""</formula>
    </cfRule>
  </conditionalFormatting>
  <conditionalFormatting sqref="PK2:PN2">
    <cfRule type="expression" dxfId="187" priority="24">
      <formula>PK2&lt;&gt;""</formula>
    </cfRule>
  </conditionalFormatting>
  <conditionalFormatting sqref="PO2:PR2">
    <cfRule type="expression" dxfId="186" priority="23">
      <formula>PO2&lt;&gt;""</formula>
    </cfRule>
  </conditionalFormatting>
  <conditionalFormatting sqref="PS2:PV2">
    <cfRule type="expression" dxfId="185" priority="22">
      <formula>PS2&lt;&gt;""</formula>
    </cfRule>
  </conditionalFormatting>
  <conditionalFormatting sqref="PW2:PZ2">
    <cfRule type="expression" dxfId="184" priority="21">
      <formula>PW2&lt;&gt;""</formula>
    </cfRule>
  </conditionalFormatting>
  <conditionalFormatting sqref="QA2:QD2">
    <cfRule type="expression" dxfId="183" priority="20">
      <formula>QA2&lt;&gt;""</formula>
    </cfRule>
  </conditionalFormatting>
  <conditionalFormatting sqref="QE2:QH2">
    <cfRule type="expression" dxfId="182" priority="19">
      <formula>QE2&lt;&gt;""</formula>
    </cfRule>
  </conditionalFormatting>
  <conditionalFormatting sqref="QI2:QL2">
    <cfRule type="expression" dxfId="181" priority="18">
      <formula>QI2&lt;&gt;""</formula>
    </cfRule>
  </conditionalFormatting>
  <conditionalFormatting sqref="QM2:QP2">
    <cfRule type="expression" dxfId="180" priority="17">
      <formula>QM2&lt;&gt;""</formula>
    </cfRule>
  </conditionalFormatting>
  <conditionalFormatting sqref="QQ2:QT2">
    <cfRule type="expression" dxfId="179" priority="16">
      <formula>QQ2&lt;&gt;""</formula>
    </cfRule>
  </conditionalFormatting>
  <conditionalFormatting sqref="QU2:QX2">
    <cfRule type="expression" dxfId="178" priority="15">
      <formula>QU2&lt;&gt;""</formula>
    </cfRule>
  </conditionalFormatting>
  <conditionalFormatting sqref="QY2:RB2">
    <cfRule type="expression" dxfId="177" priority="14">
      <formula>QY2&lt;&gt;""</formula>
    </cfRule>
  </conditionalFormatting>
  <conditionalFormatting sqref="RC2:RF2">
    <cfRule type="expression" dxfId="176" priority="13">
      <formula>RC2&lt;&gt;""</formula>
    </cfRule>
  </conditionalFormatting>
  <conditionalFormatting sqref="RG2:RJ2">
    <cfRule type="expression" dxfId="175" priority="12">
      <formula>RG2&lt;&gt;""</formula>
    </cfRule>
  </conditionalFormatting>
  <conditionalFormatting sqref="RK2:RN2">
    <cfRule type="expression" dxfId="174" priority="11">
      <formula>RK2&lt;&gt;""</formula>
    </cfRule>
  </conditionalFormatting>
  <conditionalFormatting sqref="RO2:RR2">
    <cfRule type="expression" dxfId="173" priority="10">
      <formula>RO2&lt;&gt;""</formula>
    </cfRule>
  </conditionalFormatting>
  <conditionalFormatting sqref="RS2:RV2">
    <cfRule type="expression" dxfId="172" priority="9">
      <formula>RS2&lt;&gt;""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sBeranda"/>
  <dimension ref="A1:M24"/>
  <sheetViews>
    <sheetView showGridLines="0" showRowColHeaders="0" zoomScaleNormal="100" zoomScaleSheetLayoutView="100" workbookViewId="0">
      <selection activeCell="B9" sqref="B9"/>
    </sheetView>
  </sheetViews>
  <sheetFormatPr defaultColWidth="0" defaultRowHeight="15.6" x14ac:dyDescent="0.3"/>
  <cols>
    <col min="1" max="3" width="8.6640625" style="7" customWidth="1"/>
    <col min="4" max="5" width="10.5546875" style="7" customWidth="1"/>
    <col min="6" max="6" width="8.6640625" style="7" customWidth="1"/>
    <col min="7" max="8" width="10.5546875" style="7" customWidth="1"/>
    <col min="9" max="11" width="8.6640625" style="7" customWidth="1"/>
    <col min="12" max="13" width="0" style="7" hidden="1" customWidth="1"/>
    <col min="14" max="16384" width="8.6640625" style="7" hidden="1"/>
  </cols>
  <sheetData>
    <row r="1" spans="1:11" s="13" customFormat="1" x14ac:dyDescent="0.3"/>
    <row r="2" spans="1:11" s="13" customFormat="1" x14ac:dyDescent="0.3"/>
    <row r="3" spans="1:11" s="13" customFormat="1" x14ac:dyDescent="0.3"/>
    <row r="4" spans="1:11" s="13" customFormat="1" x14ac:dyDescent="0.3"/>
    <row r="5" spans="1:11" s="13" customFormat="1" ht="16.2" thickBot="1" x14ac:dyDescent="0.3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</row>
    <row r="6" spans="1:11" ht="16.2" thickTop="1" x14ac:dyDescent="0.3"/>
    <row r="11" spans="1:11" x14ac:dyDescent="0.3">
      <c r="C11" s="134">
        <f>progress!C19</f>
        <v>0.1</v>
      </c>
      <c r="D11" s="134"/>
      <c r="E11" s="135"/>
      <c r="F11" s="1"/>
      <c r="G11" s="128">
        <f>progress!C20</f>
        <v>0</v>
      </c>
      <c r="H11" s="129"/>
      <c r="I11" s="130"/>
    </row>
    <row r="12" spans="1:11" x14ac:dyDescent="0.3">
      <c r="C12" s="134"/>
      <c r="D12" s="134"/>
      <c r="E12" s="135"/>
      <c r="G12" s="131"/>
      <c r="H12" s="132"/>
      <c r="I12" s="133"/>
    </row>
    <row r="14" spans="1:11" x14ac:dyDescent="0.3">
      <c r="D14" s="1"/>
      <c r="E14" s="1"/>
      <c r="F14" s="1"/>
    </row>
    <row r="15" spans="1:11" x14ac:dyDescent="0.3">
      <c r="D15" s="1"/>
      <c r="E15" s="1"/>
      <c r="F15" s="1"/>
    </row>
    <row r="16" spans="1:11" x14ac:dyDescent="0.3">
      <c r="D16" s="136" t="s">
        <v>864</v>
      </c>
      <c r="E16" s="137"/>
      <c r="F16" s="15"/>
      <c r="G16" s="138" t="s">
        <v>865</v>
      </c>
      <c r="H16" s="139"/>
    </row>
    <row r="17" spans="4:8" x14ac:dyDescent="0.3">
      <c r="D17" s="124">
        <f ca="1">progress!D2</f>
        <v>0</v>
      </c>
      <c r="E17" s="125"/>
      <c r="F17" s="15"/>
      <c r="G17" s="126">
        <f ca="1">progress!D9</f>
        <v>0</v>
      </c>
      <c r="H17" s="127"/>
    </row>
    <row r="18" spans="4:8" x14ac:dyDescent="0.3">
      <c r="D18" s="124">
        <f ca="1">progress!D3</f>
        <v>0</v>
      </c>
      <c r="E18" s="125"/>
      <c r="F18" s="15"/>
      <c r="G18" s="126">
        <f ca="1">progress!D10</f>
        <v>0</v>
      </c>
      <c r="H18" s="127"/>
    </row>
    <row r="19" spans="4:8" x14ac:dyDescent="0.3">
      <c r="D19" s="124">
        <f ca="1">progress!D4</f>
        <v>0</v>
      </c>
      <c r="E19" s="125"/>
      <c r="F19" s="15"/>
      <c r="G19" s="126">
        <f ca="1">progress!D11</f>
        <v>0</v>
      </c>
      <c r="H19" s="127"/>
    </row>
    <row r="20" spans="4:8" x14ac:dyDescent="0.3">
      <c r="D20" s="124">
        <f ca="1">progress!D5</f>
        <v>0</v>
      </c>
      <c r="E20" s="125"/>
      <c r="F20" s="15"/>
      <c r="G20" s="126">
        <f ca="1">progress!D12</f>
        <v>0</v>
      </c>
      <c r="H20" s="127"/>
    </row>
    <row r="21" spans="4:8" x14ac:dyDescent="0.3">
      <c r="D21" s="124">
        <f ca="1">progress!D6</f>
        <v>0</v>
      </c>
      <c r="E21" s="125"/>
      <c r="F21" s="15"/>
      <c r="G21" s="126">
        <f ca="1">progress!D13</f>
        <v>0</v>
      </c>
      <c r="H21" s="127"/>
    </row>
    <row r="22" spans="4:8" x14ac:dyDescent="0.3">
      <c r="D22" s="124">
        <f ca="1">progress!D7</f>
        <v>0</v>
      </c>
      <c r="E22" s="125"/>
      <c r="F22" s="15"/>
      <c r="G22" s="126">
        <f ca="1">progress!D14</f>
        <v>0</v>
      </c>
      <c r="H22" s="127"/>
    </row>
    <row r="23" spans="4:8" x14ac:dyDescent="0.3">
      <c r="D23" s="1"/>
      <c r="E23" s="1"/>
      <c r="F23" s="1"/>
    </row>
    <row r="24" spans="4:8" x14ac:dyDescent="0.3">
      <c r="F24" s="1"/>
    </row>
  </sheetData>
  <sheetProtection algorithmName="SHA-512" hashValue="zIXEX2Z8dw1qOp5jjjkujWRSJwhf5yiut7wo5Ox6LwnOHutbU5bMrcONwW69hUOLhtyCnMX5O7EzPeHa0diwRg==" saltValue="OAEg3d/lHoVSEJCVAWg9SA==" spinCount="100000" sheet="1" objects="1" scenarios="1" formatCells="0" formatColumns="0" formatRows="0" insertColumns="0" insertRows="0" insertHyperlinks="0" deleteColumns="0" deleteRows="0" autoFilter="0"/>
  <mergeCells count="16">
    <mergeCell ref="G11:I12"/>
    <mergeCell ref="C11:E12"/>
    <mergeCell ref="G19:H19"/>
    <mergeCell ref="G18:H18"/>
    <mergeCell ref="G17:H17"/>
    <mergeCell ref="D16:E16"/>
    <mergeCell ref="G16:H16"/>
    <mergeCell ref="D17:E17"/>
    <mergeCell ref="D18:E18"/>
    <mergeCell ref="D19:E19"/>
    <mergeCell ref="D21:E21"/>
    <mergeCell ref="D22:E22"/>
    <mergeCell ref="G22:H22"/>
    <mergeCell ref="G21:H21"/>
    <mergeCell ref="G20:H20"/>
    <mergeCell ref="D20:E20"/>
  </mergeCells>
  <conditionalFormatting sqref="D17:E22">
    <cfRule type="dataBar" priority="20">
      <dataBar>
        <cfvo type="min"/>
        <cfvo type="max"/>
        <color rgb="FF73DFF9"/>
      </dataBar>
      <extLst>
        <ext xmlns:x14="http://schemas.microsoft.com/office/spreadsheetml/2009/9/main" uri="{B025F937-C7B1-47D3-B67F-A62EFF666E3E}">
          <x14:id>{F0AA98E5-72C4-44A6-813D-885C6BF75943}</x14:id>
        </ext>
      </extLst>
    </cfRule>
  </conditionalFormatting>
  <conditionalFormatting sqref="G17:H22">
    <cfRule type="dataBar" priority="19">
      <dataBar>
        <cfvo type="percent" val="0"/>
        <cfvo type="percent" val="100"/>
        <color rgb="FFFBDA71"/>
      </dataBar>
      <extLst>
        <ext xmlns:x14="http://schemas.microsoft.com/office/spreadsheetml/2009/9/main" uri="{B025F937-C7B1-47D3-B67F-A62EFF666E3E}">
          <x14:id>{3EAB8A86-7978-4C2A-8FBF-402028657504}</x14:id>
        </ext>
      </extLst>
    </cfRule>
  </conditionalFormatting>
  <conditionalFormatting sqref="C11">
    <cfRule type="dataBar" priority="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{D087ECAE-DEF5-4156-B1E4-C309C9ADBC40}</x14:id>
        </ext>
      </extLst>
    </cfRule>
  </conditionalFormatting>
  <conditionalFormatting sqref="G11:I12">
    <cfRule type="dataBar" priority="13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{EC577EB2-4EF5-4907-86B6-FD42BECE5A6B}</x14:id>
        </ext>
      </extLst>
    </cfRule>
  </conditionalFormatting>
  <conditionalFormatting sqref="D17:E17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{C8076013-A16F-4A25-963F-F8BEB7509E8A}</x14:id>
        </ext>
      </extLst>
    </cfRule>
  </conditionalFormatting>
  <conditionalFormatting sqref="D18:E18"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{0FC9828F-96E2-44AD-A729-AD2EDABDB8B3}</x14:id>
        </ext>
      </extLst>
    </cfRule>
  </conditionalFormatting>
  <conditionalFormatting sqref="D19:E19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{F89BAA2B-00EA-4018-9FBF-FA098A7A364D}</x14:id>
        </ext>
      </extLst>
    </cfRule>
  </conditionalFormatting>
  <conditionalFormatting sqref="D20:E20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{72A98ED6-016E-4D75-A912-C10165B78357}</x14:id>
        </ext>
      </extLst>
    </cfRule>
  </conditionalFormatting>
  <conditionalFormatting sqref="D21:E21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{1AE1C27D-FC0E-4174-A380-46E55DA8DE22}</x14:id>
        </ext>
      </extLst>
    </cfRule>
  </conditionalFormatting>
  <conditionalFormatting sqref="D22:E22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{B7A53E9C-0BEF-491B-A885-BB207BC97B12}</x14:id>
        </ext>
      </extLst>
    </cfRule>
  </conditionalFormatting>
  <conditionalFormatting sqref="G22:H22">
    <cfRule type="dataBar" priority="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{B1C0AAD4-A5FE-45D6-B3B8-5F1873834995}</x14:id>
        </ext>
      </extLst>
    </cfRule>
  </conditionalFormatting>
  <conditionalFormatting sqref="G21:H21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{D69F9CFC-574E-47A4-8A8A-05DB75E63E86}</x14:id>
        </ext>
      </extLst>
    </cfRule>
  </conditionalFormatting>
  <conditionalFormatting sqref="G20:H20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{63BD05DA-1258-4827-AAE8-A0766CF23264}</x14:id>
        </ext>
      </extLst>
    </cfRule>
  </conditionalFormatting>
  <conditionalFormatting sqref="G19:H19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{973420B1-E05E-4BF9-A464-518626390D9D}</x14:id>
        </ext>
      </extLst>
    </cfRule>
  </conditionalFormatting>
  <conditionalFormatting sqref="G18:H18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{E6563519-74E6-47CE-94CA-8D5D45111C29}</x14:id>
        </ext>
      </extLst>
    </cfRule>
  </conditionalFormatting>
  <conditionalFormatting sqref="G17:H17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{9D3DA82D-65FA-4DD4-A4AB-274ABC100EBE}</x14:id>
        </ext>
      </extLst>
    </cfRule>
  </conditionalFormatting>
  <hyperlinks>
    <hyperlink ref="G17:H17" location="Januari!F13" display="Januari!F13" xr:uid="{00000000-0004-0000-0400-000000000000}"/>
    <hyperlink ref="G18:H18" location="Februari!F13" display="Februari!F13" xr:uid="{00000000-0004-0000-0400-000001000000}"/>
    <hyperlink ref="G19:H19" location="Maret!F13" display="Maret!F13" xr:uid="{00000000-0004-0000-0400-000002000000}"/>
    <hyperlink ref="G20:H20" location="April!F13" display="April!F13" xr:uid="{00000000-0004-0000-0400-000003000000}"/>
    <hyperlink ref="G21:H21" location="Mei!F13" display="Mei!F13" xr:uid="{00000000-0004-0000-0400-000004000000}"/>
    <hyperlink ref="G22:H22" location="Juni!F13" display="Juni!F13" xr:uid="{00000000-0004-0000-0400-000005000000}"/>
    <hyperlink ref="D17:E17" location="Juli!F13" display="Juli!F13" xr:uid="{00000000-0004-0000-0400-000006000000}"/>
    <hyperlink ref="D18:E18" location="Agustus!F13" display="Agustus!F13" xr:uid="{00000000-0004-0000-0400-000007000000}"/>
    <hyperlink ref="D19:E19" location="September!F13" display="September!F13" xr:uid="{00000000-0004-0000-0400-000008000000}"/>
    <hyperlink ref="D20:E20" location="Oktober!F13" display="Oktober!F13" xr:uid="{00000000-0004-0000-0400-000009000000}"/>
    <hyperlink ref="D21:E21" location="November!F13" display="November!F13" xr:uid="{00000000-0004-0000-0400-00000A000000}"/>
    <hyperlink ref="D22:E22" location="Desember!F13" display="Desember!F13" xr:uid="{00000000-0004-0000-0400-00000B000000}"/>
    <hyperlink ref="G11:I12" location="identitasMurid!C6" display="identitasMurid!C6" xr:uid="{00000000-0004-0000-0400-00000C000000}"/>
  </hyperlinks>
  <pageMargins left="0.7" right="0.7" top="0.75" bottom="0.75" header="0.3" footer="0.3"/>
  <pageSetup scale="87" orientation="portrait" r:id="rId1"/>
  <drawing r:id="rId2"/>
  <picture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0AA98E5-72C4-44A6-813D-885C6BF75943}">
            <x14:dataBar minLength="0" maxLength="100" direction="leftToRight">
              <x14:cfvo type="min"/>
              <x14:cfvo type="max"/>
              <x14:negativeFillColor rgb="FFFF0000"/>
              <x14:axisColor rgb="FF000000"/>
            </x14:dataBar>
          </x14:cfRule>
          <xm:sqref>D17:E22</xm:sqref>
        </x14:conditionalFormatting>
        <x14:conditionalFormatting xmlns:xm="http://schemas.microsoft.com/office/excel/2006/main">
          <x14:cfRule type="dataBar" id="{3EAB8A86-7978-4C2A-8FBF-402028657504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G17:H22</xm:sqref>
        </x14:conditionalFormatting>
        <x14:conditionalFormatting xmlns:xm="http://schemas.microsoft.com/office/excel/2006/main">
          <x14:cfRule type="dataBar" id="{D087ECAE-DEF5-4156-B1E4-C309C9ADBC40}">
            <x14:dataBar minLength="0" maxLength="100" border="1" negativeBarBorderColorSameAsPositive="0">
              <x14:cfvo type="autoMin"/>
              <x14:cfvo type="autoMax"/>
              <x14:borderColor theme="9" tint="-0.249977111117893"/>
              <x14:negativeFillColor rgb="FFFF0000"/>
              <x14:negativeBorderColor rgb="FFFF0000"/>
              <x14:axisColor rgb="FF000000"/>
            </x14:dataBar>
          </x14:cfRule>
          <xm:sqref>C11</xm:sqref>
        </x14:conditionalFormatting>
        <x14:conditionalFormatting xmlns:xm="http://schemas.microsoft.com/office/excel/2006/main">
          <x14:cfRule type="dataBar" id="{EC577EB2-4EF5-4907-86B6-FD42BECE5A6B}">
            <x14:dataBar minLength="0" maxLength="100" border="1" negativeBarBorderColorSameAsPositive="0">
              <x14:cfvo type="autoMin"/>
              <x14:cfvo type="autoMax"/>
              <x14:borderColor theme="9" tint="0.39997558519241921"/>
              <x14:negativeFillColor rgb="FFFF0000"/>
              <x14:negativeBorderColor rgb="FFFF0000"/>
              <x14:axisColor rgb="FF000000"/>
            </x14:dataBar>
          </x14:cfRule>
          <xm:sqref>G11:I12</xm:sqref>
        </x14:conditionalFormatting>
        <x14:conditionalFormatting xmlns:xm="http://schemas.microsoft.com/office/excel/2006/main">
          <x14:cfRule type="dataBar" id="{C8076013-A16F-4A25-963F-F8BEB7509E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D17:E17</xm:sqref>
        </x14:conditionalFormatting>
        <x14:conditionalFormatting xmlns:xm="http://schemas.microsoft.com/office/excel/2006/main">
          <x14:cfRule type="dataBar" id="{0FC9828F-96E2-44AD-A729-AD2EDABDB8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D18:E18</xm:sqref>
        </x14:conditionalFormatting>
        <x14:conditionalFormatting xmlns:xm="http://schemas.microsoft.com/office/excel/2006/main">
          <x14:cfRule type="dataBar" id="{F89BAA2B-00EA-4018-9FBF-FA098A7A36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D19:E19</xm:sqref>
        </x14:conditionalFormatting>
        <x14:conditionalFormatting xmlns:xm="http://schemas.microsoft.com/office/excel/2006/main">
          <x14:cfRule type="dataBar" id="{72A98ED6-016E-4D75-A912-C10165B783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D20:E20</xm:sqref>
        </x14:conditionalFormatting>
        <x14:conditionalFormatting xmlns:xm="http://schemas.microsoft.com/office/excel/2006/main">
          <x14:cfRule type="dataBar" id="{1AE1C27D-FC0E-4174-A380-46E55DA8DE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D21:E21</xm:sqref>
        </x14:conditionalFormatting>
        <x14:conditionalFormatting xmlns:xm="http://schemas.microsoft.com/office/excel/2006/main">
          <x14:cfRule type="dataBar" id="{B7A53E9C-0BEF-491B-A885-BB207BC97B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D22:E22</xm:sqref>
        </x14:conditionalFormatting>
        <x14:conditionalFormatting xmlns:xm="http://schemas.microsoft.com/office/excel/2006/main">
          <x14:cfRule type="dataBar" id="{B1C0AAD4-A5FE-45D6-B3B8-5F187383499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G22:H22</xm:sqref>
        </x14:conditionalFormatting>
        <x14:conditionalFormatting xmlns:xm="http://schemas.microsoft.com/office/excel/2006/main">
          <x14:cfRule type="dataBar" id="{D69F9CFC-574E-47A4-8A8A-05DB75E63E8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G21:H21</xm:sqref>
        </x14:conditionalFormatting>
        <x14:conditionalFormatting xmlns:xm="http://schemas.microsoft.com/office/excel/2006/main">
          <x14:cfRule type="dataBar" id="{63BD05DA-1258-4827-AAE8-A0766CF2326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G20:H20</xm:sqref>
        </x14:conditionalFormatting>
        <x14:conditionalFormatting xmlns:xm="http://schemas.microsoft.com/office/excel/2006/main">
          <x14:cfRule type="dataBar" id="{973420B1-E05E-4BF9-A464-518626390D9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G19:H19</xm:sqref>
        </x14:conditionalFormatting>
        <x14:conditionalFormatting xmlns:xm="http://schemas.microsoft.com/office/excel/2006/main">
          <x14:cfRule type="dataBar" id="{E6563519-74E6-47CE-94CA-8D5D45111C2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G18:H18</xm:sqref>
        </x14:conditionalFormatting>
        <x14:conditionalFormatting xmlns:xm="http://schemas.microsoft.com/office/excel/2006/main">
          <x14:cfRule type="dataBar" id="{9D3DA82D-65FA-4DD4-A4AB-274ABC100EB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G17:H17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sPanduan"/>
  <dimension ref="A1:P35"/>
  <sheetViews>
    <sheetView showGridLines="0" showRowColHeaders="0" zoomScaleNormal="100" zoomScaleSheetLayoutView="145" workbookViewId="0">
      <selection activeCell="C6" sqref="C6:K6"/>
    </sheetView>
  </sheetViews>
  <sheetFormatPr defaultColWidth="0" defaultRowHeight="15.6" zeroHeight="1" x14ac:dyDescent="0.3"/>
  <cols>
    <col min="1" max="1" width="9.109375" style="7" customWidth="1"/>
    <col min="2" max="2" width="4.109375" style="7" customWidth="1"/>
    <col min="3" max="16" width="9.109375" style="7" customWidth="1"/>
    <col min="17" max="16384" width="9.109375" style="7" hidden="1"/>
  </cols>
  <sheetData>
    <row r="1" spans="2:15" x14ac:dyDescent="0.3">
      <c r="M1" s="8"/>
      <c r="N1" s="8"/>
      <c r="O1" s="8"/>
    </row>
    <row r="2" spans="2:15" x14ac:dyDescent="0.3">
      <c r="M2" s="8"/>
      <c r="N2" s="8"/>
      <c r="O2" s="8"/>
    </row>
    <row r="3" spans="2:15" x14ac:dyDescent="0.3">
      <c r="B3" s="143" t="s">
        <v>906</v>
      </c>
      <c r="C3" s="143"/>
      <c r="D3" s="143"/>
      <c r="E3" s="143"/>
      <c r="F3" s="143"/>
      <c r="G3" s="143"/>
      <c r="H3" s="143"/>
      <c r="I3" s="143"/>
      <c r="J3" s="143"/>
      <c r="K3" s="143"/>
      <c r="M3" s="9"/>
      <c r="N3" s="9"/>
      <c r="O3" s="8"/>
    </row>
    <row r="4" spans="2:15" x14ac:dyDescent="0.3">
      <c r="B4" s="144"/>
      <c r="C4" s="144"/>
      <c r="D4" s="144"/>
      <c r="E4" s="144"/>
      <c r="F4" s="144"/>
      <c r="G4" s="144"/>
      <c r="H4" s="144"/>
      <c r="I4" s="144"/>
      <c r="J4" s="144"/>
      <c r="K4" s="144"/>
      <c r="M4" s="9"/>
      <c r="N4" s="9"/>
      <c r="O4" s="8"/>
    </row>
    <row r="5" spans="2:15" x14ac:dyDescent="0.3">
      <c r="B5" s="3" t="s">
        <v>0</v>
      </c>
      <c r="C5" s="148" t="s">
        <v>917</v>
      </c>
      <c r="D5" s="148"/>
      <c r="E5" s="148"/>
      <c r="F5" s="148"/>
      <c r="G5" s="148"/>
      <c r="H5" s="148"/>
      <c r="I5" s="148"/>
      <c r="J5" s="148"/>
      <c r="K5" s="148"/>
    </row>
    <row r="6" spans="2:15" x14ac:dyDescent="0.3">
      <c r="B6" s="10">
        <v>1</v>
      </c>
      <c r="C6" s="145" t="s">
        <v>900</v>
      </c>
      <c r="D6" s="146"/>
      <c r="E6" s="146"/>
      <c r="F6" s="146"/>
      <c r="G6" s="146"/>
      <c r="H6" s="146"/>
      <c r="I6" s="146"/>
      <c r="J6" s="146"/>
      <c r="K6" s="147"/>
    </row>
    <row r="7" spans="2:15" x14ac:dyDescent="0.3">
      <c r="B7" s="10">
        <v>2</v>
      </c>
      <c r="C7" s="145" t="s">
        <v>844</v>
      </c>
      <c r="D7" s="146"/>
      <c r="E7" s="146"/>
      <c r="F7" s="146"/>
      <c r="G7" s="146"/>
      <c r="H7" s="146"/>
      <c r="I7" s="146"/>
      <c r="J7" s="146"/>
      <c r="K7" s="147"/>
    </row>
    <row r="8" spans="2:15" x14ac:dyDescent="0.3">
      <c r="B8" s="10">
        <v>3</v>
      </c>
      <c r="C8" s="145" t="s">
        <v>845</v>
      </c>
      <c r="D8" s="146"/>
      <c r="E8" s="146"/>
      <c r="F8" s="146"/>
      <c r="G8" s="146"/>
      <c r="H8" s="146"/>
      <c r="I8" s="146"/>
      <c r="J8" s="146"/>
      <c r="K8" s="147"/>
    </row>
    <row r="9" spans="2:15" x14ac:dyDescent="0.3">
      <c r="B9" s="10">
        <v>4</v>
      </c>
      <c r="C9" s="145" t="s">
        <v>875</v>
      </c>
      <c r="D9" s="146"/>
      <c r="E9" s="146"/>
      <c r="F9" s="146"/>
      <c r="G9" s="146"/>
      <c r="H9" s="146"/>
      <c r="I9" s="146"/>
      <c r="J9" s="146"/>
      <c r="K9" s="147"/>
    </row>
    <row r="10" spans="2:15" x14ac:dyDescent="0.3">
      <c r="B10" s="10">
        <v>5</v>
      </c>
      <c r="C10" s="145" t="s">
        <v>877</v>
      </c>
      <c r="D10" s="146"/>
      <c r="E10" s="146"/>
      <c r="F10" s="146"/>
      <c r="G10" s="146"/>
      <c r="H10" s="146"/>
      <c r="I10" s="146"/>
      <c r="J10" s="146"/>
      <c r="K10" s="147"/>
    </row>
    <row r="11" spans="2:15" x14ac:dyDescent="0.3">
      <c r="B11" s="11">
        <v>6</v>
      </c>
      <c r="C11" s="140" t="s">
        <v>876</v>
      </c>
      <c r="D11" s="141"/>
      <c r="E11" s="141"/>
      <c r="F11" s="141"/>
      <c r="G11" s="141"/>
      <c r="H11" s="141"/>
      <c r="I11" s="141"/>
      <c r="J11" s="141"/>
      <c r="K11" s="142"/>
    </row>
    <row r="12" spans="2:15" x14ac:dyDescent="0.3">
      <c r="B12" s="11"/>
    </row>
    <row r="13" spans="2:15" hidden="1" x14ac:dyDescent="0.3">
      <c r="B13" s="11"/>
    </row>
    <row r="14" spans="2:15" hidden="1" x14ac:dyDescent="0.3">
      <c r="B14" s="11"/>
    </row>
    <row r="15" spans="2:15" hidden="1" x14ac:dyDescent="0.3">
      <c r="B15" s="11"/>
    </row>
    <row r="16" spans="2:15" hidden="1" x14ac:dyDescent="0.3">
      <c r="B16" s="11"/>
    </row>
    <row r="17" spans="2:2" hidden="1" x14ac:dyDescent="0.3">
      <c r="B17" s="11"/>
    </row>
    <row r="18" spans="2:2" hidden="1" x14ac:dyDescent="0.3">
      <c r="B18" s="11"/>
    </row>
    <row r="19" spans="2:2" hidden="1" x14ac:dyDescent="0.3">
      <c r="B19" s="11"/>
    </row>
    <row r="20" spans="2:2" hidden="1" x14ac:dyDescent="0.3">
      <c r="B20" s="11"/>
    </row>
    <row r="21" spans="2:2" hidden="1" x14ac:dyDescent="0.3">
      <c r="B21" s="11"/>
    </row>
    <row r="22" spans="2:2" hidden="1" x14ac:dyDescent="0.3">
      <c r="B22" s="11"/>
    </row>
    <row r="23" spans="2:2" hidden="1" x14ac:dyDescent="0.3">
      <c r="B23" s="11"/>
    </row>
    <row r="24" spans="2:2" hidden="1" x14ac:dyDescent="0.3">
      <c r="B24" s="11"/>
    </row>
    <row r="25" spans="2:2" hidden="1" x14ac:dyDescent="0.3">
      <c r="B25" s="11"/>
    </row>
    <row r="26" spans="2:2" hidden="1" x14ac:dyDescent="0.3">
      <c r="B26" s="11"/>
    </row>
    <row r="27" spans="2:2" hidden="1" x14ac:dyDescent="0.3">
      <c r="B27" s="11"/>
    </row>
    <row r="28" spans="2:2" hidden="1" x14ac:dyDescent="0.3">
      <c r="B28" s="11"/>
    </row>
    <row r="29" spans="2:2" hidden="1" x14ac:dyDescent="0.3">
      <c r="B29" s="11"/>
    </row>
    <row r="30" spans="2:2" hidden="1" x14ac:dyDescent="0.3">
      <c r="B30" s="11"/>
    </row>
    <row r="31" spans="2:2" hidden="1" x14ac:dyDescent="0.3">
      <c r="B31" s="11"/>
    </row>
    <row r="32" spans="2:2" hidden="1" x14ac:dyDescent="0.3">
      <c r="B32" s="11"/>
    </row>
    <row r="33" spans="2:2" hidden="1" x14ac:dyDescent="0.3">
      <c r="B33" s="11"/>
    </row>
    <row r="34" spans="2:2" hidden="1" x14ac:dyDescent="0.3">
      <c r="B34" s="11"/>
    </row>
    <row r="35" spans="2:2" hidden="1" x14ac:dyDescent="0.3">
      <c r="B35" s="11"/>
    </row>
  </sheetData>
  <sheetProtection algorithmName="SHA-512" hashValue="YIWSqMfjwDbnbBZepzo2daZ/7ZPqKjrQ/kE1Ip6nSDwT3uV2zkUrFG21PWjEoyLlVVcy+qGmxoQsqsshlT+dKw==" saltValue="bKRp6WrgFJ5KbouW8sCAFA==" spinCount="100000" sheet="1" objects="1" scenarios="1" formatCells="0" formatColumns="0" formatRows="0" insertColumns="0" insertRows="0" insertHyperlinks="0" deleteColumns="0" deleteRows="0" autoFilter="0"/>
  <mergeCells count="8">
    <mergeCell ref="C11:K11"/>
    <mergeCell ref="B3:K4"/>
    <mergeCell ref="C9:K9"/>
    <mergeCell ref="C10:K10"/>
    <mergeCell ref="C5:K5"/>
    <mergeCell ref="C6:K6"/>
    <mergeCell ref="C7:K7"/>
    <mergeCell ref="C8:K8"/>
  </mergeCells>
  <conditionalFormatting sqref="B6:K10 B12:K47 B11:C11">
    <cfRule type="expression" dxfId="171" priority="1">
      <formula>$B6&lt;&gt;""</formula>
    </cfRule>
  </conditionalFormatting>
  <pageMargins left="0.7" right="0.7" top="0.75" bottom="0.75" header="0.3" footer="0.3"/>
  <pageSetup scale="98" orientation="portrait" r:id="rId1"/>
  <drawing r:id="rId2"/>
  <picture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sprofilKelas"/>
  <dimension ref="A1:R23"/>
  <sheetViews>
    <sheetView showGridLines="0" showRowColHeaders="0" zoomScale="160" zoomScaleNormal="160" workbookViewId="0">
      <selection activeCell="F5" sqref="F5:H5"/>
    </sheetView>
  </sheetViews>
  <sheetFormatPr defaultColWidth="0" defaultRowHeight="13.8" zeroHeight="1" x14ac:dyDescent="0.25"/>
  <cols>
    <col min="1" max="1" width="8.6640625" style="17" customWidth="1"/>
    <col min="2" max="4" width="8.6640625" style="22" customWidth="1"/>
    <col min="5" max="5" width="1.44140625" style="23" bestFit="1" customWidth="1"/>
    <col min="6" max="7" width="6.6640625" style="22" customWidth="1"/>
    <col min="8" max="8" width="51.5546875" style="22" bestFit="1" customWidth="1"/>
    <col min="9" max="9" width="2.5546875" style="17" customWidth="1"/>
    <col min="10" max="12" width="8.6640625" style="17" customWidth="1"/>
    <col min="13" max="16384" width="8.6640625" style="17" hidden="1"/>
  </cols>
  <sheetData>
    <row r="1" spans="1:18" x14ac:dyDescent="0.25">
      <c r="A1" s="152" t="s">
        <v>834</v>
      </c>
      <c r="B1" s="152"/>
      <c r="C1" s="16"/>
      <c r="D1" s="17"/>
      <c r="E1" s="17"/>
      <c r="F1" s="17"/>
      <c r="G1" s="17"/>
      <c r="H1" s="17"/>
      <c r="J1" s="8"/>
      <c r="K1" s="8"/>
      <c r="L1" s="8"/>
    </row>
    <row r="2" spans="1:18" x14ac:dyDescent="0.25">
      <c r="B2" s="17"/>
      <c r="C2" s="17"/>
      <c r="D2" s="17"/>
      <c r="E2" s="17"/>
      <c r="F2" s="17"/>
      <c r="G2" s="17"/>
      <c r="H2" s="17"/>
      <c r="J2" s="8"/>
      <c r="K2" s="8"/>
      <c r="L2" s="8"/>
    </row>
    <row r="3" spans="1:18" ht="14.1" customHeight="1" x14ac:dyDescent="0.3">
      <c r="B3" s="153" t="s">
        <v>878</v>
      </c>
      <c r="C3" s="153"/>
      <c r="D3" s="153"/>
      <c r="E3" s="153"/>
      <c r="F3" s="153"/>
      <c r="G3" s="153"/>
      <c r="H3" s="153"/>
      <c r="I3" s="1"/>
      <c r="J3" s="9"/>
      <c r="K3" s="9"/>
      <c r="L3" s="8"/>
    </row>
    <row r="4" spans="1:18" ht="14.1" customHeight="1" x14ac:dyDescent="0.3">
      <c r="B4" s="153"/>
      <c r="C4" s="153"/>
      <c r="D4" s="153"/>
      <c r="E4" s="153"/>
      <c r="F4" s="153"/>
      <c r="G4" s="153"/>
      <c r="H4" s="153"/>
      <c r="I4" s="1"/>
      <c r="J4" s="9"/>
      <c r="K4" s="9"/>
      <c r="L4" s="8"/>
    </row>
    <row r="5" spans="1:18" ht="14.4" x14ac:dyDescent="0.3">
      <c r="B5" s="150" t="s">
        <v>835</v>
      </c>
      <c r="C5" s="150"/>
      <c r="D5" s="150"/>
      <c r="E5" s="18" t="s">
        <v>13</v>
      </c>
      <c r="F5" s="151"/>
      <c r="G5" s="151"/>
      <c r="H5" s="151"/>
      <c r="I5" s="1"/>
      <c r="J5" s="1"/>
      <c r="K5" s="1"/>
      <c r="L5" s="1"/>
      <c r="M5" s="1"/>
      <c r="N5" s="1"/>
      <c r="O5" s="1"/>
      <c r="P5" s="1"/>
      <c r="Q5" s="1"/>
      <c r="R5" s="1"/>
    </row>
    <row r="6" spans="1:18" ht="14.4" x14ac:dyDescent="0.3">
      <c r="B6" s="149" t="s">
        <v>12</v>
      </c>
      <c r="C6" s="149"/>
      <c r="D6" s="149"/>
      <c r="E6" s="18" t="s">
        <v>13</v>
      </c>
      <c r="F6" s="151"/>
      <c r="G6" s="151"/>
      <c r="H6" s="151"/>
      <c r="I6" s="1"/>
      <c r="J6" s="1"/>
      <c r="K6" s="1"/>
    </row>
    <row r="7" spans="1:18" ht="14.4" x14ac:dyDescent="0.3">
      <c r="B7" s="150" t="s">
        <v>612</v>
      </c>
      <c r="C7" s="150"/>
      <c r="D7" s="150"/>
      <c r="E7" s="18" t="s">
        <v>13</v>
      </c>
      <c r="F7" s="151"/>
      <c r="G7" s="151"/>
      <c r="H7" s="151"/>
      <c r="I7" s="1"/>
      <c r="J7" s="1"/>
      <c r="K7" s="1"/>
    </row>
    <row r="8" spans="1:18" ht="14.4" x14ac:dyDescent="0.3">
      <c r="B8" s="149" t="s">
        <v>26</v>
      </c>
      <c r="C8" s="149"/>
      <c r="D8" s="149"/>
      <c r="E8" s="18" t="s">
        <v>13</v>
      </c>
      <c r="F8" s="151"/>
      <c r="G8" s="151"/>
      <c r="H8" s="151"/>
      <c r="I8" s="1"/>
      <c r="J8" s="1"/>
      <c r="K8" s="1"/>
    </row>
    <row r="9" spans="1:18" ht="14.4" x14ac:dyDescent="0.3">
      <c r="B9" s="150" t="s">
        <v>27</v>
      </c>
      <c r="C9" s="150"/>
      <c r="D9" s="150"/>
      <c r="E9" s="18" t="s">
        <v>13</v>
      </c>
      <c r="F9" s="151"/>
      <c r="G9" s="151"/>
      <c r="H9" s="151"/>
      <c r="I9" s="1"/>
      <c r="J9" s="1"/>
      <c r="K9" s="1"/>
    </row>
    <row r="10" spans="1:18" ht="14.4" x14ac:dyDescent="0.3">
      <c r="B10" s="149" t="s">
        <v>928</v>
      </c>
      <c r="C10" s="149"/>
      <c r="D10" s="149"/>
      <c r="E10" s="18" t="s">
        <v>13</v>
      </c>
      <c r="F10" s="151"/>
      <c r="G10" s="151"/>
      <c r="H10" s="151"/>
      <c r="I10" s="1"/>
      <c r="J10" s="1"/>
      <c r="K10" s="1"/>
    </row>
    <row r="11" spans="1:18" ht="14.4" x14ac:dyDescent="0.3">
      <c r="B11" s="150" t="s">
        <v>836</v>
      </c>
      <c r="C11" s="150"/>
      <c r="D11" s="150"/>
      <c r="E11" s="18" t="s">
        <v>13</v>
      </c>
      <c r="F11" s="154"/>
      <c r="G11" s="154"/>
      <c r="H11" s="154"/>
      <c r="I11" s="1"/>
      <c r="J11" s="1"/>
      <c r="K11" s="1"/>
    </row>
    <row r="12" spans="1:18" ht="14.4" x14ac:dyDescent="0.3">
      <c r="B12" s="149" t="s">
        <v>880</v>
      </c>
      <c r="C12" s="149"/>
      <c r="D12" s="149"/>
      <c r="E12" s="18" t="s">
        <v>13</v>
      </c>
      <c r="F12" s="151"/>
      <c r="G12" s="151"/>
      <c r="H12" s="151"/>
      <c r="I12" s="1"/>
      <c r="J12" s="1"/>
      <c r="K12" s="1"/>
    </row>
    <row r="13" spans="1:18" ht="14.4" x14ac:dyDescent="0.3">
      <c r="B13" s="150" t="s">
        <v>842</v>
      </c>
      <c r="C13" s="150"/>
      <c r="D13" s="150"/>
      <c r="E13" s="18" t="s">
        <v>13</v>
      </c>
      <c r="F13" s="19"/>
      <c r="G13" s="19"/>
      <c r="H13" s="18" t="str">
        <f ca="1">IF(LEN(F13)=0,"Pilih Kelas dan Rombel",OFFSET(info!$O$1,profilKelas!F13,0)&amp;" "&amp;OFFSET(info!$P$1,profilKelas!G13,0))</f>
        <v>Pilih Kelas dan Rombel</v>
      </c>
      <c r="I13" s="1"/>
      <c r="J13" s="1"/>
      <c r="K13" s="1"/>
    </row>
    <row r="14" spans="1:18" ht="14.4" x14ac:dyDescent="0.3">
      <c r="B14" s="149" t="s">
        <v>867</v>
      </c>
      <c r="C14" s="149"/>
      <c r="D14" s="149"/>
      <c r="E14" s="20" t="s">
        <v>13</v>
      </c>
      <c r="F14" s="21">
        <v>1</v>
      </c>
      <c r="G14" s="155" t="str">
        <f>IF(LEN(F14)=0,"Pilih jumlah Siswa",F14&amp;" Siswa")</f>
        <v>1 Siswa</v>
      </c>
      <c r="H14" s="155"/>
      <c r="I14" s="1"/>
      <c r="J14" s="1"/>
      <c r="K14" s="1"/>
    </row>
    <row r="15" spans="1:18" ht="14.4" x14ac:dyDescent="0.3">
      <c r="B15" s="150" t="s">
        <v>879</v>
      </c>
      <c r="C15" s="150"/>
      <c r="D15" s="150"/>
      <c r="E15" s="20" t="s">
        <v>13</v>
      </c>
      <c r="F15" s="151"/>
      <c r="G15" s="151"/>
      <c r="H15" s="151"/>
      <c r="I15" s="1"/>
      <c r="J15" s="1"/>
      <c r="K15" s="1"/>
    </row>
    <row r="16" spans="1:18" ht="14.4" x14ac:dyDescent="0.3">
      <c r="B16" s="149" t="s">
        <v>836</v>
      </c>
      <c r="C16" s="149"/>
      <c r="D16" s="149"/>
      <c r="E16" s="20" t="s">
        <v>13</v>
      </c>
      <c r="F16" s="154"/>
      <c r="G16" s="154"/>
      <c r="H16" s="154"/>
      <c r="I16" s="1"/>
      <c r="J16" s="1"/>
      <c r="K16" s="1"/>
    </row>
    <row r="17" spans="6:11" ht="14.4" x14ac:dyDescent="0.3">
      <c r="F17" s="24"/>
      <c r="G17" s="24"/>
      <c r="H17" s="24"/>
      <c r="I17" s="1"/>
      <c r="J17" s="1"/>
      <c r="K17" s="1"/>
    </row>
    <row r="18" spans="6:11" ht="14.4" x14ac:dyDescent="0.3">
      <c r="F18" s="25"/>
      <c r="I18" s="1"/>
      <c r="J18" s="1"/>
      <c r="K18" s="1"/>
    </row>
    <row r="19" spans="6:11" ht="14.4" x14ac:dyDescent="0.3">
      <c r="I19" s="1"/>
      <c r="J19" s="1"/>
      <c r="K19" s="1"/>
    </row>
    <row r="20" spans="6:11" ht="14.4" x14ac:dyDescent="0.3">
      <c r="I20" s="1"/>
      <c r="J20" s="1"/>
      <c r="K20" s="1"/>
    </row>
    <row r="21" spans="6:11" ht="14.4" x14ac:dyDescent="0.3">
      <c r="I21" s="1"/>
      <c r="J21" s="1"/>
      <c r="K21" s="1"/>
    </row>
    <row r="22" spans="6:11" ht="14.4" x14ac:dyDescent="0.3">
      <c r="I22" s="1"/>
      <c r="J22" s="1"/>
      <c r="K22" s="1"/>
    </row>
    <row r="23" spans="6:11" x14ac:dyDescent="0.25"/>
  </sheetData>
  <sheetProtection algorithmName="SHA-512" hashValue="8VZurYgEYO3oePqHh42XaU083oz6S1zRzg7tDty4dUwO+YZtCXOj/KVbZzb+mn5gk2OVV9g+Tld0gzQblxtC8Q==" saltValue="vDYki1g5j9R3r4ccx3cxLA==" spinCount="100000" sheet="1" objects="1" scenarios="1" formatCells="0" formatColumns="0" formatRows="0" insertColumns="0" insertRows="0" insertHyperlinks="0" deleteColumns="0" deleteRows="0" autoFilter="0"/>
  <mergeCells count="25">
    <mergeCell ref="B16:D16"/>
    <mergeCell ref="F15:H15"/>
    <mergeCell ref="F16:H16"/>
    <mergeCell ref="B10:D10"/>
    <mergeCell ref="B13:D13"/>
    <mergeCell ref="F10:H10"/>
    <mergeCell ref="F11:H11"/>
    <mergeCell ref="F12:H12"/>
    <mergeCell ref="G14:H14"/>
    <mergeCell ref="B15:D15"/>
    <mergeCell ref="B12:D12"/>
    <mergeCell ref="B11:D11"/>
    <mergeCell ref="B14:D14"/>
    <mergeCell ref="B8:D8"/>
    <mergeCell ref="B9:D9"/>
    <mergeCell ref="F8:H8"/>
    <mergeCell ref="F9:H9"/>
    <mergeCell ref="A1:B1"/>
    <mergeCell ref="B3:H4"/>
    <mergeCell ref="F5:H5"/>
    <mergeCell ref="F6:H6"/>
    <mergeCell ref="F7:H7"/>
    <mergeCell ref="B5:D5"/>
    <mergeCell ref="B6:D6"/>
    <mergeCell ref="B7:D7"/>
  </mergeCells>
  <conditionalFormatting sqref="B32:H1048576">
    <cfRule type="notContainsBlanks" dxfId="170" priority="1">
      <formula>LEN(TRIM(B32))&gt;0</formula>
    </cfRule>
  </conditionalFormatting>
  <dataValidations count="12">
    <dataValidation allowBlank="1" showInputMessage="1" showErrorMessage="1" promptTitle="Nama Sekolah" prompt="Silakan mengetik nama sekolah Anda." sqref="F5:H5" xr:uid="{00000000-0002-0000-0700-000000000000}"/>
    <dataValidation type="textLength" operator="equal" allowBlank="1" showInputMessage="1" showErrorMessage="1" errorTitle="NPSN" error="Silakan mengisi 8 karakter NPSN." promptTitle="NPSN" prompt="Silakan mengetik 8 karakter NPSN dengan tepat._x000a_Contoh: 12345678" sqref="F6:H6" xr:uid="{00000000-0002-0000-0700-000001000000}">
      <formula1>8</formula1>
    </dataValidation>
    <dataValidation type="list" allowBlank="1" showInputMessage="1" showErrorMessage="1" promptTitle="Kota/Kabupaten" prompt="Silakan memilih untuk Kota/Kabupaten dengan tepat." sqref="F9:H9" xr:uid="{00000000-0002-0000-0700-000003000000}">
      <formula1>SelectedProv</formula1>
    </dataValidation>
    <dataValidation allowBlank="1" showInputMessage="1" showErrorMessage="1" promptTitle="Nama Kepala" prompt="Silakan mengetik nama Kepala Sekolah, Plt. Kepala Sekolah atau Kepala UPT beserta gelar._x000a_Contoh: _x000a_Drs. Sutarno, M.Pd." sqref="F10:H10" xr:uid="{00000000-0002-0000-0700-000004000000}"/>
    <dataValidation type="textLength" operator="equal" allowBlank="1" showInputMessage="1" showErrorMessage="1" errorTitle="NIP Kepala" error="Silakan mengetik 18 karakter pada NIP." promptTitle="NIP Kepala" prompt="Silakan mengetik 18 karakter pada NIP._x000a_Contoh: 197001012000031002_x000a__x000a_Jika tidak memiliki NIP, ketik nol_x000a_Contoh: 000000000000000000" sqref="F11:H11" xr:uid="{00000000-0002-0000-0700-000005000000}">
      <formula1>18</formula1>
    </dataValidation>
    <dataValidation type="textLength" operator="equal" allowBlank="1" showInputMessage="1" showErrorMessage="1" errorTitle="NIP Guru" error="Silakan mengetik 18 karakter pada NIP." promptTitle="NIP Guru" prompt="Silakan mengetik 18 karakter pada NIP._x000a_Contoh: 197001012000031002_x000a__x000a_Jika tidak memiliki NIP, ketik nol_x000a_Contoh: 000000000000000000" sqref="F16:H16" xr:uid="{00000000-0002-0000-0700-000006000000}">
      <formula1>18</formula1>
    </dataValidation>
    <dataValidation allowBlank="1" showInputMessage="1" showErrorMessage="1" promptTitle="Nama Guru" prompt="Silakan mengetik nama wali kelas dan gelar nya._x000a_Contoh: _x000a_Aaron, S.Kom." sqref="F15:H15" xr:uid="{00000000-0002-0000-0700-000007000000}"/>
    <dataValidation allowBlank="1" showInputMessage="1" showErrorMessage="1" promptTitle="Jumlah Murid" prompt="Silakan memilih jumlah murid kelas nya pada pilihan menurun di samping kiri." sqref="G14:H14" xr:uid="{00000000-0002-0000-0700-000008000000}"/>
    <dataValidation type="whole" allowBlank="1" showInputMessage="1" showErrorMessage="1" promptTitle="Jumlah Murid" prompt="Silakan memilih jumlah murid kelas nya pada pilihan menurun." sqref="F14" xr:uid="{00000000-0002-0000-0700-000009000000}">
      <formula1>0</formula1>
      <formula2>45</formula2>
    </dataValidation>
    <dataValidation allowBlank="1" showInputMessage="1" showErrorMessage="1" promptTitle="Kelas / Rombel" prompt="Silakan pilih kelas berapa dan rombel apa pada pilihan menurun di samping kiri." sqref="H13" xr:uid="{00000000-0002-0000-0700-00000A000000}"/>
    <dataValidation type="whole" allowBlank="1" showInputMessage="1" showErrorMessage="1" promptTitle="Rombel SD" prompt="Silakan pilih rombel 1 s.d. 26 atau A s.d. Z" sqref="G13" xr:uid="{00000000-0002-0000-0700-00000B000000}">
      <formula1>1</formula1>
      <formula2>26</formula2>
    </dataValidation>
    <dataValidation allowBlank="1" showInputMessage="1" showErrorMessage="1" promptTitle="Kelas SD" prompt="Silakan pilih kelas 1 s.d. 6 atau I s.d. VI" sqref="F13" xr:uid="{00000000-0002-0000-0700-00000C000000}"/>
  </dataValidations>
  <pageMargins left="0.7" right="0.7" top="0.75" bottom="0.75" header="0.3" footer="0.3"/>
  <pageSetup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4" r:id="rId5" name="Drop Down 8">
              <controlPr locked="0" defaultSize="0" autoLine="0" autoPict="0" altText="Silakan memilih kelas/tingkatan pada sekolah_x000a_Kelas A s.d. B; (PAUD)_x000a_Kelas I s.d. VI; (SD)_x000a_Kelas VII s.d. IX; (SMP)_x000a_Kelas X s.d. XIII; (SMA/K)">
                <anchor>
                  <from>
                    <xdr:col>5</xdr:col>
                    <xdr:colOff>137160</xdr:colOff>
                    <xdr:row>12</xdr:row>
                    <xdr:rowOff>30480</xdr:rowOff>
                  </from>
                  <to>
                    <xdr:col>5</xdr:col>
                    <xdr:colOff>426720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6" name="Drop Down 12">
              <controlPr locked="0" defaultSize="0" autoLine="0" autoPict="0" altText="Silakan memilih kelas/tingkatan pada sekolah_x000a_Kelas A s.d. B; (PAUD)_x000a_Kelas I s.d. VI; (SD)_x000a_Kelas VII s.d. IX; (SMP)_x000a_Kelas X s.d. XIII; (SMA/K)">
                <anchor>
                  <from>
                    <xdr:col>6</xdr:col>
                    <xdr:colOff>137160</xdr:colOff>
                    <xdr:row>12</xdr:row>
                    <xdr:rowOff>30480</xdr:rowOff>
                  </from>
                  <to>
                    <xdr:col>6</xdr:col>
                    <xdr:colOff>426720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7" name="Drop Down 14">
              <controlPr locked="0" defaultSize="0" autoLine="0" autoPict="0" altText="Silakan memilih kelas/tingkatan pada sekolah_x000a_Kelas A s.d. B; (PAUD)_x000a_Kelas I s.d. VI; (SD)_x000a_Kelas VII s.d. IX; (SMP)_x000a_Kelas X s.d. XIII; (SMA/K)">
                <anchor>
                  <from>
                    <xdr:col>5</xdr:col>
                    <xdr:colOff>121920</xdr:colOff>
                    <xdr:row>13</xdr:row>
                    <xdr:rowOff>30480</xdr:rowOff>
                  </from>
                  <to>
                    <xdr:col>5</xdr:col>
                    <xdr:colOff>419100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Jenjang" error="Pilih jenjang PAUD s.d. SMK" promptTitle="Jenjang" prompt="Pilih jenjang PAUD s.d. SMK" xr:uid="{00000000-0002-0000-0700-000002000000}">
          <x14:formula1>
            <xm:f>info!$N$2:$N$6</xm:f>
          </x14:formula1>
          <xm:sqref>F7:H7</xm:sqref>
        </x14:dataValidation>
        <x14:dataValidation type="list" allowBlank="1" showInputMessage="1" showErrorMessage="1" errorTitle="Tahun Ajaran" error="Harap isi tahun ajaran" promptTitle="Tahun Ajaran" prompt="Silakan pilih tahun ajaran sesuai tahun berjalan" xr:uid="{00000000-0002-0000-0700-00000D000000}">
          <x14:formula1>
            <xm:f>info!$AX$2:$AX$8</xm:f>
          </x14:formula1>
          <xm:sqref>F12:H12</xm:sqref>
        </x14:dataValidation>
        <x14:dataValidation type="list" allowBlank="1" showInputMessage="1" showErrorMessage="1" errorTitle="Provinsi" error="Pilih provinsi dengan benar" promptTitle="Provinsi" prompt="Silakan memilih provinsi dengan tepat." xr:uid="{00000000-0002-0000-0700-00000E000000}">
          <x14:formula1>
            <xm:f>info!$E$2:$E$39</xm:f>
          </x14:formula1>
          <xm:sqref>F8:H8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sidentifikasiMurid"/>
  <dimension ref="A1:I64"/>
  <sheetViews>
    <sheetView showGridLines="0" showRowColHeaders="0" zoomScaleNormal="100" zoomScaleSheetLayoutView="136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C6" sqref="C6"/>
    </sheetView>
  </sheetViews>
  <sheetFormatPr defaultColWidth="0" defaultRowHeight="15.6" zeroHeight="1" x14ac:dyDescent="0.3"/>
  <cols>
    <col min="1" max="1" width="9.109375" style="7" customWidth="1"/>
    <col min="2" max="2" width="4.109375" style="7" customWidth="1"/>
    <col min="3" max="3" width="50.6640625" style="7" customWidth="1"/>
    <col min="4" max="4" width="21.109375" style="1" bestFit="1" customWidth="1"/>
    <col min="5" max="7" width="9.109375" style="7" customWidth="1"/>
    <col min="8" max="9" width="0" style="7" hidden="1" customWidth="1"/>
    <col min="10" max="16384" width="9.109375" style="7" hidden="1"/>
  </cols>
  <sheetData>
    <row r="1" spans="1:7" x14ac:dyDescent="0.3">
      <c r="A1" s="26">
        <f>profilKelas!F14</f>
        <v>1</v>
      </c>
      <c r="D1" s="7"/>
      <c r="E1" s="27"/>
      <c r="F1" s="27"/>
      <c r="G1" s="27">
        <f>profilKelas!F14</f>
        <v>1</v>
      </c>
    </row>
    <row r="2" spans="1:7" x14ac:dyDescent="0.3">
      <c r="D2" s="7"/>
      <c r="E2" s="27"/>
      <c r="F2" s="27"/>
      <c r="G2" s="27"/>
    </row>
    <row r="3" spans="1:7" ht="15.6" customHeight="1" x14ac:dyDescent="0.3">
      <c r="B3" s="156" t="s">
        <v>989</v>
      </c>
      <c r="C3" s="156"/>
      <c r="D3" s="156"/>
      <c r="E3" s="27"/>
      <c r="F3" s="27"/>
      <c r="G3" s="27"/>
    </row>
    <row r="4" spans="1:7" ht="15.6" customHeight="1" x14ac:dyDescent="0.3">
      <c r="B4" s="157"/>
      <c r="C4" s="157"/>
      <c r="D4" s="157"/>
      <c r="E4" s="27"/>
      <c r="F4" s="27"/>
      <c r="G4" s="27"/>
    </row>
    <row r="5" spans="1:7" x14ac:dyDescent="0.3">
      <c r="B5" s="28" t="s">
        <v>0</v>
      </c>
      <c r="C5" s="29" t="s">
        <v>1</v>
      </c>
      <c r="D5" s="28" t="s">
        <v>24</v>
      </c>
    </row>
    <row r="6" spans="1:7" x14ac:dyDescent="0.3">
      <c r="B6" s="5">
        <f>IF(ROW(A1)&lt;=profilKelas!$F$14,ROW(A1),"")</f>
        <v>1</v>
      </c>
      <c r="C6" s="104"/>
      <c r="D6" s="115"/>
    </row>
    <row r="7" spans="1:7" hidden="1" x14ac:dyDescent="0.3">
      <c r="B7" s="5" t="str">
        <f>IF(ROW(A2)&lt;=profilKelas!$F$14,ROW(A2),"")</f>
        <v/>
      </c>
      <c r="C7" s="104"/>
      <c r="D7" s="115"/>
    </row>
    <row r="8" spans="1:7" hidden="1" x14ac:dyDescent="0.3">
      <c r="B8" s="5" t="str">
        <f>IF(ROW(A3)&lt;=profilKelas!$F$14,ROW(A3),"")</f>
        <v/>
      </c>
      <c r="C8" s="104"/>
      <c r="D8" s="115"/>
    </row>
    <row r="9" spans="1:7" hidden="1" x14ac:dyDescent="0.3">
      <c r="B9" s="5" t="str">
        <f>IF(ROW(A4)&lt;=profilKelas!$F$14,ROW(A4),"")</f>
        <v/>
      </c>
      <c r="C9" s="104"/>
      <c r="D9" s="115"/>
    </row>
    <row r="10" spans="1:7" hidden="1" x14ac:dyDescent="0.3">
      <c r="B10" s="5" t="str">
        <f>IF(ROW(A5)&lt;=profilKelas!$F$14,ROW(A5),"")</f>
        <v/>
      </c>
      <c r="C10" s="104"/>
      <c r="D10" s="115"/>
    </row>
    <row r="11" spans="1:7" hidden="1" x14ac:dyDescent="0.3">
      <c r="B11" s="5" t="str">
        <f>IF(ROW(A6)&lt;=profilKelas!$F$14,ROW(A6),"")</f>
        <v/>
      </c>
      <c r="C11" s="104"/>
      <c r="D11" s="115"/>
    </row>
    <row r="12" spans="1:7" hidden="1" x14ac:dyDescent="0.3">
      <c r="B12" s="5" t="str">
        <f>IF(ROW(A7)&lt;=profilKelas!$F$14,ROW(A7),"")</f>
        <v/>
      </c>
      <c r="C12" s="104"/>
      <c r="D12" s="115"/>
    </row>
    <row r="13" spans="1:7" hidden="1" x14ac:dyDescent="0.3">
      <c r="B13" s="5" t="str">
        <f>IF(ROW(A8)&lt;=profilKelas!$F$14,ROW(A8),"")</f>
        <v/>
      </c>
      <c r="C13" s="104"/>
      <c r="D13" s="115"/>
    </row>
    <row r="14" spans="1:7" hidden="1" x14ac:dyDescent="0.3">
      <c r="B14" s="5" t="str">
        <f>IF(ROW(A9)&lt;=profilKelas!$F$14,ROW(A9),"")</f>
        <v/>
      </c>
      <c r="C14" s="104"/>
      <c r="D14" s="115"/>
    </row>
    <row r="15" spans="1:7" hidden="1" x14ac:dyDescent="0.3">
      <c r="B15" s="5" t="str">
        <f>IF(ROW(A10)&lt;=profilKelas!$F$14,ROW(A10),"")</f>
        <v/>
      </c>
      <c r="C15" s="104"/>
      <c r="D15" s="115"/>
    </row>
    <row r="16" spans="1:7" hidden="1" x14ac:dyDescent="0.3">
      <c r="B16" s="5" t="str">
        <f>IF(ROW(A11)&lt;=profilKelas!$F$14,ROW(A11),"")</f>
        <v/>
      </c>
      <c r="C16" s="104"/>
      <c r="D16" s="115"/>
    </row>
    <row r="17" spans="2:4" hidden="1" x14ac:dyDescent="0.3">
      <c r="B17" s="5" t="str">
        <f>IF(ROW(A12)&lt;=profilKelas!$F$14,ROW(A12),"")</f>
        <v/>
      </c>
      <c r="C17" s="104"/>
      <c r="D17" s="115"/>
    </row>
    <row r="18" spans="2:4" hidden="1" x14ac:dyDescent="0.3">
      <c r="B18" s="5" t="str">
        <f>IF(ROW(A13)&lt;=profilKelas!$F$14,ROW(A13),"")</f>
        <v/>
      </c>
      <c r="C18" s="104"/>
      <c r="D18" s="115"/>
    </row>
    <row r="19" spans="2:4" hidden="1" x14ac:dyDescent="0.3">
      <c r="B19" s="5" t="str">
        <f>IF(ROW(A14)&lt;=profilKelas!$F$14,ROW(A14),"")</f>
        <v/>
      </c>
      <c r="C19" s="104"/>
      <c r="D19" s="115"/>
    </row>
    <row r="20" spans="2:4" hidden="1" x14ac:dyDescent="0.3">
      <c r="B20" s="5" t="str">
        <f>IF(ROW(A15)&lt;=profilKelas!$F$14,ROW(A15),"")</f>
        <v/>
      </c>
      <c r="C20" s="104"/>
      <c r="D20" s="115"/>
    </row>
    <row r="21" spans="2:4" hidden="1" x14ac:dyDescent="0.3">
      <c r="B21" s="5" t="str">
        <f>IF(ROW(A16)&lt;=profilKelas!$F$14,ROW(A16),"")</f>
        <v/>
      </c>
      <c r="C21" s="104"/>
      <c r="D21" s="115"/>
    </row>
    <row r="22" spans="2:4" hidden="1" x14ac:dyDescent="0.3">
      <c r="B22" s="5" t="str">
        <f>IF(ROW(A17)&lt;=profilKelas!$F$14,ROW(A17),"")</f>
        <v/>
      </c>
      <c r="C22" s="104"/>
      <c r="D22" s="115"/>
    </row>
    <row r="23" spans="2:4" hidden="1" x14ac:dyDescent="0.3">
      <c r="B23" s="5" t="str">
        <f>IF(ROW(A18)&lt;=profilKelas!$F$14,ROW(A18),"")</f>
        <v/>
      </c>
      <c r="C23" s="104"/>
      <c r="D23" s="115"/>
    </row>
    <row r="24" spans="2:4" hidden="1" x14ac:dyDescent="0.3">
      <c r="B24" s="5" t="str">
        <f>IF(ROW(A19)&lt;=profilKelas!$F$14,ROW(A19),"")</f>
        <v/>
      </c>
      <c r="C24" s="104"/>
      <c r="D24" s="115"/>
    </row>
    <row r="25" spans="2:4" ht="15.6" hidden="1" customHeight="1" x14ac:dyDescent="0.3">
      <c r="B25" s="5" t="str">
        <f>IF(ROW(A20)&lt;=profilKelas!$F$14,ROW(A20),"")</f>
        <v/>
      </c>
      <c r="C25" s="104"/>
      <c r="D25" s="115"/>
    </row>
    <row r="26" spans="2:4" ht="15.6" hidden="1" customHeight="1" x14ac:dyDescent="0.3">
      <c r="B26" s="5" t="str">
        <f>IF(ROW(A21)&lt;=profilKelas!$F$14,ROW(A21),"")</f>
        <v/>
      </c>
      <c r="C26" s="104"/>
      <c r="D26" s="115"/>
    </row>
    <row r="27" spans="2:4" hidden="1" x14ac:dyDescent="0.3">
      <c r="B27" s="5" t="str">
        <f>IF(ROW(A22)&lt;=profilKelas!$F$14,ROW(A22),"")</f>
        <v/>
      </c>
      <c r="C27" s="104"/>
      <c r="D27" s="115"/>
    </row>
    <row r="28" spans="2:4" hidden="1" x14ac:dyDescent="0.3">
      <c r="B28" s="5" t="str">
        <f>IF(ROW(A23)&lt;=profilKelas!$F$14,ROW(A23),"")</f>
        <v/>
      </c>
      <c r="C28" s="104"/>
      <c r="D28" s="115"/>
    </row>
    <row r="29" spans="2:4" hidden="1" x14ac:dyDescent="0.3">
      <c r="B29" s="5" t="str">
        <f>IF(ROW(A24)&lt;=profilKelas!$F$14,ROW(A24),"")</f>
        <v/>
      </c>
      <c r="C29" s="104"/>
      <c r="D29" s="115"/>
    </row>
    <row r="30" spans="2:4" hidden="1" x14ac:dyDescent="0.3">
      <c r="B30" s="5" t="str">
        <f>IF(ROW(A25)&lt;=profilKelas!$F$14,ROW(A25),"")</f>
        <v/>
      </c>
      <c r="C30" s="104"/>
      <c r="D30" s="115"/>
    </row>
    <row r="31" spans="2:4" hidden="1" x14ac:dyDescent="0.3">
      <c r="B31" s="5" t="str">
        <f>IF(ROW(A26)&lt;=profilKelas!$F$14,ROW(A26),"")</f>
        <v/>
      </c>
      <c r="C31" s="104"/>
      <c r="D31" s="115"/>
    </row>
    <row r="32" spans="2:4" hidden="1" x14ac:dyDescent="0.3">
      <c r="B32" s="5" t="str">
        <f>IF(ROW(A27)&lt;=profilKelas!$F$14,ROW(A27),"")</f>
        <v/>
      </c>
      <c r="C32" s="104"/>
      <c r="D32" s="115"/>
    </row>
    <row r="33" spans="2:4" hidden="1" x14ac:dyDescent="0.3">
      <c r="B33" s="5" t="str">
        <f>IF(ROW(A28)&lt;=profilKelas!$F$14,ROW(A28),"")</f>
        <v/>
      </c>
      <c r="C33" s="104"/>
      <c r="D33" s="115"/>
    </row>
    <row r="34" spans="2:4" hidden="1" x14ac:dyDescent="0.3">
      <c r="B34" s="5" t="str">
        <f>IF(ROW(A29)&lt;=profilKelas!$F$14,ROW(A29),"")</f>
        <v/>
      </c>
      <c r="C34" s="104"/>
      <c r="D34" s="115"/>
    </row>
    <row r="35" spans="2:4" hidden="1" x14ac:dyDescent="0.3">
      <c r="B35" s="5" t="str">
        <f>IF(ROW(A30)&lt;=profilKelas!$F$14,ROW(A30),"")</f>
        <v/>
      </c>
      <c r="C35" s="104"/>
      <c r="D35" s="115"/>
    </row>
    <row r="36" spans="2:4" hidden="1" x14ac:dyDescent="0.3">
      <c r="B36" s="5" t="str">
        <f>IF(ROW(A31)&lt;=profilKelas!$F$14,ROW(A31),"")</f>
        <v/>
      </c>
      <c r="C36" s="104"/>
      <c r="D36" s="115"/>
    </row>
    <row r="37" spans="2:4" hidden="1" x14ac:dyDescent="0.3">
      <c r="B37" s="5" t="str">
        <f>IF(ROW(A32)&lt;=profilKelas!$F$14,ROW(A32),"")</f>
        <v/>
      </c>
      <c r="C37" s="104"/>
      <c r="D37" s="115"/>
    </row>
    <row r="38" spans="2:4" hidden="1" x14ac:dyDescent="0.3">
      <c r="B38" s="5" t="str">
        <f>IF(ROW(A33)&lt;=profilKelas!$F$14,ROW(A33),"")</f>
        <v/>
      </c>
      <c r="C38" s="104"/>
      <c r="D38" s="115"/>
    </row>
    <row r="39" spans="2:4" hidden="1" x14ac:dyDescent="0.3">
      <c r="B39" s="5" t="str">
        <f>IF(ROW(A34)&lt;=profilKelas!$F$14,ROW(A34),"")</f>
        <v/>
      </c>
      <c r="C39" s="104"/>
      <c r="D39" s="115"/>
    </row>
    <row r="40" spans="2:4" hidden="1" x14ac:dyDescent="0.3">
      <c r="B40" s="5" t="str">
        <f>IF(ROW(A35)&lt;=profilKelas!$F$14,ROW(A35),"")</f>
        <v/>
      </c>
      <c r="C40" s="104"/>
      <c r="D40" s="115"/>
    </row>
    <row r="41" spans="2:4" hidden="1" x14ac:dyDescent="0.3">
      <c r="B41" s="5" t="str">
        <f>IF(ROW(A36)&lt;=profilKelas!$F$14,ROW(A36),"")</f>
        <v/>
      </c>
      <c r="C41" s="104"/>
      <c r="D41" s="115"/>
    </row>
    <row r="42" spans="2:4" hidden="1" x14ac:dyDescent="0.3">
      <c r="B42" s="5" t="str">
        <f>IF(ROW(A37)&lt;=profilKelas!$F$14,ROW(A37),"")</f>
        <v/>
      </c>
      <c r="C42" s="104"/>
      <c r="D42" s="115"/>
    </row>
    <row r="43" spans="2:4" hidden="1" x14ac:dyDescent="0.3">
      <c r="B43" s="5" t="str">
        <f>IF(ROW(A38)&lt;=profilKelas!$F$14,ROW(A38),"")</f>
        <v/>
      </c>
      <c r="C43" s="104"/>
      <c r="D43" s="115"/>
    </row>
    <row r="44" spans="2:4" hidden="1" x14ac:dyDescent="0.3">
      <c r="B44" s="5" t="str">
        <f>IF(ROW(A39)&lt;=profilKelas!$F$14,ROW(A39),"")</f>
        <v/>
      </c>
      <c r="C44" s="104"/>
      <c r="D44" s="115"/>
    </row>
    <row r="45" spans="2:4" hidden="1" x14ac:dyDescent="0.3">
      <c r="B45" s="5" t="str">
        <f>IF(ROW(A40)&lt;=profilKelas!$F$14,ROW(A40),"")</f>
        <v/>
      </c>
      <c r="C45" s="104"/>
      <c r="D45" s="115"/>
    </row>
    <row r="46" spans="2:4" hidden="1" x14ac:dyDescent="0.3">
      <c r="B46" s="5" t="str">
        <f>IF(ROW(A41)&lt;=profilKelas!$F$14,ROW(A41),"")</f>
        <v/>
      </c>
      <c r="C46" s="104"/>
      <c r="D46" s="115"/>
    </row>
    <row r="47" spans="2:4" hidden="1" x14ac:dyDescent="0.3">
      <c r="B47" s="5" t="str">
        <f>IF(ROW(A42)&lt;=profilKelas!$F$14,ROW(A42),"")</f>
        <v/>
      </c>
      <c r="C47" s="104"/>
      <c r="D47" s="115"/>
    </row>
    <row r="48" spans="2:4" hidden="1" x14ac:dyDescent="0.3">
      <c r="B48" s="5" t="str">
        <f>IF(ROW(A43)&lt;=profilKelas!$F$14,ROW(A43),"")</f>
        <v/>
      </c>
      <c r="C48" s="104"/>
      <c r="D48" s="115"/>
    </row>
    <row r="49" spans="2:4" hidden="1" x14ac:dyDescent="0.3">
      <c r="B49" s="5" t="str">
        <f>IF(ROW(A44)&lt;=profilKelas!$F$14,ROW(A44),"")</f>
        <v/>
      </c>
      <c r="C49" s="104"/>
      <c r="D49" s="115"/>
    </row>
    <row r="50" spans="2:4" hidden="1" x14ac:dyDescent="0.3">
      <c r="B50" s="5" t="str">
        <f>IF(ROW(A45)&lt;=profilKelas!$F$14,ROW(A45),"")</f>
        <v/>
      </c>
      <c r="C50" s="104"/>
      <c r="D50" s="115"/>
    </row>
    <row r="51" spans="2:4" hidden="1" x14ac:dyDescent="0.3">
      <c r="B51" s="1"/>
    </row>
    <row r="58" spans="2:4" x14ac:dyDescent="0.3"/>
    <row r="59" spans="2:4" x14ac:dyDescent="0.3"/>
    <row r="60" spans="2:4" x14ac:dyDescent="0.3"/>
    <row r="61" spans="2:4" x14ac:dyDescent="0.3"/>
    <row r="62" spans="2:4" x14ac:dyDescent="0.3"/>
    <row r="63" spans="2:4" x14ac:dyDescent="0.3"/>
    <row r="64" spans="2:4" x14ac:dyDescent="0.3"/>
  </sheetData>
  <sheetProtection algorithmName="SHA-512" hashValue="daFxLYGpFWAb3wQ4tU1Fj/Ndrg77GhGrnAiC+OvtNn2Gb4xaR58yytEgC+9bZXcBNJ9Dcm9upQQQQ4PRe3sCdA==" saltValue="0Kt0YCome9PTfapHyUDLOQ==" spinCount="100000" sheet="1" objects="1" scenarios="1" formatCells="0" formatColumns="0" formatRows="0" insertColumns="0" insertRows="0" insertHyperlinks="0" deleteColumns="0" deleteRows="0" autoFilter="0"/>
  <mergeCells count="1">
    <mergeCell ref="B3:D4"/>
  </mergeCells>
  <conditionalFormatting sqref="B52:D1048576 C37:D51 B6:B50">
    <cfRule type="expression" dxfId="169" priority="2">
      <formula>$B6&lt;&gt;""</formula>
    </cfRule>
  </conditionalFormatting>
  <conditionalFormatting sqref="C6:D36">
    <cfRule type="expression" dxfId="168" priority="1">
      <formula>$B6&lt;&gt;""</formula>
    </cfRule>
  </conditionalFormatting>
  <pageMargins left="0.19685039370078741" right="0.19685039370078741" top="0.74803149606299213" bottom="0.74803149606299213" header="0.31496062992125984" footer="0.31496062992125984"/>
  <pageSetup paperSize="9" scale="87"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Jenis Kelamin" error="Silakan pilih_x000a_L = Laki-laki_x000a_P = Perempuan" promptTitle="Jenis Kelamin" prompt="Silakan pilih_x000a_L = Laki-laki_x000a_P = Perempuan" xr:uid="{00000000-0002-0000-0800-000000000000}">
          <x14:formula1>
            <xm:f>info!$A$2:$A$3</xm:f>
          </x14:formula1>
          <xm:sqref>D6:D1048576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sRekapBulan"/>
  <dimension ref="A1:X41"/>
  <sheetViews>
    <sheetView showGridLines="0" showRowColHeaders="0"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G33" sqref="G33"/>
    </sheetView>
  </sheetViews>
  <sheetFormatPr defaultColWidth="0" defaultRowHeight="14.4" zeroHeight="1" x14ac:dyDescent="0.3"/>
  <cols>
    <col min="1" max="3" width="8.88671875" style="1" customWidth="1"/>
    <col min="4" max="4" width="14.109375" style="1" bestFit="1" customWidth="1"/>
    <col min="5" max="18" width="8.88671875" style="1" customWidth="1"/>
    <col min="19" max="19" width="22.33203125" style="1" customWidth="1"/>
    <col min="20" max="20" width="8.88671875" style="1" customWidth="1"/>
    <col min="21" max="24" width="0" style="1" hidden="1" customWidth="1"/>
    <col min="25" max="16384" width="8.88671875" style="1" hidden="1"/>
  </cols>
  <sheetData>
    <row r="1" spans="1:24" x14ac:dyDescent="0.3">
      <c r="A1" s="122">
        <f>profilKelas!F14</f>
        <v>1</v>
      </c>
    </row>
    <row r="2" spans="1:24" x14ac:dyDescent="0.3">
      <c r="S2"/>
    </row>
    <row r="3" spans="1:24" x14ac:dyDescent="0.3">
      <c r="S3"/>
      <c r="X3" s="61"/>
    </row>
    <row r="4" spans="1:24" x14ac:dyDescent="0.3">
      <c r="S4"/>
    </row>
    <row r="5" spans="1:24" x14ac:dyDescent="0.3">
      <c r="F5" s="61"/>
      <c r="S5"/>
    </row>
    <row r="6" spans="1:24" ht="16.2" customHeight="1" x14ac:dyDescent="0.35">
      <c r="B6" s="25"/>
      <c r="C6" s="159" t="str" cm="1">
        <f t="array" aca="1" ref="C6" ca="1">"REKAPITULASI CATATAN HARIAN KELAS (RCHK) "&amp;CHAR(10)&amp;"SEMESTER "&amp;
MID(SUBSTITUTE(INDIRECT(SUBSTITUTE("@@!J7","@@",RkpBulan!$S$7)),": ",""),1,SEARCH("/",SUBSTITUTE(INDIRECT(SUBSTITUTE("@@!J7","@@",RkpBulan!$S$7)),": ",""))-2)&amp;
" BULAN "&amp;UPPER(RkpBulan!S7)&amp;" TAHUN "&amp;profilKelas!F12</f>
        <v xml:space="preserve">REKAPITULASI CATATAN HARIAN KELAS (RCHK) 
SEMESTER I BULAN JULI TAHUN </v>
      </c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159"/>
      <c r="P6" s="159"/>
      <c r="Q6" s="25"/>
      <c r="S6" s="31" t="s">
        <v>990</v>
      </c>
    </row>
    <row r="7" spans="1:24" ht="15.6" x14ac:dyDescent="0.3">
      <c r="B7" s="25"/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  <c r="P7" s="159"/>
      <c r="Q7" s="25"/>
      <c r="S7" s="32" t="s">
        <v>587</v>
      </c>
    </row>
    <row r="8" spans="1:24" ht="15.6" x14ac:dyDescent="0.3">
      <c r="B8" s="25"/>
      <c r="C8" s="13"/>
      <c r="D8" s="13"/>
      <c r="E8" s="13"/>
      <c r="F8" s="13"/>
      <c r="G8" s="13"/>
      <c r="H8" s="13"/>
      <c r="I8" s="13"/>
      <c r="J8" s="13"/>
      <c r="K8" s="33"/>
      <c r="L8" s="13"/>
      <c r="M8" s="13"/>
      <c r="N8" s="13"/>
      <c r="O8" s="13"/>
      <c r="P8" s="13"/>
      <c r="Q8" s="25"/>
    </row>
    <row r="9" spans="1:24" ht="15.6" x14ac:dyDescent="0.3">
      <c r="B9" s="25"/>
      <c r="C9" s="13" t="s">
        <v>862</v>
      </c>
      <c r="D9" s="13"/>
      <c r="E9" s="13" t="str">
        <f>UPPER(": "&amp;profilKelas!F5&amp;" ("&amp;profilKelas!F6&amp;")")</f>
        <v>:  ()</v>
      </c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25"/>
      <c r="S9"/>
    </row>
    <row r="10" spans="1:24" ht="15.6" x14ac:dyDescent="0.3">
      <c r="B10" s="25"/>
      <c r="C10" s="13" t="s">
        <v>863</v>
      </c>
      <c r="D10" s="13"/>
      <c r="E10" s="13" t="str">
        <f>UPPER(": "&amp;profilKelas!F9&amp;", Provinsi "&amp;profilKelas!F8)</f>
        <v xml:space="preserve">: , PROVINSI </v>
      </c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25"/>
      <c r="S10"/>
    </row>
    <row r="11" spans="1:24" ht="15.6" x14ac:dyDescent="0.3">
      <c r="B11" s="25"/>
      <c r="C11" s="13" t="str">
        <f>profilKelas!B10</f>
        <v>Nama Kepala Sekolah</v>
      </c>
      <c r="D11" s="13"/>
      <c r="E11" s="13" t="str">
        <f>UPPER(": "&amp;profilKelas!F10&amp;" (NIP."&amp;profilKelas!F11&amp;")")</f>
        <v>:  (NIP.)</v>
      </c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25"/>
      <c r="S11"/>
    </row>
    <row r="12" spans="1:24" ht="15.6" x14ac:dyDescent="0.3">
      <c r="B12" s="25"/>
      <c r="C12" s="34" t="str">
        <f ca="1">SUBSTITUTE(profilKelas!B15,"Nama ","")&amp;" "&amp;IF(ISBLANK(profilKelas!H13),"",profilKelas!H13)</f>
        <v>Guru Wali Kelas Pilih Kelas dan Rombel</v>
      </c>
      <c r="D12" s="34"/>
      <c r="E12" s="34" t="str">
        <f>UPPER(": "&amp;profilKelas!F15&amp;" (NIP."&amp;profilKelas!F16&amp;")")</f>
        <v>:  (NIP.)</v>
      </c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25"/>
      <c r="S12"/>
    </row>
    <row r="13" spans="1:24" ht="15.6" x14ac:dyDescent="0.3">
      <c r="B13" s="25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25"/>
      <c r="S13"/>
    </row>
    <row r="14" spans="1:24" ht="15.6" x14ac:dyDescent="0.3">
      <c r="B14" s="25"/>
      <c r="C14" s="162" t="s">
        <v>0</v>
      </c>
      <c r="D14" s="162" t="s">
        <v>831</v>
      </c>
      <c r="E14" s="164" t="s">
        <v>833</v>
      </c>
      <c r="F14" s="37" t="s">
        <v>596</v>
      </c>
      <c r="G14" s="38"/>
      <c r="H14" s="38"/>
      <c r="I14" s="39"/>
      <c r="J14" s="13"/>
      <c r="K14" s="158" t="str" cm="1">
        <f t="array" aca="1" ref="K14" ca="1">IF(
AND(F16:G17=0),"Dari total "&amp;E18&amp;" murid, "&amp;"tidak ada murid perempuan dan murid laki-laki yang sudah terbiasa dalam menerapkan Gerakan 7 Kebiasaan Anak Indonesia Hebat (G7KAIH) pada Bulan "&amp;RkpBulan!S7&amp;" Tahun Ajaran "&amp;IF(ISBLANK(S13),profilKelas!F12,S13),IF(
AND(F16=0,F17&gt;0),"Dari total "&amp;E18&amp;" murid, "&amp;"sebanyak "&amp;H16&amp;" murid perempuan yang belum terbiasa dan terdapat "&amp;F17&amp;" dari "&amp;H17&amp;" murid laki-laki yang sudah terbiasa dalam menerapkan Gerakan 7 Kebiasaan Anak Indonesia Hebat (G7KAIH) pada Bulan "&amp;RkpBulan!S7&amp;" Tahun Ajaran "&amp;IF(ISBLANK(S13),profilKelas!F12,S13),IF(
AND(F16&gt;0,F17=0),"Dari total "&amp;E18&amp;" murid, "&amp;"sebanyak "&amp;F16&amp;" dari "&amp;H16&amp;" murid perempuan yang sudah terbiasa dalam menerapkan Gerakan 7 Kebiasaan Anak Indonesia Hebat (G7KAIH) sedangkan "&amp;H17&amp;" murid laki-laki yang belum terbiasa pada Bulan "&amp;RkpBulan!S7&amp;" Tahun Ajaran "&amp;IF(ISBLANK(S13),profilKelas!F12,S13),IF(
AND(F16&gt;0,F17&gt;0),"Dari total "&amp;E18&amp;" murid, "&amp;"sebanyak "&amp;F16&amp;" dari "&amp;H16&amp;" murid perempuan dan "&amp;F17&amp;" dari "&amp;H17&amp;" murid laki-laki yang sudah terbiasa dalam menerapkan Gerakan 7 Kebiasaan Anak Indonesia Hebat (G7KAIH) pada Bulan "&amp;RkpBulan!S7&amp;" Tahun Ajaran "&amp;IF(ISBLANK(S13),profilKelas!F12,S13),""))))</f>
        <v xml:space="preserve">Dari total 0 murid, tidak ada murid perempuan dan murid laki-laki yang sudah terbiasa dalam menerapkan Gerakan 7 Kebiasaan Anak Indonesia Hebat (G7KAIH) pada Bulan Juli Tahun Ajaran </v>
      </c>
      <c r="L14" s="158"/>
      <c r="M14" s="158"/>
      <c r="N14" s="158"/>
      <c r="O14" s="158"/>
      <c r="P14" s="158"/>
      <c r="Q14" s="25"/>
    </row>
    <row r="15" spans="1:24" ht="31.2" x14ac:dyDescent="0.3">
      <c r="B15" s="25"/>
      <c r="C15" s="163"/>
      <c r="D15" s="163"/>
      <c r="E15" s="165"/>
      <c r="F15" s="40" t="s">
        <v>986</v>
      </c>
      <c r="G15" s="40"/>
      <c r="H15" s="40" t="s">
        <v>598</v>
      </c>
      <c r="I15" s="40"/>
      <c r="J15" s="13"/>
      <c r="K15" s="158"/>
      <c r="L15" s="158"/>
      <c r="M15" s="158"/>
      <c r="N15" s="158"/>
      <c r="O15" s="158"/>
      <c r="P15" s="158"/>
      <c r="Q15" s="25"/>
    </row>
    <row r="16" spans="1:24" ht="15.6" x14ac:dyDescent="0.3">
      <c r="B16" s="25"/>
      <c r="C16" s="41">
        <v>1</v>
      </c>
      <c r="D16" s="41" t="s">
        <v>607</v>
      </c>
      <c r="E16" s="10" cm="1">
        <f t="array" aca="1" ref="E16:E17" ca="1">INDIRECT(SUBSTITUTE("@@!AF16:AF17","@@",RkpBulan!$S$7))</f>
        <v>0</v>
      </c>
      <c r="F16" s="42" cm="1">
        <f t="array" aca="1" ref="F16:F17" ca="1">INDIRECT(SUBSTITUTE("@@!AG16:AG17","@@",RkpBulan!$S$7))</f>
        <v>0</v>
      </c>
      <c r="G16" s="42"/>
      <c r="H16" s="42" cm="1">
        <f t="array" aca="1" ref="H16:H17" ca="1">INDIRECT(SUBSTITUTE("@@!AI16:AI17","@@",RkpBulan!$S$7))</f>
        <v>0</v>
      </c>
      <c r="I16" s="42"/>
      <c r="J16" s="13"/>
      <c r="K16" s="158"/>
      <c r="L16" s="158"/>
      <c r="M16" s="158"/>
      <c r="N16" s="158"/>
      <c r="O16" s="158"/>
      <c r="P16" s="158"/>
      <c r="Q16" s="25"/>
    </row>
    <row r="17" spans="2:17" ht="15.6" x14ac:dyDescent="0.3">
      <c r="B17" s="25"/>
      <c r="C17" s="41">
        <v>2</v>
      </c>
      <c r="D17" s="41" t="s">
        <v>608</v>
      </c>
      <c r="E17" s="10">
        <f ca="1"/>
        <v>0</v>
      </c>
      <c r="F17" s="42">
        <f ca="1"/>
        <v>0</v>
      </c>
      <c r="G17" s="42"/>
      <c r="H17" s="42">
        <f ca="1"/>
        <v>0</v>
      </c>
      <c r="I17" s="42"/>
      <c r="J17" s="13"/>
      <c r="K17" s="158"/>
      <c r="L17" s="158"/>
      <c r="M17" s="158"/>
      <c r="N17" s="158"/>
      <c r="O17" s="158"/>
      <c r="P17" s="158"/>
      <c r="Q17" s="25"/>
    </row>
    <row r="18" spans="2:17" ht="15.6" x14ac:dyDescent="0.3">
      <c r="B18" s="25"/>
      <c r="C18" s="160" t="s">
        <v>832</v>
      </c>
      <c r="D18" s="160"/>
      <c r="E18" s="3">
        <f ca="1">SUM(E16:E17)</f>
        <v>0</v>
      </c>
      <c r="F18" s="42">
        <f ca="1">SUM(F16:F17)</f>
        <v>0</v>
      </c>
      <c r="G18" s="42"/>
      <c r="H18" s="42">
        <f ca="1">SUM(H16:H17)</f>
        <v>0</v>
      </c>
      <c r="I18" s="42"/>
      <c r="J18" s="13"/>
      <c r="K18" s="158"/>
      <c r="L18" s="158"/>
      <c r="M18" s="158"/>
      <c r="N18" s="158"/>
      <c r="O18" s="158"/>
      <c r="P18" s="158"/>
      <c r="Q18" s="25"/>
    </row>
    <row r="19" spans="2:17" ht="15.6" x14ac:dyDescent="0.3">
      <c r="B19" s="25"/>
      <c r="C19" s="13"/>
      <c r="D19" s="13"/>
      <c r="E19" s="13"/>
      <c r="F19" s="13"/>
      <c r="G19" s="13"/>
      <c r="H19" s="13"/>
      <c r="I19" s="13"/>
      <c r="J19" s="13"/>
      <c r="K19" s="43"/>
      <c r="L19" s="43"/>
      <c r="M19" s="43"/>
      <c r="N19" s="43"/>
      <c r="O19" s="43"/>
      <c r="P19" s="43"/>
      <c r="Q19" s="25"/>
    </row>
    <row r="20" spans="2:17" ht="15.6" x14ac:dyDescent="0.3">
      <c r="B20" s="25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25"/>
    </row>
    <row r="21" spans="2:17" ht="15.6" x14ac:dyDescent="0.3">
      <c r="B21" s="25"/>
      <c r="C21" s="13"/>
      <c r="D21" s="13"/>
      <c r="E21" s="13"/>
      <c r="F21" s="44" t="s">
        <v>596</v>
      </c>
      <c r="G21" s="45"/>
      <c r="H21" s="45"/>
      <c r="I21" s="46"/>
      <c r="J21" s="13"/>
      <c r="K21" s="13"/>
      <c r="L21" s="13"/>
      <c r="M21" s="13"/>
      <c r="N21" s="13"/>
      <c r="O21" s="13"/>
      <c r="P21" s="13"/>
      <c r="Q21" s="25"/>
    </row>
    <row r="22" spans="2:17" ht="15.6" x14ac:dyDescent="0.3">
      <c r="B22" s="25"/>
      <c r="C22" s="3" t="s">
        <v>0</v>
      </c>
      <c r="D22" s="40" t="s">
        <v>18</v>
      </c>
      <c r="E22" s="40"/>
      <c r="F22" s="47" t="s">
        <v>597</v>
      </c>
      <c r="G22" s="47"/>
      <c r="H22" s="48" t="s">
        <v>598</v>
      </c>
      <c r="I22" s="49"/>
      <c r="J22" s="13"/>
      <c r="K22" s="13"/>
      <c r="L22" s="13"/>
      <c r="M22" s="13"/>
      <c r="N22" s="13"/>
      <c r="O22" s="13"/>
      <c r="P22" s="13"/>
      <c r="Q22" s="25"/>
    </row>
    <row r="23" spans="2:17" ht="15.6" x14ac:dyDescent="0.3">
      <c r="B23" s="25"/>
      <c r="C23" s="41">
        <v>1</v>
      </c>
      <c r="D23" s="166" t="s">
        <v>2</v>
      </c>
      <c r="E23" s="167"/>
      <c r="F23" s="10" cm="1">
        <f t="array" aca="1" ref="F23:I29" ca="1">INDIRECT(SUBSTITUTE("@@!AG23:AJ29","@@",RkpBulan!$S$7))</f>
        <v>0</v>
      </c>
      <c r="G23" s="50">
        <f ca="1"/>
        <v>0</v>
      </c>
      <c r="H23" s="10">
        <f ca="1"/>
        <v>0</v>
      </c>
      <c r="I23" s="50">
        <f ca="1"/>
        <v>0</v>
      </c>
      <c r="J23" s="13"/>
      <c r="K23" s="13"/>
      <c r="L23" s="13"/>
      <c r="M23" s="13"/>
      <c r="N23" s="13"/>
      <c r="O23" s="13"/>
      <c r="P23" s="13"/>
      <c r="Q23" s="25"/>
    </row>
    <row r="24" spans="2:17" ht="15.6" x14ac:dyDescent="0.3">
      <c r="B24" s="25"/>
      <c r="C24" s="41">
        <v>2</v>
      </c>
      <c r="D24" s="161" t="s">
        <v>3</v>
      </c>
      <c r="E24" s="161"/>
      <c r="F24" s="10">
        <f ca="1"/>
        <v>0</v>
      </c>
      <c r="G24" s="50">
        <f ca="1"/>
        <v>0</v>
      </c>
      <c r="H24" s="10">
        <f ca="1"/>
        <v>0</v>
      </c>
      <c r="I24" s="50">
        <f ca="1"/>
        <v>0</v>
      </c>
      <c r="J24" s="13"/>
      <c r="K24" s="13"/>
      <c r="L24" s="13"/>
      <c r="M24" s="13"/>
      <c r="N24" s="13"/>
      <c r="O24" s="13"/>
      <c r="P24" s="13"/>
      <c r="Q24" s="25"/>
    </row>
    <row r="25" spans="2:17" ht="15.6" x14ac:dyDescent="0.3">
      <c r="B25" s="25"/>
      <c r="C25" s="41">
        <v>3</v>
      </c>
      <c r="D25" s="161" t="s">
        <v>4</v>
      </c>
      <c r="E25" s="161"/>
      <c r="F25" s="10">
        <f ca="1"/>
        <v>0</v>
      </c>
      <c r="G25" s="50">
        <f ca="1"/>
        <v>0</v>
      </c>
      <c r="H25" s="10">
        <f ca="1"/>
        <v>0</v>
      </c>
      <c r="I25" s="50">
        <f ca="1"/>
        <v>0</v>
      </c>
      <c r="J25" s="13"/>
      <c r="K25" s="13"/>
      <c r="L25" s="13"/>
      <c r="M25" s="13"/>
      <c r="N25" s="13"/>
      <c r="O25" s="13"/>
      <c r="P25" s="13"/>
      <c r="Q25" s="25"/>
    </row>
    <row r="26" spans="2:17" ht="15.6" x14ac:dyDescent="0.3">
      <c r="B26" s="25"/>
      <c r="C26" s="41">
        <v>4</v>
      </c>
      <c r="D26" s="161" t="s">
        <v>5</v>
      </c>
      <c r="E26" s="161"/>
      <c r="F26" s="10">
        <f ca="1"/>
        <v>0</v>
      </c>
      <c r="G26" s="50">
        <f ca="1"/>
        <v>0</v>
      </c>
      <c r="H26" s="10">
        <f ca="1"/>
        <v>0</v>
      </c>
      <c r="I26" s="50">
        <f ca="1"/>
        <v>0</v>
      </c>
      <c r="J26" s="13"/>
      <c r="K26" s="13"/>
      <c r="L26" s="13"/>
      <c r="M26" s="13"/>
      <c r="N26" s="13"/>
      <c r="O26" s="13"/>
      <c r="P26" s="13"/>
      <c r="Q26" s="25"/>
    </row>
    <row r="27" spans="2:17" ht="15.6" x14ac:dyDescent="0.3">
      <c r="B27" s="25"/>
      <c r="C27" s="41">
        <v>5</v>
      </c>
      <c r="D27" s="161" t="s">
        <v>6</v>
      </c>
      <c r="E27" s="161"/>
      <c r="F27" s="10">
        <f ca="1"/>
        <v>0</v>
      </c>
      <c r="G27" s="50">
        <f ca="1"/>
        <v>0</v>
      </c>
      <c r="H27" s="10">
        <f ca="1"/>
        <v>0</v>
      </c>
      <c r="I27" s="50">
        <f ca="1"/>
        <v>0</v>
      </c>
      <c r="J27" s="13"/>
      <c r="K27" s="13"/>
      <c r="L27" s="13"/>
      <c r="M27" s="13"/>
      <c r="N27" s="13"/>
      <c r="O27" s="13"/>
      <c r="P27" s="13"/>
      <c r="Q27" s="25"/>
    </row>
    <row r="28" spans="2:17" ht="15.6" x14ac:dyDescent="0.3">
      <c r="B28" s="25"/>
      <c r="C28" s="41">
        <v>6</v>
      </c>
      <c r="D28" s="161" t="s">
        <v>7</v>
      </c>
      <c r="E28" s="161"/>
      <c r="F28" s="10">
        <f ca="1"/>
        <v>0</v>
      </c>
      <c r="G28" s="50">
        <f ca="1"/>
        <v>0</v>
      </c>
      <c r="H28" s="10">
        <f ca="1"/>
        <v>0</v>
      </c>
      <c r="I28" s="50">
        <f ca="1"/>
        <v>0</v>
      </c>
      <c r="J28" s="13"/>
      <c r="K28" s="43"/>
      <c r="L28" s="43"/>
      <c r="M28" s="43"/>
      <c r="N28" s="43"/>
      <c r="O28" s="43"/>
      <c r="P28" s="43"/>
      <c r="Q28" s="25"/>
    </row>
    <row r="29" spans="2:17" ht="15.6" x14ac:dyDescent="0.3">
      <c r="B29" s="25"/>
      <c r="C29" s="41">
        <v>7</v>
      </c>
      <c r="D29" s="161" t="s">
        <v>8</v>
      </c>
      <c r="E29" s="161"/>
      <c r="F29" s="10">
        <f ca="1"/>
        <v>0</v>
      </c>
      <c r="G29" s="50">
        <f ca="1"/>
        <v>0</v>
      </c>
      <c r="H29" s="10">
        <f ca="1"/>
        <v>0</v>
      </c>
      <c r="I29" s="50">
        <f ca="1"/>
        <v>0</v>
      </c>
      <c r="J29" s="13"/>
      <c r="K29" s="43"/>
      <c r="L29" s="43"/>
      <c r="M29" s="43"/>
      <c r="N29" s="43"/>
      <c r="O29" s="43"/>
      <c r="P29" s="43"/>
      <c r="Q29" s="25"/>
    </row>
    <row r="30" spans="2:17" ht="15.6" x14ac:dyDescent="0.3">
      <c r="B30" s="25"/>
      <c r="C30" s="13"/>
      <c r="D30" s="13"/>
      <c r="E30" s="13"/>
      <c r="F30" s="13"/>
      <c r="G30" s="13"/>
      <c r="H30" s="13"/>
      <c r="I30" s="13"/>
      <c r="J30" s="13"/>
      <c r="K30" s="43"/>
      <c r="L30" s="43"/>
      <c r="M30" s="43"/>
      <c r="N30" s="43"/>
      <c r="O30" s="43"/>
      <c r="P30" s="43"/>
      <c r="Q30" s="25"/>
    </row>
    <row r="31" spans="2:17" ht="15.6" x14ac:dyDescent="0.3">
      <c r="B31" s="25"/>
      <c r="C31" s="13"/>
      <c r="D31" s="13"/>
      <c r="E31" s="13"/>
      <c r="F31" s="40" t="s">
        <v>607</v>
      </c>
      <c r="G31" s="40"/>
      <c r="H31" s="40"/>
      <c r="I31" s="40"/>
      <c r="J31" s="40" t="s">
        <v>608</v>
      </c>
      <c r="K31" s="40"/>
      <c r="L31" s="40"/>
      <c r="M31" s="40"/>
      <c r="N31" s="13"/>
      <c r="O31" s="13"/>
      <c r="P31" s="13"/>
      <c r="Q31" s="25"/>
    </row>
    <row r="32" spans="2:17" ht="15.6" customHeight="1" x14ac:dyDescent="0.3">
      <c r="B32" s="25"/>
      <c r="C32" s="3" t="s">
        <v>0</v>
      </c>
      <c r="D32" s="148" t="s">
        <v>18</v>
      </c>
      <c r="E32" s="148"/>
      <c r="F32" s="40" t="s">
        <v>597</v>
      </c>
      <c r="G32" s="40"/>
      <c r="H32" s="40" t="s">
        <v>598</v>
      </c>
      <c r="I32" s="40"/>
      <c r="J32" s="40" t="s">
        <v>597</v>
      </c>
      <c r="K32" s="40"/>
      <c r="L32" s="40" t="s">
        <v>598</v>
      </c>
      <c r="M32" s="40"/>
      <c r="N32" s="13"/>
      <c r="O32" s="13"/>
      <c r="P32" s="13"/>
      <c r="Q32" s="25"/>
    </row>
    <row r="33" spans="2:17" ht="15.6" x14ac:dyDescent="0.3">
      <c r="B33" s="25"/>
      <c r="C33" s="41">
        <v>1</v>
      </c>
      <c r="D33" s="161" t="s">
        <v>2</v>
      </c>
      <c r="E33" s="161"/>
      <c r="F33" s="51" cm="1">
        <f t="array" aca="1" ref="F33:M39" ca="1">INDIRECT(SUBSTITUTE("@@!AG33:AN39","@@",RkpBulan!$S$7))</f>
        <v>0</v>
      </c>
      <c r="G33" s="52" t="str">
        <f ca="1"/>
        <v/>
      </c>
      <c r="H33" s="53">
        <f ca="1"/>
        <v>0</v>
      </c>
      <c r="I33" s="54" t="str">
        <f ca="1"/>
        <v/>
      </c>
      <c r="J33" s="55">
        <f ca="1"/>
        <v>0</v>
      </c>
      <c r="K33" s="56" t="str">
        <f ca="1"/>
        <v/>
      </c>
      <c r="L33" s="57">
        <f ca="1"/>
        <v>0</v>
      </c>
      <c r="M33" s="58" t="str">
        <f ca="1"/>
        <v/>
      </c>
      <c r="N33" s="13"/>
      <c r="O33" s="13"/>
      <c r="P33" s="13"/>
      <c r="Q33" s="25"/>
    </row>
    <row r="34" spans="2:17" ht="15.6" x14ac:dyDescent="0.3">
      <c r="B34" s="25"/>
      <c r="C34" s="41">
        <v>2</v>
      </c>
      <c r="D34" s="161" t="s">
        <v>3</v>
      </c>
      <c r="E34" s="161"/>
      <c r="F34" s="51">
        <f ca="1"/>
        <v>0</v>
      </c>
      <c r="G34" s="52" t="str">
        <f ca="1"/>
        <v/>
      </c>
      <c r="H34" s="53">
        <f ca="1"/>
        <v>0</v>
      </c>
      <c r="I34" s="59" t="str">
        <f ca="1"/>
        <v/>
      </c>
      <c r="J34" s="55">
        <f ca="1"/>
        <v>0</v>
      </c>
      <c r="K34" s="56" t="str">
        <f ca="1"/>
        <v/>
      </c>
      <c r="L34" s="57">
        <f ca="1"/>
        <v>0</v>
      </c>
      <c r="M34" s="58" t="str">
        <f ca="1"/>
        <v/>
      </c>
      <c r="N34" s="13"/>
      <c r="O34" s="13"/>
      <c r="P34" s="13"/>
      <c r="Q34" s="25"/>
    </row>
    <row r="35" spans="2:17" ht="15.6" x14ac:dyDescent="0.3">
      <c r="B35" s="25"/>
      <c r="C35" s="41">
        <v>3</v>
      </c>
      <c r="D35" s="161" t="s">
        <v>4</v>
      </c>
      <c r="E35" s="161"/>
      <c r="F35" s="51">
        <f ca="1"/>
        <v>0</v>
      </c>
      <c r="G35" s="52" t="str">
        <f ca="1"/>
        <v/>
      </c>
      <c r="H35" s="53">
        <f ca="1"/>
        <v>0</v>
      </c>
      <c r="I35" s="59" t="str">
        <f ca="1"/>
        <v/>
      </c>
      <c r="J35" s="55">
        <f ca="1"/>
        <v>0</v>
      </c>
      <c r="K35" s="56" t="str">
        <f ca="1"/>
        <v/>
      </c>
      <c r="L35" s="57">
        <f ca="1"/>
        <v>0</v>
      </c>
      <c r="M35" s="58" t="str">
        <f ca="1"/>
        <v/>
      </c>
      <c r="N35" s="13"/>
      <c r="O35" s="13"/>
      <c r="P35" s="13"/>
      <c r="Q35" s="25"/>
    </row>
    <row r="36" spans="2:17" ht="15.6" x14ac:dyDescent="0.3">
      <c r="B36" s="25"/>
      <c r="C36" s="41">
        <v>4</v>
      </c>
      <c r="D36" s="161" t="s">
        <v>5</v>
      </c>
      <c r="E36" s="161"/>
      <c r="F36" s="51">
        <f ca="1"/>
        <v>0</v>
      </c>
      <c r="G36" s="52" t="str">
        <f ca="1"/>
        <v/>
      </c>
      <c r="H36" s="53">
        <f ca="1"/>
        <v>0</v>
      </c>
      <c r="I36" s="59" t="str">
        <f ca="1"/>
        <v/>
      </c>
      <c r="J36" s="55">
        <f ca="1"/>
        <v>0</v>
      </c>
      <c r="K36" s="56" t="str">
        <f ca="1"/>
        <v/>
      </c>
      <c r="L36" s="57">
        <f ca="1"/>
        <v>0</v>
      </c>
      <c r="M36" s="58" t="str">
        <f ca="1"/>
        <v/>
      </c>
      <c r="N36" s="13"/>
      <c r="O36" s="13"/>
      <c r="P36" s="13"/>
      <c r="Q36" s="25"/>
    </row>
    <row r="37" spans="2:17" ht="15.6" x14ac:dyDescent="0.3">
      <c r="B37" s="25"/>
      <c r="C37" s="41">
        <v>5</v>
      </c>
      <c r="D37" s="161" t="s">
        <v>6</v>
      </c>
      <c r="E37" s="161"/>
      <c r="F37" s="51">
        <f ca="1"/>
        <v>0</v>
      </c>
      <c r="G37" s="52" t="str">
        <f ca="1"/>
        <v/>
      </c>
      <c r="H37" s="53">
        <f ca="1"/>
        <v>0</v>
      </c>
      <c r="I37" s="59" t="str">
        <f ca="1"/>
        <v/>
      </c>
      <c r="J37" s="55">
        <f ca="1"/>
        <v>0</v>
      </c>
      <c r="K37" s="56" t="str">
        <f ca="1"/>
        <v/>
      </c>
      <c r="L37" s="57">
        <f ca="1"/>
        <v>0</v>
      </c>
      <c r="M37" s="58" t="str">
        <f ca="1"/>
        <v/>
      </c>
      <c r="N37" s="13"/>
      <c r="O37" s="13"/>
      <c r="P37" s="13"/>
      <c r="Q37" s="25"/>
    </row>
    <row r="38" spans="2:17" ht="15.6" x14ac:dyDescent="0.3">
      <c r="B38" s="25"/>
      <c r="C38" s="41">
        <v>6</v>
      </c>
      <c r="D38" s="161" t="s">
        <v>7</v>
      </c>
      <c r="E38" s="161"/>
      <c r="F38" s="51">
        <f ca="1"/>
        <v>0</v>
      </c>
      <c r="G38" s="52" t="str">
        <f ca="1"/>
        <v/>
      </c>
      <c r="H38" s="53">
        <f ca="1"/>
        <v>0</v>
      </c>
      <c r="I38" s="59" t="str">
        <f ca="1"/>
        <v/>
      </c>
      <c r="J38" s="55">
        <f ca="1"/>
        <v>0</v>
      </c>
      <c r="K38" s="56" t="str">
        <f ca="1"/>
        <v/>
      </c>
      <c r="L38" s="57">
        <f ca="1"/>
        <v>0</v>
      </c>
      <c r="M38" s="58" t="str">
        <f ca="1"/>
        <v/>
      </c>
      <c r="N38" s="13"/>
      <c r="O38" s="13"/>
      <c r="P38" s="13"/>
      <c r="Q38" s="25"/>
    </row>
    <row r="39" spans="2:17" ht="15.6" x14ac:dyDescent="0.3">
      <c r="B39" s="25"/>
      <c r="C39" s="41">
        <v>7</v>
      </c>
      <c r="D39" s="161" t="s">
        <v>8</v>
      </c>
      <c r="E39" s="161"/>
      <c r="F39" s="51">
        <f ca="1"/>
        <v>0</v>
      </c>
      <c r="G39" s="52" t="str">
        <f ca="1"/>
        <v/>
      </c>
      <c r="H39" s="53">
        <f ca="1"/>
        <v>0</v>
      </c>
      <c r="I39" s="59" t="str">
        <f ca="1"/>
        <v/>
      </c>
      <c r="J39" s="55">
        <f ca="1"/>
        <v>0</v>
      </c>
      <c r="K39" s="56" t="str">
        <f ca="1"/>
        <v/>
      </c>
      <c r="L39" s="57">
        <f ca="1"/>
        <v>0</v>
      </c>
      <c r="M39" s="58" t="str">
        <f ca="1"/>
        <v/>
      </c>
      <c r="N39" s="13"/>
      <c r="O39" s="13"/>
      <c r="P39" s="13"/>
      <c r="Q39" s="25"/>
    </row>
    <row r="40" spans="2:17" x14ac:dyDescent="0.3"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</row>
    <row r="41" spans="2:17" x14ac:dyDescent="0.3"/>
  </sheetData>
  <sheetProtection algorithmName="SHA-512" hashValue="XRyLdRBcs5N1D1ZgYYly1w3hfPyijkFRDsKqtVRUU4GQqgRWlHkjTSObj2GRT8mBb0ch64GjXw69MJMzOrVI+g==" saltValue="2/spx8EfF8eL6wYLSK7U3g==" spinCount="100000" sheet="1" objects="1" scenarios="1" formatCells="0" formatColumns="0" formatRows="0" insertColumns="0" insertRows="0" insertHyperlinks="0" deleteColumns="0" deleteRows="0" autoFilter="0"/>
  <mergeCells count="21">
    <mergeCell ref="D39:E39"/>
    <mergeCell ref="D32:E32"/>
    <mergeCell ref="D34:E34"/>
    <mergeCell ref="D35:E35"/>
    <mergeCell ref="D36:E36"/>
    <mergeCell ref="D37:E37"/>
    <mergeCell ref="D38:E38"/>
    <mergeCell ref="D33:E33"/>
    <mergeCell ref="D26:E26"/>
    <mergeCell ref="D23:E23"/>
    <mergeCell ref="D27:E27"/>
    <mergeCell ref="D28:E28"/>
    <mergeCell ref="D29:E29"/>
    <mergeCell ref="D25:E25"/>
    <mergeCell ref="K14:P18"/>
    <mergeCell ref="C6:P7"/>
    <mergeCell ref="C18:D18"/>
    <mergeCell ref="D24:E24"/>
    <mergeCell ref="C14:C15"/>
    <mergeCell ref="D14:D15"/>
    <mergeCell ref="E14:E15"/>
  </mergeCells>
  <pageMargins left="0.7" right="0.7" top="0.75" bottom="0.75" header="0.3" footer="0.3"/>
  <pageSetup scale="61"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Filter terpilih" prompt="Silakan pilih filter" xr:uid="{00000000-0002-0000-0900-000001000000}">
          <x14:formula1>
            <xm:f>info!$AZ$2:$AZ$13</xm:f>
          </x14:formula1>
          <xm:sqref>S7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sRekapSemester"/>
  <dimension ref="A1:X41"/>
  <sheetViews>
    <sheetView showGridLines="0" showRowColHeaders="0"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C6" sqref="C6:P7"/>
    </sheetView>
  </sheetViews>
  <sheetFormatPr defaultColWidth="0" defaultRowHeight="15" customHeight="1" zeroHeight="1" x14ac:dyDescent="0.3"/>
  <cols>
    <col min="1" max="3" width="8.88671875" style="1" customWidth="1"/>
    <col min="4" max="4" width="14.109375" style="1" bestFit="1" customWidth="1"/>
    <col min="5" max="18" width="8.88671875" style="1" customWidth="1"/>
    <col min="19" max="19" width="22.33203125" style="1" customWidth="1"/>
    <col min="20" max="20" width="8.88671875" style="1" customWidth="1"/>
    <col min="21" max="24" width="0" style="1" hidden="1" customWidth="1"/>
    <col min="25" max="16384" width="8.88671875" style="1" hidden="1"/>
  </cols>
  <sheetData>
    <row r="1" spans="1:24" ht="14.4" x14ac:dyDescent="0.3">
      <c r="A1" s="122">
        <f>profilKelas!F14</f>
        <v>1</v>
      </c>
    </row>
    <row r="2" spans="1:24" ht="14.4" x14ac:dyDescent="0.3">
      <c r="S2"/>
    </row>
    <row r="3" spans="1:24" ht="14.4" x14ac:dyDescent="0.3">
      <c r="S3"/>
      <c r="X3" s="61"/>
    </row>
    <row r="4" spans="1:24" ht="14.4" x14ac:dyDescent="0.3">
      <c r="S4"/>
    </row>
    <row r="5" spans="1:24" ht="14.4" x14ac:dyDescent="0.3">
      <c r="F5" s="61"/>
      <c r="S5"/>
    </row>
    <row r="6" spans="1:24" ht="16.2" customHeight="1" x14ac:dyDescent="0.35">
      <c r="B6" s="25"/>
      <c r="C6" s="159" t="str">
        <f>"REKAPITULASI CATATAN HARIAN KELAS (RCHK) "&amp;CHAR(10)&amp;"SEMESTER "&amp;S7&amp;" TAHUN "&amp;profilKelas!F12</f>
        <v xml:space="preserve">REKAPITULASI CATATAN HARIAN KELAS (RCHK) 
SEMESTER 1 TAHUN </v>
      </c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159"/>
      <c r="P6" s="159"/>
      <c r="Q6" s="25"/>
      <c r="S6" s="31" t="s">
        <v>991</v>
      </c>
    </row>
    <row r="7" spans="1:24" ht="15.6" x14ac:dyDescent="0.3">
      <c r="B7" s="25"/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  <c r="P7" s="159"/>
      <c r="Q7" s="25"/>
      <c r="S7" s="32">
        <v>1</v>
      </c>
    </row>
    <row r="8" spans="1:24" ht="15.6" x14ac:dyDescent="0.3">
      <c r="B8" s="25"/>
      <c r="C8" s="13"/>
      <c r="D8" s="13"/>
      <c r="E8" s="13"/>
      <c r="F8" s="13"/>
      <c r="G8" s="13"/>
      <c r="H8" s="13"/>
      <c r="I8" s="13"/>
      <c r="J8" s="13"/>
      <c r="K8" s="33"/>
      <c r="L8" s="13"/>
      <c r="M8" s="13"/>
      <c r="N8" s="13"/>
      <c r="O8" s="13"/>
      <c r="P8" s="13"/>
      <c r="Q8" s="25"/>
    </row>
    <row r="9" spans="1:24" ht="15.6" x14ac:dyDescent="0.3">
      <c r="B9" s="25"/>
      <c r="C9" s="13" t="s">
        <v>862</v>
      </c>
      <c r="D9" s="13"/>
      <c r="E9" s="13" t="str">
        <f>UPPER(": "&amp;profilKelas!F5&amp;" ("&amp;profilKelas!F6&amp;")")</f>
        <v>:  ()</v>
      </c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25"/>
      <c r="S9"/>
    </row>
    <row r="10" spans="1:24" ht="15.6" x14ac:dyDescent="0.3">
      <c r="B10" s="25"/>
      <c r="C10" s="13" t="s">
        <v>863</v>
      </c>
      <c r="D10" s="13"/>
      <c r="E10" s="13" t="str">
        <f>UPPER(": "&amp;profilKelas!F9&amp;", Provinsi "&amp;profilKelas!F8)</f>
        <v xml:space="preserve">: , PROVINSI </v>
      </c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25"/>
      <c r="S10"/>
    </row>
    <row r="11" spans="1:24" ht="15.6" x14ac:dyDescent="0.3">
      <c r="B11" s="25"/>
      <c r="C11" s="13" t="str">
        <f>profilKelas!B10</f>
        <v>Nama Kepala Sekolah</v>
      </c>
      <c r="D11" s="13"/>
      <c r="E11" s="13" t="str">
        <f>UPPER(": "&amp;profilKelas!F10&amp;" (NIP."&amp;profilKelas!F11&amp;")")</f>
        <v>:  (NIP.)</v>
      </c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25"/>
      <c r="S11"/>
    </row>
    <row r="12" spans="1:24" ht="15.6" x14ac:dyDescent="0.3">
      <c r="B12" s="25"/>
      <c r="C12" s="34" t="str">
        <f ca="1">SUBSTITUTE(profilKelas!B15,"Nama ","")&amp;" "&amp;IF(ISBLANK(profilKelas!H13),"",profilKelas!H13)</f>
        <v>Guru Wali Kelas Pilih Kelas dan Rombel</v>
      </c>
      <c r="D12" s="34"/>
      <c r="E12" s="34" t="str">
        <f>UPPER(": "&amp;profilKelas!F15&amp;" (NIP."&amp;profilKelas!F16&amp;")")</f>
        <v>:  (NIP.)</v>
      </c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25"/>
      <c r="S12"/>
    </row>
    <row r="13" spans="1:24" ht="15.6" x14ac:dyDescent="0.3">
      <c r="B13" s="25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25"/>
      <c r="S13"/>
    </row>
    <row r="14" spans="1:24" ht="15.6" x14ac:dyDescent="0.3">
      <c r="B14" s="25"/>
      <c r="C14" s="162" t="s">
        <v>0</v>
      </c>
      <c r="D14" s="162" t="s">
        <v>831</v>
      </c>
      <c r="E14" s="164" t="s">
        <v>833</v>
      </c>
      <c r="F14" s="37" t="s">
        <v>596</v>
      </c>
      <c r="G14" s="38"/>
      <c r="H14" s="38"/>
      <c r="I14" s="39"/>
      <c r="J14" s="13"/>
      <c r="K14" s="158" t="str" cm="1">
        <f t="array" ref="K14">IF(
AND(F16:G17=0),"Dari total "&amp;E18&amp;" murid, "&amp;"tidak ada murid perempuan dan murid laki-laki yang sudah terbiasa dalam menerapkan Gerakan 7 Kebiasaan Anak Indonesia Hebat (G7KAIH) pada Semester "&amp;RkpSemester!S7&amp;" Tahun Ajaran "&amp;IF(ISBLANK(S13),profilKelas!F12,S13),IF(
AND(F16=0,F17&gt;0),"Dari total "&amp;E18&amp;" murid, "&amp;"sebanyak "&amp;H16&amp;" murid perempuan yang belum terbiasa dan terdapat "&amp;F17&amp;" dari "&amp;H17&amp;" murid laki-laki yang sudah terbiasa dalam menerapkan Gerakan 7 Kebiasaan Anak Indonesia Hebat (G7KAIH) pada Semester "&amp;RkpSemester!S7&amp;" Tahun Ajaran "&amp;IF(ISBLANK(S13),profilKelas!F12,S13),IF(
AND(F16&gt;0,F17=0),"Dari total "&amp;E18&amp;" murid, "&amp;"sebanyak "&amp;F16&amp;" dari "&amp;H16&amp;" murid perempuan yang sudah terbiasa dalam menerapkan Gerakan 7 Kebiasaan Anak Indonesia Hebat (G7KAIH) sedangkan "&amp;H17&amp;" murid laki-laki yang belum terbiasa pada Semester "&amp;RkpSemester!S7&amp;" Tahun Ajaran "&amp;IF(ISBLANK(S13),profilKelas!F12,S13),IF(
AND(F16&gt;0,F17&gt;0),"Dari total "&amp;E18&amp;" murid, "&amp;"sebanyak "&amp;F16&amp;" dari "&amp;H16&amp;" murid perempuan dan "&amp;F17&amp;" dari "&amp;H17&amp;" murid laki-laki yang sudah terbiasa dalam menerapkan Gerakan 7 Kebiasaan Anak Indonesia Hebat (G7KAIH) pada Semester "&amp;RkpSemester!S7&amp;" Tahun Ajaran "&amp;IF(ISBLANK(S13),profilKelas!F12,S13),""))))</f>
        <v xml:space="preserve">Dari total 0 murid, tidak ada murid perempuan dan murid laki-laki yang sudah terbiasa dalam menerapkan Gerakan 7 Kebiasaan Anak Indonesia Hebat (G7KAIH) pada Semester 1 Tahun Ajaran </v>
      </c>
      <c r="L14" s="158"/>
      <c r="M14" s="158"/>
      <c r="N14" s="158"/>
      <c r="O14" s="158"/>
      <c r="P14" s="158"/>
      <c r="Q14" s="25"/>
    </row>
    <row r="15" spans="1:24" ht="31.2" x14ac:dyDescent="0.3">
      <c r="B15" s="25"/>
      <c r="C15" s="163"/>
      <c r="D15" s="163"/>
      <c r="E15" s="165"/>
      <c r="F15" s="40" t="s">
        <v>986</v>
      </c>
      <c r="G15" s="40"/>
      <c r="H15" s="40" t="s">
        <v>598</v>
      </c>
      <c r="I15" s="40"/>
      <c r="J15" s="13"/>
      <c r="K15" s="158"/>
      <c r="L15" s="158"/>
      <c r="M15" s="158"/>
      <c r="N15" s="158"/>
      <c r="O15" s="158"/>
      <c r="P15" s="158"/>
      <c r="Q15" s="25"/>
    </row>
    <row r="16" spans="1:24" ht="15.6" x14ac:dyDescent="0.3">
      <c r="B16" s="25"/>
      <c r="C16" s="41">
        <v>1</v>
      </c>
      <c r="D16" s="41" t="s">
        <v>607</v>
      </c>
      <c r="E16" s="10" cm="1">
        <f t="array" ref="E16:E17">IF(S7=1,'12Month'!DW12:DW13,'12Month'!EI12:EI13)</f>
        <v>0</v>
      </c>
      <c r="F16" s="42" cm="1">
        <f t="array" ref="F16:F17">IF(S7=1,'12Month'!DX12:DX13,
'12Month'!EJ12:EJ13)</f>
        <v>0</v>
      </c>
      <c r="G16" s="42"/>
      <c r="H16" s="42" cm="1">
        <f t="array" ref="H16:H17">IF(S7=1,'12Month'!DZ12:DZ13,
'12Month'!EL12:EL13)</f>
        <v>0</v>
      </c>
      <c r="I16" s="42"/>
      <c r="J16" s="13"/>
      <c r="K16" s="158"/>
      <c r="L16" s="158"/>
      <c r="M16" s="158"/>
      <c r="N16" s="158"/>
      <c r="O16" s="158"/>
      <c r="P16" s="158"/>
      <c r="Q16" s="25"/>
    </row>
    <row r="17" spans="2:17" ht="15.6" x14ac:dyDescent="0.3">
      <c r="B17" s="25"/>
      <c r="C17" s="41">
        <v>2</v>
      </c>
      <c r="D17" s="41" t="s">
        <v>608</v>
      </c>
      <c r="E17" s="10">
        <v>0</v>
      </c>
      <c r="F17" s="42">
        <v>0</v>
      </c>
      <c r="G17" s="42"/>
      <c r="H17" s="42">
        <v>0</v>
      </c>
      <c r="I17" s="42"/>
      <c r="J17" s="13"/>
      <c r="K17" s="158"/>
      <c r="L17" s="158"/>
      <c r="M17" s="158"/>
      <c r="N17" s="158"/>
      <c r="O17" s="158"/>
      <c r="P17" s="158"/>
      <c r="Q17" s="25"/>
    </row>
    <row r="18" spans="2:17" ht="15.6" x14ac:dyDescent="0.3">
      <c r="B18" s="25"/>
      <c r="C18" s="160" t="s">
        <v>832</v>
      </c>
      <c r="D18" s="160"/>
      <c r="E18" s="3">
        <f>SUM(E16:E17)</f>
        <v>0</v>
      </c>
      <c r="F18" s="42">
        <f>SUM(F16:F17)</f>
        <v>0</v>
      </c>
      <c r="G18" s="42"/>
      <c r="H18" s="42">
        <f>SUM(H16:H17)</f>
        <v>0</v>
      </c>
      <c r="I18" s="42"/>
      <c r="J18" s="13"/>
      <c r="K18" s="158"/>
      <c r="L18" s="158"/>
      <c r="M18" s="158"/>
      <c r="N18" s="158"/>
      <c r="O18" s="158"/>
      <c r="P18" s="158"/>
      <c r="Q18" s="25"/>
    </row>
    <row r="19" spans="2:17" ht="15.6" x14ac:dyDescent="0.3">
      <c r="B19" s="25"/>
      <c r="C19" s="13"/>
      <c r="D19" s="13"/>
      <c r="E19" s="13"/>
      <c r="F19" s="13"/>
      <c r="G19" s="13"/>
      <c r="H19" s="13"/>
      <c r="I19" s="13"/>
      <c r="J19" s="13"/>
      <c r="K19" s="43"/>
      <c r="L19" s="43"/>
      <c r="M19" s="43"/>
      <c r="N19" s="43"/>
      <c r="O19" s="43"/>
      <c r="P19" s="43"/>
      <c r="Q19" s="25"/>
    </row>
    <row r="20" spans="2:17" ht="15.6" x14ac:dyDescent="0.3">
      <c r="B20" s="25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25"/>
    </row>
    <row r="21" spans="2:17" ht="15.6" x14ac:dyDescent="0.3">
      <c r="B21" s="25"/>
      <c r="C21" s="13"/>
      <c r="D21" s="13"/>
      <c r="E21" s="13"/>
      <c r="F21" s="44" t="s">
        <v>596</v>
      </c>
      <c r="G21" s="45"/>
      <c r="H21" s="45"/>
      <c r="I21" s="46"/>
      <c r="J21" s="13"/>
      <c r="K21" s="13"/>
      <c r="L21" s="13"/>
      <c r="M21" s="13"/>
      <c r="N21" s="13"/>
      <c r="O21" s="13"/>
      <c r="P21" s="13"/>
      <c r="Q21" s="25"/>
    </row>
    <row r="22" spans="2:17" ht="15.6" x14ac:dyDescent="0.3">
      <c r="B22" s="25"/>
      <c r="C22" s="3" t="s">
        <v>0</v>
      </c>
      <c r="D22" s="40" t="s">
        <v>18</v>
      </c>
      <c r="E22" s="40"/>
      <c r="F22" s="47" t="s">
        <v>597</v>
      </c>
      <c r="G22" s="47"/>
      <c r="H22" s="48" t="s">
        <v>598</v>
      </c>
      <c r="I22" s="49"/>
      <c r="J22" s="13"/>
      <c r="K22" s="13"/>
      <c r="L22" s="13"/>
      <c r="M22" s="13"/>
      <c r="N22" s="13"/>
      <c r="O22" s="13"/>
      <c r="P22" s="13"/>
      <c r="Q22" s="25"/>
    </row>
    <row r="23" spans="2:17" ht="15.6" x14ac:dyDescent="0.3">
      <c r="B23" s="25"/>
      <c r="C23" s="41">
        <v>1</v>
      </c>
      <c r="D23" s="166" t="s">
        <v>2</v>
      </c>
      <c r="E23" s="167"/>
      <c r="F23" s="10" cm="1">
        <f t="array" ref="F23:I29">IF(S7=1,'12Month'!DX19:EA25,
'12Month'!EJ19:EM25)</f>
        <v>0</v>
      </c>
      <c r="G23" s="50">
        <v>0</v>
      </c>
      <c r="H23" s="10">
        <v>0</v>
      </c>
      <c r="I23" s="50">
        <v>0</v>
      </c>
      <c r="J23" s="13"/>
      <c r="K23" s="13"/>
      <c r="L23" s="13"/>
      <c r="M23" s="13"/>
      <c r="N23" s="13"/>
      <c r="O23" s="13"/>
      <c r="P23" s="13"/>
      <c r="Q23" s="25"/>
    </row>
    <row r="24" spans="2:17" ht="15.6" x14ac:dyDescent="0.3">
      <c r="B24" s="25"/>
      <c r="C24" s="41">
        <v>2</v>
      </c>
      <c r="D24" s="161" t="s">
        <v>3</v>
      </c>
      <c r="E24" s="161"/>
      <c r="F24" s="10">
        <v>0</v>
      </c>
      <c r="G24" s="50">
        <v>0</v>
      </c>
      <c r="H24" s="10">
        <v>0</v>
      </c>
      <c r="I24" s="50">
        <v>0</v>
      </c>
      <c r="J24" s="13"/>
      <c r="K24" s="13"/>
      <c r="L24" s="13"/>
      <c r="M24" s="13"/>
      <c r="N24" s="13"/>
      <c r="O24" s="13"/>
      <c r="P24" s="13"/>
      <c r="Q24" s="25"/>
    </row>
    <row r="25" spans="2:17" ht="15.6" x14ac:dyDescent="0.3">
      <c r="B25" s="25"/>
      <c r="C25" s="41">
        <v>3</v>
      </c>
      <c r="D25" s="161" t="s">
        <v>4</v>
      </c>
      <c r="E25" s="161"/>
      <c r="F25" s="10">
        <v>0</v>
      </c>
      <c r="G25" s="50">
        <v>0</v>
      </c>
      <c r="H25" s="10">
        <v>0</v>
      </c>
      <c r="I25" s="50">
        <v>0</v>
      </c>
      <c r="J25" s="13"/>
      <c r="K25" s="13"/>
      <c r="L25" s="13"/>
      <c r="M25" s="13"/>
      <c r="N25" s="13"/>
      <c r="O25" s="13"/>
      <c r="P25" s="13"/>
      <c r="Q25" s="25"/>
    </row>
    <row r="26" spans="2:17" ht="15.6" x14ac:dyDescent="0.3">
      <c r="B26" s="25"/>
      <c r="C26" s="41">
        <v>4</v>
      </c>
      <c r="D26" s="161" t="s">
        <v>5</v>
      </c>
      <c r="E26" s="161"/>
      <c r="F26" s="10">
        <v>0</v>
      </c>
      <c r="G26" s="50">
        <v>0</v>
      </c>
      <c r="H26" s="10">
        <v>0</v>
      </c>
      <c r="I26" s="50">
        <v>0</v>
      </c>
      <c r="J26" s="13"/>
      <c r="K26" s="13"/>
      <c r="L26" s="13"/>
      <c r="M26" s="13"/>
      <c r="N26" s="13"/>
      <c r="O26" s="13"/>
      <c r="P26" s="13"/>
      <c r="Q26" s="25"/>
    </row>
    <row r="27" spans="2:17" ht="15.6" x14ac:dyDescent="0.3">
      <c r="B27" s="25"/>
      <c r="C27" s="41">
        <v>5</v>
      </c>
      <c r="D27" s="161" t="s">
        <v>6</v>
      </c>
      <c r="E27" s="161"/>
      <c r="F27" s="10">
        <v>0</v>
      </c>
      <c r="G27" s="50">
        <v>0</v>
      </c>
      <c r="H27" s="10">
        <v>0</v>
      </c>
      <c r="I27" s="50">
        <v>0</v>
      </c>
      <c r="J27" s="13"/>
      <c r="K27" s="13"/>
      <c r="L27" s="13"/>
      <c r="M27" s="13"/>
      <c r="N27" s="13"/>
      <c r="O27" s="13"/>
      <c r="P27" s="13"/>
      <c r="Q27" s="25"/>
    </row>
    <row r="28" spans="2:17" ht="15.6" x14ac:dyDescent="0.3">
      <c r="B28" s="25"/>
      <c r="C28" s="41">
        <v>6</v>
      </c>
      <c r="D28" s="161" t="s">
        <v>7</v>
      </c>
      <c r="E28" s="161"/>
      <c r="F28" s="10">
        <v>0</v>
      </c>
      <c r="G28" s="50">
        <v>0</v>
      </c>
      <c r="H28" s="10">
        <v>0</v>
      </c>
      <c r="I28" s="50">
        <v>0</v>
      </c>
      <c r="J28" s="13"/>
      <c r="K28" s="43"/>
      <c r="L28" s="43"/>
      <c r="M28" s="43"/>
      <c r="N28" s="43"/>
      <c r="O28" s="43"/>
      <c r="P28" s="43"/>
      <c r="Q28" s="25"/>
    </row>
    <row r="29" spans="2:17" ht="15.6" x14ac:dyDescent="0.3">
      <c r="B29" s="25"/>
      <c r="C29" s="41">
        <v>7</v>
      </c>
      <c r="D29" s="161" t="s">
        <v>8</v>
      </c>
      <c r="E29" s="161"/>
      <c r="F29" s="10">
        <v>0</v>
      </c>
      <c r="G29" s="50">
        <v>0</v>
      </c>
      <c r="H29" s="10">
        <v>0</v>
      </c>
      <c r="I29" s="50">
        <v>0</v>
      </c>
      <c r="J29" s="13"/>
      <c r="K29" s="43"/>
      <c r="L29" s="43"/>
      <c r="M29" s="43"/>
      <c r="N29" s="43"/>
      <c r="O29" s="43"/>
      <c r="P29" s="43"/>
      <c r="Q29" s="25"/>
    </row>
    <row r="30" spans="2:17" ht="15.6" x14ac:dyDescent="0.3">
      <c r="B30" s="25"/>
      <c r="C30" s="13"/>
      <c r="D30" s="13"/>
      <c r="E30" s="13"/>
      <c r="F30" s="13"/>
      <c r="G30" s="13"/>
      <c r="H30" s="13"/>
      <c r="I30" s="13"/>
      <c r="J30" s="13"/>
      <c r="K30" s="43"/>
      <c r="L30" s="43"/>
      <c r="M30" s="43"/>
      <c r="N30" s="43"/>
      <c r="O30" s="43"/>
      <c r="P30" s="43"/>
      <c r="Q30" s="25"/>
    </row>
    <row r="31" spans="2:17" ht="15.6" x14ac:dyDescent="0.3">
      <c r="B31" s="25"/>
      <c r="C31" s="13"/>
      <c r="D31" s="13"/>
      <c r="E31" s="13"/>
      <c r="F31" s="40" t="s">
        <v>607</v>
      </c>
      <c r="G31" s="40"/>
      <c r="H31" s="40"/>
      <c r="I31" s="40"/>
      <c r="J31" s="40" t="s">
        <v>608</v>
      </c>
      <c r="K31" s="40"/>
      <c r="L31" s="40"/>
      <c r="M31" s="40"/>
      <c r="N31" s="13"/>
      <c r="O31" s="13"/>
      <c r="P31" s="13"/>
      <c r="Q31" s="25"/>
    </row>
    <row r="32" spans="2:17" ht="15.6" customHeight="1" x14ac:dyDescent="0.3">
      <c r="B32" s="25"/>
      <c r="C32" s="3" t="s">
        <v>0</v>
      </c>
      <c r="D32" s="148" t="s">
        <v>18</v>
      </c>
      <c r="E32" s="148"/>
      <c r="F32" s="40" t="s">
        <v>597</v>
      </c>
      <c r="G32" s="40"/>
      <c r="H32" s="40" t="s">
        <v>598</v>
      </c>
      <c r="I32" s="40"/>
      <c r="J32" s="40" t="s">
        <v>597</v>
      </c>
      <c r="K32" s="40"/>
      <c r="L32" s="40" t="s">
        <v>598</v>
      </c>
      <c r="M32" s="40"/>
      <c r="N32" s="13"/>
      <c r="O32" s="13"/>
      <c r="P32" s="13"/>
      <c r="Q32" s="25"/>
    </row>
    <row r="33" spans="2:17" ht="15.6" x14ac:dyDescent="0.3">
      <c r="B33" s="25"/>
      <c r="C33" s="41">
        <v>1</v>
      </c>
      <c r="D33" s="161" t="s">
        <v>2</v>
      </c>
      <c r="E33" s="161"/>
      <c r="F33" s="51" cm="1">
        <f t="array" ref="F33:M39">IF(S7=1,'12Month'!DX29:EE35,
'12Month'!EJ29:EQ35)</f>
        <v>0</v>
      </c>
      <c r="G33" s="52">
        <v>0</v>
      </c>
      <c r="H33" s="53">
        <v>0</v>
      </c>
      <c r="I33" s="54">
        <v>0</v>
      </c>
      <c r="J33" s="55">
        <v>0</v>
      </c>
      <c r="K33" s="56">
        <v>0</v>
      </c>
      <c r="L33" s="57">
        <v>0</v>
      </c>
      <c r="M33" s="58">
        <v>0</v>
      </c>
      <c r="N33" s="13"/>
      <c r="O33" s="13"/>
      <c r="P33" s="13"/>
      <c r="Q33" s="25"/>
    </row>
    <row r="34" spans="2:17" ht="15.6" x14ac:dyDescent="0.3">
      <c r="B34" s="25"/>
      <c r="C34" s="41">
        <v>2</v>
      </c>
      <c r="D34" s="161" t="s">
        <v>3</v>
      </c>
      <c r="E34" s="161"/>
      <c r="F34" s="51">
        <v>0</v>
      </c>
      <c r="G34" s="52">
        <v>0</v>
      </c>
      <c r="H34" s="53">
        <v>0</v>
      </c>
      <c r="I34" s="59">
        <v>0</v>
      </c>
      <c r="J34" s="55">
        <v>0</v>
      </c>
      <c r="K34" s="56">
        <v>0</v>
      </c>
      <c r="L34" s="57">
        <v>0</v>
      </c>
      <c r="M34" s="58">
        <v>0</v>
      </c>
      <c r="N34" s="13"/>
      <c r="O34" s="13"/>
      <c r="P34" s="13"/>
      <c r="Q34" s="25"/>
    </row>
    <row r="35" spans="2:17" ht="15.6" x14ac:dyDescent="0.3">
      <c r="B35" s="25"/>
      <c r="C35" s="41">
        <v>3</v>
      </c>
      <c r="D35" s="161" t="s">
        <v>4</v>
      </c>
      <c r="E35" s="161"/>
      <c r="F35" s="51">
        <v>0</v>
      </c>
      <c r="G35" s="52">
        <v>0</v>
      </c>
      <c r="H35" s="53">
        <v>0</v>
      </c>
      <c r="I35" s="59">
        <v>0</v>
      </c>
      <c r="J35" s="55">
        <v>0</v>
      </c>
      <c r="K35" s="56">
        <v>0</v>
      </c>
      <c r="L35" s="57">
        <v>0</v>
      </c>
      <c r="M35" s="58">
        <v>0</v>
      </c>
      <c r="N35" s="13"/>
      <c r="O35" s="13"/>
      <c r="P35" s="13"/>
      <c r="Q35" s="25"/>
    </row>
    <row r="36" spans="2:17" ht="15.6" x14ac:dyDescent="0.3">
      <c r="B36" s="25"/>
      <c r="C36" s="41">
        <v>4</v>
      </c>
      <c r="D36" s="161" t="s">
        <v>5</v>
      </c>
      <c r="E36" s="161"/>
      <c r="F36" s="51">
        <v>0</v>
      </c>
      <c r="G36" s="52">
        <v>0</v>
      </c>
      <c r="H36" s="53">
        <v>0</v>
      </c>
      <c r="I36" s="59">
        <v>0</v>
      </c>
      <c r="J36" s="55">
        <v>0</v>
      </c>
      <c r="K36" s="56">
        <v>0</v>
      </c>
      <c r="L36" s="57">
        <v>0</v>
      </c>
      <c r="M36" s="58">
        <v>0</v>
      </c>
      <c r="N36" s="13"/>
      <c r="O36" s="13"/>
      <c r="P36" s="13"/>
      <c r="Q36" s="25"/>
    </row>
    <row r="37" spans="2:17" ht="15.6" x14ac:dyDescent="0.3">
      <c r="B37" s="25"/>
      <c r="C37" s="41">
        <v>5</v>
      </c>
      <c r="D37" s="161" t="s">
        <v>6</v>
      </c>
      <c r="E37" s="161"/>
      <c r="F37" s="51">
        <v>0</v>
      </c>
      <c r="G37" s="52">
        <v>0</v>
      </c>
      <c r="H37" s="53">
        <v>0</v>
      </c>
      <c r="I37" s="59">
        <v>0</v>
      </c>
      <c r="J37" s="55">
        <v>0</v>
      </c>
      <c r="K37" s="56">
        <v>0</v>
      </c>
      <c r="L37" s="57">
        <v>0</v>
      </c>
      <c r="M37" s="58">
        <v>0</v>
      </c>
      <c r="N37" s="13"/>
      <c r="O37" s="13"/>
      <c r="P37" s="13"/>
      <c r="Q37" s="25"/>
    </row>
    <row r="38" spans="2:17" ht="15.6" x14ac:dyDescent="0.3">
      <c r="B38" s="25"/>
      <c r="C38" s="41">
        <v>6</v>
      </c>
      <c r="D38" s="161" t="s">
        <v>7</v>
      </c>
      <c r="E38" s="161"/>
      <c r="F38" s="51">
        <v>0</v>
      </c>
      <c r="G38" s="52">
        <v>0</v>
      </c>
      <c r="H38" s="53">
        <v>0</v>
      </c>
      <c r="I38" s="59">
        <v>0</v>
      </c>
      <c r="J38" s="55">
        <v>0</v>
      </c>
      <c r="K38" s="56">
        <v>0</v>
      </c>
      <c r="L38" s="57">
        <v>0</v>
      </c>
      <c r="M38" s="58">
        <v>0</v>
      </c>
      <c r="N38" s="13"/>
      <c r="O38" s="13"/>
      <c r="P38" s="13"/>
      <c r="Q38" s="25"/>
    </row>
    <row r="39" spans="2:17" ht="15.6" x14ac:dyDescent="0.3">
      <c r="B39" s="25"/>
      <c r="C39" s="41">
        <v>7</v>
      </c>
      <c r="D39" s="161" t="s">
        <v>8</v>
      </c>
      <c r="E39" s="161"/>
      <c r="F39" s="51">
        <v>0</v>
      </c>
      <c r="G39" s="52">
        <v>0</v>
      </c>
      <c r="H39" s="53">
        <v>0</v>
      </c>
      <c r="I39" s="59">
        <v>0</v>
      </c>
      <c r="J39" s="55">
        <v>0</v>
      </c>
      <c r="K39" s="56">
        <v>0</v>
      </c>
      <c r="L39" s="57">
        <v>0</v>
      </c>
      <c r="M39" s="58">
        <v>0</v>
      </c>
      <c r="N39" s="13"/>
      <c r="O39" s="13"/>
      <c r="P39" s="13"/>
      <c r="Q39" s="25"/>
    </row>
    <row r="40" spans="2:17" ht="14.4" x14ac:dyDescent="0.3"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</row>
    <row r="41" spans="2:17" ht="14.4" x14ac:dyDescent="0.3"/>
  </sheetData>
  <sheetProtection algorithmName="SHA-512" hashValue="xy2yXooZ1Y6/lR1ZDELmKl63tN7vnY+p3GOYeFhRiZtKUQcstpaTtASPzM/ZZBv9+EIWSK2MBzoGdM9bUK+qvQ==" saltValue="1+3E7T2FT7LYUlIn8E2xgA==" spinCount="100000" sheet="1" objects="1" scenarios="1" formatCells="0" formatColumns="0" formatRows="0" insertColumns="0" insertRows="0" insertHyperlinks="0" deleteColumns="0" deleteRows="0" autoFilter="0"/>
  <mergeCells count="21">
    <mergeCell ref="D37:E37"/>
    <mergeCell ref="D38:E38"/>
    <mergeCell ref="D39:E39"/>
    <mergeCell ref="D29:E29"/>
    <mergeCell ref="D32:E32"/>
    <mergeCell ref="D33:E33"/>
    <mergeCell ref="D34:E34"/>
    <mergeCell ref="D35:E35"/>
    <mergeCell ref="D36:E36"/>
    <mergeCell ref="D28:E28"/>
    <mergeCell ref="C6:P7"/>
    <mergeCell ref="C14:C15"/>
    <mergeCell ref="D14:D15"/>
    <mergeCell ref="E14:E15"/>
    <mergeCell ref="K14:P18"/>
    <mergeCell ref="C18:D18"/>
    <mergeCell ref="D23:E23"/>
    <mergeCell ref="D24:E24"/>
    <mergeCell ref="D25:E25"/>
    <mergeCell ref="D26:E26"/>
    <mergeCell ref="D27:E27"/>
  </mergeCells>
  <dataValidations count="1">
    <dataValidation type="list" allowBlank="1" showInputMessage="1" showErrorMessage="1" errorTitle="Filter" error="Pilih pilihan filter dengan tepat" promptTitle="Filter Rekapitulasi" prompt="Pilih filter rekapitulasi_x000a_Bulan, Semester, Tahun" sqref="S4" xr:uid="{00000000-0002-0000-0A00-000000000000}">
      <formula1>$U$4:$U$6</formula1>
    </dataValidation>
  </dataValidations>
  <pageMargins left="0.7" right="0.7" top="0.75" bottom="0.75" header="0.3" footer="0.3"/>
  <pageSetup scale="61"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Filter terpilih" prompt="Silakan pilih filter" xr:uid="{00000000-0002-0000-0A00-000001000000}">
          <x14:formula1>
            <xm:f>info!$AZ$14:$AZ$15</xm:f>
          </x14:formula1>
          <xm:sqref>S7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sRekapTahun"/>
  <dimension ref="A1:X41"/>
  <sheetViews>
    <sheetView showGridLines="0" showRowColHeaders="0"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C6" sqref="C6:P7"/>
    </sheetView>
  </sheetViews>
  <sheetFormatPr defaultColWidth="0" defaultRowHeight="15" customHeight="1" zeroHeight="1" x14ac:dyDescent="0.3"/>
  <cols>
    <col min="1" max="3" width="8.88671875" style="1" customWidth="1"/>
    <col min="4" max="4" width="14.109375" style="1" bestFit="1" customWidth="1"/>
    <col min="5" max="18" width="8.88671875" style="1" customWidth="1"/>
    <col min="19" max="19" width="22.33203125" style="1" customWidth="1"/>
    <col min="20" max="20" width="8.88671875" style="1" hidden="1" customWidth="1"/>
    <col min="21" max="24" width="0" style="1" hidden="1" customWidth="1"/>
    <col min="25" max="16384" width="8.88671875" style="1" hidden="1"/>
  </cols>
  <sheetData>
    <row r="1" spans="1:24" ht="14.4" x14ac:dyDescent="0.3">
      <c r="A1" s="122">
        <f>profilKelas!F14</f>
        <v>1</v>
      </c>
    </row>
    <row r="2" spans="1:24" ht="14.4" x14ac:dyDescent="0.3">
      <c r="S2"/>
    </row>
    <row r="3" spans="1:24" ht="14.4" x14ac:dyDescent="0.3">
      <c r="S3"/>
      <c r="X3" s="61"/>
    </row>
    <row r="4" spans="1:24" ht="14.4" x14ac:dyDescent="0.3">
      <c r="S4"/>
    </row>
    <row r="5" spans="1:24" ht="14.4" x14ac:dyDescent="0.3">
      <c r="F5" s="61"/>
      <c r="S5"/>
    </row>
    <row r="6" spans="1:24" ht="16.2" customHeight="1" x14ac:dyDescent="0.3">
      <c r="B6" s="25"/>
      <c r="C6" s="159" t="str">
        <f>"REKAPITULASI CATATAN HARIAN KELAS (RCHK) "&amp;CHAR(10)&amp;"TAHUN "&amp;profilKelas!F12</f>
        <v xml:space="preserve">REKAPITULASI CATATAN HARIAN KELAS (RCHK) 
TAHUN </v>
      </c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159"/>
      <c r="P6" s="159"/>
      <c r="Q6" s="25"/>
      <c r="S6"/>
    </row>
    <row r="7" spans="1:24" ht="14.4" x14ac:dyDescent="0.3">
      <c r="B7" s="25"/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  <c r="P7" s="159"/>
      <c r="Q7" s="25"/>
      <c r="S7"/>
    </row>
    <row r="8" spans="1:24" ht="15.6" x14ac:dyDescent="0.3">
      <c r="B8" s="25"/>
      <c r="C8" s="13"/>
      <c r="D8" s="13"/>
      <c r="E8" s="13"/>
      <c r="F8" s="13"/>
      <c r="G8" s="13"/>
      <c r="H8" s="13"/>
      <c r="I8" s="13"/>
      <c r="J8" s="13"/>
      <c r="K8" s="33"/>
      <c r="L8" s="13"/>
      <c r="M8" s="13"/>
      <c r="N8" s="13"/>
      <c r="O8" s="13"/>
      <c r="P8" s="13"/>
      <c r="Q8" s="25"/>
    </row>
    <row r="9" spans="1:24" ht="15.6" x14ac:dyDescent="0.3">
      <c r="B9" s="25"/>
      <c r="C9" s="13" t="s">
        <v>862</v>
      </c>
      <c r="D9" s="13"/>
      <c r="E9" s="13" t="str">
        <f>UPPER(": "&amp;profilKelas!F5&amp;" ("&amp;profilKelas!F6&amp;")")</f>
        <v>:  ()</v>
      </c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25"/>
      <c r="S9"/>
    </row>
    <row r="10" spans="1:24" ht="15.6" x14ac:dyDescent="0.3">
      <c r="B10" s="25"/>
      <c r="C10" s="13" t="s">
        <v>863</v>
      </c>
      <c r="D10" s="13"/>
      <c r="E10" s="13" t="str">
        <f>UPPER(": "&amp;profilKelas!F9&amp;", Provinsi "&amp;profilKelas!F8)</f>
        <v xml:space="preserve">: , PROVINSI </v>
      </c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25"/>
      <c r="S10"/>
    </row>
    <row r="11" spans="1:24" ht="15.6" x14ac:dyDescent="0.3">
      <c r="B11" s="25"/>
      <c r="C11" s="13" t="str">
        <f>profilKelas!B10</f>
        <v>Nama Kepala Sekolah</v>
      </c>
      <c r="D11" s="13"/>
      <c r="E11" s="13" t="str">
        <f>UPPER(": "&amp;profilKelas!F10&amp;" (NIP."&amp;profilKelas!F11&amp;")")</f>
        <v>:  (NIP.)</v>
      </c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25"/>
      <c r="S11"/>
    </row>
    <row r="12" spans="1:24" ht="15.6" x14ac:dyDescent="0.3">
      <c r="B12" s="25"/>
      <c r="C12" s="34" t="str">
        <f ca="1">SUBSTITUTE(profilKelas!B15,"Nama ","")&amp;" "&amp;IF(ISBLANK(profilKelas!H13),"",profilKelas!H13)</f>
        <v>Guru Wali Kelas Pilih Kelas dan Rombel</v>
      </c>
      <c r="D12" s="34"/>
      <c r="E12" s="34" t="str">
        <f>UPPER(": "&amp;profilKelas!F15&amp;" (NIP."&amp;profilKelas!F16&amp;")")</f>
        <v>:  (NIP.)</v>
      </c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25"/>
      <c r="S12"/>
    </row>
    <row r="13" spans="1:24" ht="15.6" x14ac:dyDescent="0.3">
      <c r="B13" s="25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25"/>
      <c r="S13"/>
    </row>
    <row r="14" spans="1:24" ht="15.6" x14ac:dyDescent="0.3">
      <c r="B14" s="25"/>
      <c r="C14" s="162" t="s">
        <v>0</v>
      </c>
      <c r="D14" s="162" t="s">
        <v>831</v>
      </c>
      <c r="E14" s="164" t="s">
        <v>833</v>
      </c>
      <c r="F14" s="37" t="s">
        <v>596</v>
      </c>
      <c r="G14" s="38"/>
      <c r="H14" s="38"/>
      <c r="I14" s="39"/>
      <c r="J14" s="13"/>
      <c r="K14" s="158" t="str" cm="1">
        <f t="array" ref="K14">IF(
AND(F16:G17=0),"Dari total "&amp;E18&amp;" murid, "&amp;"tidak ada murid perempuan dan murid laki-laki yang sudah terbiasa dalam menerapkan Gerakan 7 Kebiasaan Anak Indonesia Hebat (G7KAIH)"&amp;RkpTahun!S7&amp;" pada Tahun Ajaran "&amp;IF(ISBLANK(S13),profilKelas!F12,S13),IF(
AND(F16=0,F17&gt;0),"Dari total "&amp;E18&amp;" murid, "&amp;"sebanyak "&amp;H16&amp;" murid perempuan yang belum terbiasa dan terdapat "&amp;F17&amp;" dari "&amp;H17&amp;" murid laki-laki yang sudah terbiasa dalam menerapkan Gerakan 7 Kebiasaan Anak Indonesia Hebat (G7KAIH)"&amp;RkpTahun!S7&amp;" pada Tahun Ajaran "&amp;IF(ISBLANK(S13),profilKelas!F12,S13),IF(
AND(F16&gt;0,F17=0),"Dari total "&amp;E18&amp;" murid, "&amp;"sebanyak "&amp;F16&amp;" dari "&amp;H16&amp;" murid perempuan yang sudah terbiasa dalam menerapkan Gerakan 7 Kebiasaan Anak Indonesia Hebat (G7KAIH) sedangkan "&amp;H17&amp;" murid laki-laki yang belum terbiasa"&amp;RkpTahun!S7&amp;" pada Tahun Ajaran "&amp;IF(ISBLANK(S13),profilKelas!F12,S13),IF(
AND(F16&gt;0,F17&gt;0),"Dari total "&amp;E18&amp;" murid, "&amp;"sebanyak "&amp;F16&amp;" dari "&amp;H16&amp;" murid perempuan dan "&amp;F17&amp;" dari "&amp;H17&amp;" murid laki-laki yang sudah terbiasa dalam menerapkan Gerakan 7 Kebiasaan Anak Indonesia Hebat (G7KAIH)"&amp;RkpTahun!S7&amp;" pada Tahun Ajaran "&amp;IF(ISBLANK(S13),profilKelas!F12,S13),""))))</f>
        <v xml:space="preserve">Dari total 0 murid, tidak ada murid perempuan dan murid laki-laki yang sudah terbiasa dalam menerapkan Gerakan 7 Kebiasaan Anak Indonesia Hebat (G7KAIH) pada Tahun Ajaran </v>
      </c>
      <c r="L14" s="158"/>
      <c r="M14" s="158"/>
      <c r="N14" s="158"/>
      <c r="O14" s="158"/>
      <c r="P14" s="158"/>
      <c r="Q14" s="25"/>
    </row>
    <row r="15" spans="1:24" ht="31.2" x14ac:dyDescent="0.3">
      <c r="B15" s="25"/>
      <c r="C15" s="163"/>
      <c r="D15" s="163"/>
      <c r="E15" s="165"/>
      <c r="F15" s="40" t="s">
        <v>986</v>
      </c>
      <c r="G15" s="40"/>
      <c r="H15" s="40" t="s">
        <v>598</v>
      </c>
      <c r="I15" s="40"/>
      <c r="J15" s="13"/>
      <c r="K15" s="158"/>
      <c r="L15" s="158"/>
      <c r="M15" s="158"/>
      <c r="N15" s="158"/>
      <c r="O15" s="158"/>
      <c r="P15" s="158"/>
      <c r="Q15" s="25"/>
    </row>
    <row r="16" spans="1:24" ht="15.6" x14ac:dyDescent="0.3">
      <c r="B16" s="25"/>
      <c r="C16" s="41">
        <v>1</v>
      </c>
      <c r="D16" s="41" t="s">
        <v>607</v>
      </c>
      <c r="E16" s="10" cm="1">
        <f t="array" ref="E16:E17">'12Month'!EU12:EU13</f>
        <v>0</v>
      </c>
      <c r="F16" s="42" cm="1">
        <f t="array" ref="F16:F17">'12Month'!EV12:EV13</f>
        <v>0</v>
      </c>
      <c r="G16" s="42"/>
      <c r="H16" s="42" cm="1">
        <f t="array" ref="H16:H17">'12Month'!EX12:EX13</f>
        <v>0</v>
      </c>
      <c r="I16" s="42"/>
      <c r="J16" s="13"/>
      <c r="K16" s="158"/>
      <c r="L16" s="158"/>
      <c r="M16" s="158"/>
      <c r="N16" s="158"/>
      <c r="O16" s="158"/>
      <c r="P16" s="158"/>
      <c r="Q16" s="25"/>
    </row>
    <row r="17" spans="2:17" ht="15.6" x14ac:dyDescent="0.3">
      <c r="B17" s="25"/>
      <c r="C17" s="41">
        <v>2</v>
      </c>
      <c r="D17" s="41" t="s">
        <v>608</v>
      </c>
      <c r="E17" s="10">
        <v>0</v>
      </c>
      <c r="F17" s="42">
        <v>0</v>
      </c>
      <c r="G17" s="42"/>
      <c r="H17" s="42">
        <v>0</v>
      </c>
      <c r="I17" s="42"/>
      <c r="J17" s="13"/>
      <c r="K17" s="158"/>
      <c r="L17" s="158"/>
      <c r="M17" s="158"/>
      <c r="N17" s="158"/>
      <c r="O17" s="158"/>
      <c r="P17" s="158"/>
      <c r="Q17" s="25"/>
    </row>
    <row r="18" spans="2:17" ht="15.6" x14ac:dyDescent="0.3">
      <c r="B18" s="25"/>
      <c r="C18" s="160" t="s">
        <v>832</v>
      </c>
      <c r="D18" s="160"/>
      <c r="E18" s="3">
        <f>SUM(E16:E17)</f>
        <v>0</v>
      </c>
      <c r="F18" s="42">
        <f>SUM(F16:F17)</f>
        <v>0</v>
      </c>
      <c r="G18" s="42"/>
      <c r="H18" s="42">
        <f>SUM(H16:H17)</f>
        <v>0</v>
      </c>
      <c r="I18" s="42"/>
      <c r="J18" s="13"/>
      <c r="K18" s="158"/>
      <c r="L18" s="158"/>
      <c r="M18" s="158"/>
      <c r="N18" s="158"/>
      <c r="O18" s="158"/>
      <c r="P18" s="158"/>
      <c r="Q18" s="25"/>
    </row>
    <row r="19" spans="2:17" ht="15.6" x14ac:dyDescent="0.3">
      <c r="B19" s="25"/>
      <c r="C19" s="13"/>
      <c r="D19" s="13"/>
      <c r="E19" s="13"/>
      <c r="F19" s="13"/>
      <c r="G19" s="13"/>
      <c r="H19" s="13"/>
      <c r="I19" s="13"/>
      <c r="J19" s="13"/>
      <c r="K19" s="43"/>
      <c r="L19" s="43"/>
      <c r="M19" s="43"/>
      <c r="N19" s="43"/>
      <c r="O19" s="43"/>
      <c r="P19" s="43"/>
      <c r="Q19" s="25"/>
    </row>
    <row r="20" spans="2:17" ht="15.6" x14ac:dyDescent="0.3">
      <c r="B20" s="25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25"/>
    </row>
    <row r="21" spans="2:17" ht="15.6" x14ac:dyDescent="0.3">
      <c r="B21" s="25"/>
      <c r="C21" s="13"/>
      <c r="D21" s="13"/>
      <c r="E21" s="13"/>
      <c r="F21" s="44" t="s">
        <v>596</v>
      </c>
      <c r="G21" s="45"/>
      <c r="H21" s="45"/>
      <c r="I21" s="46"/>
      <c r="J21" s="13"/>
      <c r="K21" s="13"/>
      <c r="L21" s="13"/>
      <c r="M21" s="13"/>
      <c r="N21" s="13"/>
      <c r="O21" s="13"/>
      <c r="P21" s="13"/>
      <c r="Q21" s="25"/>
    </row>
    <row r="22" spans="2:17" ht="15.6" x14ac:dyDescent="0.3">
      <c r="B22" s="25"/>
      <c r="C22" s="3" t="s">
        <v>0</v>
      </c>
      <c r="D22" s="40" t="s">
        <v>18</v>
      </c>
      <c r="E22" s="40"/>
      <c r="F22" s="47" t="s">
        <v>597</v>
      </c>
      <c r="G22" s="47"/>
      <c r="H22" s="48" t="s">
        <v>598</v>
      </c>
      <c r="I22" s="49"/>
      <c r="J22" s="13"/>
      <c r="K22" s="13"/>
      <c r="L22" s="13"/>
      <c r="M22" s="13"/>
      <c r="N22" s="13"/>
      <c r="O22" s="13"/>
      <c r="P22" s="13"/>
      <c r="Q22" s="25"/>
    </row>
    <row r="23" spans="2:17" ht="15.6" x14ac:dyDescent="0.3">
      <c r="B23" s="25"/>
      <c r="C23" s="41">
        <v>1</v>
      </c>
      <c r="D23" s="166" t="s">
        <v>2</v>
      </c>
      <c r="E23" s="167"/>
      <c r="F23" s="10" cm="1">
        <f t="array" ref="F23:I29">'12Month'!EV19:EY25</f>
        <v>0</v>
      </c>
      <c r="G23" s="50">
        <v>0</v>
      </c>
      <c r="H23" s="10">
        <v>0</v>
      </c>
      <c r="I23" s="50">
        <v>0</v>
      </c>
      <c r="J23" s="13"/>
      <c r="K23" s="13"/>
      <c r="L23" s="13"/>
      <c r="M23" s="13"/>
      <c r="N23" s="13"/>
      <c r="O23" s="13"/>
      <c r="P23" s="13"/>
      <c r="Q23" s="25"/>
    </row>
    <row r="24" spans="2:17" ht="15.6" x14ac:dyDescent="0.3">
      <c r="B24" s="25"/>
      <c r="C24" s="41">
        <v>2</v>
      </c>
      <c r="D24" s="161" t="s">
        <v>3</v>
      </c>
      <c r="E24" s="161"/>
      <c r="F24" s="10">
        <v>0</v>
      </c>
      <c r="G24" s="50">
        <v>0</v>
      </c>
      <c r="H24" s="10">
        <v>0</v>
      </c>
      <c r="I24" s="50">
        <v>0</v>
      </c>
      <c r="J24" s="13"/>
      <c r="K24" s="13"/>
      <c r="L24" s="13"/>
      <c r="M24" s="13"/>
      <c r="N24" s="13"/>
      <c r="O24" s="13"/>
      <c r="P24" s="13"/>
      <c r="Q24" s="25"/>
    </row>
    <row r="25" spans="2:17" ht="15.6" x14ac:dyDescent="0.3">
      <c r="B25" s="25"/>
      <c r="C25" s="41">
        <v>3</v>
      </c>
      <c r="D25" s="161" t="s">
        <v>4</v>
      </c>
      <c r="E25" s="161"/>
      <c r="F25" s="10">
        <v>0</v>
      </c>
      <c r="G25" s="50">
        <v>0</v>
      </c>
      <c r="H25" s="10">
        <v>0</v>
      </c>
      <c r="I25" s="50">
        <v>0</v>
      </c>
      <c r="J25" s="13"/>
      <c r="K25" s="13"/>
      <c r="L25" s="13"/>
      <c r="M25" s="13"/>
      <c r="N25" s="13"/>
      <c r="O25" s="13"/>
      <c r="P25" s="13"/>
      <c r="Q25" s="25"/>
    </row>
    <row r="26" spans="2:17" ht="15.6" x14ac:dyDescent="0.3">
      <c r="B26" s="25"/>
      <c r="C26" s="41">
        <v>4</v>
      </c>
      <c r="D26" s="161" t="s">
        <v>5</v>
      </c>
      <c r="E26" s="161"/>
      <c r="F26" s="10">
        <v>0</v>
      </c>
      <c r="G26" s="50">
        <v>0</v>
      </c>
      <c r="H26" s="10">
        <v>0</v>
      </c>
      <c r="I26" s="50">
        <v>0</v>
      </c>
      <c r="J26" s="13"/>
      <c r="K26" s="13"/>
      <c r="L26" s="13"/>
      <c r="M26" s="13"/>
      <c r="N26" s="13"/>
      <c r="O26" s="13"/>
      <c r="P26" s="13"/>
      <c r="Q26" s="25"/>
    </row>
    <row r="27" spans="2:17" ht="15.6" x14ac:dyDescent="0.3">
      <c r="B27" s="25"/>
      <c r="C27" s="41">
        <v>5</v>
      </c>
      <c r="D27" s="161" t="s">
        <v>6</v>
      </c>
      <c r="E27" s="161"/>
      <c r="F27" s="10">
        <v>0</v>
      </c>
      <c r="G27" s="50">
        <v>0</v>
      </c>
      <c r="H27" s="10">
        <v>0</v>
      </c>
      <c r="I27" s="50">
        <v>0</v>
      </c>
      <c r="J27" s="13"/>
      <c r="K27" s="13"/>
      <c r="L27" s="13"/>
      <c r="M27" s="13"/>
      <c r="N27" s="13"/>
      <c r="O27" s="13"/>
      <c r="P27" s="13"/>
      <c r="Q27" s="25"/>
    </row>
    <row r="28" spans="2:17" ht="15.6" x14ac:dyDescent="0.3">
      <c r="B28" s="25"/>
      <c r="C28" s="41">
        <v>6</v>
      </c>
      <c r="D28" s="161" t="s">
        <v>7</v>
      </c>
      <c r="E28" s="161"/>
      <c r="F28" s="10">
        <v>0</v>
      </c>
      <c r="G28" s="50">
        <v>0</v>
      </c>
      <c r="H28" s="10">
        <v>0</v>
      </c>
      <c r="I28" s="50">
        <v>0</v>
      </c>
      <c r="J28" s="13"/>
      <c r="K28" s="43"/>
      <c r="L28" s="43"/>
      <c r="M28" s="43"/>
      <c r="N28" s="43"/>
      <c r="O28" s="43"/>
      <c r="P28" s="43"/>
      <c r="Q28" s="25"/>
    </row>
    <row r="29" spans="2:17" ht="15.6" x14ac:dyDescent="0.3">
      <c r="B29" s="25"/>
      <c r="C29" s="41">
        <v>7</v>
      </c>
      <c r="D29" s="161" t="s">
        <v>8</v>
      </c>
      <c r="E29" s="161"/>
      <c r="F29" s="10">
        <v>0</v>
      </c>
      <c r="G29" s="50">
        <v>0</v>
      </c>
      <c r="H29" s="10">
        <v>0</v>
      </c>
      <c r="I29" s="50">
        <v>0</v>
      </c>
      <c r="J29" s="13"/>
      <c r="K29" s="43"/>
      <c r="L29" s="43"/>
      <c r="M29" s="43"/>
      <c r="N29" s="43"/>
      <c r="O29" s="43"/>
      <c r="P29" s="43"/>
      <c r="Q29" s="25"/>
    </row>
    <row r="30" spans="2:17" ht="15.6" x14ac:dyDescent="0.3">
      <c r="B30" s="25"/>
      <c r="C30" s="13"/>
      <c r="D30" s="13"/>
      <c r="E30" s="13"/>
      <c r="F30" s="13"/>
      <c r="G30" s="13"/>
      <c r="H30" s="13"/>
      <c r="I30" s="13"/>
      <c r="J30" s="13"/>
      <c r="K30" s="43"/>
      <c r="L30" s="43"/>
      <c r="M30" s="43"/>
      <c r="N30" s="43"/>
      <c r="O30" s="43"/>
      <c r="P30" s="43"/>
      <c r="Q30" s="25"/>
    </row>
    <row r="31" spans="2:17" ht="15.6" x14ac:dyDescent="0.3">
      <c r="B31" s="25"/>
      <c r="C31" s="13"/>
      <c r="D31" s="13"/>
      <c r="E31" s="13"/>
      <c r="F31" s="40" t="s">
        <v>607</v>
      </c>
      <c r="G31" s="40"/>
      <c r="H31" s="40"/>
      <c r="I31" s="40"/>
      <c r="J31" s="40" t="s">
        <v>608</v>
      </c>
      <c r="K31" s="40"/>
      <c r="L31" s="40"/>
      <c r="M31" s="40"/>
      <c r="N31" s="13"/>
      <c r="O31" s="13"/>
      <c r="P31" s="13"/>
      <c r="Q31" s="25"/>
    </row>
    <row r="32" spans="2:17" ht="15.6" customHeight="1" x14ac:dyDescent="0.3">
      <c r="B32" s="25"/>
      <c r="C32" s="3" t="s">
        <v>0</v>
      </c>
      <c r="D32" s="148" t="s">
        <v>18</v>
      </c>
      <c r="E32" s="148"/>
      <c r="F32" s="40" t="s">
        <v>597</v>
      </c>
      <c r="G32" s="40"/>
      <c r="H32" s="40" t="s">
        <v>598</v>
      </c>
      <c r="I32" s="40"/>
      <c r="J32" s="40" t="s">
        <v>597</v>
      </c>
      <c r="K32" s="40"/>
      <c r="L32" s="40" t="s">
        <v>598</v>
      </c>
      <c r="M32" s="40"/>
      <c r="N32" s="13"/>
      <c r="O32" s="13"/>
      <c r="P32" s="13"/>
      <c r="Q32" s="25"/>
    </row>
    <row r="33" spans="2:17" ht="15.6" x14ac:dyDescent="0.3">
      <c r="B33" s="25"/>
      <c r="C33" s="41">
        <v>1</v>
      </c>
      <c r="D33" s="161" t="s">
        <v>2</v>
      </c>
      <c r="E33" s="161"/>
      <c r="F33" s="51" cm="1">
        <f t="array" ref="F33:M39">'12Month'!EV29:FC35</f>
        <v>0</v>
      </c>
      <c r="G33" s="52">
        <v>0</v>
      </c>
      <c r="H33" s="53">
        <v>0</v>
      </c>
      <c r="I33" s="54">
        <v>0</v>
      </c>
      <c r="J33" s="55">
        <v>0</v>
      </c>
      <c r="K33" s="56">
        <v>0</v>
      </c>
      <c r="L33" s="57">
        <v>0</v>
      </c>
      <c r="M33" s="58">
        <v>0</v>
      </c>
      <c r="N33" s="13"/>
      <c r="O33" s="13"/>
      <c r="P33" s="13"/>
      <c r="Q33" s="25"/>
    </row>
    <row r="34" spans="2:17" ht="15.6" x14ac:dyDescent="0.3">
      <c r="B34" s="25"/>
      <c r="C34" s="41">
        <v>2</v>
      </c>
      <c r="D34" s="161" t="s">
        <v>3</v>
      </c>
      <c r="E34" s="161"/>
      <c r="F34" s="51">
        <v>0</v>
      </c>
      <c r="G34" s="52">
        <v>0</v>
      </c>
      <c r="H34" s="53">
        <v>0</v>
      </c>
      <c r="I34" s="59">
        <v>0</v>
      </c>
      <c r="J34" s="55">
        <v>0</v>
      </c>
      <c r="K34" s="56">
        <v>0</v>
      </c>
      <c r="L34" s="57">
        <v>0</v>
      </c>
      <c r="M34" s="58">
        <v>0</v>
      </c>
      <c r="N34" s="13"/>
      <c r="O34" s="13"/>
      <c r="P34" s="13"/>
      <c r="Q34" s="25"/>
    </row>
    <row r="35" spans="2:17" ht="15.6" x14ac:dyDescent="0.3">
      <c r="B35" s="25"/>
      <c r="C35" s="41">
        <v>3</v>
      </c>
      <c r="D35" s="161" t="s">
        <v>4</v>
      </c>
      <c r="E35" s="161"/>
      <c r="F35" s="51">
        <v>0</v>
      </c>
      <c r="G35" s="52">
        <v>0</v>
      </c>
      <c r="H35" s="53">
        <v>0</v>
      </c>
      <c r="I35" s="59">
        <v>0</v>
      </c>
      <c r="J35" s="55">
        <v>0</v>
      </c>
      <c r="K35" s="56">
        <v>0</v>
      </c>
      <c r="L35" s="57">
        <v>0</v>
      </c>
      <c r="M35" s="58">
        <v>0</v>
      </c>
      <c r="N35" s="13"/>
      <c r="O35" s="13"/>
      <c r="P35" s="13"/>
      <c r="Q35" s="25"/>
    </row>
    <row r="36" spans="2:17" ht="15.6" x14ac:dyDescent="0.3">
      <c r="B36" s="25"/>
      <c r="C36" s="41">
        <v>4</v>
      </c>
      <c r="D36" s="161" t="s">
        <v>5</v>
      </c>
      <c r="E36" s="161"/>
      <c r="F36" s="51">
        <v>0</v>
      </c>
      <c r="G36" s="52">
        <v>0</v>
      </c>
      <c r="H36" s="53">
        <v>0</v>
      </c>
      <c r="I36" s="59">
        <v>0</v>
      </c>
      <c r="J36" s="55">
        <v>0</v>
      </c>
      <c r="K36" s="56">
        <v>0</v>
      </c>
      <c r="L36" s="57">
        <v>0</v>
      </c>
      <c r="M36" s="58">
        <v>0</v>
      </c>
      <c r="N36" s="13"/>
      <c r="O36" s="13"/>
      <c r="P36" s="13"/>
      <c r="Q36" s="25"/>
    </row>
    <row r="37" spans="2:17" ht="15.6" x14ac:dyDescent="0.3">
      <c r="B37" s="25"/>
      <c r="C37" s="41">
        <v>5</v>
      </c>
      <c r="D37" s="161" t="s">
        <v>6</v>
      </c>
      <c r="E37" s="161"/>
      <c r="F37" s="51">
        <v>0</v>
      </c>
      <c r="G37" s="52">
        <v>0</v>
      </c>
      <c r="H37" s="53">
        <v>0</v>
      </c>
      <c r="I37" s="59">
        <v>0</v>
      </c>
      <c r="J37" s="55">
        <v>0</v>
      </c>
      <c r="K37" s="56">
        <v>0</v>
      </c>
      <c r="L37" s="57">
        <v>0</v>
      </c>
      <c r="M37" s="58">
        <v>0</v>
      </c>
      <c r="N37" s="13"/>
      <c r="O37" s="13"/>
      <c r="P37" s="13"/>
      <c r="Q37" s="25"/>
    </row>
    <row r="38" spans="2:17" ht="15.6" x14ac:dyDescent="0.3">
      <c r="B38" s="25"/>
      <c r="C38" s="41">
        <v>6</v>
      </c>
      <c r="D38" s="161" t="s">
        <v>7</v>
      </c>
      <c r="E38" s="161"/>
      <c r="F38" s="51">
        <v>0</v>
      </c>
      <c r="G38" s="52">
        <v>0</v>
      </c>
      <c r="H38" s="53">
        <v>0</v>
      </c>
      <c r="I38" s="59">
        <v>0</v>
      </c>
      <c r="J38" s="55">
        <v>0</v>
      </c>
      <c r="K38" s="56">
        <v>0</v>
      </c>
      <c r="L38" s="57">
        <v>0</v>
      </c>
      <c r="M38" s="58">
        <v>0</v>
      </c>
      <c r="N38" s="13"/>
      <c r="O38" s="13"/>
      <c r="P38" s="13"/>
      <c r="Q38" s="25"/>
    </row>
    <row r="39" spans="2:17" ht="15.6" x14ac:dyDescent="0.3">
      <c r="B39" s="25"/>
      <c r="C39" s="41">
        <v>7</v>
      </c>
      <c r="D39" s="161" t="s">
        <v>8</v>
      </c>
      <c r="E39" s="161"/>
      <c r="F39" s="51">
        <v>0</v>
      </c>
      <c r="G39" s="52">
        <v>0</v>
      </c>
      <c r="H39" s="53">
        <v>0</v>
      </c>
      <c r="I39" s="59">
        <v>0</v>
      </c>
      <c r="J39" s="55">
        <v>0</v>
      </c>
      <c r="K39" s="56">
        <v>0</v>
      </c>
      <c r="L39" s="57">
        <v>0</v>
      </c>
      <c r="M39" s="58">
        <v>0</v>
      </c>
      <c r="N39" s="13"/>
      <c r="O39" s="13"/>
      <c r="P39" s="13"/>
      <c r="Q39" s="25"/>
    </row>
    <row r="40" spans="2:17" ht="14.4" x14ac:dyDescent="0.3"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</row>
    <row r="41" spans="2:17" ht="14.4" x14ac:dyDescent="0.3"/>
  </sheetData>
  <sheetProtection algorithmName="SHA-512" hashValue="a441gxrn/k53G1f82zh6cq7+Fe6smIRXDWCc2VeqUgTgj/fswyv+kEQpKgDpkqpgiaHHSNwcCWKz88grvFxC5A==" saltValue="vrtvzkhqNClhZuLgnqo2uA==" spinCount="100000" sheet="1" objects="1" scenarios="1" formatCells="0" formatColumns="0" formatRows="0" insertColumns="0" insertRows="0" insertHyperlinks="0" deleteColumns="0" deleteRows="0" autoFilter="0"/>
  <mergeCells count="21">
    <mergeCell ref="D37:E37"/>
    <mergeCell ref="D38:E38"/>
    <mergeCell ref="D39:E39"/>
    <mergeCell ref="D29:E29"/>
    <mergeCell ref="D32:E32"/>
    <mergeCell ref="D33:E33"/>
    <mergeCell ref="D34:E34"/>
    <mergeCell ref="D35:E35"/>
    <mergeCell ref="D36:E36"/>
    <mergeCell ref="D28:E28"/>
    <mergeCell ref="C6:P7"/>
    <mergeCell ref="C14:C15"/>
    <mergeCell ref="D14:D15"/>
    <mergeCell ref="E14:E15"/>
    <mergeCell ref="K14:P18"/>
    <mergeCell ref="C18:D18"/>
    <mergeCell ref="D23:E23"/>
    <mergeCell ref="D24:E24"/>
    <mergeCell ref="D25:E25"/>
    <mergeCell ref="D26:E26"/>
    <mergeCell ref="D27:E27"/>
  </mergeCells>
  <dataValidations count="1">
    <dataValidation type="list" allowBlank="1" showInputMessage="1" showErrorMessage="1" errorTitle="Filter" error="Pilih pilihan filter dengan tepat" promptTitle="Filter Rekapitulasi" prompt="Pilih filter rekapitulasi_x000a_Bulan, Semester, Tahun" sqref="S4" xr:uid="{00000000-0002-0000-0B00-000000000000}">
      <formula1>$U$4:$U$6</formula1>
    </dataValidation>
  </dataValidations>
  <pageMargins left="0.7" right="0.7" top="0.75" bottom="0.75" header="0.3" footer="0.3"/>
  <pageSetup scale="61" orientation="portrait" r:id="rId1"/>
  <drawing r:id="rId2"/>
  <picture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sFAQ"/>
  <dimension ref="A2:H23"/>
  <sheetViews>
    <sheetView showGridLines="0" showRowColHeaders="0" tabSelected="1" zoomScale="160" zoomScaleNormal="160" workbookViewId="0">
      <selection activeCell="B2" sqref="B2"/>
    </sheetView>
  </sheetViews>
  <sheetFormatPr defaultColWidth="0" defaultRowHeight="14.4" x14ac:dyDescent="0.3"/>
  <cols>
    <col min="1" max="2" width="9.109375" style="1" customWidth="1"/>
    <col min="3" max="3" width="57.88671875" style="1" bestFit="1" customWidth="1"/>
    <col min="4" max="7" width="9.109375" style="1" customWidth="1"/>
    <col min="8" max="8" width="0" style="1" hidden="1" customWidth="1"/>
    <col min="9" max="16384" width="9.109375" style="1" hidden="1"/>
  </cols>
  <sheetData>
    <row r="2" spans="2:8" x14ac:dyDescent="0.3">
      <c r="B2" s="103" t="s">
        <v>0</v>
      </c>
      <c r="C2" s="103" t="s">
        <v>891</v>
      </c>
    </row>
    <row r="3" spans="2:8" x14ac:dyDescent="0.3">
      <c r="B3" s="25">
        <v>1</v>
      </c>
      <c r="C3" s="25" t="s">
        <v>893</v>
      </c>
    </row>
    <row r="4" spans="2:8" x14ac:dyDescent="0.3">
      <c r="B4" s="25"/>
      <c r="C4" s="60" t="s">
        <v>892</v>
      </c>
      <c r="H4" s="61"/>
    </row>
    <row r="5" spans="2:8" x14ac:dyDescent="0.3">
      <c r="B5" s="25">
        <v>2</v>
      </c>
      <c r="C5" s="25" t="s">
        <v>896</v>
      </c>
    </row>
    <row r="6" spans="2:8" x14ac:dyDescent="0.3">
      <c r="B6" s="25"/>
      <c r="C6" s="60" t="s">
        <v>899</v>
      </c>
    </row>
    <row r="7" spans="2:8" x14ac:dyDescent="0.3">
      <c r="B7" s="25">
        <v>3</v>
      </c>
      <c r="C7" s="25" t="s">
        <v>894</v>
      </c>
    </row>
    <row r="8" spans="2:8" x14ac:dyDescent="0.3">
      <c r="B8" s="25"/>
      <c r="C8" s="60" t="s">
        <v>898</v>
      </c>
    </row>
    <row r="9" spans="2:8" x14ac:dyDescent="0.3">
      <c r="B9" s="25">
        <v>4</v>
      </c>
      <c r="C9" s="25" t="s">
        <v>895</v>
      </c>
    </row>
    <row r="10" spans="2:8" x14ac:dyDescent="0.3">
      <c r="B10" s="25"/>
      <c r="C10" s="60" t="s">
        <v>897</v>
      </c>
    </row>
    <row r="11" spans="2:8" x14ac:dyDescent="0.3">
      <c r="B11" s="25">
        <v>5</v>
      </c>
      <c r="C11" s="25" t="s">
        <v>901</v>
      </c>
    </row>
    <row r="12" spans="2:8" ht="57.6" x14ac:dyDescent="0.3">
      <c r="B12" s="25"/>
      <c r="C12" s="62" t="s">
        <v>988</v>
      </c>
    </row>
    <row r="13" spans="2:8" x14ac:dyDescent="0.3">
      <c r="B13" s="25">
        <v>6</v>
      </c>
      <c r="C13" s="25" t="s">
        <v>902</v>
      </c>
    </row>
    <row r="14" spans="2:8" x14ac:dyDescent="0.3">
      <c r="B14" s="25"/>
      <c r="C14" s="60" t="s">
        <v>903</v>
      </c>
    </row>
    <row r="15" spans="2:8" x14ac:dyDescent="0.3">
      <c r="B15" s="25"/>
      <c r="C15" s="25"/>
    </row>
    <row r="16" spans="2:8" x14ac:dyDescent="0.3">
      <c r="B16" s="25"/>
      <c r="C16" s="25"/>
    </row>
    <row r="17" spans="2:3" x14ac:dyDescent="0.3">
      <c r="B17" s="25"/>
      <c r="C17" s="25"/>
    </row>
    <row r="18" spans="2:3" x14ac:dyDescent="0.3">
      <c r="B18" s="25">
        <v>7</v>
      </c>
      <c r="C18" s="25" t="s">
        <v>904</v>
      </c>
    </row>
    <row r="19" spans="2:3" x14ac:dyDescent="0.3">
      <c r="B19" s="25"/>
      <c r="C19" s="60" t="s">
        <v>905</v>
      </c>
    </row>
    <row r="20" spans="2:3" x14ac:dyDescent="0.3">
      <c r="B20" s="25"/>
      <c r="C20" s="25"/>
    </row>
    <row r="21" spans="2:3" x14ac:dyDescent="0.3">
      <c r="B21" s="25"/>
      <c r="C21" s="25"/>
    </row>
    <row r="22" spans="2:3" x14ac:dyDescent="0.3">
      <c r="B22" s="25"/>
      <c r="C22" s="25"/>
    </row>
    <row r="23" spans="2:3" x14ac:dyDescent="0.3">
      <c r="B23" s="25"/>
      <c r="C23" s="25"/>
    </row>
  </sheetData>
  <sheetProtection algorithmName="SHA-512" hashValue="LE07ST1KlYpT3QIiYUt/omzIX066VNnPepd3VVQAEz8EkEm16Rnt6opjS44a33A3DzDstlG49pf88vI7m/2+WA==" saltValue="fjt0jjgIUPKzmB9GREkZjA==" spinCount="100000" sheet="1" objects="1" scenarios="1" formatCells="0" formatColumns="0" formatRows="0" insertColumns="0" insertRows="0" insertHyperlinks="0" deleteColumns="0" deleteRows="0" autoFilter="0"/>
  <pageMargins left="0.7" right="0.7" top="0.75" bottom="0.75" header="0.3" footer="0.3"/>
  <drawing r:id="rId1"/>
  <picture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cetak"/>
  <dimension ref="A1:AQ69"/>
  <sheetViews>
    <sheetView showGridLines="0" showRowColHeaders="0" zoomScaleNormal="100" zoomScaleSheetLayoutView="100" zoomScalePageLayoutView="47" workbookViewId="0">
      <selection activeCell="C13" sqref="C13"/>
    </sheetView>
  </sheetViews>
  <sheetFormatPr defaultColWidth="0" defaultRowHeight="15.75" customHeight="1" zeroHeight="1" x14ac:dyDescent="0.3"/>
  <cols>
    <col min="1" max="1" width="9.109375" style="7" customWidth="1"/>
    <col min="2" max="2" width="3.5546875" style="7" bestFit="1" customWidth="1"/>
    <col min="3" max="3" width="31.5546875" style="7" customWidth="1"/>
    <col min="4" max="4" width="7.109375" style="7" customWidth="1"/>
    <col min="5" max="5" width="7.77734375" style="7" customWidth="1"/>
    <col min="6" max="12" width="12.77734375" style="7" customWidth="1"/>
    <col min="13" max="13" width="10.6640625" style="7" customWidth="1"/>
    <col min="14" max="14" width="2.109375" style="7" customWidth="1"/>
    <col min="15" max="15" width="25.109375" style="7" bestFit="1" customWidth="1"/>
    <col min="16" max="16" width="9.109375" style="7" customWidth="1"/>
    <col min="17" max="36" width="9.109375" style="7" hidden="1" customWidth="1"/>
    <col min="37" max="43" width="0" style="7" hidden="1" customWidth="1"/>
    <col min="44" max="16384" width="9.109375" style="7" hidden="1"/>
  </cols>
  <sheetData>
    <row r="1" spans="1:15" ht="15.6" x14ac:dyDescent="0.3">
      <c r="A1" s="63">
        <f>profilKelas!F14</f>
        <v>1</v>
      </c>
      <c r="B1" s="64" t="s">
        <v>995</v>
      </c>
      <c r="C1" s="67"/>
      <c r="D1" s="67"/>
      <c r="E1" s="65"/>
      <c r="F1" s="65"/>
      <c r="G1" s="65"/>
      <c r="H1" s="65"/>
    </row>
    <row r="2" spans="1:15" ht="15.6" x14ac:dyDescent="0.3">
      <c r="D2"/>
      <c r="E2"/>
      <c r="F2"/>
      <c r="G2"/>
      <c r="H2"/>
    </row>
    <row r="3" spans="1:15" ht="15.6" customHeight="1" x14ac:dyDescent="0.3"/>
    <row r="4" spans="1:15" ht="15.6" customHeight="1" x14ac:dyDescent="0.3"/>
    <row r="5" spans="1:15" ht="15.6" x14ac:dyDescent="0.3"/>
    <row r="6" spans="1:15" ht="15.6" customHeight="1" x14ac:dyDescent="0.3">
      <c r="B6" s="168" t="s">
        <v>882</v>
      </c>
      <c r="C6" s="168"/>
      <c r="D6" s="168"/>
      <c r="E6" s="168"/>
      <c r="F6" s="168"/>
      <c r="G6" s="168"/>
      <c r="H6" s="168"/>
      <c r="I6" s="168"/>
      <c r="J6" s="168"/>
      <c r="K6" s="168"/>
      <c r="L6" s="168"/>
      <c r="M6" s="168"/>
    </row>
    <row r="7" spans="1:15" ht="15.6" x14ac:dyDescent="0.3">
      <c r="B7" s="13"/>
      <c r="C7" s="13" t="s">
        <v>862</v>
      </c>
      <c r="D7" s="13" t="str">
        <f>": ……………………………………"</f>
        <v>: ……………………………………</v>
      </c>
      <c r="E7" s="13"/>
      <c r="F7" s="13"/>
      <c r="G7" s="13"/>
      <c r="H7" s="13" t="s">
        <v>885</v>
      </c>
      <c r="I7" s="13"/>
      <c r="J7" s="13" t="str">
        <f>": …… / ……………………………"</f>
        <v>: …… / ……………………………</v>
      </c>
      <c r="K7" s="13"/>
      <c r="L7" s="13"/>
      <c r="M7" s="71"/>
      <c r="O7"/>
    </row>
    <row r="8" spans="1:15" ht="15.6" x14ac:dyDescent="0.3">
      <c r="B8" s="13"/>
      <c r="C8" s="13" t="s">
        <v>842</v>
      </c>
      <c r="D8" s="13" t="str">
        <f>": …………"</f>
        <v>: …………</v>
      </c>
      <c r="E8" s="13"/>
      <c r="F8" s="13"/>
      <c r="G8" s="13"/>
      <c r="H8" s="13" t="s">
        <v>880</v>
      </c>
      <c r="I8" s="13"/>
      <c r="J8" s="13" t="str">
        <f>": 20…… / 20……"</f>
        <v>: 20…… / 20……</v>
      </c>
      <c r="K8" s="13"/>
      <c r="L8" s="13"/>
      <c r="M8" s="71"/>
      <c r="O8"/>
    </row>
    <row r="9" spans="1:15" ht="15.6" x14ac:dyDescent="0.3"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71"/>
    </row>
    <row r="10" spans="1:15" ht="15.6" x14ac:dyDescent="0.3">
      <c r="B10" s="162" t="s">
        <v>0</v>
      </c>
      <c r="C10" s="162" t="s">
        <v>858</v>
      </c>
      <c r="D10" s="164" t="s">
        <v>994</v>
      </c>
      <c r="E10" s="164" t="s">
        <v>987</v>
      </c>
      <c r="F10" s="44" t="s">
        <v>19</v>
      </c>
      <c r="G10" s="45"/>
      <c r="H10" s="45"/>
      <c r="I10" s="45"/>
      <c r="J10" s="45"/>
      <c r="K10" s="45"/>
      <c r="L10" s="46"/>
      <c r="M10" s="162" t="s">
        <v>9</v>
      </c>
      <c r="O10"/>
    </row>
    <row r="11" spans="1:15" ht="15.6" x14ac:dyDescent="0.3">
      <c r="B11" s="169"/>
      <c r="C11" s="169"/>
      <c r="D11" s="170"/>
      <c r="E11" s="170"/>
      <c r="F11" s="120" t="s">
        <v>2</v>
      </c>
      <c r="G11" s="120" t="s">
        <v>3</v>
      </c>
      <c r="H11" s="120" t="s">
        <v>4</v>
      </c>
      <c r="I11" s="119" t="s">
        <v>606</v>
      </c>
      <c r="J11" s="120" t="s">
        <v>6</v>
      </c>
      <c r="K11" s="120" t="s">
        <v>7</v>
      </c>
      <c r="L11" s="120" t="s">
        <v>8</v>
      </c>
      <c r="M11" s="169"/>
      <c r="O11"/>
    </row>
    <row r="12" spans="1:15" ht="16.2" x14ac:dyDescent="0.3">
      <c r="B12" s="163"/>
      <c r="C12" s="163"/>
      <c r="D12" s="165"/>
      <c r="E12" s="165"/>
      <c r="F12" s="88" t="s">
        <v>881</v>
      </c>
      <c r="G12" s="89"/>
      <c r="H12" s="89"/>
      <c r="I12" s="89"/>
      <c r="J12" s="89"/>
      <c r="K12" s="89"/>
      <c r="L12" s="90"/>
      <c r="M12" s="163"/>
    </row>
    <row r="13" spans="1:15" ht="15.6" x14ac:dyDescent="0.3">
      <c r="B13" s="4">
        <v>1</v>
      </c>
      <c r="C13" s="94"/>
      <c r="D13" s="6"/>
      <c r="E13" s="95"/>
      <c r="F13" s="95"/>
      <c r="G13" s="95"/>
      <c r="H13" s="95"/>
      <c r="I13" s="95"/>
      <c r="J13" s="95"/>
      <c r="K13" s="95"/>
      <c r="L13" s="95"/>
      <c r="M13" s="95"/>
    </row>
    <row r="14" spans="1:15" ht="15.6" customHeight="1" x14ac:dyDescent="0.3">
      <c r="B14" s="4">
        <v>2</v>
      </c>
      <c r="C14" s="94"/>
      <c r="D14" s="6"/>
      <c r="E14" s="95"/>
      <c r="F14" s="95"/>
      <c r="G14" s="95"/>
      <c r="H14" s="95"/>
      <c r="I14" s="95"/>
      <c r="J14" s="95"/>
      <c r="K14" s="95"/>
      <c r="L14" s="95"/>
      <c r="M14" s="95"/>
    </row>
    <row r="15" spans="1:15" ht="15.6" customHeight="1" x14ac:dyDescent="0.3">
      <c r="B15" s="4">
        <v>3</v>
      </c>
      <c r="C15" s="94"/>
      <c r="D15" s="6"/>
      <c r="E15" s="95"/>
      <c r="F15" s="95"/>
      <c r="G15" s="95"/>
      <c r="H15" s="95"/>
      <c r="I15" s="95"/>
      <c r="J15" s="95"/>
      <c r="K15" s="95"/>
      <c r="L15" s="95"/>
      <c r="M15" s="95"/>
    </row>
    <row r="16" spans="1:15" ht="15.6" x14ac:dyDescent="0.3">
      <c r="B16" s="4">
        <v>4</v>
      </c>
      <c r="C16" s="94"/>
      <c r="D16" s="6"/>
      <c r="E16" s="95"/>
      <c r="F16" s="95"/>
      <c r="G16" s="95"/>
      <c r="H16" s="95"/>
      <c r="I16" s="95"/>
      <c r="J16" s="95"/>
      <c r="K16" s="95"/>
      <c r="L16" s="95"/>
      <c r="M16" s="95"/>
    </row>
    <row r="17" spans="2:13" ht="15.6" x14ac:dyDescent="0.3">
      <c r="B17" s="4">
        <v>5</v>
      </c>
      <c r="C17" s="94"/>
      <c r="D17" s="6"/>
      <c r="E17" s="95"/>
      <c r="F17" s="95"/>
      <c r="G17" s="95"/>
      <c r="H17" s="95"/>
      <c r="I17" s="95"/>
      <c r="J17" s="95"/>
      <c r="K17" s="95"/>
      <c r="L17" s="95"/>
      <c r="M17" s="95"/>
    </row>
    <row r="18" spans="2:13" ht="15.6" x14ac:dyDescent="0.3">
      <c r="B18" s="4">
        <v>6</v>
      </c>
      <c r="C18" s="94"/>
      <c r="D18" s="6"/>
      <c r="E18" s="95"/>
      <c r="F18" s="95"/>
      <c r="G18" s="95"/>
      <c r="H18" s="95"/>
      <c r="I18" s="95"/>
      <c r="J18" s="95"/>
      <c r="K18" s="95"/>
      <c r="L18" s="95"/>
      <c r="M18" s="95"/>
    </row>
    <row r="19" spans="2:13" ht="15.6" x14ac:dyDescent="0.3">
      <c r="B19" s="4">
        <v>7</v>
      </c>
      <c r="C19" s="94"/>
      <c r="D19" s="6"/>
      <c r="E19" s="95"/>
      <c r="F19" s="95"/>
      <c r="G19" s="95"/>
      <c r="H19" s="95"/>
      <c r="I19" s="95"/>
      <c r="J19" s="95"/>
      <c r="K19" s="95"/>
      <c r="L19" s="95"/>
      <c r="M19" s="95"/>
    </row>
    <row r="20" spans="2:13" ht="15.6" x14ac:dyDescent="0.3">
      <c r="B20" s="4">
        <v>8</v>
      </c>
      <c r="C20" s="94"/>
      <c r="D20" s="6"/>
      <c r="E20" s="95"/>
      <c r="F20" s="95"/>
      <c r="G20" s="95"/>
      <c r="H20" s="95"/>
      <c r="I20" s="95"/>
      <c r="J20" s="95"/>
      <c r="K20" s="95"/>
      <c r="L20" s="95"/>
      <c r="M20" s="95"/>
    </row>
    <row r="21" spans="2:13" ht="15.75" customHeight="1" x14ac:dyDescent="0.3">
      <c r="B21" s="4">
        <v>9</v>
      </c>
      <c r="C21" s="94"/>
      <c r="D21" s="6"/>
      <c r="E21" s="95"/>
      <c r="F21" s="95"/>
      <c r="G21" s="95"/>
      <c r="H21" s="95"/>
      <c r="I21" s="95"/>
      <c r="J21" s="95"/>
      <c r="K21" s="95"/>
      <c r="L21" s="95"/>
      <c r="M21" s="95"/>
    </row>
    <row r="22" spans="2:13" ht="15.6" x14ac:dyDescent="0.3">
      <c r="B22" s="4">
        <v>10</v>
      </c>
      <c r="C22" s="94"/>
      <c r="D22" s="6"/>
      <c r="E22" s="95"/>
      <c r="F22" s="95"/>
      <c r="G22" s="95"/>
      <c r="H22" s="95"/>
      <c r="I22" s="95"/>
      <c r="J22" s="95"/>
      <c r="K22" s="95"/>
      <c r="L22" s="95"/>
      <c r="M22" s="95"/>
    </row>
    <row r="23" spans="2:13" ht="15.6" x14ac:dyDescent="0.3">
      <c r="B23" s="4">
        <v>11</v>
      </c>
      <c r="C23" s="94"/>
      <c r="D23" s="6"/>
      <c r="E23" s="95"/>
      <c r="F23" s="95"/>
      <c r="G23" s="95"/>
      <c r="H23" s="95"/>
      <c r="I23" s="95"/>
      <c r="J23" s="95"/>
      <c r="K23" s="95"/>
      <c r="L23" s="95"/>
      <c r="M23" s="95"/>
    </row>
    <row r="24" spans="2:13" ht="15.6" x14ac:dyDescent="0.3">
      <c r="B24" s="4">
        <v>12</v>
      </c>
      <c r="C24" s="94"/>
      <c r="D24" s="6"/>
      <c r="E24" s="95"/>
      <c r="F24" s="95"/>
      <c r="G24" s="95"/>
      <c r="H24" s="95"/>
      <c r="I24" s="95"/>
      <c r="J24" s="95"/>
      <c r="K24" s="95"/>
      <c r="L24" s="95"/>
      <c r="M24" s="95"/>
    </row>
    <row r="25" spans="2:13" ht="15.6" x14ac:dyDescent="0.3">
      <c r="B25" s="4">
        <v>13</v>
      </c>
      <c r="C25" s="94"/>
      <c r="D25" s="6"/>
      <c r="E25" s="95"/>
      <c r="F25" s="95"/>
      <c r="G25" s="95"/>
      <c r="H25" s="95"/>
      <c r="I25" s="95"/>
      <c r="J25" s="95"/>
      <c r="K25" s="95"/>
      <c r="L25" s="95"/>
      <c r="M25" s="95"/>
    </row>
    <row r="26" spans="2:13" ht="15.6" x14ac:dyDescent="0.3">
      <c r="B26" s="4">
        <v>14</v>
      </c>
      <c r="C26" s="94"/>
      <c r="D26" s="6"/>
      <c r="E26" s="95"/>
      <c r="F26" s="95"/>
      <c r="G26" s="95"/>
      <c r="H26" s="95"/>
      <c r="I26" s="95"/>
      <c r="J26" s="95"/>
      <c r="K26" s="95"/>
      <c r="L26" s="95"/>
      <c r="M26" s="95"/>
    </row>
    <row r="27" spans="2:13" ht="15.6" x14ac:dyDescent="0.3">
      <c r="B27" s="4">
        <v>15</v>
      </c>
      <c r="C27" s="94"/>
      <c r="D27" s="6"/>
      <c r="E27" s="95"/>
      <c r="F27" s="95"/>
      <c r="G27" s="95"/>
      <c r="H27" s="95"/>
      <c r="I27" s="95"/>
      <c r="J27" s="95"/>
      <c r="K27" s="95"/>
      <c r="L27" s="95"/>
      <c r="M27" s="95"/>
    </row>
    <row r="28" spans="2:13" ht="15.6" x14ac:dyDescent="0.3">
      <c r="B28" s="4">
        <v>16</v>
      </c>
      <c r="C28" s="94"/>
      <c r="D28" s="6"/>
      <c r="E28" s="95"/>
      <c r="F28" s="95"/>
      <c r="G28" s="95"/>
      <c r="H28" s="95"/>
      <c r="I28" s="95"/>
      <c r="J28" s="95"/>
      <c r="K28" s="95"/>
      <c r="L28" s="95"/>
      <c r="M28" s="95"/>
    </row>
    <row r="29" spans="2:13" ht="15.6" x14ac:dyDescent="0.3">
      <c r="B29" s="4">
        <v>17</v>
      </c>
      <c r="C29" s="94"/>
      <c r="D29" s="6"/>
      <c r="E29" s="95"/>
      <c r="F29" s="95"/>
      <c r="G29" s="95"/>
      <c r="H29" s="95"/>
      <c r="I29" s="95"/>
      <c r="J29" s="95"/>
      <c r="K29" s="95"/>
      <c r="L29" s="95"/>
      <c r="M29" s="95"/>
    </row>
    <row r="30" spans="2:13" ht="15.6" x14ac:dyDescent="0.3">
      <c r="B30" s="4">
        <v>18</v>
      </c>
      <c r="C30" s="94"/>
      <c r="D30" s="6"/>
      <c r="E30" s="95"/>
      <c r="F30" s="95"/>
      <c r="G30" s="95"/>
      <c r="H30" s="95"/>
      <c r="I30" s="95"/>
      <c r="J30" s="95"/>
      <c r="K30" s="95"/>
      <c r="L30" s="95"/>
      <c r="M30" s="95"/>
    </row>
    <row r="31" spans="2:13" ht="15.6" x14ac:dyDescent="0.3">
      <c r="B31" s="4">
        <v>19</v>
      </c>
      <c r="C31" s="94"/>
      <c r="D31" s="6"/>
      <c r="E31" s="95"/>
      <c r="F31" s="95"/>
      <c r="G31" s="95"/>
      <c r="H31" s="95"/>
      <c r="I31" s="95"/>
      <c r="J31" s="95"/>
      <c r="K31" s="95"/>
      <c r="L31" s="95"/>
      <c r="M31" s="95"/>
    </row>
    <row r="32" spans="2:13" ht="15.6" x14ac:dyDescent="0.3">
      <c r="B32" s="4">
        <v>20</v>
      </c>
      <c r="C32" s="94"/>
      <c r="D32" s="6"/>
      <c r="E32" s="95"/>
      <c r="F32" s="95"/>
      <c r="G32" s="95"/>
      <c r="H32" s="95"/>
      <c r="I32" s="95"/>
      <c r="J32" s="95"/>
      <c r="K32" s="95"/>
      <c r="L32" s="95"/>
      <c r="M32" s="95"/>
    </row>
    <row r="33" spans="2:13" ht="15.6" x14ac:dyDescent="0.3">
      <c r="B33" s="4">
        <v>21</v>
      </c>
      <c r="C33" s="94"/>
      <c r="D33" s="6"/>
      <c r="E33" s="95"/>
      <c r="F33" s="95"/>
      <c r="G33" s="95"/>
      <c r="H33" s="95"/>
      <c r="I33" s="95"/>
      <c r="J33" s="95"/>
      <c r="K33" s="95"/>
      <c r="L33" s="95"/>
      <c r="M33" s="95"/>
    </row>
    <row r="34" spans="2:13" ht="15.6" x14ac:dyDescent="0.3">
      <c r="B34" s="4">
        <v>22</v>
      </c>
      <c r="C34" s="94"/>
      <c r="D34" s="6"/>
      <c r="E34" s="95"/>
      <c r="F34" s="95"/>
      <c r="G34" s="95"/>
      <c r="H34" s="95"/>
      <c r="I34" s="95"/>
      <c r="J34" s="95"/>
      <c r="K34" s="95"/>
      <c r="L34" s="95"/>
      <c r="M34" s="95"/>
    </row>
    <row r="35" spans="2:13" ht="15.6" x14ac:dyDescent="0.3">
      <c r="B35" s="4">
        <v>23</v>
      </c>
      <c r="C35" s="94"/>
      <c r="D35" s="6"/>
      <c r="E35" s="95"/>
      <c r="F35" s="95"/>
      <c r="G35" s="95"/>
      <c r="H35" s="95"/>
      <c r="I35" s="95"/>
      <c r="J35" s="95"/>
      <c r="K35" s="95"/>
      <c r="L35" s="95"/>
      <c r="M35" s="95"/>
    </row>
    <row r="36" spans="2:13" ht="15.6" x14ac:dyDescent="0.3">
      <c r="B36" s="4">
        <v>24</v>
      </c>
      <c r="C36" s="94"/>
      <c r="D36" s="6"/>
      <c r="E36" s="95"/>
      <c r="F36" s="95"/>
      <c r="G36" s="95"/>
      <c r="H36" s="95"/>
      <c r="I36" s="95"/>
      <c r="J36" s="95"/>
      <c r="K36" s="95"/>
      <c r="L36" s="95"/>
      <c r="M36" s="95"/>
    </row>
    <row r="37" spans="2:13" ht="15.6" x14ac:dyDescent="0.3">
      <c r="B37" s="4">
        <v>25</v>
      </c>
      <c r="C37" s="94"/>
      <c r="D37" s="6"/>
      <c r="E37" s="95"/>
      <c r="F37" s="95"/>
      <c r="G37" s="95"/>
      <c r="H37" s="95"/>
      <c r="I37" s="95"/>
      <c r="J37" s="95"/>
      <c r="K37" s="95"/>
      <c r="L37" s="95"/>
      <c r="M37" s="95"/>
    </row>
    <row r="38" spans="2:13" ht="15.6" x14ac:dyDescent="0.3">
      <c r="B38" s="4">
        <v>26</v>
      </c>
      <c r="C38" s="94"/>
      <c r="D38" s="6"/>
      <c r="E38" s="95"/>
      <c r="F38" s="95"/>
      <c r="G38" s="95"/>
      <c r="H38" s="95"/>
      <c r="I38" s="95"/>
      <c r="J38" s="95"/>
      <c r="K38" s="95"/>
      <c r="L38" s="95"/>
      <c r="M38" s="95"/>
    </row>
    <row r="39" spans="2:13" ht="15.6" x14ac:dyDescent="0.3">
      <c r="B39" s="4">
        <v>27</v>
      </c>
      <c r="C39" s="94"/>
      <c r="D39" s="6"/>
      <c r="E39" s="95"/>
      <c r="F39" s="95"/>
      <c r="G39" s="95"/>
      <c r="H39" s="95"/>
      <c r="I39" s="95"/>
      <c r="J39" s="95"/>
      <c r="K39" s="95"/>
      <c r="L39" s="95"/>
      <c r="M39" s="95"/>
    </row>
    <row r="40" spans="2:13" ht="15.6" x14ac:dyDescent="0.3">
      <c r="B40" s="4">
        <v>28</v>
      </c>
      <c r="C40" s="94"/>
      <c r="D40" s="6"/>
      <c r="E40" s="95"/>
      <c r="F40" s="95"/>
      <c r="G40" s="95"/>
      <c r="H40" s="95"/>
      <c r="I40" s="95"/>
      <c r="J40" s="95"/>
      <c r="K40" s="95"/>
      <c r="L40" s="95"/>
      <c r="M40" s="95"/>
    </row>
    <row r="41" spans="2:13" ht="15.6" x14ac:dyDescent="0.3">
      <c r="B41" s="4">
        <v>29</v>
      </c>
      <c r="C41" s="94"/>
      <c r="D41" s="6"/>
      <c r="E41" s="95"/>
      <c r="F41" s="95"/>
      <c r="G41" s="95"/>
      <c r="H41" s="95"/>
      <c r="I41" s="95"/>
      <c r="J41" s="95"/>
      <c r="K41" s="95"/>
      <c r="L41" s="95"/>
      <c r="M41" s="95"/>
    </row>
    <row r="42" spans="2:13" ht="15.6" x14ac:dyDescent="0.3">
      <c r="B42" s="4">
        <v>30</v>
      </c>
      <c r="C42" s="94"/>
      <c r="D42" s="6"/>
      <c r="E42" s="95"/>
      <c r="F42" s="95"/>
      <c r="G42" s="95"/>
      <c r="H42" s="95"/>
      <c r="I42" s="95"/>
      <c r="J42" s="95"/>
      <c r="K42" s="95"/>
      <c r="L42" s="95"/>
      <c r="M42" s="95"/>
    </row>
    <row r="43" spans="2:13" ht="15.6" x14ac:dyDescent="0.3">
      <c r="B43" s="4">
        <v>31</v>
      </c>
      <c r="C43" s="94"/>
      <c r="D43" s="6"/>
      <c r="E43" s="95"/>
      <c r="F43" s="95"/>
      <c r="G43" s="95"/>
      <c r="H43" s="95"/>
      <c r="I43" s="95"/>
      <c r="J43" s="95"/>
      <c r="K43" s="95"/>
      <c r="L43" s="95"/>
      <c r="M43" s="95"/>
    </row>
    <row r="44" spans="2:13" ht="15.6" x14ac:dyDescent="0.3">
      <c r="B44" s="4">
        <v>32</v>
      </c>
      <c r="C44" s="94"/>
      <c r="D44" s="6"/>
      <c r="E44" s="95"/>
      <c r="F44" s="95"/>
      <c r="G44" s="95"/>
      <c r="H44" s="95"/>
      <c r="I44" s="95"/>
      <c r="J44" s="95"/>
      <c r="K44" s="95"/>
      <c r="L44" s="95"/>
      <c r="M44" s="95"/>
    </row>
    <row r="45" spans="2:13" ht="15.6" x14ac:dyDescent="0.3">
      <c r="B45" s="4">
        <v>33</v>
      </c>
      <c r="C45" s="94"/>
      <c r="D45" s="6"/>
      <c r="E45" s="95"/>
      <c r="F45" s="95"/>
      <c r="G45" s="95"/>
      <c r="H45" s="95"/>
      <c r="I45" s="95"/>
      <c r="J45" s="95"/>
      <c r="K45" s="95"/>
      <c r="L45" s="95"/>
      <c r="M45" s="95"/>
    </row>
    <row r="46" spans="2:13" ht="15.6" x14ac:dyDescent="0.3">
      <c r="B46" s="4">
        <v>34</v>
      </c>
      <c r="C46" s="94"/>
      <c r="D46" s="6"/>
      <c r="E46" s="95"/>
      <c r="F46" s="95"/>
      <c r="G46" s="95"/>
      <c r="H46" s="95"/>
      <c r="I46" s="95"/>
      <c r="J46" s="95"/>
      <c r="K46" s="95"/>
      <c r="L46" s="95"/>
      <c r="M46" s="95"/>
    </row>
    <row r="47" spans="2:13" ht="15.6" x14ac:dyDescent="0.3">
      <c r="B47" s="4">
        <v>35</v>
      </c>
      <c r="C47" s="94"/>
      <c r="D47" s="6"/>
      <c r="E47" s="95"/>
      <c r="F47" s="95"/>
      <c r="G47" s="95"/>
      <c r="H47" s="95"/>
      <c r="I47" s="95"/>
      <c r="J47" s="95"/>
      <c r="K47" s="95"/>
      <c r="L47" s="95"/>
      <c r="M47" s="95"/>
    </row>
    <row r="48" spans="2:13" ht="15.6" x14ac:dyDescent="0.3">
      <c r="B48" s="4">
        <v>36</v>
      </c>
      <c r="C48" s="94"/>
      <c r="D48" s="6"/>
      <c r="E48" s="95"/>
      <c r="F48" s="95"/>
      <c r="G48" s="95"/>
      <c r="H48" s="95"/>
      <c r="I48" s="95"/>
      <c r="J48" s="95"/>
      <c r="K48" s="95"/>
      <c r="L48" s="95"/>
      <c r="M48" s="30"/>
    </row>
    <row r="49" spans="2:15" ht="15.6" x14ac:dyDescent="0.3">
      <c r="B49" s="4">
        <v>37</v>
      </c>
      <c r="C49" s="94"/>
      <c r="D49" s="6"/>
      <c r="E49" s="95"/>
      <c r="F49" s="95"/>
      <c r="G49" s="95"/>
      <c r="H49" s="95"/>
      <c r="I49" s="95"/>
      <c r="J49" s="95"/>
      <c r="K49" s="95"/>
      <c r="L49" s="95"/>
      <c r="M49" s="30"/>
    </row>
    <row r="50" spans="2:15" ht="15.6" x14ac:dyDescent="0.3">
      <c r="B50" s="4">
        <v>38</v>
      </c>
      <c r="C50" s="94"/>
      <c r="D50" s="6"/>
      <c r="E50" s="95"/>
      <c r="F50" s="95"/>
      <c r="G50" s="95"/>
      <c r="H50" s="95"/>
      <c r="I50" s="95"/>
      <c r="J50" s="95"/>
      <c r="K50" s="95"/>
      <c r="L50" s="95"/>
      <c r="M50" s="30"/>
    </row>
    <row r="51" spans="2:15" ht="15.6" x14ac:dyDescent="0.3">
      <c r="B51" s="4">
        <v>39</v>
      </c>
      <c r="C51" s="94"/>
      <c r="D51" s="6"/>
      <c r="E51" s="95"/>
      <c r="F51" s="95"/>
      <c r="G51" s="95"/>
      <c r="H51" s="95"/>
      <c r="I51" s="95"/>
      <c r="J51" s="95"/>
      <c r="K51" s="95"/>
      <c r="L51" s="95"/>
      <c r="M51" s="30"/>
    </row>
    <row r="52" spans="2:15" ht="15.6" x14ac:dyDescent="0.3">
      <c r="B52" s="4">
        <v>40</v>
      </c>
      <c r="C52" s="94"/>
      <c r="D52" s="6"/>
      <c r="E52" s="95"/>
      <c r="F52" s="95"/>
      <c r="G52" s="95"/>
      <c r="H52" s="95"/>
      <c r="I52" s="95"/>
      <c r="J52" s="95"/>
      <c r="K52" s="95"/>
      <c r="L52" s="95"/>
      <c r="M52" s="30"/>
    </row>
    <row r="53" spans="2:15" ht="15.6" x14ac:dyDescent="0.3"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</row>
    <row r="54" spans="2:15" ht="15.6" x14ac:dyDescent="0.3">
      <c r="B54" s="13"/>
      <c r="C54" s="71" t="s">
        <v>15</v>
      </c>
      <c r="D54" s="13"/>
      <c r="E54" s="13"/>
      <c r="F54" s="13"/>
      <c r="G54" s="13"/>
      <c r="H54" s="13"/>
      <c r="I54" s="13"/>
      <c r="J54" s="13" t="str">
        <f>"………………, …… ……………… 20…………"</f>
        <v>………………, …… ……………… 20…………</v>
      </c>
      <c r="K54" s="13"/>
      <c r="L54" s="13"/>
      <c r="M54" s="13"/>
      <c r="O54"/>
    </row>
    <row r="55" spans="2:15" ht="15.6" x14ac:dyDescent="0.3">
      <c r="B55" s="13"/>
      <c r="C55" s="71" t="str">
        <f>IF(ISBLANK(profilKelas!B10),"",SUBSTITUTE(profilKelas!B10,"Nama ",""))</f>
        <v>Kepala Sekolah</v>
      </c>
      <c r="D55" s="13"/>
      <c r="E55" s="13"/>
      <c r="F55" s="13"/>
      <c r="G55" s="13"/>
      <c r="H55" s="13"/>
      <c r="I55" s="13"/>
      <c r="J55" s="13" t="str">
        <f>SUBSTITUTE(profilKelas!B15,"Nama ","")&amp;","</f>
        <v>Guru Wali Kelas,</v>
      </c>
      <c r="K55" s="13"/>
      <c r="L55" s="13"/>
      <c r="M55" s="13"/>
      <c r="O55"/>
    </row>
    <row r="56" spans="2:15" ht="15.6" x14ac:dyDescent="0.3"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</row>
    <row r="57" spans="2:15" ht="15.6" x14ac:dyDescent="0.3"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</row>
    <row r="58" spans="2:15" ht="15.6" x14ac:dyDescent="0.3"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</row>
    <row r="59" spans="2:15" ht="15.6" x14ac:dyDescent="0.3">
      <c r="B59" s="13"/>
      <c r="C59" s="101" t="str">
        <f>"………………………………………………"</f>
        <v>………………………………………………</v>
      </c>
      <c r="D59" s="13"/>
      <c r="E59" s="13"/>
      <c r="F59" s="13"/>
      <c r="G59" s="13"/>
      <c r="H59" s="13"/>
      <c r="I59" s="13"/>
      <c r="J59" s="101" t="str">
        <f>"………………………………………………"</f>
        <v>………………………………………………</v>
      </c>
      <c r="K59" s="13"/>
      <c r="L59" s="13"/>
      <c r="M59" s="13"/>
    </row>
    <row r="60" spans="2:15" ht="15.6" x14ac:dyDescent="0.3">
      <c r="B60" s="13"/>
      <c r="C60" s="13" t="str">
        <f>"NIP. …………………………………………"</f>
        <v>NIP. …………………………………………</v>
      </c>
      <c r="D60" s="13"/>
      <c r="E60" s="13"/>
      <c r="F60" s="13"/>
      <c r="G60" s="13"/>
      <c r="H60" s="13"/>
      <c r="I60" s="13"/>
      <c r="J60" s="13" t="str">
        <f>"NIP. …………………………………………"</f>
        <v>NIP. …………………………………………</v>
      </c>
      <c r="K60" s="13"/>
      <c r="L60" s="13"/>
      <c r="M60" s="13"/>
    </row>
    <row r="61" spans="2:15" ht="15.6" x14ac:dyDescent="0.3"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</row>
    <row r="62" spans="2:15" ht="15.6" x14ac:dyDescent="0.3">
      <c r="B62" s="13"/>
      <c r="C62" s="102"/>
      <c r="D62" s="71"/>
      <c r="E62" s="13"/>
      <c r="F62" s="13"/>
      <c r="G62" s="13"/>
      <c r="H62" s="13"/>
      <c r="I62" s="13"/>
      <c r="J62" s="13"/>
      <c r="K62" s="13"/>
      <c r="L62" s="13"/>
      <c r="M62" s="13"/>
    </row>
    <row r="63" spans="2:15" ht="15.6" customHeight="1" x14ac:dyDescent="0.3"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63">
        <f>SUBTOTAL(109,N64)</f>
        <v>0</v>
      </c>
      <c r="O63" s="63" t="str">
        <f>IF(N63=0,"ATUR HALAMAN","TAMPILAN NORMAL")</f>
        <v>ATUR HALAMAN</v>
      </c>
    </row>
    <row r="64" spans="2:15" ht="15.6" hidden="1" x14ac:dyDescent="0.3">
      <c r="N64" s="7">
        <v>1</v>
      </c>
    </row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</sheetData>
  <sheetProtection algorithmName="SHA-512" hashValue="kqMPq37T934McAdg6gXabgN2bYq58oI9Rg6Lk/6rFmpkQ00hE6xn8NzhLqQ2f1nyy+Sa+6295rVi/MDz46Purg==" saltValue="QWfUepsqr2o4nWWqIxcjZQ==" spinCount="100000" sheet="1" objects="1" scenarios="1" formatCells="0" formatColumns="0" formatRows="0" insertColumns="0" insertRows="0" insertHyperlinks="0" deleteColumns="0" deleteRows="0" autoFilter="0"/>
  <autoFilter ref="B12:B52" xr:uid="{00000000-0009-0000-0000-00000D000000}"/>
  <mergeCells count="6">
    <mergeCell ref="B6:M6"/>
    <mergeCell ref="B10:B12"/>
    <mergeCell ref="C10:C12"/>
    <mergeCell ref="D10:D12"/>
    <mergeCell ref="E10:E12"/>
    <mergeCell ref="M10:M12"/>
  </mergeCells>
  <conditionalFormatting sqref="G13:L16 F13:F52">
    <cfRule type="expression" dxfId="167" priority="12">
      <formula>AND($C13="",$F13="")</formula>
    </cfRule>
  </conditionalFormatting>
  <conditionalFormatting sqref="B13:M52">
    <cfRule type="expression" dxfId="166" priority="11">
      <formula>$B13&lt;&gt;""</formula>
    </cfRule>
  </conditionalFormatting>
  <dataValidations count="2">
    <dataValidation allowBlank="1" showInputMessage="1" showErrorMessage="1" promptTitle="Tanggal pengesahan" prompt="Contoh penulisan_x000a_31 Juli 2025" sqref="O55:P55" xr:uid="{00000000-0002-0000-0D00-000000000000}"/>
    <dataValidation type="whole" allowBlank="1" showInputMessage="1" showErrorMessage="1" errorTitle="Angka" error="Isian hanya berupa angka 0 s.d. 31." promptTitle="Angka" prompt="Inputan angka dari 0 s.d. 31 sesuai bulan berjalan." sqref="F13:L52" xr:uid="{00000000-0002-0000-0D00-000001000000}">
      <formula1>0</formula1>
      <formula2>31</formula2>
    </dataValidation>
  </dataValidations>
  <pageMargins left="0.19685039370078741" right="0.19685039370078741" top="0.19685039370078741" bottom="0.19685039370078741" header="0" footer="0"/>
  <pageSetup paperSize="9" fitToHeight="0" orientation="landscape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Catatan" error="Harap dipilih." promptTitle="Catatan" prompt="Pilih keterangan siswa _x000a_aktif: aktif pada bulan berjalan_x000a_pindah: pada bulan berjalan sudah pindah_x000a_berhenti: pada bulan berjalan berhenti _x000a_meninggal: pada bulan berjalan meninggal_x000a__x000a_Jika terdapat penambahan murid, keterangan bulan sebelumnya dipilih tidak." xr:uid="{00000000-0002-0000-0D00-000002000000}">
          <x14:formula1>
            <xm:f>info!$AD$2:$AD$6</xm:f>
          </x14:formula1>
          <xm:sqref>E13:E52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mmJul"/>
  <dimension ref="A1:AT69"/>
  <sheetViews>
    <sheetView showGridLines="0" showRowColHeaders="0" zoomScaleNormal="100" zoomScaleSheetLayoutView="100" zoomScalePageLayoutView="47" workbookViewId="0">
      <selection activeCell="B6" sqref="B6:M6"/>
    </sheetView>
  </sheetViews>
  <sheetFormatPr defaultColWidth="0" defaultRowHeight="15.6" zeroHeight="1" x14ac:dyDescent="0.3"/>
  <cols>
    <col min="1" max="1" width="9.109375" style="7" customWidth="1"/>
    <col min="2" max="2" width="3.5546875" style="7" bestFit="1" customWidth="1"/>
    <col min="3" max="3" width="31.5546875" style="7" customWidth="1"/>
    <col min="4" max="4" width="10" style="7" customWidth="1"/>
    <col min="5" max="5" width="11.5546875" style="7" customWidth="1"/>
    <col min="6" max="12" width="24" style="7" customWidth="1"/>
    <col min="13" max="13" width="18.33203125" style="7" customWidth="1"/>
    <col min="14" max="14" width="2.109375" style="7" customWidth="1"/>
    <col min="15" max="15" width="25.109375" style="7" bestFit="1" customWidth="1"/>
    <col min="16" max="16" width="9.109375" style="7" customWidth="1"/>
    <col min="17" max="17" width="3.5546875" style="7" hidden="1" customWidth="1"/>
    <col min="18" max="18" width="27.88671875" style="7" hidden="1" customWidth="1"/>
    <col min="19" max="19" width="8.6640625" style="7" hidden="1" customWidth="1"/>
    <col min="20" max="20" width="5.6640625" style="7" hidden="1" customWidth="1"/>
    <col min="21" max="28" width="21.33203125" style="7" hidden="1" customWidth="1"/>
    <col min="29" max="29" width="9.109375" style="7" hidden="1" customWidth="1"/>
    <col min="30" max="30" width="3.5546875" style="7" hidden="1" customWidth="1"/>
    <col min="31" max="31" width="20" style="7" hidden="1" customWidth="1"/>
    <col min="32" max="32" width="6.5546875" style="7" hidden="1" customWidth="1"/>
    <col min="33" max="36" width="9.6640625" style="7" hidden="1" customWidth="1"/>
    <col min="37" max="45" width="9.109375" style="7" hidden="1" customWidth="1"/>
    <col min="46" max="46" width="10.109375" style="7" hidden="1" customWidth="1"/>
    <col min="47" max="16384" width="0" style="7" hidden="1"/>
  </cols>
  <sheetData>
    <row r="1" spans="1:43" x14ac:dyDescent="0.3">
      <c r="A1" s="63">
        <f>profilKelas!F14</f>
        <v>1</v>
      </c>
      <c r="D1" s="64" t="s">
        <v>890</v>
      </c>
      <c r="E1" s="65"/>
      <c r="F1" s="65"/>
      <c r="G1" s="65"/>
      <c r="H1" s="65"/>
      <c r="Q1" s="66" t="s">
        <v>859</v>
      </c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D1" s="66" t="s">
        <v>859</v>
      </c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</row>
    <row r="2" spans="1:43" x14ac:dyDescent="0.3">
      <c r="D2" s="67"/>
      <c r="E2" s="67"/>
      <c r="F2" s="67"/>
      <c r="G2" s="67"/>
      <c r="H2" s="67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</row>
    <row r="3" spans="1:43" ht="15.6" customHeight="1" x14ac:dyDescent="0.3"/>
    <row r="4" spans="1:43" ht="15.6" customHeight="1" x14ac:dyDescent="0.3"/>
    <row r="5" spans="1:43" x14ac:dyDescent="0.3">
      <c r="Q5" s="68"/>
      <c r="S5" s="69"/>
      <c r="T5" s="69"/>
      <c r="V5" s="69"/>
      <c r="X5" s="69"/>
      <c r="Z5" s="69"/>
      <c r="AL5" s="70"/>
    </row>
    <row r="6" spans="1:43" ht="15.6" customHeight="1" x14ac:dyDescent="0.3">
      <c r="B6" s="168" t="s">
        <v>882</v>
      </c>
      <c r="C6" s="168"/>
      <c r="D6" s="168"/>
      <c r="E6" s="168"/>
      <c r="F6" s="168"/>
      <c r="G6" s="168"/>
      <c r="H6" s="168"/>
      <c r="I6" s="168"/>
      <c r="J6" s="168"/>
      <c r="K6" s="168"/>
      <c r="L6" s="168"/>
      <c r="M6" s="168"/>
      <c r="Q6" s="168"/>
      <c r="R6" s="168"/>
      <c r="S6" s="168"/>
      <c r="T6" s="168"/>
      <c r="U6" s="168"/>
      <c r="V6" s="168"/>
      <c r="W6" s="168"/>
      <c r="X6" s="168"/>
      <c r="Y6" s="168"/>
      <c r="Z6" s="168"/>
      <c r="AA6" s="168"/>
      <c r="AB6" s="168"/>
      <c r="AD6" s="159" t="str">
        <f>"REKAPITULASI CATATAN HARIAN KELAS (RCHS) "&amp;CHAR(10)&amp;"SEMESTER "&amp;MID(J7,3,1)&amp;" BULAN"&amp;UPPER(MID(J7,SEARCH("/",J7)+1,99))&amp;" TAHUN "&amp;IF(ISBLANK(O11),profilKelas!F12,O11)</f>
        <v xml:space="preserve">REKAPITULASI CATATAN HARIAN KELAS (RCHS) 
SEMESTER I BULAN JULI TAHUN </v>
      </c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</row>
    <row r="7" spans="1:43" x14ac:dyDescent="0.3">
      <c r="B7" s="13"/>
      <c r="C7" s="13" t="s">
        <v>862</v>
      </c>
      <c r="D7" s="13" t="str">
        <f>": "&amp;IF(ISBLANK(profilKelas!F5),"",profilKelas!F5&amp;" ("&amp;profilKelas!F6&amp;")")</f>
        <v xml:space="preserve">: </v>
      </c>
      <c r="E7" s="13"/>
      <c r="F7" s="13"/>
      <c r="G7" s="13"/>
      <c r="H7" s="13"/>
      <c r="I7" s="13" t="s">
        <v>885</v>
      </c>
      <c r="J7" s="13" t="str">
        <f>": I / Juli"</f>
        <v>: I / Juli</v>
      </c>
      <c r="K7" s="13"/>
      <c r="L7" s="13"/>
      <c r="M7" s="71"/>
      <c r="O7"/>
      <c r="Q7" s="13"/>
      <c r="R7" s="13" t="s">
        <v>862</v>
      </c>
      <c r="S7" s="13" t="str">
        <f>": "&amp;IF(ISBLANK(profilKelas!F5),"",profilKelas!F5&amp;" ("&amp;profilKelas!F6&amp;")")</f>
        <v xml:space="preserve">: </v>
      </c>
      <c r="T7" s="13"/>
      <c r="U7" s="13"/>
      <c r="V7" s="13"/>
      <c r="W7" s="13"/>
      <c r="X7" s="13"/>
      <c r="Y7" s="13" t="s">
        <v>840</v>
      </c>
      <c r="Z7" s="13" t="str">
        <f>J7</f>
        <v>: I / Juli</v>
      </c>
      <c r="AA7" s="71"/>
      <c r="AB7" s="13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</row>
    <row r="8" spans="1:43" x14ac:dyDescent="0.3">
      <c r="B8" s="13"/>
      <c r="C8" s="13" t="s">
        <v>842</v>
      </c>
      <c r="D8" s="13" t="str">
        <f ca="1">": "&amp;IF(ISBLANK(profilKelas!H13),"",profilKelas!H13)</f>
        <v>: Pilih Kelas dan Rombel</v>
      </c>
      <c r="E8" s="13"/>
      <c r="F8" s="13"/>
      <c r="G8" s="13"/>
      <c r="H8" s="13"/>
      <c r="I8" s="13" t="s">
        <v>880</v>
      </c>
      <c r="J8" s="13" t="str">
        <f>": "&amp;IF(ISBLANK(profilKelas!F12),"Ketik Tahun Ajaran pada Profil Kelas",profilKelas!F12)</f>
        <v>: Ketik Tahun Ajaran pada Profil Kelas</v>
      </c>
      <c r="K8" s="13"/>
      <c r="L8" s="13"/>
      <c r="M8" s="71"/>
      <c r="O8"/>
      <c r="Q8" s="13"/>
      <c r="R8" s="13" t="s">
        <v>842</v>
      </c>
      <c r="S8" s="13" t="str">
        <f ca="1">": "&amp;IF(ISBLANK(profilKelas!H13),"",profilKelas!H13)</f>
        <v>: Pilih Kelas dan Rombel</v>
      </c>
      <c r="T8" s="13"/>
      <c r="U8" s="13"/>
      <c r="V8" s="13"/>
      <c r="W8" s="13"/>
      <c r="X8" s="13"/>
      <c r="Y8" s="13" t="s">
        <v>841</v>
      </c>
      <c r="Z8" s="13" t="str">
        <f>": "&amp;IF(ISBLANK(profilKelas!F12),"Ketik Tahun Ajaran pada Profil Kelas",IF(ISBLANK(O11),profilKelas!F12,O11))</f>
        <v>: Ketik Tahun Ajaran pada Profil Kelas</v>
      </c>
      <c r="AA8" s="71"/>
      <c r="AB8" s="13"/>
      <c r="AD8" s="72"/>
      <c r="AE8" s="72"/>
      <c r="AF8" s="72"/>
      <c r="AG8" s="72"/>
      <c r="AH8" s="72"/>
      <c r="AI8" s="72"/>
      <c r="AJ8" s="72"/>
      <c r="AK8" s="72"/>
      <c r="AL8" s="72"/>
      <c r="AM8" s="72"/>
      <c r="AN8" s="72"/>
      <c r="AO8" s="13"/>
      <c r="AP8" s="13"/>
      <c r="AQ8" s="13"/>
    </row>
    <row r="9" spans="1:43" x14ac:dyDescent="0.3"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71"/>
      <c r="Q9" s="13"/>
      <c r="R9" s="13"/>
      <c r="S9" s="13"/>
      <c r="T9" s="13"/>
      <c r="U9" s="13"/>
      <c r="V9" s="13"/>
      <c r="W9" s="13"/>
      <c r="X9" s="13"/>
      <c r="Y9" s="13"/>
      <c r="Z9" s="13"/>
      <c r="AA9" s="71"/>
      <c r="AB9" s="13"/>
      <c r="AD9" s="13" t="s">
        <v>862</v>
      </c>
      <c r="AE9" s="13"/>
      <c r="AF9" s="13" t="str">
        <f>UPPER(": "&amp;profilKelas!F5&amp;" ("&amp;profilKelas!F6&amp;")")</f>
        <v>:  ()</v>
      </c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</row>
    <row r="10" spans="1:43" x14ac:dyDescent="0.3">
      <c r="B10" s="162" t="s">
        <v>0</v>
      </c>
      <c r="C10" s="162" t="s">
        <v>858</v>
      </c>
      <c r="D10" s="164" t="s">
        <v>831</v>
      </c>
      <c r="E10" s="164" t="s">
        <v>987</v>
      </c>
      <c r="F10" s="44" t="s">
        <v>19</v>
      </c>
      <c r="G10" s="45"/>
      <c r="H10" s="45"/>
      <c r="I10" s="45"/>
      <c r="J10" s="45"/>
      <c r="K10" s="45"/>
      <c r="L10" s="46"/>
      <c r="M10" s="162" t="s">
        <v>9</v>
      </c>
      <c r="O10"/>
      <c r="Q10" s="73"/>
      <c r="R10" s="74"/>
      <c r="S10" s="74"/>
      <c r="T10" s="75"/>
      <c r="U10" s="76" t="s">
        <v>19</v>
      </c>
      <c r="V10" s="77"/>
      <c r="W10" s="77"/>
      <c r="X10" s="77"/>
      <c r="Y10" s="77"/>
      <c r="Z10" s="77"/>
      <c r="AA10" s="78"/>
      <c r="AB10" s="36"/>
      <c r="AD10" s="13" t="s">
        <v>863</v>
      </c>
      <c r="AE10" s="13"/>
      <c r="AF10" s="13" t="str">
        <f>UPPER(": "&amp;profilKelas!F9&amp;", Provinsi "&amp;profilKelas!F8)</f>
        <v xml:space="preserve">: , PROVINSI </v>
      </c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</row>
    <row r="11" spans="1:43" x14ac:dyDescent="0.3">
      <c r="B11" s="169"/>
      <c r="C11" s="169"/>
      <c r="D11" s="170"/>
      <c r="E11" s="170"/>
      <c r="F11" s="80" t="s">
        <v>2</v>
      </c>
      <c r="G11" s="80" t="s">
        <v>3</v>
      </c>
      <c r="H11" s="80" t="s">
        <v>4</v>
      </c>
      <c r="I11" s="81" t="s">
        <v>606</v>
      </c>
      <c r="J11" s="81" t="s">
        <v>6</v>
      </c>
      <c r="K11" s="81" t="s">
        <v>7</v>
      </c>
      <c r="L11" s="81" t="s">
        <v>8</v>
      </c>
      <c r="M11" s="169"/>
      <c r="O11"/>
      <c r="Q11" s="82"/>
      <c r="R11" s="83"/>
      <c r="S11" s="83"/>
      <c r="T11" s="84"/>
      <c r="U11" s="85" t="s">
        <v>14</v>
      </c>
      <c r="V11" s="86"/>
      <c r="W11" s="86"/>
      <c r="X11" s="86"/>
      <c r="Y11" s="86"/>
      <c r="Z11" s="86"/>
      <c r="AA11" s="87"/>
      <c r="AB11" s="79"/>
      <c r="AD11" s="13" t="str">
        <f>profilKelas!B10</f>
        <v>Nama Kepala Sekolah</v>
      </c>
      <c r="AE11" s="13"/>
      <c r="AF11" s="13" t="str">
        <f>UPPER(": "&amp;profilKelas!F10&amp;" (NIP."&amp;profilKelas!F11&amp;")")</f>
        <v>:  (NIP.)</v>
      </c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</row>
    <row r="12" spans="1:43" ht="16.2" x14ac:dyDescent="0.3">
      <c r="B12" s="163"/>
      <c r="C12" s="163"/>
      <c r="D12" s="165"/>
      <c r="E12" s="165"/>
      <c r="F12" s="88" t="s">
        <v>881</v>
      </c>
      <c r="G12" s="89"/>
      <c r="H12" s="89"/>
      <c r="I12" s="89"/>
      <c r="J12" s="89"/>
      <c r="K12" s="89"/>
      <c r="L12" s="90"/>
      <c r="M12" s="163"/>
      <c r="Q12" s="91" t="s">
        <v>0</v>
      </c>
      <c r="R12" s="92" t="s">
        <v>1</v>
      </c>
      <c r="S12" s="35" t="s">
        <v>596</v>
      </c>
      <c r="T12" s="35" t="s">
        <v>605</v>
      </c>
      <c r="U12" s="80" t="s">
        <v>599</v>
      </c>
      <c r="V12" s="80" t="s">
        <v>600</v>
      </c>
      <c r="W12" s="80" t="s">
        <v>4</v>
      </c>
      <c r="X12" s="81" t="s">
        <v>601</v>
      </c>
      <c r="Y12" s="81" t="s">
        <v>602</v>
      </c>
      <c r="Z12" s="81" t="s">
        <v>603</v>
      </c>
      <c r="AA12" s="93" t="s">
        <v>604</v>
      </c>
      <c r="AB12" s="36" t="s">
        <v>11</v>
      </c>
      <c r="AD12" s="34" t="str">
        <f ca="1">SUBSTITUTE(profilKelas!B15,"Nama ","")&amp;" "&amp;IF(ISBLANK(profilKelas!H13),"",profilKelas!H13)</f>
        <v>Guru Wali Kelas Pilih Kelas dan Rombel</v>
      </c>
      <c r="AE12" s="34"/>
      <c r="AF12" s="34" t="str">
        <f>UPPER(": "&amp;profilKelas!F15)</f>
        <v xml:space="preserve">: </v>
      </c>
      <c r="AG12" s="34"/>
      <c r="AH12" s="34"/>
      <c r="AI12" s="34"/>
      <c r="AJ12" s="34"/>
      <c r="AK12" s="34"/>
      <c r="AL12" s="34"/>
      <c r="AM12" s="34"/>
      <c r="AN12" s="34"/>
      <c r="AO12" s="34"/>
      <c r="AP12" s="13"/>
      <c r="AQ12" s="13"/>
    </row>
    <row r="13" spans="1:43" x14ac:dyDescent="0.3">
      <c r="B13" s="4">
        <f>IF(ROW(A1)&lt;=profilKelas!$F$14,ROW(A1),"")</f>
        <v>1</v>
      </c>
      <c r="C13" s="94" t="str">
        <f>IF(ISBLANK(identitasMurid!C6),"",identitasMurid!C6)</f>
        <v/>
      </c>
      <c r="D13" s="6" t="str">
        <f>IF(ISBLANK(identitasMurid!D6),"",identitasMurid!D6)</f>
        <v/>
      </c>
      <c r="E13" s="95"/>
      <c r="F13" s="95"/>
      <c r="G13" s="95"/>
      <c r="H13" s="95"/>
      <c r="I13" s="95"/>
      <c r="J13" s="95"/>
      <c r="K13" s="95"/>
      <c r="L13" s="95"/>
      <c r="M13" s="95"/>
      <c r="Q13" s="5">
        <f>IF(ROW(A1)&lt;=profilKelas!$F$14,ROW(A1),"")</f>
        <v>1</v>
      </c>
      <c r="R13" s="12" t="str">
        <f t="shared" ref="R13:R19" si="0">C13</f>
        <v/>
      </c>
      <c r="S13" s="108" t="str">
        <f t="shared" ref="S13:S19" si="1">IF(LEN(B13)=0,"",IF(ISBLANK(E13),"Status Siswa Kosong",E13))</f>
        <v>Status Siswa Kosong</v>
      </c>
      <c r="T13" s="108" t="str">
        <f t="shared" ref="T13:T19" si="2">IF(ISBLANK(D13),"",D13)</f>
        <v/>
      </c>
      <c r="U13" s="108" t="str">
        <f t="shared" ref="U13:U19" si="3">IF(LEN($B13)=0,"",IF(LEN($C13)=0,"Nama Siswa Kosong",IF($E13="","Status Siswa Kosong",IF($E13&lt;&gt;"Aktif","Siswa Tidak Aktif",
IF(ISBLANK(F13),"Belum mengisi",IF(F13&gt;=20,"Sudah terbiasa","Belum terbiasa"))))))</f>
        <v>Nama Siswa Kosong</v>
      </c>
      <c r="V13" s="108" t="str">
        <f t="shared" ref="V13:V19" si="4">IF(LEN($B13)=0,"",IF(LEN($C13)=0,"Nama Siswa Kosong",IF($E13="","Status Siswa Kosong",IF($E13&lt;&gt;"Aktif","Siswa Tidak Aktif",
IF(ISBLANK(G13),"Belum mengisi",IF(G13&gt;=20,"Sudah terbiasa","Belum terbiasa"))))))</f>
        <v>Nama Siswa Kosong</v>
      </c>
      <c r="W13" s="108" t="str">
        <f t="shared" ref="W13:W19" si="5">IF(LEN($B13)=0,"",IF(LEN($C13)=0,"Nama Siswa Kosong",IF($E13="","Status Siswa Kosong",IF($E13&lt;&gt;"Aktif","Siswa Tidak Aktif",
IF(ISBLANK(H13),"Belum mengisi",IF(H13&gt;=20,"Sudah terbiasa","Belum terbiasa"))))))</f>
        <v>Nama Siswa Kosong</v>
      </c>
      <c r="X13" s="108" t="str">
        <f t="shared" ref="X13:X19" si="6">IF(LEN($B13)=0,"",IF(LEN($C13)=0,"Nama Siswa Kosong",IF($E13="","Status Siswa Kosong",IF($E13&lt;&gt;"Aktif","Siswa Tidak Aktif",
IF(ISBLANK(I13),"Belum mengisi",IF(I13&gt;=20,"Sudah terbiasa","Belum terbiasa"))))))</f>
        <v>Nama Siswa Kosong</v>
      </c>
      <c r="Y13" s="108" t="str">
        <f t="shared" ref="Y13:Y19" si="7">IF(LEN($B13)=0,"",IF(LEN($C13)=0,"Nama Siswa Kosong",IF($E13="","Status Siswa Kosong",IF($E13&lt;&gt;"Aktif","Siswa Tidak Aktif",
IF(ISBLANK(J13),"Belum mengisi",IF(J13&gt;=20,"Sudah terbiasa","Belum terbiasa"))))))</f>
        <v>Nama Siswa Kosong</v>
      </c>
      <c r="Z13" s="108" t="str">
        <f t="shared" ref="Z13:Z19" si="8">IF(LEN($B13)=0,"",IF(LEN($C13)=0,"Nama Siswa Kosong",IF($E13="","Status Siswa Kosong",IF($E13&lt;&gt;"Aktif","Siswa Tidak Aktif",
IF(ISBLANK(K13),"Belum mengisi",IF(K13&gt;=20,"Sudah terbiasa","Belum terbiasa"))))))</f>
        <v>Nama Siswa Kosong</v>
      </c>
      <c r="AA13" s="108" t="str">
        <f t="shared" ref="AA13:AA19" si="9">IF(LEN($B13)=0,"",IF(LEN($C13)=0,"Nama Siswa Kosong",IF($E13="","Status Siswa Kosong",IF($E13&lt;&gt;"Aktif","Siswa Tidak Aktif",
IF(ISBLANK(L13),"Belum mengisi",IF(L13&gt;=20,"Sudah terbiasa","Belum terbiasa"))))))</f>
        <v>Nama Siswa Kosong</v>
      </c>
      <c r="AB13" s="108" t="str" cm="1">
        <f t="array" ref="AB13">IF(LEN($B13)=0,"",IF(LEN(C13)=0,"Nama Siswa Kosong",IF($E13="","Status Siswa Kosong",IF(S13&lt;&gt;"Aktif","Siswa Tidak Aktif",
IF(OR(U13:AA13="Belum mengisi"),"Belum mengisi",IF(AND(U13:AA13="Sudah terbiasa"),"Sudah terbiasa","Belum terbiasa"))))))</f>
        <v>Nama Siswa Kosong</v>
      </c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</row>
    <row r="14" spans="1:43" ht="15.6" hidden="1" customHeight="1" x14ac:dyDescent="0.3">
      <c r="B14" s="4" t="str">
        <f>IF(ROW(A2)&lt;=profilKelas!$F$14,ROW(A2),"")</f>
        <v/>
      </c>
      <c r="C14" s="94" t="str">
        <f>IF(ISBLANK(identitasMurid!C7),"",identitasMurid!C7)</f>
        <v/>
      </c>
      <c r="D14" s="6" t="str">
        <f>IF(ISBLANK(identitasMurid!D7),"",identitasMurid!D7)</f>
        <v/>
      </c>
      <c r="E14" s="95"/>
      <c r="F14" s="95"/>
      <c r="G14" s="95"/>
      <c r="H14" s="95"/>
      <c r="I14" s="95"/>
      <c r="J14" s="95"/>
      <c r="K14" s="95"/>
      <c r="L14" s="95"/>
      <c r="M14" s="95"/>
      <c r="Q14" s="5" t="str">
        <f>IF(ROW(A2)&lt;=profilKelas!$F$14,ROW(A2),"")</f>
        <v/>
      </c>
      <c r="R14" s="12" t="str">
        <f t="shared" si="0"/>
        <v/>
      </c>
      <c r="S14" s="108" t="str">
        <f t="shared" si="1"/>
        <v/>
      </c>
      <c r="T14" s="108" t="str">
        <f t="shared" si="2"/>
        <v/>
      </c>
      <c r="U14" s="108" t="str">
        <f t="shared" si="3"/>
        <v/>
      </c>
      <c r="V14" s="108" t="str">
        <f t="shared" si="4"/>
        <v/>
      </c>
      <c r="W14" s="108" t="str">
        <f t="shared" si="5"/>
        <v/>
      </c>
      <c r="X14" s="108" t="str">
        <f t="shared" si="6"/>
        <v/>
      </c>
      <c r="Y14" s="108" t="str">
        <f t="shared" si="7"/>
        <v/>
      </c>
      <c r="Z14" s="108" t="str">
        <f t="shared" si="8"/>
        <v/>
      </c>
      <c r="AA14" s="108" t="str">
        <f t="shared" si="9"/>
        <v/>
      </c>
      <c r="AB14" s="108" t="str" cm="1">
        <f t="array" ref="AB14">IF(LEN($B14)=0,"",IF(LEN(C14)=0,"Nama Siswa Kosong",IF($E14="","Status Siswa Kosong",IF(S14&lt;&gt;"Aktif","Siswa Tidak Aktif",
IF(OR(U14:AA14="Belum mengisi"),"Belum mengisi",IF(AND(U14:AA14="Sudah terbiasa"),"Sudah terbiasa","Belum terbiasa"))))))</f>
        <v/>
      </c>
      <c r="AD14" s="162" t="s">
        <v>0</v>
      </c>
      <c r="AE14" s="162" t="s">
        <v>831</v>
      </c>
      <c r="AF14" s="164" t="s">
        <v>833</v>
      </c>
      <c r="AG14" s="173" t="s">
        <v>596</v>
      </c>
      <c r="AH14" s="174"/>
      <c r="AI14" s="174"/>
      <c r="AJ14" s="175"/>
      <c r="AK14" s="13"/>
      <c r="AL14" s="158"/>
      <c r="AM14" s="158"/>
      <c r="AN14" s="158"/>
      <c r="AO14" s="158"/>
      <c r="AP14" s="158"/>
      <c r="AQ14" s="158"/>
    </row>
    <row r="15" spans="1:43" ht="15.6" hidden="1" customHeight="1" x14ac:dyDescent="0.3">
      <c r="B15" s="4" t="str">
        <f>IF(ROW(A3)&lt;=profilKelas!$F$14,ROW(A3),"")</f>
        <v/>
      </c>
      <c r="C15" s="94" t="str">
        <f>IF(ISBLANK(identitasMurid!C8),"",identitasMurid!C8)</f>
        <v/>
      </c>
      <c r="D15" s="6" t="str">
        <f>IF(ISBLANK(identitasMurid!D8),"",identitasMurid!D8)</f>
        <v/>
      </c>
      <c r="E15" s="95"/>
      <c r="F15" s="95"/>
      <c r="G15" s="95"/>
      <c r="H15" s="95"/>
      <c r="I15" s="95"/>
      <c r="J15" s="95"/>
      <c r="K15" s="95"/>
      <c r="L15" s="95"/>
      <c r="M15" s="95"/>
      <c r="Q15" s="5" t="str">
        <f>IF(ROW(A3)&lt;=profilKelas!$F$14,ROW(A3),"")</f>
        <v/>
      </c>
      <c r="R15" s="12" t="str">
        <f t="shared" si="0"/>
        <v/>
      </c>
      <c r="S15" s="108" t="str">
        <f t="shared" si="1"/>
        <v/>
      </c>
      <c r="T15" s="108" t="str">
        <f t="shared" si="2"/>
        <v/>
      </c>
      <c r="U15" s="108" t="str">
        <f t="shared" si="3"/>
        <v/>
      </c>
      <c r="V15" s="108" t="str">
        <f t="shared" si="4"/>
        <v/>
      </c>
      <c r="W15" s="108" t="str">
        <f t="shared" si="5"/>
        <v/>
      </c>
      <c r="X15" s="108" t="str">
        <f t="shared" si="6"/>
        <v/>
      </c>
      <c r="Y15" s="108" t="str">
        <f t="shared" si="7"/>
        <v/>
      </c>
      <c r="Z15" s="108" t="str">
        <f t="shared" si="8"/>
        <v/>
      </c>
      <c r="AA15" s="108" t="str">
        <f t="shared" si="9"/>
        <v/>
      </c>
      <c r="AB15" s="108" t="str" cm="1">
        <f t="array" ref="AB15">IF(LEN($B15)=0,"",IF(LEN(C15)=0,"Nama Siswa Kosong",IF($E15="","Status Siswa Kosong",IF(S15&lt;&gt;"Aktif","Siswa Tidak Aktif",
IF(OR(U15:AA15="Belum mengisi"),"Belum mengisi",IF(AND(U15:AA15="Sudah terbiasa"),"Sudah terbiasa","Belum terbiasa"))))))</f>
        <v/>
      </c>
      <c r="AD15" s="163"/>
      <c r="AE15" s="163"/>
      <c r="AF15" s="165"/>
      <c r="AG15" s="148" t="s">
        <v>597</v>
      </c>
      <c r="AH15" s="148"/>
      <c r="AI15" s="148" t="s">
        <v>598</v>
      </c>
      <c r="AJ15" s="148"/>
      <c r="AK15" s="13"/>
      <c r="AL15" s="158"/>
      <c r="AM15" s="158"/>
      <c r="AN15" s="158"/>
      <c r="AO15" s="158"/>
      <c r="AP15" s="158"/>
      <c r="AQ15" s="158"/>
    </row>
    <row r="16" spans="1:43" hidden="1" x14ac:dyDescent="0.3">
      <c r="B16" s="4" t="str">
        <f>IF(ROW(A4)&lt;=profilKelas!$F$14,ROW(A4),"")</f>
        <v/>
      </c>
      <c r="C16" s="94" t="str">
        <f>IF(ISBLANK(identitasMurid!C9),"",identitasMurid!C9)</f>
        <v/>
      </c>
      <c r="D16" s="6" t="str">
        <f>IF(ISBLANK(identitasMurid!D9),"",identitasMurid!D9)</f>
        <v/>
      </c>
      <c r="E16" s="95"/>
      <c r="F16" s="95"/>
      <c r="G16" s="95"/>
      <c r="H16" s="95"/>
      <c r="I16" s="95"/>
      <c r="J16" s="95"/>
      <c r="K16" s="95"/>
      <c r="L16" s="95"/>
      <c r="M16" s="95"/>
      <c r="Q16" s="5" t="str">
        <f>IF(ROW(A4)&lt;=profilKelas!$F$14,ROW(A4),"")</f>
        <v/>
      </c>
      <c r="R16" s="12" t="str">
        <f t="shared" si="0"/>
        <v/>
      </c>
      <c r="S16" s="108" t="str">
        <f t="shared" si="1"/>
        <v/>
      </c>
      <c r="T16" s="108" t="str">
        <f t="shared" si="2"/>
        <v/>
      </c>
      <c r="U16" s="108" t="str">
        <f t="shared" si="3"/>
        <v/>
      </c>
      <c r="V16" s="108" t="str">
        <f t="shared" si="4"/>
        <v/>
      </c>
      <c r="W16" s="108" t="str">
        <f t="shared" si="5"/>
        <v/>
      </c>
      <c r="X16" s="108" t="str">
        <f t="shared" si="6"/>
        <v/>
      </c>
      <c r="Y16" s="108" t="str">
        <f t="shared" si="7"/>
        <v/>
      </c>
      <c r="Z16" s="108" t="str">
        <f t="shared" si="8"/>
        <v/>
      </c>
      <c r="AA16" s="108" t="str">
        <f t="shared" si="9"/>
        <v/>
      </c>
      <c r="AB16" s="108" t="str" cm="1">
        <f t="array" ref="AB16">IF(LEN($B16)=0,"",IF(LEN(C16)=0,"Nama Siswa Kosong",IF($E16="","Status Siswa Kosong",IF(S16&lt;&gt;"Aktif","Siswa Tidak Aktif",
IF(OR(U16:AA16="Belum mengisi"),"Belum mengisi",IF(AND(U16:AA16="Sudah terbiasa"),"Sudah terbiasa","Belum terbiasa"))))))</f>
        <v/>
      </c>
      <c r="AD16" s="41">
        <v>1</v>
      </c>
      <c r="AE16" s="41" t="s">
        <v>607</v>
      </c>
      <c r="AF16" s="10">
        <f>COUNTIF(JulPL,Perempuan)</f>
        <v>0</v>
      </c>
      <c r="AG16" s="96">
        <f>COUNTIFS(JulKategoriAkhir,SudahTerbiasa,JulPL,Perempuan)</f>
        <v>0</v>
      </c>
      <c r="AH16" s="96"/>
      <c r="AI16" s="96">
        <f>COUNTIFS(JulKategoriAkhir,BelumTerbiasa,JulPL,Perempuan)</f>
        <v>0</v>
      </c>
      <c r="AJ16" s="96"/>
      <c r="AK16" s="13"/>
      <c r="AL16" s="158"/>
      <c r="AM16" s="158"/>
      <c r="AN16" s="158"/>
      <c r="AO16" s="158"/>
      <c r="AP16" s="158"/>
      <c r="AQ16" s="158"/>
    </row>
    <row r="17" spans="2:43" hidden="1" x14ac:dyDescent="0.3">
      <c r="B17" s="4" t="str">
        <f>IF(ROW(A5)&lt;=profilKelas!$F$14,ROW(A5),"")</f>
        <v/>
      </c>
      <c r="C17" s="94" t="str">
        <f>IF(ISBLANK(identitasMurid!C10),"",identitasMurid!C10)</f>
        <v/>
      </c>
      <c r="D17" s="6" t="str">
        <f>IF(ISBLANK(identitasMurid!D10),"",identitasMurid!D10)</f>
        <v/>
      </c>
      <c r="E17" s="95"/>
      <c r="F17" s="95"/>
      <c r="G17" s="95"/>
      <c r="H17" s="95"/>
      <c r="I17" s="95"/>
      <c r="J17" s="95"/>
      <c r="K17" s="95"/>
      <c r="L17" s="95"/>
      <c r="M17" s="95"/>
      <c r="Q17" s="5" t="str">
        <f>IF(ROW(A5)&lt;=profilKelas!$F$14,ROW(A5),"")</f>
        <v/>
      </c>
      <c r="R17" s="12" t="str">
        <f t="shared" si="0"/>
        <v/>
      </c>
      <c r="S17" s="108" t="str">
        <f t="shared" si="1"/>
        <v/>
      </c>
      <c r="T17" s="108" t="str">
        <f t="shared" si="2"/>
        <v/>
      </c>
      <c r="U17" s="108" t="str">
        <f t="shared" si="3"/>
        <v/>
      </c>
      <c r="V17" s="108" t="str">
        <f t="shared" si="4"/>
        <v/>
      </c>
      <c r="W17" s="108" t="str">
        <f t="shared" si="5"/>
        <v/>
      </c>
      <c r="X17" s="108" t="str">
        <f t="shared" si="6"/>
        <v/>
      </c>
      <c r="Y17" s="108" t="str">
        <f t="shared" si="7"/>
        <v/>
      </c>
      <c r="Z17" s="108" t="str">
        <f t="shared" si="8"/>
        <v/>
      </c>
      <c r="AA17" s="108" t="str">
        <f t="shared" si="9"/>
        <v/>
      </c>
      <c r="AB17" s="108" t="str" cm="1">
        <f t="array" ref="AB17">IF(LEN($B17)=0,"",IF(LEN(C17)=0,"Nama Siswa Kosong",IF($E17="","Status Siswa Kosong",IF(S17&lt;&gt;"Aktif","Siswa Tidak Aktif",
IF(OR(U17:AA17="Belum mengisi"),"Belum mengisi",IF(AND(U17:AA17="Sudah terbiasa"),"Sudah terbiasa","Belum terbiasa"))))))</f>
        <v/>
      </c>
      <c r="AD17" s="41">
        <v>2</v>
      </c>
      <c r="AE17" s="41" t="s">
        <v>608</v>
      </c>
      <c r="AF17" s="97">
        <f>COUNTIF(JulPL,Laki_Laki)</f>
        <v>0</v>
      </c>
      <c r="AG17" s="96">
        <f>COUNTIFS(JulKategoriAkhir,SudahTerbiasa,JulPL,Laki_Laki)</f>
        <v>0</v>
      </c>
      <c r="AH17" s="96"/>
      <c r="AI17" s="96">
        <f>COUNTIFS(JulKategoriAkhir,BelumTerbiasa,JulPL,Laki_Laki)</f>
        <v>0</v>
      </c>
      <c r="AJ17" s="96"/>
      <c r="AK17" s="13"/>
      <c r="AL17" s="158"/>
      <c r="AM17" s="158"/>
      <c r="AN17" s="158"/>
      <c r="AO17" s="158"/>
      <c r="AP17" s="158"/>
      <c r="AQ17" s="158"/>
    </row>
    <row r="18" spans="2:43" hidden="1" x14ac:dyDescent="0.3">
      <c r="B18" s="4" t="str">
        <f>IF(ROW(A6)&lt;=profilKelas!$F$14,ROW(A6),"")</f>
        <v/>
      </c>
      <c r="C18" s="94" t="str">
        <f>IF(ISBLANK(identitasMurid!C11),"",identitasMurid!C11)</f>
        <v/>
      </c>
      <c r="D18" s="6" t="str">
        <f>IF(ISBLANK(identitasMurid!D11),"",identitasMurid!D11)</f>
        <v/>
      </c>
      <c r="E18" s="95"/>
      <c r="F18" s="95"/>
      <c r="G18" s="95"/>
      <c r="H18" s="95"/>
      <c r="I18" s="95"/>
      <c r="J18" s="95"/>
      <c r="K18" s="95"/>
      <c r="L18" s="95"/>
      <c r="M18" s="95"/>
      <c r="Q18" s="5" t="str">
        <f>IF(ROW(A6)&lt;=profilKelas!$F$14,ROW(A6),"")</f>
        <v/>
      </c>
      <c r="R18" s="12" t="str">
        <f t="shared" si="0"/>
        <v/>
      </c>
      <c r="S18" s="108" t="str">
        <f t="shared" si="1"/>
        <v/>
      </c>
      <c r="T18" s="108" t="str">
        <f t="shared" si="2"/>
        <v/>
      </c>
      <c r="U18" s="108" t="str">
        <f t="shared" si="3"/>
        <v/>
      </c>
      <c r="V18" s="108" t="str">
        <f t="shared" si="4"/>
        <v/>
      </c>
      <c r="W18" s="108" t="str">
        <f t="shared" si="5"/>
        <v/>
      </c>
      <c r="X18" s="108" t="str">
        <f t="shared" si="6"/>
        <v/>
      </c>
      <c r="Y18" s="108" t="str">
        <f t="shared" si="7"/>
        <v/>
      </c>
      <c r="Z18" s="108" t="str">
        <f t="shared" si="8"/>
        <v/>
      </c>
      <c r="AA18" s="108" t="str">
        <f t="shared" si="9"/>
        <v/>
      </c>
      <c r="AB18" s="108" t="str" cm="1">
        <f t="array" ref="AB18">IF(LEN($B18)=0,"",IF(LEN(C18)=0,"Nama Siswa Kosong",IF($E18="","Status Siswa Kosong",IF(S18&lt;&gt;"Aktif","Siswa Tidak Aktif",
IF(OR(U18:AA18="Belum mengisi"),"Belum mengisi",IF(AND(U18:AA18="Sudah terbiasa"),"Sudah terbiasa","Belum terbiasa"))))))</f>
        <v/>
      </c>
      <c r="AD18" s="160" t="s">
        <v>832</v>
      </c>
      <c r="AE18" s="160"/>
      <c r="AF18" s="3">
        <f>SUM(AF16:AF17)</f>
        <v>0</v>
      </c>
      <c r="AG18" s="96">
        <f>SUM(AG16:AG17)</f>
        <v>0</v>
      </c>
      <c r="AH18" s="96"/>
      <c r="AI18" s="96">
        <f>SUM(AI16:AI17)</f>
        <v>0</v>
      </c>
      <c r="AJ18" s="96"/>
      <c r="AK18" s="13"/>
      <c r="AL18" s="158"/>
      <c r="AM18" s="158"/>
      <c r="AN18" s="158"/>
      <c r="AO18" s="158"/>
      <c r="AP18" s="158"/>
      <c r="AQ18" s="158"/>
    </row>
    <row r="19" spans="2:43" hidden="1" x14ac:dyDescent="0.3">
      <c r="B19" s="4" t="str">
        <f>IF(ROW(A7)&lt;=profilKelas!$F$14,ROW(A7),"")</f>
        <v/>
      </c>
      <c r="C19" s="94" t="str">
        <f>IF(ISBLANK(identitasMurid!C12),"",identitasMurid!C12)</f>
        <v/>
      </c>
      <c r="D19" s="6" t="str">
        <f>IF(ISBLANK(identitasMurid!D12),"",identitasMurid!D12)</f>
        <v/>
      </c>
      <c r="E19" s="95"/>
      <c r="F19" s="95"/>
      <c r="G19" s="95"/>
      <c r="H19" s="95"/>
      <c r="I19" s="95"/>
      <c r="J19" s="95"/>
      <c r="K19" s="95"/>
      <c r="L19" s="95"/>
      <c r="M19" s="95"/>
      <c r="Q19" s="5" t="str">
        <f>IF(ROW(A7)&lt;=profilKelas!$F$14,ROW(A7),"")</f>
        <v/>
      </c>
      <c r="R19" s="12" t="str">
        <f t="shared" si="0"/>
        <v/>
      </c>
      <c r="S19" s="108" t="str">
        <f t="shared" si="1"/>
        <v/>
      </c>
      <c r="T19" s="108" t="str">
        <f t="shared" si="2"/>
        <v/>
      </c>
      <c r="U19" s="108" t="str">
        <f t="shared" si="3"/>
        <v/>
      </c>
      <c r="V19" s="108" t="str">
        <f t="shared" si="4"/>
        <v/>
      </c>
      <c r="W19" s="108" t="str">
        <f t="shared" si="5"/>
        <v/>
      </c>
      <c r="X19" s="108" t="str">
        <f t="shared" si="6"/>
        <v/>
      </c>
      <c r="Y19" s="108" t="str">
        <f t="shared" si="7"/>
        <v/>
      </c>
      <c r="Z19" s="108" t="str">
        <f t="shared" si="8"/>
        <v/>
      </c>
      <c r="AA19" s="108" t="str">
        <f t="shared" si="9"/>
        <v/>
      </c>
      <c r="AB19" s="108" t="str" cm="1">
        <f t="array" ref="AB19">IF(LEN($B19)=0,"",IF(LEN(C19)=0,"Nama Siswa Kosong",IF($E19="","Status Siswa Kosong",IF(S19&lt;&gt;"Aktif","Siswa Tidak Aktif",
IF(OR(U19:AA19="Belum mengisi"),"Belum mengisi",IF(AND(U19:AA19="Sudah terbiasa"),"Sudah terbiasa","Belum terbiasa"))))))</f>
        <v/>
      </c>
      <c r="AD19" s="13"/>
      <c r="AE19" s="13"/>
      <c r="AF19" s="13"/>
      <c r="AG19" s="13"/>
      <c r="AH19" s="13"/>
      <c r="AI19" s="13"/>
      <c r="AJ19" s="13"/>
      <c r="AK19" s="13"/>
      <c r="AL19" s="43"/>
      <c r="AM19" s="43"/>
      <c r="AN19" s="43"/>
      <c r="AO19" s="43"/>
      <c r="AP19" s="43"/>
      <c r="AQ19" s="43"/>
    </row>
    <row r="20" spans="2:43" hidden="1" x14ac:dyDescent="0.3">
      <c r="B20" s="4" t="str">
        <f>IF(ROW(A8)&lt;=profilKelas!$F$14,ROW(A8),"")</f>
        <v/>
      </c>
      <c r="C20" s="94" t="str">
        <f>IF(ISBLANK(identitasMurid!C13),"",identitasMurid!C13)</f>
        <v/>
      </c>
      <c r="D20" s="6" t="str">
        <f>IF(ISBLANK(identitasMurid!D13),"",identitasMurid!D13)</f>
        <v/>
      </c>
      <c r="E20" s="95"/>
      <c r="F20" s="95"/>
      <c r="G20" s="95"/>
      <c r="H20" s="95"/>
      <c r="I20" s="95"/>
      <c r="J20" s="95"/>
      <c r="K20" s="95"/>
      <c r="L20" s="95"/>
      <c r="M20" s="95"/>
      <c r="Q20" s="5" t="str">
        <f>IF(ROW(A8)&lt;=profilKelas!$F$14,ROW(A8),"")</f>
        <v/>
      </c>
      <c r="R20" s="12" t="str">
        <f t="shared" ref="R20" si="10">C20</f>
        <v/>
      </c>
      <c r="S20" s="108" t="str">
        <f>IF(LEN(B20)=0,"",IF(ISBLANK(E20),"Status Siswa Kosong",E20))</f>
        <v/>
      </c>
      <c r="T20" s="108" t="str">
        <f t="shared" ref="T20" si="11">IF(ISBLANK(D20),"",D20)</f>
        <v/>
      </c>
      <c r="U20" s="108" t="str">
        <f t="shared" ref="U20:AA20" si="12">IF(LEN($B20)=0,"",IF(LEN($C20)=0,"Nama Siswa Kosong",IF($E20="","Status Siswa Kosong",IF($E20&lt;&gt;"Aktif","Siswa Tidak Aktif",
IF(ISBLANK(F20),"Belum mengisi",IF(F20&gt;=20,"Sudah terbiasa","Belum terbiasa"))))))</f>
        <v/>
      </c>
      <c r="V20" s="108" t="str">
        <f t="shared" si="12"/>
        <v/>
      </c>
      <c r="W20" s="108" t="str">
        <f t="shared" si="12"/>
        <v/>
      </c>
      <c r="X20" s="108" t="str">
        <f t="shared" si="12"/>
        <v/>
      </c>
      <c r="Y20" s="108" t="str">
        <f t="shared" si="12"/>
        <v/>
      </c>
      <c r="Z20" s="108" t="str">
        <f t="shared" si="12"/>
        <v/>
      </c>
      <c r="AA20" s="108" t="str">
        <f t="shared" si="12"/>
        <v/>
      </c>
      <c r="AB20" s="108" t="str" cm="1">
        <f t="array" ref="AB20">IF(LEN($B20)=0,"",IF(LEN(C20)=0,"Nama Siswa Kosong",IF($E20="","Status Siswa Kosong",IF(S20&lt;&gt;"Aktif","Siswa Tidak Aktif",
IF(OR(U20:AA20="Belum mengisi"),"Belum mengisi",IF(AND(U20:AA20="Sudah terbiasa"),"Sudah terbiasa","Belum terbiasa"))))))</f>
        <v/>
      </c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</row>
    <row r="21" spans="2:43" ht="15.75" hidden="1" customHeight="1" x14ac:dyDescent="0.3">
      <c r="B21" s="4" t="str">
        <f>IF(ROW(A9)&lt;=profilKelas!$F$14,ROW(A9),"")</f>
        <v/>
      </c>
      <c r="C21" s="94" t="str">
        <f>IF(ISBLANK(identitasMurid!C14),"",identitasMurid!C14)</f>
        <v/>
      </c>
      <c r="D21" s="6" t="str">
        <f>IF(ISBLANK(identitasMurid!D14),"",identitasMurid!D14)</f>
        <v/>
      </c>
      <c r="E21" s="95"/>
      <c r="F21" s="95"/>
      <c r="G21" s="95"/>
      <c r="H21" s="95"/>
      <c r="I21" s="95"/>
      <c r="J21" s="95"/>
      <c r="K21" s="95"/>
      <c r="L21" s="95"/>
      <c r="M21" s="95"/>
      <c r="Q21" s="5" t="str">
        <f>IF(ROW(A9)&lt;=profilKelas!$F$14,ROW(A9),"")</f>
        <v/>
      </c>
      <c r="R21" s="12" t="str">
        <f t="shared" ref="R21:R57" si="13">C21</f>
        <v/>
      </c>
      <c r="S21" s="108" t="str">
        <f t="shared" ref="S21:S57" si="14">IF(LEN(B21)=0,"",IF(ISBLANK(E21),"Status Siswa Kosong",E21))</f>
        <v/>
      </c>
      <c r="T21" s="108" t="str">
        <f t="shared" ref="T21:T57" si="15">IF(ISBLANK(D21),"",D21)</f>
        <v/>
      </c>
      <c r="U21" s="108" t="str">
        <f t="shared" ref="U21:U57" si="16">IF(LEN($B21)=0,"",IF(LEN($C21)=0,"Nama Siswa Kosong",IF($E21="","Status Siswa Kosong",IF($E21&lt;&gt;"Aktif","Siswa Tidak Aktif",
IF(ISBLANK(F21),"Belum mengisi",IF(F21&gt;=20,"Sudah terbiasa","Belum terbiasa"))))))</f>
        <v/>
      </c>
      <c r="V21" s="108" t="str">
        <f t="shared" ref="V21:V57" si="17">IF(LEN($B21)=0,"",IF(LEN($C21)=0,"Nama Siswa Kosong",IF($E21="","Status Siswa Kosong",IF($E21&lt;&gt;"Aktif","Siswa Tidak Aktif",
IF(ISBLANK(G21),"Belum mengisi",IF(G21&gt;=20,"Sudah terbiasa","Belum terbiasa"))))))</f>
        <v/>
      </c>
      <c r="W21" s="108" t="str">
        <f t="shared" ref="W21:W57" si="18">IF(LEN($B21)=0,"",IF(LEN($C21)=0,"Nama Siswa Kosong",IF($E21="","Status Siswa Kosong",IF($E21&lt;&gt;"Aktif","Siswa Tidak Aktif",
IF(ISBLANK(H21),"Belum mengisi",IF(H21&gt;=20,"Sudah terbiasa","Belum terbiasa"))))))</f>
        <v/>
      </c>
      <c r="X21" s="108" t="str">
        <f t="shared" ref="X21:X57" si="19">IF(LEN($B21)=0,"",IF(LEN($C21)=0,"Nama Siswa Kosong",IF($E21="","Status Siswa Kosong",IF($E21&lt;&gt;"Aktif","Siswa Tidak Aktif",
IF(ISBLANK(I21),"Belum mengisi",IF(I21&gt;=20,"Sudah terbiasa","Belum terbiasa"))))))</f>
        <v/>
      </c>
      <c r="Y21" s="108" t="str">
        <f t="shared" ref="Y21:Y57" si="20">IF(LEN($B21)=0,"",IF(LEN($C21)=0,"Nama Siswa Kosong",IF($E21="","Status Siswa Kosong",IF($E21&lt;&gt;"Aktif","Siswa Tidak Aktif",
IF(ISBLANK(J21),"Belum mengisi",IF(J21&gt;=20,"Sudah terbiasa","Belum terbiasa"))))))</f>
        <v/>
      </c>
      <c r="Z21" s="108" t="str">
        <f t="shared" ref="Z21:Z57" si="21">IF(LEN($B21)=0,"",IF(LEN($C21)=0,"Nama Siswa Kosong",IF($E21="","Status Siswa Kosong",IF($E21&lt;&gt;"Aktif","Siswa Tidak Aktif",
IF(ISBLANK(K21),"Belum mengisi",IF(K21&gt;=20,"Sudah terbiasa","Belum terbiasa"))))))</f>
        <v/>
      </c>
      <c r="AA21" s="108" t="str">
        <f t="shared" ref="AA21:AA57" si="22">IF(LEN($B21)=0,"",IF(LEN($C21)=0,"Nama Siswa Kosong",IF($E21="","Status Siswa Kosong",IF($E21&lt;&gt;"Aktif","Siswa Tidak Aktif",
IF(ISBLANK(L21),"Belum mengisi",IF(L21&gt;=20,"Sudah terbiasa","Belum terbiasa"))))))</f>
        <v/>
      </c>
      <c r="AB21" s="108" t="str" cm="1">
        <f t="array" ref="AB21">IF(LEN($B21)=0,"",IF(LEN(C21)=0,"Nama Siswa Kosong",IF($E21="","Status Siswa Kosong",IF(S21&lt;&gt;"Aktif","Siswa Tidak Aktif",
IF(OR(U21:AA21="Belum mengisi"),"Belum mengisi",IF(AND(U21:AA21="Sudah terbiasa"),"Sudah terbiasa","Belum terbiasa"))))))</f>
        <v/>
      </c>
      <c r="AD21" s="13"/>
      <c r="AE21" s="13"/>
      <c r="AF21" s="13"/>
      <c r="AG21" s="173" t="s">
        <v>596</v>
      </c>
      <c r="AH21" s="174"/>
      <c r="AI21" s="174"/>
      <c r="AJ21" s="175"/>
      <c r="AK21" s="13"/>
      <c r="AL21" s="13"/>
      <c r="AM21" s="13"/>
      <c r="AN21" s="13"/>
      <c r="AO21" s="13"/>
      <c r="AP21" s="13"/>
      <c r="AQ21" s="13"/>
    </row>
    <row r="22" spans="2:43" hidden="1" x14ac:dyDescent="0.3">
      <c r="B22" s="4" t="str">
        <f>IF(ROW(A10)&lt;=profilKelas!$F$14,ROW(A10),"")</f>
        <v/>
      </c>
      <c r="C22" s="94" t="str">
        <f>IF(ISBLANK(identitasMurid!C15),"",identitasMurid!C15)</f>
        <v/>
      </c>
      <c r="D22" s="6" t="str">
        <f>IF(ISBLANK(identitasMurid!D15),"",identitasMurid!D15)</f>
        <v/>
      </c>
      <c r="E22" s="95"/>
      <c r="F22" s="95"/>
      <c r="G22" s="95"/>
      <c r="H22" s="95"/>
      <c r="I22" s="95"/>
      <c r="J22" s="95"/>
      <c r="K22" s="95"/>
      <c r="L22" s="95"/>
      <c r="M22" s="95"/>
      <c r="Q22" s="5" t="str">
        <f>IF(ROW(A10)&lt;=profilKelas!$F$14,ROW(A10),"")</f>
        <v/>
      </c>
      <c r="R22" s="12" t="str">
        <f t="shared" si="13"/>
        <v/>
      </c>
      <c r="S22" s="108" t="str">
        <f t="shared" si="14"/>
        <v/>
      </c>
      <c r="T22" s="108" t="str">
        <f t="shared" si="15"/>
        <v/>
      </c>
      <c r="U22" s="108" t="str">
        <f t="shared" si="16"/>
        <v/>
      </c>
      <c r="V22" s="108" t="str">
        <f t="shared" si="17"/>
        <v/>
      </c>
      <c r="W22" s="108" t="str">
        <f t="shared" si="18"/>
        <v/>
      </c>
      <c r="X22" s="108" t="str">
        <f t="shared" si="19"/>
        <v/>
      </c>
      <c r="Y22" s="108" t="str">
        <f t="shared" si="20"/>
        <v/>
      </c>
      <c r="Z22" s="108" t="str">
        <f t="shared" si="21"/>
        <v/>
      </c>
      <c r="AA22" s="108" t="str">
        <f t="shared" si="22"/>
        <v/>
      </c>
      <c r="AB22" s="108" t="str" cm="1">
        <f t="array" ref="AB22">IF(LEN($B22)=0,"",IF(LEN(C22)=0,"Nama Siswa Kosong",IF($E22="","Status Siswa Kosong",IF(S22&lt;&gt;"Aktif","Siswa Tidak Aktif",
IF(OR(U22:AA22="Belum mengisi"),"Belum mengisi",IF(AND(U22:AA22="Sudah terbiasa"),"Sudah terbiasa","Belum terbiasa"))))))</f>
        <v/>
      </c>
      <c r="AD22" s="98" t="s">
        <v>0</v>
      </c>
      <c r="AE22" s="148" t="s">
        <v>18</v>
      </c>
      <c r="AF22" s="148"/>
      <c r="AG22" s="148" t="s">
        <v>597</v>
      </c>
      <c r="AH22" s="148"/>
      <c r="AI22" s="171" t="s">
        <v>598</v>
      </c>
      <c r="AJ22" s="172"/>
      <c r="AK22" s="13"/>
      <c r="AL22" s="13"/>
      <c r="AM22" s="13"/>
      <c r="AN22" s="13"/>
      <c r="AO22" s="13"/>
      <c r="AP22" s="13"/>
      <c r="AQ22" s="13"/>
    </row>
    <row r="23" spans="2:43" hidden="1" x14ac:dyDescent="0.3">
      <c r="B23" s="4" t="str">
        <f>IF(ROW(A11)&lt;=profilKelas!$F$14,ROW(A11),"")</f>
        <v/>
      </c>
      <c r="C23" s="94" t="str">
        <f>IF(ISBLANK(identitasMurid!C16),"",identitasMurid!C16)</f>
        <v/>
      </c>
      <c r="D23" s="6" t="str">
        <f>IF(ISBLANK(identitasMurid!D16),"",identitasMurid!D16)</f>
        <v/>
      </c>
      <c r="E23" s="95"/>
      <c r="F23" s="95"/>
      <c r="G23" s="95"/>
      <c r="H23" s="95"/>
      <c r="I23" s="95"/>
      <c r="J23" s="95"/>
      <c r="K23" s="95"/>
      <c r="L23" s="95"/>
      <c r="M23" s="95"/>
      <c r="Q23" s="5" t="str">
        <f>IF(ROW(A11)&lt;=profilKelas!$F$14,ROW(A11),"")</f>
        <v/>
      </c>
      <c r="R23" s="12" t="str">
        <f t="shared" si="13"/>
        <v/>
      </c>
      <c r="S23" s="108" t="str">
        <f t="shared" si="14"/>
        <v/>
      </c>
      <c r="T23" s="108" t="str">
        <f t="shared" si="15"/>
        <v/>
      </c>
      <c r="U23" s="108" t="str">
        <f t="shared" si="16"/>
        <v/>
      </c>
      <c r="V23" s="108" t="str">
        <f t="shared" si="17"/>
        <v/>
      </c>
      <c r="W23" s="108" t="str">
        <f t="shared" si="18"/>
        <v/>
      </c>
      <c r="X23" s="108" t="str">
        <f t="shared" si="19"/>
        <v/>
      </c>
      <c r="Y23" s="108" t="str">
        <f t="shared" si="20"/>
        <v/>
      </c>
      <c r="Z23" s="108" t="str">
        <f t="shared" si="21"/>
        <v/>
      </c>
      <c r="AA23" s="108" t="str">
        <f t="shared" si="22"/>
        <v/>
      </c>
      <c r="AB23" s="108" t="str" cm="1">
        <f t="array" ref="AB23">IF(LEN($B23)=0,"",IF(LEN(C23)=0,"Nama Siswa Kosong",IF($E23="","Status Siswa Kosong",IF(S23&lt;&gt;"Aktif","Siswa Tidak Aktif",
IF(OR(U23:AA23="Belum mengisi"),"Belum mengisi",IF(AND(U23:AA23="Sudah terbiasa"),"Sudah terbiasa","Belum terbiasa"))))))</f>
        <v/>
      </c>
      <c r="AC23" s="99">
        <f t="shared" ref="AC23:AC29" si="23">RANK(AG23,$AG$23:$AG$29)</f>
        <v>1</v>
      </c>
      <c r="AD23" s="41">
        <v>1</v>
      </c>
      <c r="AE23" s="161" t="s">
        <v>2</v>
      </c>
      <c r="AF23" s="161"/>
      <c r="AG23" s="10">
        <f>COUNTIF(JulBangunPagi,SudahTerbiasa)</f>
        <v>0</v>
      </c>
      <c r="AH23" s="50">
        <f>IF(LEN(profilKelas!$F$14)=0,"",AG23/profilKelas!$F$14)</f>
        <v>0</v>
      </c>
      <c r="AI23" s="10">
        <f>COUNTIF(JulBangunPagi,BelumTerbiasa)</f>
        <v>0</v>
      </c>
      <c r="AJ23" s="50">
        <f>IF(LEN(profilKelas!$F$14)=0,"",AI23/profilKelas!$F$14)</f>
        <v>0</v>
      </c>
      <c r="AK23" s="13"/>
      <c r="AL23" s="13"/>
      <c r="AM23" s="13"/>
      <c r="AN23" s="13"/>
      <c r="AO23" s="13"/>
      <c r="AP23" s="13"/>
      <c r="AQ23" s="13"/>
    </row>
    <row r="24" spans="2:43" hidden="1" x14ac:dyDescent="0.3">
      <c r="B24" s="4" t="str">
        <f>IF(ROW(A12)&lt;=profilKelas!$F$14,ROW(A12),"")</f>
        <v/>
      </c>
      <c r="C24" s="94" t="str">
        <f>IF(ISBLANK(identitasMurid!C17),"",identitasMurid!C17)</f>
        <v/>
      </c>
      <c r="D24" s="6" t="str">
        <f>IF(ISBLANK(identitasMurid!D17),"",identitasMurid!D17)</f>
        <v/>
      </c>
      <c r="E24" s="95"/>
      <c r="F24" s="95"/>
      <c r="G24" s="95"/>
      <c r="H24" s="95"/>
      <c r="I24" s="95"/>
      <c r="J24" s="95"/>
      <c r="K24" s="95"/>
      <c r="L24" s="95"/>
      <c r="M24" s="95"/>
      <c r="Q24" s="5" t="str">
        <f>IF(ROW(A12)&lt;=profilKelas!$F$14,ROW(A12),"")</f>
        <v/>
      </c>
      <c r="R24" s="12" t="str">
        <f t="shared" si="13"/>
        <v/>
      </c>
      <c r="S24" s="108" t="str">
        <f t="shared" si="14"/>
        <v/>
      </c>
      <c r="T24" s="108" t="str">
        <f t="shared" si="15"/>
        <v/>
      </c>
      <c r="U24" s="108" t="str">
        <f t="shared" si="16"/>
        <v/>
      </c>
      <c r="V24" s="108" t="str">
        <f t="shared" si="17"/>
        <v/>
      </c>
      <c r="W24" s="108" t="str">
        <f t="shared" si="18"/>
        <v/>
      </c>
      <c r="X24" s="108" t="str">
        <f t="shared" si="19"/>
        <v/>
      </c>
      <c r="Y24" s="108" t="str">
        <f t="shared" si="20"/>
        <v/>
      </c>
      <c r="Z24" s="108" t="str">
        <f t="shared" si="21"/>
        <v/>
      </c>
      <c r="AA24" s="108" t="str">
        <f t="shared" si="22"/>
        <v/>
      </c>
      <c r="AB24" s="108" t="str" cm="1">
        <f t="array" ref="AB24">IF(LEN($B24)=0,"",IF(LEN(C24)=0,"Nama Siswa Kosong",IF($E24="","Status Siswa Kosong",IF(S24&lt;&gt;"Aktif","Siswa Tidak Aktif",
IF(OR(U24:AA24="Belum mengisi"),"Belum mengisi",IF(AND(U24:AA24="Sudah terbiasa"),"Sudah terbiasa","Belum terbiasa"))))))</f>
        <v/>
      </c>
      <c r="AC24" s="99">
        <f t="shared" si="23"/>
        <v>1</v>
      </c>
      <c r="AD24" s="41">
        <v>2</v>
      </c>
      <c r="AE24" s="161" t="s">
        <v>3</v>
      </c>
      <c r="AF24" s="161"/>
      <c r="AG24" s="10">
        <f>COUNTIF(JulTaatBeribadah,SudahTerbiasa)</f>
        <v>0</v>
      </c>
      <c r="AH24" s="50">
        <f>IF(LEN(profilKelas!$F$14)=0,"",AG24/profilKelas!$F$14)</f>
        <v>0</v>
      </c>
      <c r="AI24" s="10">
        <f>COUNTIF(JulTaatBeribadah,BelumTerbiasa)</f>
        <v>0</v>
      </c>
      <c r="AJ24" s="50">
        <f>IF(LEN(profilKelas!$F$14)=0,"",AI24/profilKelas!$F$14)</f>
        <v>0</v>
      </c>
      <c r="AK24" s="13"/>
      <c r="AL24" s="13"/>
      <c r="AM24" s="13"/>
      <c r="AN24" s="13"/>
      <c r="AO24" s="13"/>
      <c r="AP24" s="13"/>
      <c r="AQ24" s="13"/>
    </row>
    <row r="25" spans="2:43" hidden="1" x14ac:dyDescent="0.3">
      <c r="B25" s="4" t="str">
        <f>IF(ROW(A13)&lt;=profilKelas!$F$14,ROW(A13),"")</f>
        <v/>
      </c>
      <c r="C25" s="94" t="str">
        <f>IF(ISBLANK(identitasMurid!C18),"",identitasMurid!C18)</f>
        <v/>
      </c>
      <c r="D25" s="6" t="str">
        <f>IF(ISBLANK(identitasMurid!D18),"",identitasMurid!D18)</f>
        <v/>
      </c>
      <c r="E25" s="95"/>
      <c r="F25" s="95"/>
      <c r="G25" s="95"/>
      <c r="H25" s="95"/>
      <c r="I25" s="95"/>
      <c r="J25" s="95"/>
      <c r="K25" s="95"/>
      <c r="L25" s="95"/>
      <c r="M25" s="95"/>
      <c r="Q25" s="5" t="str">
        <f>IF(ROW(A13)&lt;=profilKelas!$F$14,ROW(A13),"")</f>
        <v/>
      </c>
      <c r="R25" s="12" t="str">
        <f t="shared" si="13"/>
        <v/>
      </c>
      <c r="S25" s="108" t="str">
        <f t="shared" si="14"/>
        <v/>
      </c>
      <c r="T25" s="108" t="str">
        <f t="shared" si="15"/>
        <v/>
      </c>
      <c r="U25" s="108" t="str">
        <f t="shared" si="16"/>
        <v/>
      </c>
      <c r="V25" s="108" t="str">
        <f t="shared" si="17"/>
        <v/>
      </c>
      <c r="W25" s="108" t="str">
        <f t="shared" si="18"/>
        <v/>
      </c>
      <c r="X25" s="108" t="str">
        <f t="shared" si="19"/>
        <v/>
      </c>
      <c r="Y25" s="108" t="str">
        <f t="shared" si="20"/>
        <v/>
      </c>
      <c r="Z25" s="108" t="str">
        <f t="shared" si="21"/>
        <v/>
      </c>
      <c r="AA25" s="108" t="str">
        <f t="shared" si="22"/>
        <v/>
      </c>
      <c r="AB25" s="108" t="str" cm="1">
        <f t="array" ref="AB25">IF(LEN($B25)=0,"",IF(LEN(C25)=0,"Nama Siswa Kosong",IF($E25="","Status Siswa Kosong",IF(S25&lt;&gt;"Aktif","Siswa Tidak Aktif",
IF(OR(U25:AA25="Belum mengisi"),"Belum mengisi",IF(AND(U25:AA25="Sudah terbiasa"),"Sudah terbiasa","Belum terbiasa"))))))</f>
        <v/>
      </c>
      <c r="AC25" s="99">
        <f t="shared" si="23"/>
        <v>1</v>
      </c>
      <c r="AD25" s="41">
        <v>3</v>
      </c>
      <c r="AE25" s="161" t="s">
        <v>4</v>
      </c>
      <c r="AF25" s="161"/>
      <c r="AG25" s="10">
        <f>COUNTIF(JulBerolahraga,SudahTerbiasa)</f>
        <v>0</v>
      </c>
      <c r="AH25" s="50">
        <f>IF(LEN(profilKelas!$F$14)=0,"",AG25/profilKelas!$F$14)</f>
        <v>0</v>
      </c>
      <c r="AI25" s="10">
        <f>COUNTIF(JulBerolahraga,BelumTerbiasa)</f>
        <v>0</v>
      </c>
      <c r="AJ25" s="50">
        <f>IF(LEN(profilKelas!$F$14)=0,"",AI25/profilKelas!$F$14)</f>
        <v>0</v>
      </c>
      <c r="AK25" s="13"/>
      <c r="AL25" s="13"/>
      <c r="AM25" s="13"/>
      <c r="AN25" s="13"/>
      <c r="AO25" s="13"/>
      <c r="AP25" s="13"/>
      <c r="AQ25" s="13"/>
    </row>
    <row r="26" spans="2:43" hidden="1" x14ac:dyDescent="0.3">
      <c r="B26" s="4" t="str">
        <f>IF(ROW(A14)&lt;=profilKelas!$F$14,ROW(A14),"")</f>
        <v/>
      </c>
      <c r="C26" s="94" t="str">
        <f>IF(ISBLANK(identitasMurid!C19),"",identitasMurid!C19)</f>
        <v/>
      </c>
      <c r="D26" s="6" t="str">
        <f>IF(ISBLANK(identitasMurid!D19),"",identitasMurid!D19)</f>
        <v/>
      </c>
      <c r="E26" s="95"/>
      <c r="F26" s="95"/>
      <c r="G26" s="95"/>
      <c r="H26" s="95"/>
      <c r="I26" s="95"/>
      <c r="J26" s="95"/>
      <c r="K26" s="95"/>
      <c r="L26" s="95"/>
      <c r="M26" s="95"/>
      <c r="Q26" s="5" t="str">
        <f>IF(ROW(A14)&lt;=profilKelas!$F$14,ROW(A14),"")</f>
        <v/>
      </c>
      <c r="R26" s="12" t="str">
        <f t="shared" si="13"/>
        <v/>
      </c>
      <c r="S26" s="108" t="str">
        <f t="shared" si="14"/>
        <v/>
      </c>
      <c r="T26" s="108" t="str">
        <f t="shared" si="15"/>
        <v/>
      </c>
      <c r="U26" s="108" t="str">
        <f t="shared" si="16"/>
        <v/>
      </c>
      <c r="V26" s="108" t="str">
        <f t="shared" si="17"/>
        <v/>
      </c>
      <c r="W26" s="108" t="str">
        <f t="shared" si="18"/>
        <v/>
      </c>
      <c r="X26" s="108" t="str">
        <f t="shared" si="19"/>
        <v/>
      </c>
      <c r="Y26" s="108" t="str">
        <f t="shared" si="20"/>
        <v/>
      </c>
      <c r="Z26" s="108" t="str">
        <f t="shared" si="21"/>
        <v/>
      </c>
      <c r="AA26" s="108" t="str">
        <f t="shared" si="22"/>
        <v/>
      </c>
      <c r="AB26" s="108" t="str" cm="1">
        <f t="array" ref="AB26">IF(LEN($B26)=0,"",IF(LEN(C26)=0,"Nama Siswa Kosong",IF($E26="","Status Siswa Kosong",IF(S26&lt;&gt;"Aktif","Siswa Tidak Aktif",
IF(OR(U26:AA26="Belum mengisi"),"Belum mengisi",IF(AND(U26:AA26="Sudah terbiasa"),"Sudah terbiasa","Belum terbiasa"))))))</f>
        <v/>
      </c>
      <c r="AC26" s="99">
        <f t="shared" si="23"/>
        <v>1</v>
      </c>
      <c r="AD26" s="41">
        <v>4</v>
      </c>
      <c r="AE26" s="161" t="s">
        <v>5</v>
      </c>
      <c r="AF26" s="161"/>
      <c r="AG26" s="10">
        <f>COUNTIF(JulMakanSehatBergizi,SudahTerbiasa)</f>
        <v>0</v>
      </c>
      <c r="AH26" s="50">
        <f>IF(LEN(profilKelas!$F$14)=0,"",AG26/profilKelas!$F$14)</f>
        <v>0</v>
      </c>
      <c r="AI26" s="10">
        <f>COUNTIF(JulMakanSehatBergizi,BelumTerbiasa)</f>
        <v>0</v>
      </c>
      <c r="AJ26" s="50">
        <f>IF(LEN(profilKelas!$F$14)=0,"",AI26/profilKelas!$F$14)</f>
        <v>0</v>
      </c>
      <c r="AK26" s="13"/>
      <c r="AL26" s="13"/>
      <c r="AM26" s="13"/>
      <c r="AN26" s="13"/>
      <c r="AO26" s="13"/>
      <c r="AP26" s="13"/>
      <c r="AQ26" s="13"/>
    </row>
    <row r="27" spans="2:43" hidden="1" x14ac:dyDescent="0.3">
      <c r="B27" s="4" t="str">
        <f>IF(ROW(A15)&lt;=profilKelas!$F$14,ROW(A15),"")</f>
        <v/>
      </c>
      <c r="C27" s="94" t="str">
        <f>IF(ISBLANK(identitasMurid!C20),"",identitasMurid!C20)</f>
        <v/>
      </c>
      <c r="D27" s="6" t="str">
        <f>IF(ISBLANK(identitasMurid!D20),"",identitasMurid!D20)</f>
        <v/>
      </c>
      <c r="E27" s="95"/>
      <c r="F27" s="95"/>
      <c r="G27" s="95"/>
      <c r="H27" s="95"/>
      <c r="I27" s="95"/>
      <c r="J27" s="95"/>
      <c r="K27" s="95"/>
      <c r="L27" s="95"/>
      <c r="M27" s="95"/>
      <c r="Q27" s="5" t="str">
        <f>IF(ROW(A15)&lt;=profilKelas!$F$14,ROW(A15),"")</f>
        <v/>
      </c>
      <c r="R27" s="12" t="str">
        <f t="shared" si="13"/>
        <v/>
      </c>
      <c r="S27" s="108" t="str">
        <f t="shared" si="14"/>
        <v/>
      </c>
      <c r="T27" s="108" t="str">
        <f t="shared" si="15"/>
        <v/>
      </c>
      <c r="U27" s="108" t="str">
        <f t="shared" si="16"/>
        <v/>
      </c>
      <c r="V27" s="108" t="str">
        <f t="shared" si="17"/>
        <v/>
      </c>
      <c r="W27" s="108" t="str">
        <f t="shared" si="18"/>
        <v/>
      </c>
      <c r="X27" s="108" t="str">
        <f t="shared" si="19"/>
        <v/>
      </c>
      <c r="Y27" s="108" t="str">
        <f t="shared" si="20"/>
        <v/>
      </c>
      <c r="Z27" s="108" t="str">
        <f t="shared" si="21"/>
        <v/>
      </c>
      <c r="AA27" s="108" t="str">
        <f t="shared" si="22"/>
        <v/>
      </c>
      <c r="AB27" s="108" t="str" cm="1">
        <f t="array" ref="AB27">IF(LEN($B27)=0,"",IF(LEN(C27)=0,"Nama Siswa Kosong",IF($E27="","Status Siswa Kosong",IF(S27&lt;&gt;"Aktif","Siswa Tidak Aktif",
IF(OR(U27:AA27="Belum mengisi"),"Belum mengisi",IF(AND(U27:AA27="Sudah terbiasa"),"Sudah terbiasa","Belum terbiasa"))))))</f>
        <v/>
      </c>
      <c r="AC27" s="99">
        <f t="shared" si="23"/>
        <v>1</v>
      </c>
      <c r="AD27" s="41">
        <v>5</v>
      </c>
      <c r="AE27" s="161" t="s">
        <v>6</v>
      </c>
      <c r="AF27" s="161"/>
      <c r="AG27" s="10">
        <f>COUNTIF(JulGemarBelajar,SudahTerbiasa)</f>
        <v>0</v>
      </c>
      <c r="AH27" s="50">
        <f>IF(LEN(profilKelas!$F$14)=0,"",AG27/profilKelas!$F$14)</f>
        <v>0</v>
      </c>
      <c r="AI27" s="10">
        <f>COUNTIF(JulGemarBelajar,BelumTerbiasa)</f>
        <v>0</v>
      </c>
      <c r="AJ27" s="50">
        <f>IF(LEN(profilKelas!$F$14)=0,"",AI27/profilKelas!$F$14)</f>
        <v>0</v>
      </c>
      <c r="AK27" s="13"/>
      <c r="AL27" s="13"/>
      <c r="AM27" s="13"/>
      <c r="AN27" s="13"/>
      <c r="AO27" s="13"/>
      <c r="AP27" s="13"/>
      <c r="AQ27" s="13"/>
    </row>
    <row r="28" spans="2:43" hidden="1" x14ac:dyDescent="0.3">
      <c r="B28" s="4" t="str">
        <f>IF(ROW(A16)&lt;=profilKelas!$F$14,ROW(A16),"")</f>
        <v/>
      </c>
      <c r="C28" s="94" t="str">
        <f>IF(ISBLANK(identitasMurid!C21),"",identitasMurid!C21)</f>
        <v/>
      </c>
      <c r="D28" s="6" t="str">
        <f>IF(ISBLANK(identitasMurid!D21),"",identitasMurid!D21)</f>
        <v/>
      </c>
      <c r="E28" s="95"/>
      <c r="F28" s="95"/>
      <c r="G28" s="95"/>
      <c r="H28" s="95"/>
      <c r="I28" s="95"/>
      <c r="J28" s="95"/>
      <c r="K28" s="95"/>
      <c r="L28" s="95"/>
      <c r="M28" s="95"/>
      <c r="Q28" s="5" t="str">
        <f>IF(ROW(A16)&lt;=profilKelas!$F$14,ROW(A16),"")</f>
        <v/>
      </c>
      <c r="R28" s="12" t="str">
        <f t="shared" si="13"/>
        <v/>
      </c>
      <c r="S28" s="108" t="str">
        <f t="shared" si="14"/>
        <v/>
      </c>
      <c r="T28" s="108" t="str">
        <f t="shared" si="15"/>
        <v/>
      </c>
      <c r="U28" s="108" t="str">
        <f t="shared" si="16"/>
        <v/>
      </c>
      <c r="V28" s="108" t="str">
        <f t="shared" si="17"/>
        <v/>
      </c>
      <c r="W28" s="108" t="str">
        <f t="shared" si="18"/>
        <v/>
      </c>
      <c r="X28" s="108" t="str">
        <f t="shared" si="19"/>
        <v/>
      </c>
      <c r="Y28" s="108" t="str">
        <f t="shared" si="20"/>
        <v/>
      </c>
      <c r="Z28" s="108" t="str">
        <f t="shared" si="21"/>
        <v/>
      </c>
      <c r="AA28" s="108" t="str">
        <f t="shared" si="22"/>
        <v/>
      </c>
      <c r="AB28" s="108" t="str" cm="1">
        <f t="array" ref="AB28">IF(LEN($B28)=0,"",IF(LEN(C28)=0,"Nama Siswa Kosong",IF($E28="","Status Siswa Kosong",IF(S28&lt;&gt;"Aktif","Siswa Tidak Aktif",
IF(OR(U28:AA28="Belum mengisi"),"Belum mengisi",IF(AND(U28:AA28="Sudah terbiasa"),"Sudah terbiasa","Belum terbiasa"))))))</f>
        <v/>
      </c>
      <c r="AC28" s="99">
        <f t="shared" si="23"/>
        <v>1</v>
      </c>
      <c r="AD28" s="41">
        <v>6</v>
      </c>
      <c r="AE28" s="161" t="s">
        <v>7</v>
      </c>
      <c r="AF28" s="161"/>
      <c r="AG28" s="10">
        <f>COUNTIF(JulAktifBermasyarakat,SudahTerbiasa)</f>
        <v>0</v>
      </c>
      <c r="AH28" s="50">
        <f>IF(LEN(profilKelas!$F$14)=0,"",AG28/profilKelas!$F$14)</f>
        <v>0</v>
      </c>
      <c r="AI28" s="10">
        <f>COUNTIF(JulAktifBermasyarakat,BelumTerbiasa)</f>
        <v>0</v>
      </c>
      <c r="AJ28" s="50">
        <f>IF(LEN(profilKelas!$F$14)=0,"",AI28/profilKelas!$F$14)</f>
        <v>0</v>
      </c>
      <c r="AK28" s="13"/>
      <c r="AL28" s="43"/>
      <c r="AM28" s="43"/>
      <c r="AN28" s="43"/>
      <c r="AO28" s="43"/>
      <c r="AP28" s="43"/>
      <c r="AQ28" s="43"/>
    </row>
    <row r="29" spans="2:43" hidden="1" x14ac:dyDescent="0.3">
      <c r="B29" s="4" t="str">
        <f>IF(ROW(A17)&lt;=profilKelas!$F$14,ROW(A17),"")</f>
        <v/>
      </c>
      <c r="C29" s="94" t="str">
        <f>IF(ISBLANK(identitasMurid!C22),"",identitasMurid!C22)</f>
        <v/>
      </c>
      <c r="D29" s="6" t="str">
        <f>IF(ISBLANK(identitasMurid!D22),"",identitasMurid!D22)</f>
        <v/>
      </c>
      <c r="E29" s="95"/>
      <c r="F29" s="95"/>
      <c r="G29" s="95"/>
      <c r="H29" s="95"/>
      <c r="I29" s="95"/>
      <c r="J29" s="95"/>
      <c r="K29" s="95"/>
      <c r="L29" s="95"/>
      <c r="M29" s="95"/>
      <c r="Q29" s="5" t="str">
        <f>IF(ROW(A17)&lt;=profilKelas!$F$14,ROW(A17),"")</f>
        <v/>
      </c>
      <c r="R29" s="12" t="str">
        <f t="shared" si="13"/>
        <v/>
      </c>
      <c r="S29" s="108" t="str">
        <f t="shared" si="14"/>
        <v/>
      </c>
      <c r="T29" s="108" t="str">
        <f t="shared" si="15"/>
        <v/>
      </c>
      <c r="U29" s="108" t="str">
        <f t="shared" si="16"/>
        <v/>
      </c>
      <c r="V29" s="108" t="str">
        <f t="shared" si="17"/>
        <v/>
      </c>
      <c r="W29" s="108" t="str">
        <f t="shared" si="18"/>
        <v/>
      </c>
      <c r="X29" s="108" t="str">
        <f t="shared" si="19"/>
        <v/>
      </c>
      <c r="Y29" s="108" t="str">
        <f t="shared" si="20"/>
        <v/>
      </c>
      <c r="Z29" s="108" t="str">
        <f t="shared" si="21"/>
        <v/>
      </c>
      <c r="AA29" s="108" t="str">
        <f t="shared" si="22"/>
        <v/>
      </c>
      <c r="AB29" s="108" t="str" cm="1">
        <f t="array" ref="AB29">IF(LEN($B29)=0,"",IF(LEN(C29)=0,"Nama Siswa Kosong",IF($E29="","Status Siswa Kosong",IF(S29&lt;&gt;"Aktif","Siswa Tidak Aktif",
IF(OR(U29:AA29="Belum mengisi"),"Belum mengisi",IF(AND(U29:AA29="Sudah terbiasa"),"Sudah terbiasa","Belum terbiasa"))))))</f>
        <v/>
      </c>
      <c r="AC29" s="99">
        <f t="shared" si="23"/>
        <v>1</v>
      </c>
      <c r="AD29" s="41">
        <v>7</v>
      </c>
      <c r="AE29" s="161" t="s">
        <v>8</v>
      </c>
      <c r="AF29" s="161"/>
      <c r="AG29" s="10">
        <f>COUNTIF(JulTidurCepat,SudahTerbiasa)</f>
        <v>0</v>
      </c>
      <c r="AH29" s="50">
        <f>IF(LEN(profilKelas!$F$14)=0,"",AG29/profilKelas!$F$14)</f>
        <v>0</v>
      </c>
      <c r="AI29" s="10">
        <f>COUNTIF(JulTidurCepat,BelumTerbiasa)</f>
        <v>0</v>
      </c>
      <c r="AJ29" s="50">
        <f>IF(LEN(profilKelas!$F$14)=0,"",AI29/profilKelas!$F$14)</f>
        <v>0</v>
      </c>
      <c r="AK29" s="13"/>
      <c r="AL29" s="43"/>
      <c r="AM29" s="43"/>
      <c r="AN29" s="43"/>
      <c r="AO29" s="43"/>
      <c r="AP29" s="43"/>
      <c r="AQ29" s="43"/>
    </row>
    <row r="30" spans="2:43" hidden="1" x14ac:dyDescent="0.3">
      <c r="B30" s="4" t="str">
        <f>IF(ROW(A18)&lt;=profilKelas!$F$14,ROW(A18),"")</f>
        <v/>
      </c>
      <c r="C30" s="94" t="str">
        <f>IF(ISBLANK(identitasMurid!C23),"",identitasMurid!C23)</f>
        <v/>
      </c>
      <c r="D30" s="6" t="str">
        <f>IF(ISBLANK(identitasMurid!D23),"",identitasMurid!D23)</f>
        <v/>
      </c>
      <c r="E30" s="95"/>
      <c r="F30" s="95"/>
      <c r="G30" s="95"/>
      <c r="H30" s="95"/>
      <c r="I30" s="95"/>
      <c r="J30" s="95"/>
      <c r="K30" s="95"/>
      <c r="L30" s="95"/>
      <c r="M30" s="95"/>
      <c r="Q30" s="5" t="str">
        <f>IF(ROW(A18)&lt;=profilKelas!$F$14,ROW(A18),"")</f>
        <v/>
      </c>
      <c r="R30" s="12" t="str">
        <f t="shared" si="13"/>
        <v/>
      </c>
      <c r="S30" s="108" t="str">
        <f t="shared" si="14"/>
        <v/>
      </c>
      <c r="T30" s="108" t="str">
        <f t="shared" si="15"/>
        <v/>
      </c>
      <c r="U30" s="108" t="str">
        <f t="shared" si="16"/>
        <v/>
      </c>
      <c r="V30" s="108" t="str">
        <f t="shared" si="17"/>
        <v/>
      </c>
      <c r="W30" s="108" t="str">
        <f t="shared" si="18"/>
        <v/>
      </c>
      <c r="X30" s="108" t="str">
        <f t="shared" si="19"/>
        <v/>
      </c>
      <c r="Y30" s="108" t="str">
        <f t="shared" si="20"/>
        <v/>
      </c>
      <c r="Z30" s="108" t="str">
        <f t="shared" si="21"/>
        <v/>
      </c>
      <c r="AA30" s="108" t="str">
        <f t="shared" si="22"/>
        <v/>
      </c>
      <c r="AB30" s="108" t="str" cm="1">
        <f t="array" ref="AB30">IF(LEN($B30)=0,"",IF(LEN(C30)=0,"Nama Siswa Kosong",IF($E30="","Status Siswa Kosong",IF(S30&lt;&gt;"Aktif","Siswa Tidak Aktif",
IF(OR(U30:AA30="Belum mengisi"),"Belum mengisi",IF(AND(U30:AA30="Sudah terbiasa"),"Sudah terbiasa","Belum terbiasa"))))))</f>
        <v/>
      </c>
      <c r="AD30" s="13"/>
      <c r="AE30" s="13"/>
      <c r="AF30" s="13"/>
      <c r="AG30" s="13"/>
      <c r="AH30" s="13"/>
      <c r="AI30" s="13"/>
      <c r="AJ30" s="13"/>
      <c r="AK30" s="13"/>
      <c r="AL30" s="43"/>
      <c r="AM30" s="43"/>
      <c r="AN30" s="43"/>
      <c r="AO30" s="43"/>
      <c r="AP30" s="43"/>
      <c r="AQ30" s="43"/>
    </row>
    <row r="31" spans="2:43" hidden="1" x14ac:dyDescent="0.3">
      <c r="B31" s="4" t="str">
        <f>IF(ROW(A19)&lt;=profilKelas!$F$14,ROW(A19),"")</f>
        <v/>
      </c>
      <c r="C31" s="94" t="str">
        <f>IF(ISBLANK(identitasMurid!C24),"",identitasMurid!C24)</f>
        <v/>
      </c>
      <c r="D31" s="6" t="str">
        <f>IF(ISBLANK(identitasMurid!D24),"",identitasMurid!D24)</f>
        <v/>
      </c>
      <c r="E31" s="95"/>
      <c r="F31" s="95"/>
      <c r="G31" s="95"/>
      <c r="H31" s="95"/>
      <c r="I31" s="95"/>
      <c r="J31" s="95"/>
      <c r="K31" s="95"/>
      <c r="L31" s="95"/>
      <c r="M31" s="95"/>
      <c r="Q31" s="5" t="str">
        <f>IF(ROW(A19)&lt;=profilKelas!$F$14,ROW(A19),"")</f>
        <v/>
      </c>
      <c r="R31" s="12" t="str">
        <f t="shared" si="13"/>
        <v/>
      </c>
      <c r="S31" s="108" t="str">
        <f t="shared" si="14"/>
        <v/>
      </c>
      <c r="T31" s="108" t="str">
        <f t="shared" si="15"/>
        <v/>
      </c>
      <c r="U31" s="108" t="str">
        <f t="shared" si="16"/>
        <v/>
      </c>
      <c r="V31" s="108" t="str">
        <f t="shared" si="17"/>
        <v/>
      </c>
      <c r="W31" s="108" t="str">
        <f t="shared" si="18"/>
        <v/>
      </c>
      <c r="X31" s="108" t="str">
        <f t="shared" si="19"/>
        <v/>
      </c>
      <c r="Y31" s="108" t="str">
        <f t="shared" si="20"/>
        <v/>
      </c>
      <c r="Z31" s="108" t="str">
        <f t="shared" si="21"/>
        <v/>
      </c>
      <c r="AA31" s="108" t="str">
        <f t="shared" si="22"/>
        <v/>
      </c>
      <c r="AB31" s="108" t="str" cm="1">
        <f t="array" ref="AB31">IF(LEN($B31)=0,"",IF(LEN(C31)=0,"Nama Siswa Kosong",IF($E31="","Status Siswa Kosong",IF(S31&lt;&gt;"Aktif","Siswa Tidak Aktif",
IF(OR(U31:AA31="Belum mengisi"),"Belum mengisi",IF(AND(U31:AA31="Sudah terbiasa"),"Sudah terbiasa","Belum terbiasa"))))))</f>
        <v/>
      </c>
      <c r="AD31" s="13"/>
      <c r="AE31" s="13"/>
      <c r="AF31" s="13"/>
      <c r="AG31" s="148" t="s">
        <v>607</v>
      </c>
      <c r="AH31" s="148"/>
      <c r="AI31" s="148"/>
      <c r="AJ31" s="148"/>
      <c r="AK31" s="148" t="s">
        <v>608</v>
      </c>
      <c r="AL31" s="148"/>
      <c r="AM31" s="148"/>
      <c r="AN31" s="148"/>
      <c r="AO31" s="13"/>
      <c r="AP31" s="13"/>
      <c r="AQ31" s="13"/>
    </row>
    <row r="32" spans="2:43" hidden="1" x14ac:dyDescent="0.3">
      <c r="B32" s="4" t="str">
        <f>IF(ROW(A20)&lt;=profilKelas!$F$14,ROW(A20),"")</f>
        <v/>
      </c>
      <c r="C32" s="94" t="str">
        <f>IF(ISBLANK(identitasMurid!C25),"",identitasMurid!C25)</f>
        <v/>
      </c>
      <c r="D32" s="6" t="str">
        <f>IF(ISBLANK(identitasMurid!D25),"",identitasMurid!D25)</f>
        <v/>
      </c>
      <c r="E32" s="95"/>
      <c r="F32" s="95"/>
      <c r="G32" s="95"/>
      <c r="H32" s="95"/>
      <c r="I32" s="95"/>
      <c r="J32" s="95"/>
      <c r="K32" s="95"/>
      <c r="L32" s="95"/>
      <c r="M32" s="95"/>
      <c r="Q32" s="5" t="str">
        <f>IF(ROW(A20)&lt;=profilKelas!$F$14,ROW(A20),"")</f>
        <v/>
      </c>
      <c r="R32" s="12" t="str">
        <f t="shared" si="13"/>
        <v/>
      </c>
      <c r="S32" s="108" t="str">
        <f t="shared" si="14"/>
        <v/>
      </c>
      <c r="T32" s="108" t="str">
        <f t="shared" si="15"/>
        <v/>
      </c>
      <c r="U32" s="108" t="str">
        <f t="shared" si="16"/>
        <v/>
      </c>
      <c r="V32" s="108" t="str">
        <f t="shared" si="17"/>
        <v/>
      </c>
      <c r="W32" s="108" t="str">
        <f t="shared" si="18"/>
        <v/>
      </c>
      <c r="X32" s="108" t="str">
        <f t="shared" si="19"/>
        <v/>
      </c>
      <c r="Y32" s="108" t="str">
        <f t="shared" si="20"/>
        <v/>
      </c>
      <c r="Z32" s="108" t="str">
        <f t="shared" si="21"/>
        <v/>
      </c>
      <c r="AA32" s="108" t="str">
        <f t="shared" si="22"/>
        <v/>
      </c>
      <c r="AB32" s="108" t="str" cm="1">
        <f t="array" ref="AB32">IF(LEN($B32)=0,"",IF(LEN(C32)=0,"Nama Siswa Kosong",IF($E32="","Status Siswa Kosong",IF(S32&lt;&gt;"Aktif","Siswa Tidak Aktif",
IF(OR(U32:AA32="Belum mengisi"),"Belum mengisi",IF(AND(U32:AA32="Sudah terbiasa"),"Sudah terbiasa","Belum terbiasa"))))))</f>
        <v/>
      </c>
      <c r="AD32" s="98" t="s">
        <v>0</v>
      </c>
      <c r="AE32" s="148" t="s">
        <v>18</v>
      </c>
      <c r="AF32" s="148"/>
      <c r="AG32" s="148" t="s">
        <v>597</v>
      </c>
      <c r="AH32" s="148"/>
      <c r="AI32" s="148" t="s">
        <v>598</v>
      </c>
      <c r="AJ32" s="148"/>
      <c r="AK32" s="148" t="s">
        <v>597</v>
      </c>
      <c r="AL32" s="148"/>
      <c r="AM32" s="148" t="s">
        <v>598</v>
      </c>
      <c r="AN32" s="148"/>
      <c r="AO32" s="13"/>
      <c r="AP32" s="13"/>
      <c r="AQ32" s="13"/>
    </row>
    <row r="33" spans="2:43" hidden="1" x14ac:dyDescent="0.3">
      <c r="B33" s="4" t="str">
        <f>IF(ROW(A21)&lt;=profilKelas!$F$14,ROW(A21),"")</f>
        <v/>
      </c>
      <c r="C33" s="94" t="str">
        <f>IF(ISBLANK(identitasMurid!C26),"",identitasMurid!C26)</f>
        <v/>
      </c>
      <c r="D33" s="6" t="str">
        <f>IF(ISBLANK(identitasMurid!D26),"",identitasMurid!D26)</f>
        <v/>
      </c>
      <c r="E33" s="95"/>
      <c r="F33" s="95"/>
      <c r="G33" s="95"/>
      <c r="H33" s="95"/>
      <c r="I33" s="95"/>
      <c r="J33" s="95"/>
      <c r="K33" s="95"/>
      <c r="L33" s="95"/>
      <c r="M33" s="95"/>
      <c r="Q33" s="5" t="str">
        <f>IF(ROW(A21)&lt;=profilKelas!$F$14,ROW(A21),"")</f>
        <v/>
      </c>
      <c r="R33" s="12" t="str">
        <f t="shared" si="13"/>
        <v/>
      </c>
      <c r="S33" s="108" t="str">
        <f t="shared" si="14"/>
        <v/>
      </c>
      <c r="T33" s="108" t="str">
        <f t="shared" si="15"/>
        <v/>
      </c>
      <c r="U33" s="108" t="str">
        <f t="shared" si="16"/>
        <v/>
      </c>
      <c r="V33" s="108" t="str">
        <f t="shared" si="17"/>
        <v/>
      </c>
      <c r="W33" s="108" t="str">
        <f t="shared" si="18"/>
        <v/>
      </c>
      <c r="X33" s="108" t="str">
        <f t="shared" si="19"/>
        <v/>
      </c>
      <c r="Y33" s="108" t="str">
        <f t="shared" si="20"/>
        <v/>
      </c>
      <c r="Z33" s="108" t="str">
        <f t="shared" si="21"/>
        <v/>
      </c>
      <c r="AA33" s="108" t="str">
        <f t="shared" si="22"/>
        <v/>
      </c>
      <c r="AB33" s="108" t="str" cm="1">
        <f t="array" ref="AB33">IF(LEN($B33)=0,"",IF(LEN(C33)=0,"Nama Siswa Kosong",IF($E33="","Status Siswa Kosong",IF(S33&lt;&gt;"Aktif","Siswa Tidak Aktif",
IF(OR(U33:AA33="Belum mengisi"),"Belum mengisi",IF(AND(U33:AA33="Sudah terbiasa"),"Sudah terbiasa","Belum terbiasa"))))))</f>
        <v/>
      </c>
      <c r="AD33" s="41">
        <v>1</v>
      </c>
      <c r="AE33" s="161" t="s">
        <v>2</v>
      </c>
      <c r="AF33" s="161"/>
      <c r="AG33" s="51">
        <f>COUNTIFS(JulBangunPagi,SudahTerbiasa,JulPL,Perempuan)</f>
        <v>0</v>
      </c>
      <c r="AH33" s="52" t="str">
        <f>IFERROR(IF($AF$18=0,"",COUNTIFS(JulBangunPagi,SudahTerbiasa,JulPL,Perempuan)/COUNTIFS(JulPL,Perempuan)),)</f>
        <v/>
      </c>
      <c r="AI33" s="53">
        <f>COUNTIFS(JulBangunPagi,BelumTerbiasa,JulPL,Perempuan)</f>
        <v>0</v>
      </c>
      <c r="AJ33" s="54" t="str">
        <f>IFERROR(IF($AF$18=0,"",COUNTIFS(JulBangunPagi,BelumTerbiasa,JulPL,Perempuan)/COUNTIF(JulPL,Perempuan)),)</f>
        <v/>
      </c>
      <c r="AK33" s="55">
        <f>COUNTIFS(JulBangunPagi,SudahTerbiasa,JulPL,Laki_Laki)</f>
        <v>0</v>
      </c>
      <c r="AL33" s="56" t="str">
        <f>IFERROR(IF($AF$18=0,"",COUNTIFS(JulBangunPagi,SudahTerbiasa,JulPL,Laki_Laki)/COUNTIFS(JulPL,Laki_Laki)),)</f>
        <v/>
      </c>
      <c r="AM33" s="57">
        <f>COUNTIFS(JulBangunPagi,BelumTerbiasa,JulPL,Laki_Laki)</f>
        <v>0</v>
      </c>
      <c r="AN33" s="58" t="str">
        <f>IFERROR(IF($AF$18=0,"",COUNTIFS(JulBangunPagi,BelumTerbiasa,JulPL,Laki_Laki)/COUNTIFS(JulPL,Laki_Laki)),)</f>
        <v/>
      </c>
      <c r="AO33" s="13"/>
      <c r="AP33" s="13"/>
      <c r="AQ33" s="13"/>
    </row>
    <row r="34" spans="2:43" hidden="1" x14ac:dyDescent="0.3">
      <c r="B34" s="4" t="str">
        <f>IF(ROW(A22)&lt;=profilKelas!$F$14,ROW(A22),"")</f>
        <v/>
      </c>
      <c r="C34" s="94" t="str">
        <f>IF(ISBLANK(identitasMurid!C27),"",identitasMurid!C27)</f>
        <v/>
      </c>
      <c r="D34" s="6" t="str">
        <f>IF(ISBLANK(identitasMurid!D27),"",identitasMurid!D27)</f>
        <v/>
      </c>
      <c r="E34" s="95"/>
      <c r="F34" s="95"/>
      <c r="G34" s="95"/>
      <c r="H34" s="95"/>
      <c r="I34" s="95"/>
      <c r="J34" s="95"/>
      <c r="K34" s="95"/>
      <c r="L34" s="95"/>
      <c r="M34" s="95"/>
      <c r="Q34" s="5" t="str">
        <f>IF(ROW(A22)&lt;=profilKelas!$F$14,ROW(A22),"")</f>
        <v/>
      </c>
      <c r="R34" s="12" t="str">
        <f t="shared" si="13"/>
        <v/>
      </c>
      <c r="S34" s="108" t="str">
        <f t="shared" si="14"/>
        <v/>
      </c>
      <c r="T34" s="108" t="str">
        <f t="shared" si="15"/>
        <v/>
      </c>
      <c r="U34" s="108" t="str">
        <f t="shared" si="16"/>
        <v/>
      </c>
      <c r="V34" s="108" t="str">
        <f t="shared" si="17"/>
        <v/>
      </c>
      <c r="W34" s="108" t="str">
        <f t="shared" si="18"/>
        <v/>
      </c>
      <c r="X34" s="108" t="str">
        <f t="shared" si="19"/>
        <v/>
      </c>
      <c r="Y34" s="108" t="str">
        <f t="shared" si="20"/>
        <v/>
      </c>
      <c r="Z34" s="108" t="str">
        <f t="shared" si="21"/>
        <v/>
      </c>
      <c r="AA34" s="108" t="str">
        <f t="shared" si="22"/>
        <v/>
      </c>
      <c r="AB34" s="108" t="str" cm="1">
        <f t="array" ref="AB34">IF(LEN($B34)=0,"",IF(LEN(C34)=0,"Nama Siswa Kosong",IF($E34="","Status Siswa Kosong",IF(S34&lt;&gt;"Aktif","Siswa Tidak Aktif",
IF(OR(U34:AA34="Belum mengisi"),"Belum mengisi",IF(AND(U34:AA34="Sudah terbiasa"),"Sudah terbiasa","Belum terbiasa"))))))</f>
        <v/>
      </c>
      <c r="AD34" s="41">
        <v>2</v>
      </c>
      <c r="AE34" s="161" t="s">
        <v>3</v>
      </c>
      <c r="AF34" s="161"/>
      <c r="AG34" s="51">
        <f>COUNTIFS(JulTaatBeribadah,SudahTerbiasa,JulPL,Perempuan)</f>
        <v>0</v>
      </c>
      <c r="AH34" s="52" t="str">
        <f>IFERROR(IF($AF$18=0,"",COUNTIFS(JulTaatBeribadah,SudahTerbiasa,JulPL,Perempuan)/COUNTIFS(JulPL,Perempuan)),)</f>
        <v/>
      </c>
      <c r="AI34" s="53">
        <f>COUNTIFS(JulTaatBeribadah,BelumTerbiasa,JulPL,Perempuan)</f>
        <v>0</v>
      </c>
      <c r="AJ34" s="59" t="str">
        <f>IFERROR(IF($AF$18=0,"",COUNTIFS(JulTaatBeribadah,BelumTerbiasa,JulPL,Perempuan)/COUNTIFS(JulPL,Perempuan)),)</f>
        <v/>
      </c>
      <c r="AK34" s="55">
        <f>COUNTIFS(JulTaatBeribadah,SudahTerbiasa,JulPL,Laki_Laki)</f>
        <v>0</v>
      </c>
      <c r="AL34" s="56" t="str">
        <f>IFERROR(IF($AF$18=0,"",COUNTIFS(JulTaatBeribadah,SudahTerbiasa,JulPL,Laki_Laki)/COUNTIFS(JulPL,Laki_Laki)),)</f>
        <v/>
      </c>
      <c r="AM34" s="57">
        <f>COUNTIFS(JulTaatBeribadah,BelumTerbiasa,JulPL,Laki_Laki)</f>
        <v>0</v>
      </c>
      <c r="AN34" s="58" t="str">
        <f>IFERROR(IF($AF$18=0,"",COUNTIFS(JulTaatBeribadah,BelumTerbiasa,JulPL,Laki_Laki)/COUNTIFS(JulPL,Laki_Laki)),)</f>
        <v/>
      </c>
      <c r="AO34" s="13"/>
      <c r="AP34" s="13"/>
      <c r="AQ34" s="13"/>
    </row>
    <row r="35" spans="2:43" hidden="1" x14ac:dyDescent="0.3">
      <c r="B35" s="4" t="str">
        <f>IF(ROW(A23)&lt;=profilKelas!$F$14,ROW(A23),"")</f>
        <v/>
      </c>
      <c r="C35" s="94" t="str">
        <f>IF(ISBLANK(identitasMurid!C28),"",identitasMurid!C28)</f>
        <v/>
      </c>
      <c r="D35" s="6" t="str">
        <f>IF(ISBLANK(identitasMurid!D28),"",identitasMurid!D28)</f>
        <v/>
      </c>
      <c r="E35" s="95"/>
      <c r="F35" s="95"/>
      <c r="G35" s="95"/>
      <c r="H35" s="95"/>
      <c r="I35" s="95"/>
      <c r="J35" s="95"/>
      <c r="K35" s="95"/>
      <c r="L35" s="95"/>
      <c r="M35" s="95"/>
      <c r="Q35" s="5" t="str">
        <f>IF(ROW(A23)&lt;=profilKelas!$F$14,ROW(A23),"")</f>
        <v/>
      </c>
      <c r="R35" s="12" t="str">
        <f t="shared" si="13"/>
        <v/>
      </c>
      <c r="S35" s="108" t="str">
        <f t="shared" si="14"/>
        <v/>
      </c>
      <c r="T35" s="108" t="str">
        <f t="shared" si="15"/>
        <v/>
      </c>
      <c r="U35" s="108" t="str">
        <f t="shared" si="16"/>
        <v/>
      </c>
      <c r="V35" s="108" t="str">
        <f t="shared" si="17"/>
        <v/>
      </c>
      <c r="W35" s="108" t="str">
        <f t="shared" si="18"/>
        <v/>
      </c>
      <c r="X35" s="108" t="str">
        <f t="shared" si="19"/>
        <v/>
      </c>
      <c r="Y35" s="108" t="str">
        <f t="shared" si="20"/>
        <v/>
      </c>
      <c r="Z35" s="108" t="str">
        <f t="shared" si="21"/>
        <v/>
      </c>
      <c r="AA35" s="108" t="str">
        <f t="shared" si="22"/>
        <v/>
      </c>
      <c r="AB35" s="108" t="str" cm="1">
        <f t="array" ref="AB35">IF(LEN($B35)=0,"",IF(LEN(C35)=0,"Nama Siswa Kosong",IF($E35="","Status Siswa Kosong",IF(S35&lt;&gt;"Aktif","Siswa Tidak Aktif",
IF(OR(U35:AA35="Belum mengisi"),"Belum mengisi",IF(AND(U35:AA35="Sudah terbiasa"),"Sudah terbiasa","Belum terbiasa"))))))</f>
        <v/>
      </c>
      <c r="AD35" s="41">
        <v>3</v>
      </c>
      <c r="AE35" s="161" t="s">
        <v>4</v>
      </c>
      <c r="AF35" s="161"/>
      <c r="AG35" s="51">
        <f>COUNTIFS(JulBerolahraga,SudahTerbiasa,JulPL,Perempuan)</f>
        <v>0</v>
      </c>
      <c r="AH35" s="52" t="str">
        <f>IFERROR(IF($AF$18=0,"",COUNTIFS(JulBerolahraga,SudahTerbiasa,JulPL,Perempuan)/COUNTIFS(JulPL,Perempuan)),)</f>
        <v/>
      </c>
      <c r="AI35" s="53">
        <f>COUNTIFS(JulBerolahraga,BelumTerbiasa,JulPL,Perempuan)</f>
        <v>0</v>
      </c>
      <c r="AJ35" s="59" t="str">
        <f>IFERROR(IF($AF$18=0,"",COUNTIFS(JulBerolahraga,BelumTerbiasa,JulPL,Perempuan)/COUNTIFS(JulPL,Perempuan)),)</f>
        <v/>
      </c>
      <c r="AK35" s="55">
        <f>COUNTIFS(JulBerolahraga,SudahTerbiasa,JulPL,Laki_Laki)</f>
        <v>0</v>
      </c>
      <c r="AL35" s="56" t="str">
        <f>IFERROR(IF($AF$18=0,"",COUNTIFS(JulBerolahraga,SudahTerbiasa,JulPL,Laki_Laki)/COUNTIFS(JulPL,Laki_Laki)),)</f>
        <v/>
      </c>
      <c r="AM35" s="57">
        <f>COUNTIFS(JulBerolahraga,BelumTerbiasa,JulPL,Laki_Laki)</f>
        <v>0</v>
      </c>
      <c r="AN35" s="58" t="str">
        <f>IFERROR(IF($AF$18=0,"",COUNTIFS(JulBerolahraga,BelumTerbiasa,JulPL,Laki_Laki)/COUNTIFS(JulPL,Laki_Laki)),)</f>
        <v/>
      </c>
      <c r="AO35" s="13"/>
      <c r="AP35" s="13"/>
      <c r="AQ35" s="13"/>
    </row>
    <row r="36" spans="2:43" hidden="1" x14ac:dyDescent="0.3">
      <c r="B36" s="4" t="str">
        <f>IF(ROW(A24)&lt;=profilKelas!$F$14,ROW(A24),"")</f>
        <v/>
      </c>
      <c r="C36" s="94" t="str">
        <f>IF(ISBLANK(identitasMurid!C29),"",identitasMurid!C29)</f>
        <v/>
      </c>
      <c r="D36" s="6" t="str">
        <f>IF(ISBLANK(identitasMurid!D29),"",identitasMurid!D29)</f>
        <v/>
      </c>
      <c r="E36" s="95"/>
      <c r="F36" s="95"/>
      <c r="G36" s="95"/>
      <c r="H36" s="95"/>
      <c r="I36" s="95"/>
      <c r="J36" s="95"/>
      <c r="K36" s="95"/>
      <c r="L36" s="95"/>
      <c r="M36" s="95"/>
      <c r="Q36" s="5" t="str">
        <f>IF(ROW(A24)&lt;=profilKelas!$F$14,ROW(A24),"")</f>
        <v/>
      </c>
      <c r="R36" s="12" t="str">
        <f t="shared" si="13"/>
        <v/>
      </c>
      <c r="S36" s="108" t="str">
        <f t="shared" si="14"/>
        <v/>
      </c>
      <c r="T36" s="108" t="str">
        <f t="shared" si="15"/>
        <v/>
      </c>
      <c r="U36" s="108" t="str">
        <f t="shared" si="16"/>
        <v/>
      </c>
      <c r="V36" s="108" t="str">
        <f t="shared" si="17"/>
        <v/>
      </c>
      <c r="W36" s="108" t="str">
        <f t="shared" si="18"/>
        <v/>
      </c>
      <c r="X36" s="108" t="str">
        <f t="shared" si="19"/>
        <v/>
      </c>
      <c r="Y36" s="108" t="str">
        <f t="shared" si="20"/>
        <v/>
      </c>
      <c r="Z36" s="108" t="str">
        <f t="shared" si="21"/>
        <v/>
      </c>
      <c r="AA36" s="108" t="str">
        <f t="shared" si="22"/>
        <v/>
      </c>
      <c r="AB36" s="108" t="str" cm="1">
        <f t="array" ref="AB36">IF(LEN($B36)=0,"",IF(LEN(C36)=0,"Nama Siswa Kosong",IF($E36="","Status Siswa Kosong",IF(S36&lt;&gt;"Aktif","Siswa Tidak Aktif",
IF(OR(U36:AA36="Belum mengisi"),"Belum mengisi",IF(AND(U36:AA36="Sudah terbiasa"),"Sudah terbiasa","Belum terbiasa"))))))</f>
        <v/>
      </c>
      <c r="AD36" s="41">
        <v>4</v>
      </c>
      <c r="AE36" s="161" t="s">
        <v>5</v>
      </c>
      <c r="AF36" s="161"/>
      <c r="AG36" s="51">
        <f>COUNTIFS(JulMakanSehatBergizi,SudahTerbiasa,JulPL,Perempuan)</f>
        <v>0</v>
      </c>
      <c r="AH36" s="52" t="str">
        <f>IFERROR(IF($AF$18=0,"",COUNTIFS(JulMakanSehatBergizi,SudahTerbiasa,JulPL,Perempuan)/COUNTIFS(JulPL,Perempuan)),)</f>
        <v/>
      </c>
      <c r="AI36" s="53">
        <f>COUNTIFS(JulMakanSehatBergizi,BelumTerbiasa,JulPL,Perempuan)</f>
        <v>0</v>
      </c>
      <c r="AJ36" s="59" t="str">
        <f>IFERROR(IF($AF$18=0,"",COUNTIFS(JulMakanSehatBergizi,BelumTerbiasa,JulPL,Perempuan)/COUNTIFS(JulPL,Perempuan)),)</f>
        <v/>
      </c>
      <c r="AK36" s="55">
        <f>COUNTIFS(JulMakanSehatBergizi,SudahTerbiasa,JulPL,Laki_Laki)</f>
        <v>0</v>
      </c>
      <c r="AL36" s="56" t="str">
        <f>IFERROR(IF($AF$18=0,"",COUNTIFS(JulMakanSehatBergizi,SudahTerbiasa,JulPL,Laki_Laki)/COUNTIFS(JulPL,Laki_Laki)),)</f>
        <v/>
      </c>
      <c r="AM36" s="57">
        <f>COUNTIFS(JulMakanSehatBergizi,BelumTerbiasa,JulPL,Laki_Laki)</f>
        <v>0</v>
      </c>
      <c r="AN36" s="58" t="str">
        <f>IFERROR(IF($AF$18=0,"",COUNTIFS(JulMakanSehatBergizi,BelumTerbiasa,JulPL,Laki_Laki)/COUNTIFS(JulPL,Laki_Laki)),)</f>
        <v/>
      </c>
      <c r="AO36" s="13"/>
      <c r="AP36" s="13"/>
      <c r="AQ36" s="13"/>
    </row>
    <row r="37" spans="2:43" hidden="1" x14ac:dyDescent="0.3">
      <c r="B37" s="4" t="str">
        <f>IF(ROW(A25)&lt;=profilKelas!$F$14,ROW(A25),"")</f>
        <v/>
      </c>
      <c r="C37" s="94" t="str">
        <f>IF(ISBLANK(identitasMurid!C30),"",identitasMurid!C30)</f>
        <v/>
      </c>
      <c r="D37" s="6" t="str">
        <f>IF(ISBLANK(identitasMurid!D30),"",identitasMurid!D30)</f>
        <v/>
      </c>
      <c r="E37" s="95"/>
      <c r="F37" s="95"/>
      <c r="G37" s="95"/>
      <c r="H37" s="95"/>
      <c r="I37" s="95"/>
      <c r="J37" s="95"/>
      <c r="K37" s="95"/>
      <c r="L37" s="95"/>
      <c r="M37" s="95"/>
      <c r="Q37" s="5" t="str">
        <f>IF(ROW(A25)&lt;=profilKelas!$F$14,ROW(A25),"")</f>
        <v/>
      </c>
      <c r="R37" s="12" t="str">
        <f t="shared" si="13"/>
        <v/>
      </c>
      <c r="S37" s="108" t="str">
        <f t="shared" si="14"/>
        <v/>
      </c>
      <c r="T37" s="108" t="str">
        <f t="shared" si="15"/>
        <v/>
      </c>
      <c r="U37" s="108" t="str">
        <f t="shared" si="16"/>
        <v/>
      </c>
      <c r="V37" s="108" t="str">
        <f t="shared" si="17"/>
        <v/>
      </c>
      <c r="W37" s="108" t="str">
        <f t="shared" si="18"/>
        <v/>
      </c>
      <c r="X37" s="108" t="str">
        <f t="shared" si="19"/>
        <v/>
      </c>
      <c r="Y37" s="108" t="str">
        <f t="shared" si="20"/>
        <v/>
      </c>
      <c r="Z37" s="108" t="str">
        <f t="shared" si="21"/>
        <v/>
      </c>
      <c r="AA37" s="108" t="str">
        <f t="shared" si="22"/>
        <v/>
      </c>
      <c r="AB37" s="108" t="str" cm="1">
        <f t="array" ref="AB37">IF(LEN($B37)=0,"",IF(LEN(C37)=0,"Nama Siswa Kosong",IF($E37="","Status Siswa Kosong",IF(S37&lt;&gt;"Aktif","Siswa Tidak Aktif",
IF(OR(U37:AA37="Belum mengisi"),"Belum mengisi",IF(AND(U37:AA37="Sudah terbiasa"),"Sudah terbiasa","Belum terbiasa"))))))</f>
        <v/>
      </c>
      <c r="AD37" s="41">
        <v>5</v>
      </c>
      <c r="AE37" s="161" t="s">
        <v>6</v>
      </c>
      <c r="AF37" s="161"/>
      <c r="AG37" s="51">
        <f>COUNTIFS(JulGemarBelajar,SudahTerbiasa,JulPL,Perempuan)</f>
        <v>0</v>
      </c>
      <c r="AH37" s="52" t="str">
        <f>IFERROR(IF($AF$18=0,"",COUNTIFS(JulGemarBelajar,SudahTerbiasa,JulPL,Perempuan)/COUNTIFS(JulPL,Perempuan)),)</f>
        <v/>
      </c>
      <c r="AI37" s="53">
        <f>COUNTIFS(JulGemarBelajar,BelumTerbiasa,JulPL,Perempuan)</f>
        <v>0</v>
      </c>
      <c r="AJ37" s="59" t="str">
        <f>IFERROR(IF($AF$18=0,"",COUNTIFS(JulGemarBelajar,BelumTerbiasa,JulPL,Perempuan)/COUNTIFS(JulPL,Perempuan)),)</f>
        <v/>
      </c>
      <c r="AK37" s="55">
        <f>COUNTIFS(JulGemarBelajar,SudahTerbiasa,JulPL,Laki_Laki)</f>
        <v>0</v>
      </c>
      <c r="AL37" s="56" t="str">
        <f>IFERROR(IF($AF$18=0,"",COUNTIFS(JulGemarBelajar,SudahTerbiasa,JulPL,Laki_Laki)/COUNTIFS(JulPL,Laki_Laki)),)</f>
        <v/>
      </c>
      <c r="AM37" s="57">
        <f>COUNTIFS(JulGemarBelajar,BelumTerbiasa,JulPL,Laki_Laki)</f>
        <v>0</v>
      </c>
      <c r="AN37" s="58" t="str">
        <f>IFERROR(IF($AF$18=0,"",COUNTIFS(JulGemarBelajar,BelumTerbiasa,JulPL,Laki_Laki)/COUNTIFS(JulPL,Laki_Laki)),)</f>
        <v/>
      </c>
      <c r="AO37" s="13"/>
      <c r="AP37" s="13"/>
      <c r="AQ37" s="13"/>
    </row>
    <row r="38" spans="2:43" hidden="1" x14ac:dyDescent="0.3">
      <c r="B38" s="4" t="str">
        <f>IF(ROW(A26)&lt;=profilKelas!$F$14,ROW(A26),"")</f>
        <v/>
      </c>
      <c r="C38" s="94" t="str">
        <f>IF(ISBLANK(identitasMurid!C31),"",identitasMurid!C31)</f>
        <v/>
      </c>
      <c r="D38" s="6" t="str">
        <f>IF(ISBLANK(identitasMurid!D31),"",identitasMurid!D31)</f>
        <v/>
      </c>
      <c r="E38" s="95"/>
      <c r="F38" s="95"/>
      <c r="G38" s="95"/>
      <c r="H38" s="95"/>
      <c r="I38" s="95"/>
      <c r="J38" s="95"/>
      <c r="K38" s="95"/>
      <c r="L38" s="95"/>
      <c r="M38" s="95"/>
      <c r="Q38" s="5" t="str">
        <f>IF(ROW(A26)&lt;=profilKelas!$F$14,ROW(A26),"")</f>
        <v/>
      </c>
      <c r="R38" s="12" t="str">
        <f t="shared" si="13"/>
        <v/>
      </c>
      <c r="S38" s="108" t="str">
        <f t="shared" si="14"/>
        <v/>
      </c>
      <c r="T38" s="108" t="str">
        <f t="shared" si="15"/>
        <v/>
      </c>
      <c r="U38" s="108" t="str">
        <f t="shared" si="16"/>
        <v/>
      </c>
      <c r="V38" s="108" t="str">
        <f t="shared" si="17"/>
        <v/>
      </c>
      <c r="W38" s="108" t="str">
        <f t="shared" si="18"/>
        <v/>
      </c>
      <c r="X38" s="108" t="str">
        <f t="shared" si="19"/>
        <v/>
      </c>
      <c r="Y38" s="108" t="str">
        <f t="shared" si="20"/>
        <v/>
      </c>
      <c r="Z38" s="108" t="str">
        <f t="shared" si="21"/>
        <v/>
      </c>
      <c r="AA38" s="108" t="str">
        <f t="shared" si="22"/>
        <v/>
      </c>
      <c r="AB38" s="108" t="str" cm="1">
        <f t="array" ref="AB38">IF(LEN($B38)=0,"",IF(LEN(C38)=0,"Nama Siswa Kosong",IF($E38="","Status Siswa Kosong",IF(S38&lt;&gt;"Aktif","Siswa Tidak Aktif",
IF(OR(U38:AA38="Belum mengisi"),"Belum mengisi",IF(AND(U38:AA38="Sudah terbiasa"),"Sudah terbiasa","Belum terbiasa"))))))</f>
        <v/>
      </c>
      <c r="AD38" s="41">
        <v>6</v>
      </c>
      <c r="AE38" s="161" t="s">
        <v>7</v>
      </c>
      <c r="AF38" s="161"/>
      <c r="AG38" s="51">
        <f>COUNTIFS(JulAktifBermasyarakat,SudahTerbiasa,JulPL,Perempuan)</f>
        <v>0</v>
      </c>
      <c r="AH38" s="52" t="str">
        <f>IFERROR(IF($AF$18=0,"",COUNTIFS(JulAktifBermasyarakat,SudahTerbiasa,JulPL,Perempuan)/COUNTIFS(JulPL,Perempuan)),)</f>
        <v/>
      </c>
      <c r="AI38" s="53">
        <f>COUNTIFS(JulAktifBermasyarakat,BelumTerbiasa,JulPL,Perempuan)</f>
        <v>0</v>
      </c>
      <c r="AJ38" s="59" t="str">
        <f>IFERROR(IF($AF$18=0,"",COUNTIFS(JulAktifBermasyarakat,BelumTerbiasa,JulPL,Perempuan)/COUNTIFS(JulPL,Perempuan)),)</f>
        <v/>
      </c>
      <c r="AK38" s="55">
        <f>COUNTIFS(JulAktifBermasyarakat,SudahTerbiasa,JulPL,Laki_Laki)</f>
        <v>0</v>
      </c>
      <c r="AL38" s="56" t="str">
        <f>IFERROR(IF($AF$18=0,"",COUNTIFS(JulAktifBermasyarakat,SudahTerbiasa,JulPL,Laki_Laki)/COUNTIFS(JulPL,Laki_Laki)),)</f>
        <v/>
      </c>
      <c r="AM38" s="57">
        <f>COUNTIFS(JulAktifBermasyarakat,BelumTerbiasa,JulPL,Laki_Laki)</f>
        <v>0</v>
      </c>
      <c r="AN38" s="58" t="str">
        <f>IFERROR(IF($AF$18=0,"",COUNTIFS(JulAktifBermasyarakat,BelumTerbiasa,JulPL,Laki_Laki)/COUNTIFS(JulPL,Laki_Laki)),)</f>
        <v/>
      </c>
      <c r="AO38" s="13"/>
      <c r="AP38" s="13"/>
      <c r="AQ38" s="13"/>
    </row>
    <row r="39" spans="2:43" hidden="1" x14ac:dyDescent="0.3">
      <c r="B39" s="4" t="str">
        <f>IF(ROW(A27)&lt;=profilKelas!$F$14,ROW(A27),"")</f>
        <v/>
      </c>
      <c r="C39" s="94" t="str">
        <f>IF(ISBLANK(identitasMurid!C32),"",identitasMurid!C32)</f>
        <v/>
      </c>
      <c r="D39" s="6" t="str">
        <f>IF(ISBLANK(identitasMurid!D32),"",identitasMurid!D32)</f>
        <v/>
      </c>
      <c r="E39" s="95"/>
      <c r="F39" s="95"/>
      <c r="G39" s="95"/>
      <c r="H39" s="95"/>
      <c r="I39" s="95"/>
      <c r="J39" s="95"/>
      <c r="K39" s="95"/>
      <c r="L39" s="95"/>
      <c r="M39" s="95"/>
      <c r="Q39" s="5" t="str">
        <f>IF(ROW(A27)&lt;=profilKelas!$F$14,ROW(A27),"")</f>
        <v/>
      </c>
      <c r="R39" s="12" t="str">
        <f t="shared" si="13"/>
        <v/>
      </c>
      <c r="S39" s="108" t="str">
        <f t="shared" si="14"/>
        <v/>
      </c>
      <c r="T39" s="108" t="str">
        <f t="shared" si="15"/>
        <v/>
      </c>
      <c r="U39" s="108" t="str">
        <f t="shared" si="16"/>
        <v/>
      </c>
      <c r="V39" s="108" t="str">
        <f t="shared" si="17"/>
        <v/>
      </c>
      <c r="W39" s="108" t="str">
        <f t="shared" si="18"/>
        <v/>
      </c>
      <c r="X39" s="108" t="str">
        <f t="shared" si="19"/>
        <v/>
      </c>
      <c r="Y39" s="108" t="str">
        <f t="shared" si="20"/>
        <v/>
      </c>
      <c r="Z39" s="108" t="str">
        <f t="shared" si="21"/>
        <v/>
      </c>
      <c r="AA39" s="108" t="str">
        <f t="shared" si="22"/>
        <v/>
      </c>
      <c r="AB39" s="108" t="str" cm="1">
        <f t="array" ref="AB39">IF(LEN($B39)=0,"",IF(LEN(C39)=0,"Nama Siswa Kosong",IF($E39="","Status Siswa Kosong",IF(S39&lt;&gt;"Aktif","Siswa Tidak Aktif",
IF(OR(U39:AA39="Belum mengisi"),"Belum mengisi",IF(AND(U39:AA39="Sudah terbiasa"),"Sudah terbiasa","Belum terbiasa"))))))</f>
        <v/>
      </c>
      <c r="AD39" s="41">
        <v>7</v>
      </c>
      <c r="AE39" s="161" t="s">
        <v>8</v>
      </c>
      <c r="AF39" s="161"/>
      <c r="AG39" s="51">
        <f>COUNTIFS(JulTidurCepat,SudahTerbiasa,JulPL,Perempuan)</f>
        <v>0</v>
      </c>
      <c r="AH39" s="52" t="str">
        <f>IFERROR(IF($AF$18=0,"",COUNTIFS(JulTidurCepat,SudahTerbiasa,JulPL,Perempuan)/COUNTIFS(JulPL,Perempuan)),)</f>
        <v/>
      </c>
      <c r="AI39" s="53">
        <f>COUNTIFS(JulTidurCepat,BelumTerbiasa,JulPL,Perempuan)</f>
        <v>0</v>
      </c>
      <c r="AJ39" s="59" t="str">
        <f>IFERROR(IF($AF$18=0,"",COUNTIFS(JulTidurCepat,BelumTerbiasa,JulPL,Perempuan)/COUNTIFS(JulPL,Perempuan)),)</f>
        <v/>
      </c>
      <c r="AK39" s="55">
        <f>COUNTIFS(JulTidurCepat,SudahTerbiasa,JulPL,Laki_Laki)</f>
        <v>0</v>
      </c>
      <c r="AL39" s="56" t="str">
        <f>IFERROR(IF($AF$18=0,"",COUNTIFS(JulTidurCepat,SudahTerbiasa,JulPL,Laki_Laki)/COUNTIFS(JulPL,Laki_Laki)),)</f>
        <v/>
      </c>
      <c r="AM39" s="57">
        <f>COUNTIFS(JulTidurCepat,BelumTerbiasa,JulPL,Laki_Laki)</f>
        <v>0</v>
      </c>
      <c r="AN39" s="58" t="str">
        <f>IFERROR(IF($AF$18=0,"",COUNTIFS(JulTidurCepat,BelumTerbiasa,JulPL,Laki_Laki)/COUNTIFS(JulPL,Laki_Laki)),)</f>
        <v/>
      </c>
      <c r="AO39" s="13"/>
      <c r="AP39" s="13"/>
      <c r="AQ39" s="13"/>
    </row>
    <row r="40" spans="2:43" hidden="1" x14ac:dyDescent="0.3">
      <c r="B40" s="4" t="str">
        <f>IF(ROW(A28)&lt;=profilKelas!$F$14,ROW(A28),"")</f>
        <v/>
      </c>
      <c r="C40" s="94" t="str">
        <f>IF(ISBLANK(identitasMurid!C33),"",identitasMurid!C33)</f>
        <v/>
      </c>
      <c r="D40" s="6" t="str">
        <f>IF(ISBLANK(identitasMurid!D33),"",identitasMurid!D33)</f>
        <v/>
      </c>
      <c r="E40" s="95"/>
      <c r="F40" s="95"/>
      <c r="G40" s="95"/>
      <c r="H40" s="95"/>
      <c r="I40" s="95"/>
      <c r="J40" s="95"/>
      <c r="K40" s="95"/>
      <c r="L40" s="95"/>
      <c r="M40" s="95"/>
      <c r="Q40" s="5" t="str">
        <f>IF(ROW(A28)&lt;=profilKelas!$F$14,ROW(A28),"")</f>
        <v/>
      </c>
      <c r="R40" s="12" t="str">
        <f t="shared" si="13"/>
        <v/>
      </c>
      <c r="S40" s="108" t="str">
        <f t="shared" si="14"/>
        <v/>
      </c>
      <c r="T40" s="108" t="str">
        <f t="shared" si="15"/>
        <v/>
      </c>
      <c r="U40" s="108" t="str">
        <f t="shared" si="16"/>
        <v/>
      </c>
      <c r="V40" s="108" t="str">
        <f t="shared" si="17"/>
        <v/>
      </c>
      <c r="W40" s="108" t="str">
        <f t="shared" si="18"/>
        <v/>
      </c>
      <c r="X40" s="108" t="str">
        <f t="shared" si="19"/>
        <v/>
      </c>
      <c r="Y40" s="108" t="str">
        <f t="shared" si="20"/>
        <v/>
      </c>
      <c r="Z40" s="108" t="str">
        <f t="shared" si="21"/>
        <v/>
      </c>
      <c r="AA40" s="108" t="str">
        <f t="shared" si="22"/>
        <v/>
      </c>
      <c r="AB40" s="108" t="str" cm="1">
        <f t="array" ref="AB40">IF(LEN($B40)=0,"",IF(LEN(C40)=0,"Nama Siswa Kosong",IF($E40="","Status Siswa Kosong",IF(S40&lt;&gt;"Aktif","Siswa Tidak Aktif",
IF(OR(U40:AA40="Belum mengisi"),"Belum mengisi",IF(AND(U40:AA40="Sudah terbiasa"),"Sudah terbiasa","Belum terbiasa"))))))</f>
        <v/>
      </c>
    </row>
    <row r="41" spans="2:43" hidden="1" x14ac:dyDescent="0.3">
      <c r="B41" s="4" t="str">
        <f>IF(ROW(A29)&lt;=profilKelas!$F$14,ROW(A29),"")</f>
        <v/>
      </c>
      <c r="C41" s="94" t="str">
        <f>IF(ISBLANK(identitasMurid!C34),"",identitasMurid!C34)</f>
        <v/>
      </c>
      <c r="D41" s="6" t="str">
        <f>IF(ISBLANK(identitasMurid!D34),"",identitasMurid!D34)</f>
        <v/>
      </c>
      <c r="E41" s="95"/>
      <c r="F41" s="95"/>
      <c r="G41" s="95"/>
      <c r="H41" s="95"/>
      <c r="I41" s="95"/>
      <c r="J41" s="95"/>
      <c r="K41" s="95"/>
      <c r="L41" s="95"/>
      <c r="M41" s="95"/>
      <c r="Q41" s="5" t="str">
        <f>IF(ROW(A29)&lt;=profilKelas!$F$14,ROW(A29),"")</f>
        <v/>
      </c>
      <c r="R41" s="12" t="str">
        <f t="shared" si="13"/>
        <v/>
      </c>
      <c r="S41" s="108" t="str">
        <f t="shared" si="14"/>
        <v/>
      </c>
      <c r="T41" s="108" t="str">
        <f t="shared" si="15"/>
        <v/>
      </c>
      <c r="U41" s="108" t="str">
        <f t="shared" si="16"/>
        <v/>
      </c>
      <c r="V41" s="108" t="str">
        <f t="shared" si="17"/>
        <v/>
      </c>
      <c r="W41" s="108" t="str">
        <f t="shared" si="18"/>
        <v/>
      </c>
      <c r="X41" s="108" t="str">
        <f t="shared" si="19"/>
        <v/>
      </c>
      <c r="Y41" s="108" t="str">
        <f t="shared" si="20"/>
        <v/>
      </c>
      <c r="Z41" s="108" t="str">
        <f t="shared" si="21"/>
        <v/>
      </c>
      <c r="AA41" s="108" t="str">
        <f t="shared" si="22"/>
        <v/>
      </c>
      <c r="AB41" s="108" t="str" cm="1">
        <f t="array" ref="AB41">IF(LEN($B41)=0,"",IF(LEN(C41)=0,"Nama Siswa Kosong",IF($E41="","Status Siswa Kosong",IF(S41&lt;&gt;"Aktif","Siswa Tidak Aktif",
IF(OR(U41:AA41="Belum mengisi"),"Belum mengisi",IF(AND(U41:AA41="Sudah terbiasa"),"Sudah terbiasa","Belum terbiasa"))))))</f>
        <v/>
      </c>
    </row>
    <row r="42" spans="2:43" hidden="1" x14ac:dyDescent="0.3">
      <c r="B42" s="4" t="str">
        <f>IF(ROW(A30)&lt;=profilKelas!$F$14,ROW(A30),"")</f>
        <v/>
      </c>
      <c r="C42" s="94" t="str">
        <f>IF(ISBLANK(identitasMurid!C35),"",identitasMurid!C35)</f>
        <v/>
      </c>
      <c r="D42" s="6" t="str">
        <f>IF(ISBLANK(identitasMurid!D35),"",identitasMurid!D35)</f>
        <v/>
      </c>
      <c r="E42" s="95"/>
      <c r="F42" s="95"/>
      <c r="G42" s="95"/>
      <c r="H42" s="95"/>
      <c r="I42" s="95"/>
      <c r="J42" s="95"/>
      <c r="K42" s="95"/>
      <c r="L42" s="95"/>
      <c r="M42" s="95"/>
      <c r="Q42" s="5" t="str">
        <f>IF(ROW(A30)&lt;=profilKelas!$F$14,ROW(A30),"")</f>
        <v/>
      </c>
      <c r="R42" s="12" t="str">
        <f t="shared" si="13"/>
        <v/>
      </c>
      <c r="S42" s="108" t="str">
        <f t="shared" si="14"/>
        <v/>
      </c>
      <c r="T42" s="108" t="str">
        <f t="shared" si="15"/>
        <v/>
      </c>
      <c r="U42" s="108" t="str">
        <f t="shared" si="16"/>
        <v/>
      </c>
      <c r="V42" s="108" t="str">
        <f t="shared" si="17"/>
        <v/>
      </c>
      <c r="W42" s="108" t="str">
        <f t="shared" si="18"/>
        <v/>
      </c>
      <c r="X42" s="108" t="str">
        <f t="shared" si="19"/>
        <v/>
      </c>
      <c r="Y42" s="108" t="str">
        <f t="shared" si="20"/>
        <v/>
      </c>
      <c r="Z42" s="108" t="str">
        <f t="shared" si="21"/>
        <v/>
      </c>
      <c r="AA42" s="108" t="str">
        <f t="shared" si="22"/>
        <v/>
      </c>
      <c r="AB42" s="108" t="str" cm="1">
        <f t="array" ref="AB42">IF(LEN($B42)=0,"",IF(LEN(C42)=0,"Nama Siswa Kosong",IF($E42="","Status Siswa Kosong",IF(S42&lt;&gt;"Aktif","Siswa Tidak Aktif",
IF(OR(U42:AA42="Belum mengisi"),"Belum mengisi",IF(AND(U42:AA42="Sudah terbiasa"),"Sudah terbiasa","Belum terbiasa"))))))</f>
        <v/>
      </c>
    </row>
    <row r="43" spans="2:43" hidden="1" x14ac:dyDescent="0.3">
      <c r="B43" s="4" t="str">
        <f>IF(ROW(A31)&lt;=profilKelas!$F$14,ROW(A31),"")</f>
        <v/>
      </c>
      <c r="C43" s="94" t="str">
        <f>IF(ISBLANK(identitasMurid!C36),"",identitasMurid!C36)</f>
        <v/>
      </c>
      <c r="D43" s="6" t="str">
        <f>IF(ISBLANK(identitasMurid!D36),"",identitasMurid!D36)</f>
        <v/>
      </c>
      <c r="E43" s="95"/>
      <c r="F43" s="95"/>
      <c r="G43" s="95"/>
      <c r="H43" s="95"/>
      <c r="I43" s="95"/>
      <c r="J43" s="95"/>
      <c r="K43" s="95"/>
      <c r="L43" s="95"/>
      <c r="M43" s="95"/>
      <c r="Q43" s="5" t="str">
        <f>IF(ROW(A31)&lt;=profilKelas!$F$14,ROW(A31),"")</f>
        <v/>
      </c>
      <c r="R43" s="12" t="str">
        <f t="shared" si="13"/>
        <v/>
      </c>
      <c r="S43" s="108" t="str">
        <f t="shared" si="14"/>
        <v/>
      </c>
      <c r="T43" s="108" t="str">
        <f t="shared" si="15"/>
        <v/>
      </c>
      <c r="U43" s="108" t="str">
        <f t="shared" si="16"/>
        <v/>
      </c>
      <c r="V43" s="108" t="str">
        <f t="shared" si="17"/>
        <v/>
      </c>
      <c r="W43" s="108" t="str">
        <f t="shared" si="18"/>
        <v/>
      </c>
      <c r="X43" s="108" t="str">
        <f t="shared" si="19"/>
        <v/>
      </c>
      <c r="Y43" s="108" t="str">
        <f t="shared" si="20"/>
        <v/>
      </c>
      <c r="Z43" s="108" t="str">
        <f t="shared" si="21"/>
        <v/>
      </c>
      <c r="AA43" s="108" t="str">
        <f t="shared" si="22"/>
        <v/>
      </c>
      <c r="AB43" s="108" t="str" cm="1">
        <f t="array" ref="AB43">IF(LEN($B43)=0,"",IF(LEN(C43)=0,"Nama Siswa Kosong",IF($E43="","Status Siswa Kosong",IF(S43&lt;&gt;"Aktif","Siswa Tidak Aktif",
IF(OR(U43:AA43="Belum mengisi"),"Belum mengisi",IF(AND(U43:AA43="Sudah terbiasa"),"Sudah terbiasa","Belum terbiasa"))))))</f>
        <v/>
      </c>
    </row>
    <row r="44" spans="2:43" hidden="1" x14ac:dyDescent="0.3">
      <c r="B44" s="4" t="str">
        <f>IF(ROW(A32)&lt;=profilKelas!$F$14,ROW(A32),"")</f>
        <v/>
      </c>
      <c r="C44" s="94" t="str">
        <f>IF(ISBLANK(identitasMurid!C37),"",identitasMurid!C37)</f>
        <v/>
      </c>
      <c r="D44" s="6" t="str">
        <f>IF(ISBLANK(identitasMurid!D37),"",identitasMurid!D37)</f>
        <v/>
      </c>
      <c r="E44" s="95"/>
      <c r="F44" s="95"/>
      <c r="G44" s="95"/>
      <c r="H44" s="95"/>
      <c r="I44" s="95"/>
      <c r="J44" s="95"/>
      <c r="K44" s="95"/>
      <c r="L44" s="95"/>
      <c r="M44" s="95"/>
      <c r="Q44" s="5" t="str">
        <f>IF(ROW(A32)&lt;=profilKelas!$F$14,ROW(A32),"")</f>
        <v/>
      </c>
      <c r="R44" s="12" t="str">
        <f t="shared" si="13"/>
        <v/>
      </c>
      <c r="S44" s="108" t="str">
        <f t="shared" si="14"/>
        <v/>
      </c>
      <c r="T44" s="108" t="str">
        <f t="shared" si="15"/>
        <v/>
      </c>
      <c r="U44" s="108" t="str">
        <f t="shared" si="16"/>
        <v/>
      </c>
      <c r="V44" s="108" t="str">
        <f t="shared" si="17"/>
        <v/>
      </c>
      <c r="W44" s="108" t="str">
        <f t="shared" si="18"/>
        <v/>
      </c>
      <c r="X44" s="108" t="str">
        <f t="shared" si="19"/>
        <v/>
      </c>
      <c r="Y44" s="108" t="str">
        <f t="shared" si="20"/>
        <v/>
      </c>
      <c r="Z44" s="108" t="str">
        <f t="shared" si="21"/>
        <v/>
      </c>
      <c r="AA44" s="108" t="str">
        <f t="shared" si="22"/>
        <v/>
      </c>
      <c r="AB44" s="108" t="str" cm="1">
        <f t="array" ref="AB44">IF(LEN($B44)=0,"",IF(LEN(C44)=0,"Nama Siswa Kosong",IF($E44="","Status Siswa Kosong",IF(S44&lt;&gt;"Aktif","Siswa Tidak Aktif",
IF(OR(U44:AA44="Belum mengisi"),"Belum mengisi",IF(AND(U44:AA44="Sudah terbiasa"),"Sudah terbiasa","Belum terbiasa"))))))</f>
        <v/>
      </c>
    </row>
    <row r="45" spans="2:43" hidden="1" x14ac:dyDescent="0.3">
      <c r="B45" s="4" t="str">
        <f>IF(ROW(A33)&lt;=profilKelas!$F$14,ROW(A33),"")</f>
        <v/>
      </c>
      <c r="C45" s="94" t="str">
        <f>IF(ISBLANK(identitasMurid!C38),"",identitasMurid!C38)</f>
        <v/>
      </c>
      <c r="D45" s="6" t="str">
        <f>IF(ISBLANK(identitasMurid!D38),"",identitasMurid!D38)</f>
        <v/>
      </c>
      <c r="E45" s="95"/>
      <c r="F45" s="95"/>
      <c r="G45" s="95"/>
      <c r="H45" s="95"/>
      <c r="I45" s="95"/>
      <c r="J45" s="95"/>
      <c r="K45" s="95"/>
      <c r="L45" s="95"/>
      <c r="M45" s="95"/>
      <c r="Q45" s="5" t="str">
        <f>IF(ROW(A33)&lt;=profilKelas!$F$14,ROW(A33),"")</f>
        <v/>
      </c>
      <c r="R45" s="12" t="str">
        <f t="shared" si="13"/>
        <v/>
      </c>
      <c r="S45" s="108" t="str">
        <f t="shared" si="14"/>
        <v/>
      </c>
      <c r="T45" s="108" t="str">
        <f t="shared" si="15"/>
        <v/>
      </c>
      <c r="U45" s="108" t="str">
        <f t="shared" si="16"/>
        <v/>
      </c>
      <c r="V45" s="108" t="str">
        <f t="shared" si="17"/>
        <v/>
      </c>
      <c r="W45" s="108" t="str">
        <f t="shared" si="18"/>
        <v/>
      </c>
      <c r="X45" s="108" t="str">
        <f t="shared" si="19"/>
        <v/>
      </c>
      <c r="Y45" s="108" t="str">
        <f t="shared" si="20"/>
        <v/>
      </c>
      <c r="Z45" s="108" t="str">
        <f t="shared" si="21"/>
        <v/>
      </c>
      <c r="AA45" s="108" t="str">
        <f t="shared" si="22"/>
        <v/>
      </c>
      <c r="AB45" s="108" t="str" cm="1">
        <f t="array" ref="AB45">IF(LEN($B45)=0,"",IF(LEN(C45)=0,"Nama Siswa Kosong",IF($E45="","Status Siswa Kosong",IF(S45&lt;&gt;"Aktif","Siswa Tidak Aktif",
IF(OR(U45:AA45="Belum mengisi"),"Belum mengisi",IF(AND(U45:AA45="Sudah terbiasa"),"Sudah terbiasa","Belum terbiasa"))))))</f>
        <v/>
      </c>
    </row>
    <row r="46" spans="2:43" hidden="1" x14ac:dyDescent="0.3">
      <c r="B46" s="4" t="str">
        <f>IF(ROW(A34)&lt;=profilKelas!$F$14,ROW(A34),"")</f>
        <v/>
      </c>
      <c r="C46" s="94" t="str">
        <f>IF(ISBLANK(identitasMurid!C39),"",identitasMurid!C39)</f>
        <v/>
      </c>
      <c r="D46" s="6" t="str">
        <f>IF(ISBLANK(identitasMurid!D39),"",identitasMurid!D39)</f>
        <v/>
      </c>
      <c r="E46" s="95"/>
      <c r="F46" s="95"/>
      <c r="G46" s="95"/>
      <c r="H46" s="95"/>
      <c r="I46" s="95"/>
      <c r="J46" s="95"/>
      <c r="K46" s="95"/>
      <c r="L46" s="95"/>
      <c r="M46" s="95"/>
      <c r="Q46" s="5" t="str">
        <f>IF(ROW(A34)&lt;=profilKelas!$F$14,ROW(A34),"")</f>
        <v/>
      </c>
      <c r="R46" s="12" t="str">
        <f t="shared" si="13"/>
        <v/>
      </c>
      <c r="S46" s="108" t="str">
        <f t="shared" si="14"/>
        <v/>
      </c>
      <c r="T46" s="108" t="str">
        <f t="shared" si="15"/>
        <v/>
      </c>
      <c r="U46" s="108" t="str">
        <f t="shared" si="16"/>
        <v/>
      </c>
      <c r="V46" s="108" t="str">
        <f t="shared" si="17"/>
        <v/>
      </c>
      <c r="W46" s="108" t="str">
        <f t="shared" si="18"/>
        <v/>
      </c>
      <c r="X46" s="108" t="str">
        <f t="shared" si="19"/>
        <v/>
      </c>
      <c r="Y46" s="108" t="str">
        <f t="shared" si="20"/>
        <v/>
      </c>
      <c r="Z46" s="108" t="str">
        <f t="shared" si="21"/>
        <v/>
      </c>
      <c r="AA46" s="108" t="str">
        <f t="shared" si="22"/>
        <v/>
      </c>
      <c r="AB46" s="108" t="str" cm="1">
        <f t="array" ref="AB46">IF(LEN($B46)=0,"",IF(LEN(C46)=0,"Nama Siswa Kosong",IF($E46="","Status Siswa Kosong",IF(S46&lt;&gt;"Aktif","Siswa Tidak Aktif",
IF(OR(U46:AA46="Belum mengisi"),"Belum mengisi",IF(AND(U46:AA46="Sudah terbiasa"),"Sudah terbiasa","Belum terbiasa"))))))</f>
        <v/>
      </c>
    </row>
    <row r="47" spans="2:43" hidden="1" x14ac:dyDescent="0.3">
      <c r="B47" s="4" t="str">
        <f>IF(ROW(A35)&lt;=profilKelas!$F$14,ROW(A35),"")</f>
        <v/>
      </c>
      <c r="C47" s="94" t="str">
        <f>IF(ISBLANK(identitasMurid!C40),"",identitasMurid!C40)</f>
        <v/>
      </c>
      <c r="D47" s="6" t="str">
        <f>IF(ISBLANK(identitasMurid!D40),"",identitasMurid!D40)</f>
        <v/>
      </c>
      <c r="E47" s="95"/>
      <c r="F47" s="95"/>
      <c r="G47" s="95"/>
      <c r="H47" s="95"/>
      <c r="I47" s="95"/>
      <c r="J47" s="95"/>
      <c r="K47" s="95"/>
      <c r="L47" s="95"/>
      <c r="M47" s="95"/>
      <c r="Q47" s="5" t="str">
        <f>IF(ROW(A35)&lt;=profilKelas!$F$14,ROW(A35),"")</f>
        <v/>
      </c>
      <c r="R47" s="12" t="str">
        <f t="shared" si="13"/>
        <v/>
      </c>
      <c r="S47" s="108" t="str">
        <f t="shared" si="14"/>
        <v/>
      </c>
      <c r="T47" s="108" t="str">
        <f t="shared" si="15"/>
        <v/>
      </c>
      <c r="U47" s="108" t="str">
        <f t="shared" si="16"/>
        <v/>
      </c>
      <c r="V47" s="108" t="str">
        <f t="shared" si="17"/>
        <v/>
      </c>
      <c r="W47" s="108" t="str">
        <f t="shared" si="18"/>
        <v/>
      </c>
      <c r="X47" s="108" t="str">
        <f t="shared" si="19"/>
        <v/>
      </c>
      <c r="Y47" s="108" t="str">
        <f t="shared" si="20"/>
        <v/>
      </c>
      <c r="Z47" s="108" t="str">
        <f t="shared" si="21"/>
        <v/>
      </c>
      <c r="AA47" s="108" t="str">
        <f t="shared" si="22"/>
        <v/>
      </c>
      <c r="AB47" s="108" t="str" cm="1">
        <f t="array" ref="AB47">IF(LEN($B47)=0,"",IF(LEN(C47)=0,"Nama Siswa Kosong",IF($E47="","Status Siswa Kosong",IF(S47&lt;&gt;"Aktif","Siswa Tidak Aktif",
IF(OR(U47:AA47="Belum mengisi"),"Belum mengisi",IF(AND(U47:AA47="Sudah terbiasa"),"Sudah terbiasa","Belum terbiasa"))))))</f>
        <v/>
      </c>
    </row>
    <row r="48" spans="2:43" hidden="1" x14ac:dyDescent="0.3">
      <c r="B48" s="4" t="str">
        <f>IF(ROW(A36)&lt;=profilKelas!$F$14,ROW(A36),"")</f>
        <v/>
      </c>
      <c r="C48" s="94" t="str">
        <f>IF(ISBLANK(identitasMurid!C41),"",identitasMurid!C41)</f>
        <v/>
      </c>
      <c r="D48" s="6" t="str">
        <f>IF(ISBLANK(identitasMurid!D41),"",identitasMurid!D41)</f>
        <v/>
      </c>
      <c r="E48" s="95"/>
      <c r="F48" s="95"/>
      <c r="G48" s="95"/>
      <c r="H48" s="95"/>
      <c r="I48" s="95"/>
      <c r="J48" s="95"/>
      <c r="K48" s="95"/>
      <c r="L48" s="95"/>
      <c r="M48" s="30"/>
      <c r="Q48" s="5" t="str">
        <f>IF(ROW(A36)&lt;=profilKelas!$F$14,ROW(A36),"")</f>
        <v/>
      </c>
      <c r="R48" s="12" t="str">
        <f t="shared" si="13"/>
        <v/>
      </c>
      <c r="S48" s="108" t="str">
        <f t="shared" si="14"/>
        <v/>
      </c>
      <c r="T48" s="108" t="str">
        <f t="shared" si="15"/>
        <v/>
      </c>
      <c r="U48" s="108" t="str">
        <f t="shared" si="16"/>
        <v/>
      </c>
      <c r="V48" s="108" t="str">
        <f t="shared" si="17"/>
        <v/>
      </c>
      <c r="W48" s="108" t="str">
        <f t="shared" si="18"/>
        <v/>
      </c>
      <c r="X48" s="108" t="str">
        <f t="shared" si="19"/>
        <v/>
      </c>
      <c r="Y48" s="108" t="str">
        <f t="shared" si="20"/>
        <v/>
      </c>
      <c r="Z48" s="108" t="str">
        <f t="shared" si="21"/>
        <v/>
      </c>
      <c r="AA48" s="108" t="str">
        <f t="shared" si="22"/>
        <v/>
      </c>
      <c r="AB48" s="108" t="str" cm="1">
        <f t="array" ref="AB48">IF(LEN($B48)=0,"",IF(LEN(C48)=0,"Nama Siswa Kosong",IF($E48="","Status Siswa Kosong",IF(S48&lt;&gt;"Aktif","Siswa Tidak Aktif",
IF(OR(U48:AA48="Belum mengisi"),"Belum mengisi",IF(AND(U48:AA48="Sudah terbiasa"),"Sudah terbiasa","Belum terbiasa"))))))</f>
        <v/>
      </c>
    </row>
    <row r="49" spans="2:28" hidden="1" x14ac:dyDescent="0.3">
      <c r="B49" s="4" t="str">
        <f>IF(ROW(A37)&lt;=profilKelas!$F$14,ROW(A37),"")</f>
        <v/>
      </c>
      <c r="C49" s="94" t="str">
        <f>IF(ISBLANK(identitasMurid!C42),"",identitasMurid!C42)</f>
        <v/>
      </c>
      <c r="D49" s="6" t="str">
        <f>IF(ISBLANK(identitasMurid!D42),"",identitasMurid!D42)</f>
        <v/>
      </c>
      <c r="E49" s="95"/>
      <c r="F49" s="95"/>
      <c r="G49" s="95"/>
      <c r="H49" s="95"/>
      <c r="I49" s="95"/>
      <c r="J49" s="95"/>
      <c r="K49" s="95"/>
      <c r="L49" s="95"/>
      <c r="M49" s="30"/>
      <c r="Q49" s="5" t="str">
        <f>IF(ROW(A37)&lt;=profilKelas!$F$14,ROW(A37),"")</f>
        <v/>
      </c>
      <c r="R49" s="12" t="str">
        <f t="shared" si="13"/>
        <v/>
      </c>
      <c r="S49" s="108" t="str">
        <f t="shared" si="14"/>
        <v/>
      </c>
      <c r="T49" s="108" t="str">
        <f t="shared" si="15"/>
        <v/>
      </c>
      <c r="U49" s="108" t="str">
        <f t="shared" si="16"/>
        <v/>
      </c>
      <c r="V49" s="108" t="str">
        <f t="shared" si="17"/>
        <v/>
      </c>
      <c r="W49" s="108" t="str">
        <f t="shared" si="18"/>
        <v/>
      </c>
      <c r="X49" s="108" t="str">
        <f t="shared" si="19"/>
        <v/>
      </c>
      <c r="Y49" s="108" t="str">
        <f t="shared" si="20"/>
        <v/>
      </c>
      <c r="Z49" s="108" t="str">
        <f t="shared" si="21"/>
        <v/>
      </c>
      <c r="AA49" s="108" t="str">
        <f t="shared" si="22"/>
        <v/>
      </c>
      <c r="AB49" s="108" t="str" cm="1">
        <f t="array" ref="AB49">IF(LEN($B49)=0,"",IF(LEN(C49)=0,"Nama Siswa Kosong",IF($E49="","Status Siswa Kosong",IF(S49&lt;&gt;"Aktif","Siswa Tidak Aktif",
IF(OR(U49:AA49="Belum mengisi"),"Belum mengisi",IF(AND(U49:AA49="Sudah terbiasa"),"Sudah terbiasa","Belum terbiasa"))))))</f>
        <v/>
      </c>
    </row>
    <row r="50" spans="2:28" hidden="1" x14ac:dyDescent="0.3">
      <c r="B50" s="4" t="str">
        <f>IF(ROW(A38)&lt;=profilKelas!$F$14,ROW(A38),"")</f>
        <v/>
      </c>
      <c r="C50" s="94" t="str">
        <f>IF(ISBLANK(identitasMurid!C43),"",identitasMurid!C43)</f>
        <v/>
      </c>
      <c r="D50" s="6" t="str">
        <f>IF(ISBLANK(identitasMurid!D43),"",identitasMurid!D43)</f>
        <v/>
      </c>
      <c r="E50" s="95"/>
      <c r="F50" s="95"/>
      <c r="G50" s="95"/>
      <c r="H50" s="95"/>
      <c r="I50" s="95"/>
      <c r="J50" s="95"/>
      <c r="K50" s="95"/>
      <c r="L50" s="95"/>
      <c r="M50" s="30"/>
      <c r="Q50" s="5" t="str">
        <f>IF(ROW(A38)&lt;=profilKelas!$F$14,ROW(A38),"")</f>
        <v/>
      </c>
      <c r="R50" s="12" t="str">
        <f t="shared" si="13"/>
        <v/>
      </c>
      <c r="S50" s="108" t="str">
        <f t="shared" si="14"/>
        <v/>
      </c>
      <c r="T50" s="108" t="str">
        <f t="shared" si="15"/>
        <v/>
      </c>
      <c r="U50" s="108" t="str">
        <f t="shared" si="16"/>
        <v/>
      </c>
      <c r="V50" s="108" t="str">
        <f t="shared" si="17"/>
        <v/>
      </c>
      <c r="W50" s="108" t="str">
        <f t="shared" si="18"/>
        <v/>
      </c>
      <c r="X50" s="108" t="str">
        <f t="shared" si="19"/>
        <v/>
      </c>
      <c r="Y50" s="108" t="str">
        <f t="shared" si="20"/>
        <v/>
      </c>
      <c r="Z50" s="108" t="str">
        <f t="shared" si="21"/>
        <v/>
      </c>
      <c r="AA50" s="108" t="str">
        <f t="shared" si="22"/>
        <v/>
      </c>
      <c r="AB50" s="108" t="str" cm="1">
        <f t="array" ref="AB50">IF(LEN($B50)=0,"",IF(LEN(C50)=0,"Nama Siswa Kosong",IF($E50="","Status Siswa Kosong",IF(S50&lt;&gt;"Aktif","Siswa Tidak Aktif",
IF(OR(U50:AA50="Belum mengisi"),"Belum mengisi",IF(AND(U50:AA50="Sudah terbiasa"),"Sudah terbiasa","Belum terbiasa"))))))</f>
        <v/>
      </c>
    </row>
    <row r="51" spans="2:28" hidden="1" x14ac:dyDescent="0.3">
      <c r="B51" s="4" t="str">
        <f>IF(ROW(A39)&lt;=profilKelas!$F$14,ROW(A39),"")</f>
        <v/>
      </c>
      <c r="C51" s="94" t="str">
        <f>IF(ISBLANK(identitasMurid!C44),"",identitasMurid!C44)</f>
        <v/>
      </c>
      <c r="D51" s="6" t="str">
        <f>IF(ISBLANK(identitasMurid!D44),"",identitasMurid!D44)</f>
        <v/>
      </c>
      <c r="E51" s="95"/>
      <c r="F51" s="95"/>
      <c r="G51" s="95"/>
      <c r="H51" s="95"/>
      <c r="I51" s="95"/>
      <c r="J51" s="95"/>
      <c r="K51" s="95"/>
      <c r="L51" s="95"/>
      <c r="M51" s="30"/>
      <c r="Q51" s="5" t="str">
        <f>IF(ROW(A39)&lt;=profilKelas!$F$14,ROW(A39),"")</f>
        <v/>
      </c>
      <c r="R51" s="12" t="str">
        <f t="shared" si="13"/>
        <v/>
      </c>
      <c r="S51" s="108" t="str">
        <f t="shared" si="14"/>
        <v/>
      </c>
      <c r="T51" s="108" t="str">
        <f t="shared" si="15"/>
        <v/>
      </c>
      <c r="U51" s="108" t="str">
        <f t="shared" si="16"/>
        <v/>
      </c>
      <c r="V51" s="108" t="str">
        <f t="shared" si="17"/>
        <v/>
      </c>
      <c r="W51" s="108" t="str">
        <f t="shared" si="18"/>
        <v/>
      </c>
      <c r="X51" s="108" t="str">
        <f t="shared" si="19"/>
        <v/>
      </c>
      <c r="Y51" s="108" t="str">
        <f t="shared" si="20"/>
        <v/>
      </c>
      <c r="Z51" s="108" t="str">
        <f t="shared" si="21"/>
        <v/>
      </c>
      <c r="AA51" s="108" t="str">
        <f t="shared" si="22"/>
        <v/>
      </c>
      <c r="AB51" s="108" t="str" cm="1">
        <f t="array" ref="AB51">IF(LEN($B51)=0,"",IF(LEN(C51)=0,"Nama Siswa Kosong",IF($E51="","Status Siswa Kosong",IF(S51&lt;&gt;"Aktif","Siswa Tidak Aktif",
IF(OR(U51:AA51="Belum mengisi"),"Belum mengisi",IF(AND(U51:AA51="Sudah terbiasa"),"Sudah terbiasa","Belum terbiasa"))))))</f>
        <v/>
      </c>
    </row>
    <row r="52" spans="2:28" hidden="1" x14ac:dyDescent="0.3">
      <c r="B52" s="4" t="str">
        <f>IF(ROW(A40)&lt;=profilKelas!$F$14,ROW(A40),"")</f>
        <v/>
      </c>
      <c r="C52" s="94" t="str">
        <f>IF(ISBLANK(identitasMurid!C45),"",identitasMurid!C45)</f>
        <v/>
      </c>
      <c r="D52" s="6" t="str">
        <f>IF(ISBLANK(identitasMurid!D45),"",identitasMurid!D45)</f>
        <v/>
      </c>
      <c r="E52" s="95"/>
      <c r="F52" s="95"/>
      <c r="G52" s="95"/>
      <c r="H52" s="95"/>
      <c r="I52" s="95"/>
      <c r="J52" s="95"/>
      <c r="K52" s="95"/>
      <c r="L52" s="95"/>
      <c r="M52" s="30"/>
      <c r="Q52" s="5" t="str">
        <f>IF(ROW(A40)&lt;=profilKelas!$F$14,ROW(A40),"")</f>
        <v/>
      </c>
      <c r="R52" s="12" t="str">
        <f t="shared" si="13"/>
        <v/>
      </c>
      <c r="S52" s="108" t="str">
        <f t="shared" si="14"/>
        <v/>
      </c>
      <c r="T52" s="108" t="str">
        <f t="shared" si="15"/>
        <v/>
      </c>
      <c r="U52" s="108" t="str">
        <f t="shared" si="16"/>
        <v/>
      </c>
      <c r="V52" s="108" t="str">
        <f t="shared" si="17"/>
        <v/>
      </c>
      <c r="W52" s="108" t="str">
        <f t="shared" si="18"/>
        <v/>
      </c>
      <c r="X52" s="108" t="str">
        <f t="shared" si="19"/>
        <v/>
      </c>
      <c r="Y52" s="108" t="str">
        <f t="shared" si="20"/>
        <v/>
      </c>
      <c r="Z52" s="108" t="str">
        <f t="shared" si="21"/>
        <v/>
      </c>
      <c r="AA52" s="108" t="str">
        <f t="shared" si="22"/>
        <v/>
      </c>
      <c r="AB52" s="108" t="str" cm="1">
        <f t="array" ref="AB52">IF(LEN($B52)=0,"",IF(LEN(C52)=0,"Nama Siswa Kosong",IF($E52="","Status Siswa Kosong",IF(S52&lt;&gt;"Aktif","Siswa Tidak Aktif",
IF(OR(U52:AA52="Belum mengisi"),"Belum mengisi",IF(AND(U52:AA52="Sudah terbiasa"),"Sudah terbiasa","Belum terbiasa"))))))</f>
        <v/>
      </c>
    </row>
    <row r="53" spans="2:28" hidden="1" x14ac:dyDescent="0.3">
      <c r="B53" s="4" t="str">
        <f>IF(ROW(A41)&lt;=profilKelas!$F$14,ROW(A41),"")</f>
        <v/>
      </c>
      <c r="C53" s="94" t="str">
        <f>IF(ISBLANK(identitasMurid!C46),"",identitasMurid!C46)</f>
        <v/>
      </c>
      <c r="D53" s="6" t="str">
        <f>IF(ISBLANK(identitasMurid!D46),"",identitasMurid!D46)</f>
        <v/>
      </c>
      <c r="E53" s="95"/>
      <c r="F53" s="95"/>
      <c r="G53" s="95"/>
      <c r="H53" s="95"/>
      <c r="I53" s="95"/>
      <c r="J53" s="95"/>
      <c r="K53" s="95"/>
      <c r="L53" s="95"/>
      <c r="M53" s="30"/>
      <c r="Q53" s="5" t="str">
        <f>IF(ROW(A41)&lt;=profilKelas!$F$14,ROW(A41),"")</f>
        <v/>
      </c>
      <c r="R53" s="12" t="str">
        <f t="shared" si="13"/>
        <v/>
      </c>
      <c r="S53" s="108" t="str">
        <f t="shared" si="14"/>
        <v/>
      </c>
      <c r="T53" s="108" t="str">
        <f t="shared" si="15"/>
        <v/>
      </c>
      <c r="U53" s="108" t="str">
        <f t="shared" si="16"/>
        <v/>
      </c>
      <c r="V53" s="108" t="str">
        <f t="shared" si="17"/>
        <v/>
      </c>
      <c r="W53" s="108" t="str">
        <f t="shared" si="18"/>
        <v/>
      </c>
      <c r="X53" s="108" t="str">
        <f t="shared" si="19"/>
        <v/>
      </c>
      <c r="Y53" s="108" t="str">
        <f t="shared" si="20"/>
        <v/>
      </c>
      <c r="Z53" s="108" t="str">
        <f t="shared" si="21"/>
        <v/>
      </c>
      <c r="AA53" s="108" t="str">
        <f t="shared" si="22"/>
        <v/>
      </c>
      <c r="AB53" s="108" t="str" cm="1">
        <f t="array" ref="AB53">IF(LEN($B53)=0,"",IF(LEN(C53)=0,"Nama Siswa Kosong",IF($E53="","Status Siswa Kosong",IF(S53&lt;&gt;"Aktif","Siswa Tidak Aktif",
IF(OR(U53:AA53="Belum mengisi"),"Belum mengisi",IF(AND(U53:AA53="Sudah terbiasa"),"Sudah terbiasa","Belum terbiasa"))))))</f>
        <v/>
      </c>
    </row>
    <row r="54" spans="2:28" hidden="1" x14ac:dyDescent="0.3">
      <c r="B54" s="4" t="str">
        <f>IF(ROW(A42)&lt;=profilKelas!$F$14,ROW(A42),"")</f>
        <v/>
      </c>
      <c r="C54" s="94" t="str">
        <f>IF(ISBLANK(identitasMurid!C47),"",identitasMurid!C47)</f>
        <v/>
      </c>
      <c r="D54" s="6" t="str">
        <f>IF(ISBLANK(identitasMurid!D47),"",identitasMurid!D47)</f>
        <v/>
      </c>
      <c r="E54" s="95"/>
      <c r="F54" s="95"/>
      <c r="G54" s="95"/>
      <c r="H54" s="95"/>
      <c r="I54" s="95"/>
      <c r="J54" s="95"/>
      <c r="K54" s="95"/>
      <c r="L54" s="95"/>
      <c r="M54" s="30"/>
      <c r="Q54" s="5" t="str">
        <f>IF(ROW(A42)&lt;=profilKelas!$F$14,ROW(A42),"")</f>
        <v/>
      </c>
      <c r="R54" s="12" t="str">
        <f t="shared" si="13"/>
        <v/>
      </c>
      <c r="S54" s="108" t="str">
        <f t="shared" si="14"/>
        <v/>
      </c>
      <c r="T54" s="108" t="str">
        <f t="shared" si="15"/>
        <v/>
      </c>
      <c r="U54" s="108" t="str">
        <f t="shared" si="16"/>
        <v/>
      </c>
      <c r="V54" s="108" t="str">
        <f t="shared" si="17"/>
        <v/>
      </c>
      <c r="W54" s="108" t="str">
        <f t="shared" si="18"/>
        <v/>
      </c>
      <c r="X54" s="108" t="str">
        <f t="shared" si="19"/>
        <v/>
      </c>
      <c r="Y54" s="108" t="str">
        <f t="shared" si="20"/>
        <v/>
      </c>
      <c r="Z54" s="108" t="str">
        <f t="shared" si="21"/>
        <v/>
      </c>
      <c r="AA54" s="108" t="str">
        <f t="shared" si="22"/>
        <v/>
      </c>
      <c r="AB54" s="108" t="str" cm="1">
        <f t="array" ref="AB54">IF(LEN($B54)=0,"",IF(LEN(C54)=0,"Nama Siswa Kosong",IF($E54="","Status Siswa Kosong",IF(S54&lt;&gt;"Aktif","Siswa Tidak Aktif",
IF(OR(U54:AA54="Belum mengisi"),"Belum mengisi",IF(AND(U54:AA54="Sudah terbiasa"),"Sudah terbiasa","Belum terbiasa"))))))</f>
        <v/>
      </c>
    </row>
    <row r="55" spans="2:28" hidden="1" x14ac:dyDescent="0.3">
      <c r="B55" s="4" t="str">
        <f>IF(ROW(A43)&lt;=profilKelas!$F$14,ROW(A43),"")</f>
        <v/>
      </c>
      <c r="C55" s="94" t="str">
        <f>IF(ISBLANK(identitasMurid!C48),"",identitasMurid!C48)</f>
        <v/>
      </c>
      <c r="D55" s="6" t="str">
        <f>IF(ISBLANK(identitasMurid!D48),"",identitasMurid!D48)</f>
        <v/>
      </c>
      <c r="E55" s="95"/>
      <c r="F55" s="95"/>
      <c r="G55" s="95"/>
      <c r="H55" s="95"/>
      <c r="I55" s="95"/>
      <c r="J55" s="95"/>
      <c r="K55" s="95"/>
      <c r="L55" s="95"/>
      <c r="M55" s="30"/>
      <c r="Q55" s="5" t="str">
        <f>IF(ROW(A43)&lt;=profilKelas!$F$14,ROW(A43),"")</f>
        <v/>
      </c>
      <c r="R55" s="12" t="str">
        <f t="shared" si="13"/>
        <v/>
      </c>
      <c r="S55" s="108" t="str">
        <f t="shared" si="14"/>
        <v/>
      </c>
      <c r="T55" s="108" t="str">
        <f t="shared" si="15"/>
        <v/>
      </c>
      <c r="U55" s="108" t="str">
        <f t="shared" si="16"/>
        <v/>
      </c>
      <c r="V55" s="108" t="str">
        <f t="shared" si="17"/>
        <v/>
      </c>
      <c r="W55" s="108" t="str">
        <f t="shared" si="18"/>
        <v/>
      </c>
      <c r="X55" s="108" t="str">
        <f t="shared" si="19"/>
        <v/>
      </c>
      <c r="Y55" s="108" t="str">
        <f t="shared" si="20"/>
        <v/>
      </c>
      <c r="Z55" s="108" t="str">
        <f t="shared" si="21"/>
        <v/>
      </c>
      <c r="AA55" s="108" t="str">
        <f t="shared" si="22"/>
        <v/>
      </c>
      <c r="AB55" s="108" t="str" cm="1">
        <f t="array" ref="AB55">IF(LEN($B55)=0,"",IF(LEN(C55)=0,"Nama Siswa Kosong",IF($E55="","Status Siswa Kosong",IF(S55&lt;&gt;"Aktif","Siswa Tidak Aktif",
IF(OR(U55:AA55="Belum mengisi"),"Belum mengisi",IF(AND(U55:AA55="Sudah terbiasa"),"Sudah terbiasa","Belum terbiasa"))))))</f>
        <v/>
      </c>
    </row>
    <row r="56" spans="2:28" hidden="1" x14ac:dyDescent="0.3">
      <c r="B56" s="4" t="str">
        <f>IF(ROW(A44)&lt;=profilKelas!$F$14,ROW(A44),"")</f>
        <v/>
      </c>
      <c r="C56" s="94" t="str">
        <f>IF(ISBLANK(identitasMurid!C49),"",identitasMurid!C49)</f>
        <v/>
      </c>
      <c r="D56" s="6" t="str">
        <f>IF(ISBLANK(identitasMurid!D49),"",identitasMurid!D49)</f>
        <v/>
      </c>
      <c r="E56" s="95"/>
      <c r="F56" s="95"/>
      <c r="G56" s="95"/>
      <c r="H56" s="95"/>
      <c r="I56" s="95"/>
      <c r="J56" s="95"/>
      <c r="K56" s="95"/>
      <c r="L56" s="95"/>
      <c r="M56" s="30"/>
      <c r="Q56" s="5" t="str">
        <f>IF(ROW(A44)&lt;=profilKelas!$F$14,ROW(A44),"")</f>
        <v/>
      </c>
      <c r="R56" s="12" t="str">
        <f t="shared" si="13"/>
        <v/>
      </c>
      <c r="S56" s="108" t="str">
        <f t="shared" si="14"/>
        <v/>
      </c>
      <c r="T56" s="108" t="str">
        <f t="shared" si="15"/>
        <v/>
      </c>
      <c r="U56" s="108" t="str">
        <f t="shared" si="16"/>
        <v/>
      </c>
      <c r="V56" s="108" t="str">
        <f t="shared" si="17"/>
        <v/>
      </c>
      <c r="W56" s="108" t="str">
        <f t="shared" si="18"/>
        <v/>
      </c>
      <c r="X56" s="108" t="str">
        <f t="shared" si="19"/>
        <v/>
      </c>
      <c r="Y56" s="108" t="str">
        <f t="shared" si="20"/>
        <v/>
      </c>
      <c r="Z56" s="108" t="str">
        <f t="shared" si="21"/>
        <v/>
      </c>
      <c r="AA56" s="108" t="str">
        <f t="shared" si="22"/>
        <v/>
      </c>
      <c r="AB56" s="108" t="str" cm="1">
        <f t="array" ref="AB56">IF(LEN($B56)=0,"",IF(LEN(C56)=0,"Nama Siswa Kosong",IF($E56="","Status Siswa Kosong",IF(S56&lt;&gt;"Aktif","Siswa Tidak Aktif",
IF(OR(U56:AA56="Belum mengisi"),"Belum mengisi",IF(AND(U56:AA56="Sudah terbiasa"),"Sudah terbiasa","Belum terbiasa"))))))</f>
        <v/>
      </c>
    </row>
    <row r="57" spans="2:28" hidden="1" x14ac:dyDescent="0.3">
      <c r="B57" s="4" t="str">
        <f>IF(ROW(A45)&lt;=profilKelas!$F$14,ROW(A45),"")</f>
        <v/>
      </c>
      <c r="C57" s="94" t="str">
        <f>IF(ISBLANK(identitasMurid!C50),"",identitasMurid!C50)</f>
        <v/>
      </c>
      <c r="D57" s="6" t="str">
        <f>IF(ISBLANK(identitasMurid!D50),"",identitasMurid!D50)</f>
        <v/>
      </c>
      <c r="E57" s="95"/>
      <c r="F57" s="95"/>
      <c r="G57" s="95"/>
      <c r="H57" s="95"/>
      <c r="I57" s="95"/>
      <c r="J57" s="95"/>
      <c r="K57" s="95"/>
      <c r="L57" s="95"/>
      <c r="M57" s="30"/>
      <c r="Q57" s="5" t="str">
        <f>IF(ROW(A45)&lt;=profilKelas!$F$14,ROW(A45),"")</f>
        <v/>
      </c>
      <c r="R57" s="12" t="str">
        <f t="shared" si="13"/>
        <v/>
      </c>
      <c r="S57" s="108" t="str">
        <f t="shared" si="14"/>
        <v/>
      </c>
      <c r="T57" s="108" t="str">
        <f t="shared" si="15"/>
        <v/>
      </c>
      <c r="U57" s="108" t="str">
        <f t="shared" si="16"/>
        <v/>
      </c>
      <c r="V57" s="108" t="str">
        <f t="shared" si="17"/>
        <v/>
      </c>
      <c r="W57" s="108" t="str">
        <f t="shared" si="18"/>
        <v/>
      </c>
      <c r="X57" s="108" t="str">
        <f t="shared" si="19"/>
        <v/>
      </c>
      <c r="Y57" s="108" t="str">
        <f t="shared" si="20"/>
        <v/>
      </c>
      <c r="Z57" s="108" t="str">
        <f t="shared" si="21"/>
        <v/>
      </c>
      <c r="AA57" s="108" t="str">
        <f t="shared" si="22"/>
        <v/>
      </c>
      <c r="AB57" s="108" t="str" cm="1">
        <f t="array" ref="AB57">IF(LEN($B57)=0,"",IF(LEN(C57)=0,"Nama Siswa Kosong",IF($E57="","Status Siswa Kosong",IF(S57&lt;&gt;"Aktif","Siswa Tidak Aktif",
IF(OR(U57:AA57="Belum mengisi"),"Belum mengisi",IF(AND(U57:AA57="Sudah terbiasa"),"Sudah terbiasa","Belum terbiasa"))))))</f>
        <v/>
      </c>
    </row>
    <row r="58" spans="2:28" x14ac:dyDescent="0.3"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</row>
    <row r="59" spans="2:28" ht="16.2" x14ac:dyDescent="0.35">
      <c r="B59" s="13"/>
      <c r="C59" s="71"/>
      <c r="D59" s="71" t="s">
        <v>15</v>
      </c>
      <c r="E59" s="13"/>
      <c r="F59" s="13"/>
      <c r="G59" s="13"/>
      <c r="H59" s="13"/>
      <c r="I59" s="13"/>
      <c r="J59" s="13"/>
      <c r="K59" s="13" t="str">
        <f>profilKelas!F9&amp;", "&amp;O60</f>
        <v>, 31 Juli 2025</v>
      </c>
      <c r="L59" s="13"/>
      <c r="M59" s="13"/>
      <c r="O59" s="31" t="s">
        <v>860</v>
      </c>
      <c r="Q59" s="13"/>
      <c r="R59" s="13"/>
      <c r="S59" s="13" t="s">
        <v>15</v>
      </c>
      <c r="T59" s="13"/>
      <c r="U59" s="13"/>
      <c r="V59" s="13"/>
      <c r="W59" s="13"/>
      <c r="X59" s="13"/>
      <c r="Y59" s="13"/>
      <c r="Z59" s="13" t="str">
        <f>profilKelas!F9&amp;", "&amp;O60</f>
        <v>, 31 Juli 2025</v>
      </c>
      <c r="AA59" s="13"/>
      <c r="AB59" s="13"/>
    </row>
    <row r="60" spans="2:28" x14ac:dyDescent="0.3">
      <c r="B60" s="13"/>
      <c r="C60" s="71"/>
      <c r="D60" s="71" t="str">
        <f>IF(ISBLANK(profilKelas!B10),"",SUBSTITUTE(profilKelas!B10,"Nama ",""))</f>
        <v>Kepala Sekolah</v>
      </c>
      <c r="E60" s="13"/>
      <c r="F60" s="13"/>
      <c r="G60" s="13"/>
      <c r="H60" s="13"/>
      <c r="I60" s="13"/>
      <c r="J60" s="13"/>
      <c r="K60" s="13" t="str">
        <f>SUBSTITUTE(profilKelas!B15,"Nama ","")&amp;","</f>
        <v>Guru Wali Kelas,</v>
      </c>
      <c r="L60" s="13"/>
      <c r="M60" s="13"/>
      <c r="O60" s="100" t="s">
        <v>861</v>
      </c>
      <c r="Q60" s="13"/>
      <c r="R60" s="13"/>
      <c r="S60" s="13" t="str">
        <f>IF(ISBLANK(profilKelas!B10),"",profilKelas!B10)</f>
        <v>Nama Kepala Sekolah</v>
      </c>
      <c r="T60" s="13"/>
      <c r="U60" s="13"/>
      <c r="V60" s="13"/>
      <c r="W60" s="13"/>
      <c r="X60" s="13"/>
      <c r="Y60" s="13"/>
      <c r="Z60" s="13" t="str">
        <f>SUBSTITUTE(profilKelas!B15,"Nama ","")&amp;","</f>
        <v>Guru Wali Kelas,</v>
      </c>
      <c r="AA60" s="13"/>
      <c r="AB60" s="13"/>
    </row>
    <row r="61" spans="2:28" x14ac:dyDescent="0.3"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</row>
    <row r="62" spans="2:28" x14ac:dyDescent="0.3"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</row>
    <row r="63" spans="2:28" x14ac:dyDescent="0.3"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</row>
    <row r="64" spans="2:28" x14ac:dyDescent="0.3">
      <c r="B64" s="13"/>
      <c r="C64" s="13"/>
      <c r="D64" s="101" t="str">
        <f>IF(ISBLANK(profilKelas!F10),"",profilKelas!F10)</f>
        <v/>
      </c>
      <c r="E64" s="13"/>
      <c r="F64" s="13"/>
      <c r="G64" s="13"/>
      <c r="H64" s="13"/>
      <c r="I64" s="13"/>
      <c r="J64" s="13"/>
      <c r="K64" s="101" t="str">
        <f>IF(LEN(profilKelas!F15)=0,"",profilKelas!F15)</f>
        <v/>
      </c>
      <c r="L64" s="13"/>
      <c r="M64" s="13"/>
      <c r="Q64" s="13"/>
      <c r="R64" s="13"/>
      <c r="S64" s="101" t="str">
        <f>IF(ISBLANK(profilKelas!F10),"",profilKelas!F10)</f>
        <v/>
      </c>
      <c r="T64" s="13"/>
      <c r="U64" s="13"/>
      <c r="V64" s="13"/>
      <c r="W64" s="13"/>
      <c r="X64" s="13"/>
      <c r="Y64" s="13"/>
      <c r="Z64" s="101">
        <f>profilKelas!F15</f>
        <v>0</v>
      </c>
      <c r="AA64" s="13"/>
      <c r="AB64" s="13"/>
    </row>
    <row r="65" spans="2:28" x14ac:dyDescent="0.3">
      <c r="B65" s="13"/>
      <c r="C65" s="13"/>
      <c r="D65" s="13" t="str">
        <f>"NIP. "&amp;profilKelas!F11</f>
        <v xml:space="preserve">NIP. </v>
      </c>
      <c r="E65" s="13"/>
      <c r="F65" s="13"/>
      <c r="G65" s="13"/>
      <c r="H65" s="13"/>
      <c r="I65" s="13"/>
      <c r="J65" s="13"/>
      <c r="K65" s="13" t="str">
        <f>"NIP. "&amp;profilKelas!F16</f>
        <v xml:space="preserve">NIP. </v>
      </c>
      <c r="L65" s="13"/>
      <c r="M65" s="13"/>
      <c r="Q65" s="13"/>
      <c r="R65" s="13"/>
      <c r="S65" s="13" t="str">
        <f>"NIP. "&amp;profilKelas!F11</f>
        <v xml:space="preserve">NIP. </v>
      </c>
      <c r="T65" s="13"/>
      <c r="U65" s="13"/>
      <c r="V65" s="13"/>
      <c r="W65" s="13"/>
      <c r="X65" s="13"/>
      <c r="Y65" s="13"/>
      <c r="Z65" s="13" t="str">
        <f>"NIP. "&amp;profilKelas!F16</f>
        <v xml:space="preserve">NIP. </v>
      </c>
      <c r="AA65" s="13"/>
      <c r="AB65" s="13"/>
    </row>
    <row r="66" spans="2:28" x14ac:dyDescent="0.3"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</row>
    <row r="67" spans="2:28" x14ac:dyDescent="0.3">
      <c r="B67" s="13"/>
      <c r="C67" s="102" t="s">
        <v>10</v>
      </c>
      <c r="D67" s="71" t="s">
        <v>609</v>
      </c>
      <c r="E67" s="13"/>
      <c r="F67" s="13"/>
      <c r="G67" s="13"/>
      <c r="H67" s="13"/>
      <c r="I67" s="13"/>
      <c r="J67" s="13"/>
      <c r="K67" s="13"/>
      <c r="L67" s="13"/>
      <c r="M67" s="13"/>
      <c r="Q67" s="13"/>
      <c r="R67" s="102" t="s">
        <v>10</v>
      </c>
      <c r="S67" s="71" t="s">
        <v>609</v>
      </c>
      <c r="T67" s="13"/>
      <c r="U67" s="13"/>
      <c r="V67" s="13"/>
      <c r="W67" s="13"/>
      <c r="X67" s="13"/>
      <c r="Y67" s="13"/>
      <c r="Z67" s="13"/>
      <c r="AA67" s="13"/>
      <c r="AB67" s="13"/>
    </row>
    <row r="68" spans="2:28" ht="15.6" customHeight="1" x14ac:dyDescent="0.3"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63">
        <f>SUBTOTAL(109,N69)</f>
        <v>0</v>
      </c>
      <c r="O68" s="63" t="str">
        <f>IF(N68=0,"ATUR HALAMAN","TAMPILAN NORMAL")</f>
        <v>ATUR HALAMAN</v>
      </c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</row>
    <row r="69" spans="2:28" hidden="1" x14ac:dyDescent="0.3">
      <c r="N69" s="7">
        <v>1</v>
      </c>
    </row>
  </sheetData>
  <sheetProtection algorithmName="SHA-512" hashValue="xk3f6NTkOtRhAqBjMGbB21+tmYe3EMd7Nt+7EcUh7DM90kVJcBwqSe2xd6tivxBLuGwPO5uMSkAZlO4Qr9w3qA==" saltValue="2AuglcqAPv0LfDoJLxa/xw==" spinCount="100000" sheet="1" objects="1" scenarios="1" formatCells="0" formatColumns="0" formatRows="0" insertColumns="0" insertRows="0" insertHyperlinks="0" deleteColumns="0" deleteRows="0" autoFilter="0"/>
  <mergeCells count="41">
    <mergeCell ref="AD14:AD15"/>
    <mergeCell ref="AF14:AF15"/>
    <mergeCell ref="AE28:AF28"/>
    <mergeCell ref="AE29:AF29"/>
    <mergeCell ref="AE26:AF26"/>
    <mergeCell ref="AE25:AF25"/>
    <mergeCell ref="AE27:AF27"/>
    <mergeCell ref="AD6:AQ7"/>
    <mergeCell ref="AK32:AL32"/>
    <mergeCell ref="AK31:AN31"/>
    <mergeCell ref="AM32:AN32"/>
    <mergeCell ref="AL14:AQ18"/>
    <mergeCell ref="AG22:AH22"/>
    <mergeCell ref="AI22:AJ22"/>
    <mergeCell ref="AG21:AJ21"/>
    <mergeCell ref="AD18:AE18"/>
    <mergeCell ref="AI15:AJ15"/>
    <mergeCell ref="AG14:AJ14"/>
    <mergeCell ref="AG15:AH15"/>
    <mergeCell ref="AE14:AE15"/>
    <mergeCell ref="AE24:AF24"/>
    <mergeCell ref="AE22:AF22"/>
    <mergeCell ref="AE23:AF23"/>
    <mergeCell ref="AE38:AF38"/>
    <mergeCell ref="AE39:AF39"/>
    <mergeCell ref="AG31:AJ31"/>
    <mergeCell ref="AG32:AH32"/>
    <mergeCell ref="AI32:AJ32"/>
    <mergeCell ref="AE32:AF32"/>
    <mergeCell ref="AE33:AF33"/>
    <mergeCell ref="AE34:AF34"/>
    <mergeCell ref="AE35:AF35"/>
    <mergeCell ref="AE36:AF36"/>
    <mergeCell ref="AE37:AF37"/>
    <mergeCell ref="Q6:AB6"/>
    <mergeCell ref="B6:M6"/>
    <mergeCell ref="B10:B12"/>
    <mergeCell ref="C10:C12"/>
    <mergeCell ref="D10:D12"/>
    <mergeCell ref="E10:E12"/>
    <mergeCell ref="M10:M12"/>
  </mergeCells>
  <conditionalFormatting sqref="F13:F57 F13:L16">
    <cfRule type="expression" dxfId="165" priority="16">
      <formula>AND($C13="",$F13="")</formula>
    </cfRule>
  </conditionalFormatting>
  <conditionalFormatting sqref="B13:C57 E13:M57">
    <cfRule type="expression" dxfId="164" priority="15">
      <formula>$B13&lt;&gt;""</formula>
    </cfRule>
  </conditionalFormatting>
  <conditionalFormatting sqref="D13:D57">
    <cfRule type="expression" dxfId="163" priority="14">
      <formula>$B13&lt;&gt;""</formula>
    </cfRule>
  </conditionalFormatting>
  <conditionalFormatting sqref="R13:T57">
    <cfRule type="expression" dxfId="162" priority="13">
      <formula>$Q13&lt;&gt;""</formula>
    </cfRule>
  </conditionalFormatting>
  <conditionalFormatting sqref="Q13">
    <cfRule type="expression" dxfId="161" priority="8">
      <formula>$B13&lt;&gt;""</formula>
    </cfRule>
  </conditionalFormatting>
  <conditionalFormatting sqref="U13:AA57">
    <cfRule type="containsText" dxfId="160" priority="5" operator="containsText" text="Belum terbiasa">
      <formula>NOT(ISERROR(SEARCH("Belum terbiasa",U13)))</formula>
    </cfRule>
    <cfRule type="containsText" dxfId="159" priority="6" operator="containsText" text="Sudah terbiasa">
      <formula>NOT(ISERROR(SEARCH("Sudah terbiasa",U13)))</formula>
    </cfRule>
    <cfRule type="containsText" dxfId="158" priority="7" operator="containsText" text="Belum mengisi">
      <formula>NOT(ISERROR(SEARCH("Belum mengisi",U13)))</formula>
    </cfRule>
  </conditionalFormatting>
  <conditionalFormatting sqref="AB13:AB57">
    <cfRule type="containsText" dxfId="157" priority="2" operator="containsText" text="mengisi">
      <formula>NOT(ISERROR(SEARCH("mengisi",AB13)))</formula>
    </cfRule>
    <cfRule type="containsText" dxfId="156" priority="3" operator="containsText" text="Belum terbiasa">
      <formula>NOT(ISERROR(SEARCH("Belum terbiasa",AB13)))</formula>
    </cfRule>
    <cfRule type="containsText" dxfId="155" priority="4" operator="containsText" text="Sudah terbiasa">
      <formula>NOT(ISERROR(SEARCH("Sudah terbiasa",AB13)))</formula>
    </cfRule>
  </conditionalFormatting>
  <conditionalFormatting sqref="Q14:Q57">
    <cfRule type="expression" dxfId="154" priority="1">
      <formula>$B14&lt;&gt;""</formula>
    </cfRule>
  </conditionalFormatting>
  <dataValidations xWindow="500" yWindow="574" count="2">
    <dataValidation type="whole" allowBlank="1" showInputMessage="1" showErrorMessage="1" errorTitle="Angka" error="Isian hanya berupa angka 0 s.d. 31." promptTitle="Angka" prompt="Inputan angka dari 0 s.d. 31 sesuai bulan berjalan." sqref="F13:L57" xr:uid="{00000000-0002-0000-0E00-000000000000}">
      <formula1>0</formula1>
      <formula2>31</formula2>
    </dataValidation>
    <dataValidation allowBlank="1" showInputMessage="1" showErrorMessage="1" promptTitle="Tanggal pengesahan" prompt="Contoh penulisan_x000a_31 Juli 2025" sqref="O60:P60" xr:uid="{00000000-0002-0000-0E00-000001000000}"/>
  </dataValidations>
  <pageMargins left="0.19685039370078741" right="0.19685039370078741" top="0.74803149606299213" bottom="0.74803149606299213" header="0.31496062992125984" footer="0.31496062992125984"/>
  <pageSetup paperSize="9" scale="59" fitToHeight="0" orientation="landscape" r:id="rId1"/>
  <ignoredErrors>
    <ignoredError sqref="AI23:AI29" formula="1"/>
  </ignoredErrors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xWindow="500" yWindow="574" count="1">
        <x14:dataValidation type="list" allowBlank="1" showInputMessage="1" showErrorMessage="1" errorTitle="Catatan" error="Harap dipilih." promptTitle="Catatan" prompt="Pilih keterangan siswa _x000a_aktif: aktif pada bulan berjalan_x000a_pindah: pada bulan berjalan sudah pindah_x000a_berhenti: pada bulan berjalan berhenti _x000a_meninggal: pada bulan berjalan meninggal_x000a__x000a_Jika terdapat penambahan murid, keterangan bulan sebelumnya dipilih tidak." xr:uid="{00000000-0002-0000-0E00-000002000000}">
          <x14:formula1>
            <xm:f>info!$AD$2:$AD$6</xm:f>
          </x14:formula1>
          <xm:sqref>E13:E57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mmAgu"/>
  <dimension ref="A1:AQ69"/>
  <sheetViews>
    <sheetView showGridLines="0" showRowColHeaders="0" zoomScaleNormal="100" zoomScaleSheetLayoutView="100" zoomScalePageLayoutView="47" workbookViewId="0">
      <selection activeCell="B6" sqref="B6:M6"/>
    </sheetView>
  </sheetViews>
  <sheetFormatPr defaultColWidth="0" defaultRowHeight="15.6" customHeight="1" zeroHeight="1" x14ac:dyDescent="0.3"/>
  <cols>
    <col min="1" max="1" width="9.109375" style="7" customWidth="1"/>
    <col min="2" max="2" width="3.5546875" style="7" bestFit="1" customWidth="1"/>
    <col min="3" max="3" width="31.5546875" style="7" customWidth="1"/>
    <col min="4" max="4" width="10" style="7" customWidth="1"/>
    <col min="5" max="5" width="11.5546875" style="7" customWidth="1"/>
    <col min="6" max="12" width="24" style="7" customWidth="1"/>
    <col min="13" max="13" width="18.33203125" style="7" customWidth="1"/>
    <col min="14" max="14" width="2.109375" style="7" customWidth="1"/>
    <col min="15" max="15" width="25.109375" style="7" customWidth="1"/>
    <col min="16" max="16" width="9.109375" style="7" customWidth="1"/>
    <col min="17" max="17" width="3.5546875" style="7" hidden="1" customWidth="1"/>
    <col min="18" max="18" width="27.88671875" style="7" hidden="1" customWidth="1"/>
    <col min="19" max="19" width="8.6640625" style="7" hidden="1" customWidth="1"/>
    <col min="20" max="20" width="5.6640625" style="7" hidden="1" customWidth="1"/>
    <col min="21" max="28" width="21.33203125" style="7" hidden="1" customWidth="1"/>
    <col min="29" max="29" width="9.109375" style="7" hidden="1" customWidth="1"/>
    <col min="30" max="30" width="3.5546875" style="7" hidden="1" customWidth="1"/>
    <col min="31" max="31" width="20" style="7" hidden="1" customWidth="1"/>
    <col min="32" max="32" width="6.5546875" style="7" hidden="1" customWidth="1"/>
    <col min="33" max="36" width="9.6640625" style="7" hidden="1" customWidth="1"/>
    <col min="37" max="16384" width="0" style="7" hidden="1"/>
  </cols>
  <sheetData>
    <row r="1" spans="1:43" x14ac:dyDescent="0.3">
      <c r="A1" s="63">
        <f>profilKelas!F14</f>
        <v>1</v>
      </c>
      <c r="D1" s="64" t="s">
        <v>890</v>
      </c>
      <c r="E1" s="65"/>
      <c r="F1" s="65"/>
      <c r="G1" s="65"/>
      <c r="H1" s="65"/>
      <c r="Q1" s="66" t="s">
        <v>859</v>
      </c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D1" s="66" t="s">
        <v>859</v>
      </c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</row>
    <row r="2" spans="1:43" x14ac:dyDescent="0.3">
      <c r="D2" s="67"/>
      <c r="E2" s="67"/>
      <c r="F2" s="67"/>
      <c r="G2" s="67"/>
      <c r="H2" s="67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</row>
    <row r="3" spans="1:43" ht="15.6" customHeight="1" x14ac:dyDescent="0.3"/>
    <row r="4" spans="1:43" ht="15.6" customHeight="1" x14ac:dyDescent="0.3"/>
    <row r="5" spans="1:43" x14ac:dyDescent="0.3">
      <c r="Q5" s="68"/>
      <c r="S5" s="69"/>
      <c r="T5" s="69"/>
      <c r="V5" s="69"/>
      <c r="X5" s="69"/>
      <c r="Z5" s="69"/>
      <c r="AL5" s="70"/>
    </row>
    <row r="6" spans="1:43" ht="15.6" customHeight="1" x14ac:dyDescent="0.3">
      <c r="B6" s="168" t="s">
        <v>882</v>
      </c>
      <c r="C6" s="168"/>
      <c r="D6" s="168"/>
      <c r="E6" s="168"/>
      <c r="F6" s="168"/>
      <c r="G6" s="168"/>
      <c r="H6" s="168"/>
      <c r="I6" s="168"/>
      <c r="J6" s="168"/>
      <c r="K6" s="168"/>
      <c r="L6" s="168"/>
      <c r="M6" s="168"/>
      <c r="Q6" s="168"/>
      <c r="R6" s="168"/>
      <c r="S6" s="168"/>
      <c r="T6" s="168"/>
      <c r="U6" s="168"/>
      <c r="V6" s="168"/>
      <c r="W6" s="168"/>
      <c r="X6" s="168"/>
      <c r="Y6" s="168"/>
      <c r="Z6" s="168"/>
      <c r="AA6" s="168"/>
      <c r="AB6" s="168"/>
      <c r="AD6" s="159" t="str">
        <f>"REKAPITULASI CATATAN HARIAN KELAS (RCHS) "&amp;CHAR(10)&amp;"SEMESTER "&amp;MID(J7,3,1)&amp;" BULAN"&amp;UPPER(MID(J7,SEARCH("/",J7)+1,99))&amp;" TAHUN "&amp;IF(ISBLANK(O11),profilKelas!F12,O11)</f>
        <v xml:space="preserve">REKAPITULASI CATATAN HARIAN KELAS (RCHS) 
SEMESTER I BULAN AGUSTUS TAHUN </v>
      </c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</row>
    <row r="7" spans="1:43" x14ac:dyDescent="0.3">
      <c r="B7" s="13"/>
      <c r="C7" s="13" t="s">
        <v>862</v>
      </c>
      <c r="D7" s="13" t="str">
        <f>": "&amp;IF(ISBLANK(profilKelas!F5),"",profilKelas!F5&amp;" ("&amp;profilKelas!F6&amp;")")</f>
        <v xml:space="preserve">: </v>
      </c>
      <c r="E7" s="13"/>
      <c r="F7" s="13"/>
      <c r="G7" s="13"/>
      <c r="H7" s="13"/>
      <c r="I7" s="13" t="s">
        <v>885</v>
      </c>
      <c r="J7" s="13" t="str">
        <f>": I / Agustus"</f>
        <v>: I / Agustus</v>
      </c>
      <c r="K7" s="13"/>
      <c r="L7" s="13"/>
      <c r="M7" s="71"/>
      <c r="O7"/>
      <c r="Q7" s="13"/>
      <c r="R7" s="13" t="s">
        <v>862</v>
      </c>
      <c r="S7" s="13" t="str">
        <f>": "&amp;IF(ISBLANK(profilKelas!F5),"",profilKelas!F5&amp;" ("&amp;profilKelas!F6&amp;")")</f>
        <v xml:space="preserve">: </v>
      </c>
      <c r="T7" s="13"/>
      <c r="U7" s="13"/>
      <c r="V7" s="13"/>
      <c r="W7" s="13"/>
      <c r="X7" s="13"/>
      <c r="Y7" s="13" t="s">
        <v>840</v>
      </c>
      <c r="Z7" s="13" t="str">
        <f>J7</f>
        <v>: I / Agustus</v>
      </c>
      <c r="AA7" s="71"/>
      <c r="AB7" s="13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</row>
    <row r="8" spans="1:43" x14ac:dyDescent="0.3">
      <c r="B8" s="13"/>
      <c r="C8" s="13" t="s">
        <v>842</v>
      </c>
      <c r="D8" s="13" t="str">
        <f ca="1">": "&amp;IF(ISBLANK(profilKelas!H13),"",profilKelas!H13)</f>
        <v>: Pilih Kelas dan Rombel</v>
      </c>
      <c r="E8" s="13"/>
      <c r="F8" s="13"/>
      <c r="G8" s="13"/>
      <c r="H8" s="13"/>
      <c r="I8" s="13" t="s">
        <v>880</v>
      </c>
      <c r="J8" s="13" t="str">
        <f>": "&amp;IF(ISBLANK(profilKelas!F12),"Ketik Tahun Ajaran pada Profil Kelas",profilKelas!F12)</f>
        <v>: Ketik Tahun Ajaran pada Profil Kelas</v>
      </c>
      <c r="K8" s="13"/>
      <c r="L8" s="13"/>
      <c r="M8" s="71"/>
      <c r="O8"/>
      <c r="Q8" s="13"/>
      <c r="R8" s="13" t="s">
        <v>842</v>
      </c>
      <c r="S8" s="13" t="str">
        <f ca="1">": "&amp;IF(ISBLANK(profilKelas!H13),"",profilKelas!H13)</f>
        <v>: Pilih Kelas dan Rombel</v>
      </c>
      <c r="T8" s="13"/>
      <c r="U8" s="13"/>
      <c r="V8" s="13"/>
      <c r="W8" s="13"/>
      <c r="X8" s="13"/>
      <c r="Y8" s="13" t="s">
        <v>841</v>
      </c>
      <c r="Z8" s="13" t="str">
        <f>": "&amp;IF(ISBLANK(profilKelas!F12),"Ketik Tahun Ajaran pada Profil Kelas",IF(ISBLANK(O11),profilKelas!F12,O11))</f>
        <v>: Ketik Tahun Ajaran pada Profil Kelas</v>
      </c>
      <c r="AA8" s="71"/>
      <c r="AB8" s="13"/>
      <c r="AD8" s="72"/>
      <c r="AE8" s="72"/>
      <c r="AF8" s="72"/>
      <c r="AG8" s="72"/>
      <c r="AH8" s="72"/>
      <c r="AI8" s="72"/>
      <c r="AJ8" s="72"/>
      <c r="AK8" s="72"/>
      <c r="AL8" s="72"/>
      <c r="AM8" s="72"/>
      <c r="AN8" s="72"/>
      <c r="AO8" s="13"/>
      <c r="AP8" s="13"/>
      <c r="AQ8" s="13"/>
    </row>
    <row r="9" spans="1:43" x14ac:dyDescent="0.3"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71"/>
      <c r="Q9" s="13"/>
      <c r="R9" s="13"/>
      <c r="S9" s="13"/>
      <c r="T9" s="13"/>
      <c r="U9" s="13"/>
      <c r="V9" s="13"/>
      <c r="W9" s="13"/>
      <c r="X9" s="13"/>
      <c r="Y9" s="13"/>
      <c r="Z9" s="13"/>
      <c r="AA9" s="71"/>
      <c r="AB9" s="13"/>
      <c r="AD9" s="13" t="s">
        <v>862</v>
      </c>
      <c r="AE9" s="13"/>
      <c r="AF9" s="13" t="str">
        <f>UPPER(": "&amp;profilKelas!F5&amp;" ("&amp;profilKelas!F6&amp;")")</f>
        <v>:  ()</v>
      </c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</row>
    <row r="10" spans="1:43" x14ac:dyDescent="0.3">
      <c r="B10" s="162" t="s">
        <v>0</v>
      </c>
      <c r="C10" s="162" t="s">
        <v>858</v>
      </c>
      <c r="D10" s="164" t="s">
        <v>831</v>
      </c>
      <c r="E10" s="164" t="s">
        <v>987</v>
      </c>
      <c r="F10" s="44" t="s">
        <v>19</v>
      </c>
      <c r="G10" s="45"/>
      <c r="H10" s="45"/>
      <c r="I10" s="45"/>
      <c r="J10" s="45"/>
      <c r="K10" s="45"/>
      <c r="L10" s="46"/>
      <c r="M10" s="162" t="s">
        <v>9</v>
      </c>
      <c r="O10"/>
      <c r="Q10" s="73"/>
      <c r="R10" s="74"/>
      <c r="S10" s="74"/>
      <c r="T10" s="75"/>
      <c r="U10" s="76" t="s">
        <v>19</v>
      </c>
      <c r="V10" s="77"/>
      <c r="W10" s="77"/>
      <c r="X10" s="77"/>
      <c r="Y10" s="77"/>
      <c r="Z10" s="77"/>
      <c r="AA10" s="78"/>
      <c r="AB10" s="36"/>
      <c r="AD10" s="13" t="s">
        <v>863</v>
      </c>
      <c r="AE10" s="13"/>
      <c r="AF10" s="13" t="str">
        <f>UPPER(": "&amp;profilKelas!F9&amp;", Provinsi "&amp;profilKelas!F8)</f>
        <v xml:space="preserve">: , PROVINSI </v>
      </c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</row>
    <row r="11" spans="1:43" x14ac:dyDescent="0.3">
      <c r="B11" s="169"/>
      <c r="C11" s="169"/>
      <c r="D11" s="170"/>
      <c r="E11" s="170"/>
      <c r="F11" s="80" t="s">
        <v>2</v>
      </c>
      <c r="G11" s="80" t="s">
        <v>3</v>
      </c>
      <c r="H11" s="80" t="s">
        <v>4</v>
      </c>
      <c r="I11" s="81" t="s">
        <v>606</v>
      </c>
      <c r="J11" s="81" t="s">
        <v>6</v>
      </c>
      <c r="K11" s="81" t="s">
        <v>7</v>
      </c>
      <c r="L11" s="81" t="s">
        <v>8</v>
      </c>
      <c r="M11" s="169"/>
      <c r="O11"/>
      <c r="Q11" s="82"/>
      <c r="R11" s="83"/>
      <c r="S11" s="83"/>
      <c r="T11" s="84"/>
      <c r="U11" s="85" t="s">
        <v>14</v>
      </c>
      <c r="V11" s="86"/>
      <c r="W11" s="86"/>
      <c r="X11" s="86"/>
      <c r="Y11" s="86"/>
      <c r="Z11" s="86"/>
      <c r="AA11" s="87"/>
      <c r="AB11" s="79"/>
      <c r="AD11" s="13" t="str">
        <f>profilKelas!B10</f>
        <v>Nama Kepala Sekolah</v>
      </c>
      <c r="AE11" s="13"/>
      <c r="AF11" s="13" t="str">
        <f>UPPER(": "&amp;profilKelas!F10&amp;" (NIP."&amp;profilKelas!F11&amp;")")</f>
        <v>:  (NIP.)</v>
      </c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</row>
    <row r="12" spans="1:43" ht="16.2" x14ac:dyDescent="0.3">
      <c r="B12" s="163"/>
      <c r="C12" s="163"/>
      <c r="D12" s="165"/>
      <c r="E12" s="165"/>
      <c r="F12" s="88" t="s">
        <v>881</v>
      </c>
      <c r="G12" s="89"/>
      <c r="H12" s="89"/>
      <c r="I12" s="89"/>
      <c r="J12" s="89"/>
      <c r="K12" s="89"/>
      <c r="L12" s="90"/>
      <c r="M12" s="163"/>
      <c r="Q12" s="91" t="s">
        <v>0</v>
      </c>
      <c r="R12" s="92" t="s">
        <v>1</v>
      </c>
      <c r="S12" s="35" t="s">
        <v>596</v>
      </c>
      <c r="T12" s="35" t="s">
        <v>605</v>
      </c>
      <c r="U12" s="80" t="s">
        <v>599</v>
      </c>
      <c r="V12" s="80" t="s">
        <v>600</v>
      </c>
      <c r="W12" s="80" t="s">
        <v>4</v>
      </c>
      <c r="X12" s="81" t="s">
        <v>601</v>
      </c>
      <c r="Y12" s="81" t="s">
        <v>602</v>
      </c>
      <c r="Z12" s="81" t="s">
        <v>603</v>
      </c>
      <c r="AA12" s="93" t="s">
        <v>604</v>
      </c>
      <c r="AB12" s="36" t="s">
        <v>11</v>
      </c>
      <c r="AD12" s="34" t="str">
        <f ca="1">SUBSTITUTE(profilKelas!B15,"Nama ","")&amp;" "&amp;IF(ISBLANK(profilKelas!H13),"",profilKelas!H13)</f>
        <v>Guru Wali Kelas Pilih Kelas dan Rombel</v>
      </c>
      <c r="AE12" s="34"/>
      <c r="AF12" s="34" t="str">
        <f>UPPER(": "&amp;profilKelas!F15)</f>
        <v xml:space="preserve">: </v>
      </c>
      <c r="AG12" s="34"/>
      <c r="AH12" s="34"/>
      <c r="AI12" s="34"/>
      <c r="AJ12" s="34"/>
      <c r="AK12" s="34"/>
      <c r="AL12" s="34"/>
      <c r="AM12" s="34"/>
      <c r="AN12" s="34"/>
      <c r="AO12" s="34"/>
      <c r="AP12" s="13"/>
      <c r="AQ12" s="13"/>
    </row>
    <row r="13" spans="1:43" x14ac:dyDescent="0.3">
      <c r="B13" s="4">
        <f>IF(ROW(A1)&lt;=profilKelas!$F$14,ROW(A1),"")</f>
        <v>1</v>
      </c>
      <c r="C13" s="94" t="str">
        <f>IF(ISBLANK(identitasMurid!C6),"",identitasMurid!C6)</f>
        <v/>
      </c>
      <c r="D13" s="6" t="str">
        <f>IF(ISBLANK(identitasMurid!D6),"",identitasMurid!D6)</f>
        <v/>
      </c>
      <c r="E13" s="95"/>
      <c r="F13" s="95"/>
      <c r="G13" s="95"/>
      <c r="H13" s="95"/>
      <c r="I13" s="95"/>
      <c r="J13" s="95"/>
      <c r="K13" s="95"/>
      <c r="L13" s="95"/>
      <c r="M13" s="95"/>
      <c r="Q13" s="5">
        <f>IF(ROW(A1)&lt;=profilKelas!$F$14,ROW(A1),"")</f>
        <v>1</v>
      </c>
      <c r="R13" s="12" t="str">
        <f t="shared" ref="R13:R57" si="0">C13</f>
        <v/>
      </c>
      <c r="S13" s="108" t="str">
        <f t="shared" ref="S13:S19" si="1">IF(LEN(B13)=0,"",IF(ISBLANK(E13),"Status Siswa Kosong",E13))</f>
        <v>Status Siswa Kosong</v>
      </c>
      <c r="T13" s="108" t="str">
        <f t="shared" ref="T13:T57" si="2">IF(ISBLANK(D13),"",D13)</f>
        <v/>
      </c>
      <c r="U13" s="108" t="str">
        <f t="shared" ref="U13:AA28" si="3">IF(LEN($B13)=0,"",IF(LEN($C13)=0,"Nama Siswa Kosong",IF($E13="","Status Siswa Kosong",IF($E13&lt;&gt;"Aktif","Siswa Tidak Aktif",
IF(ISBLANK(F13),"Belum mengisi",IF(F13&gt;=20,"Sudah terbiasa","Belum terbiasa"))))))</f>
        <v>Nama Siswa Kosong</v>
      </c>
      <c r="V13" s="108" t="str">
        <f t="shared" si="3"/>
        <v>Nama Siswa Kosong</v>
      </c>
      <c r="W13" s="108" t="str">
        <f t="shared" si="3"/>
        <v>Nama Siswa Kosong</v>
      </c>
      <c r="X13" s="108" t="str">
        <f t="shared" si="3"/>
        <v>Nama Siswa Kosong</v>
      </c>
      <c r="Y13" s="108" t="str">
        <f t="shared" si="3"/>
        <v>Nama Siswa Kosong</v>
      </c>
      <c r="Z13" s="108" t="str">
        <f t="shared" si="3"/>
        <v>Nama Siswa Kosong</v>
      </c>
      <c r="AA13" s="108" t="str">
        <f t="shared" si="3"/>
        <v>Nama Siswa Kosong</v>
      </c>
      <c r="AB13" s="108" t="str" cm="1">
        <f t="array" ref="AB13">IF(LEN($B13)=0,"",IF(LEN(C13)=0,"Nama Siswa Kosong",IF($E13="","Status Siswa Kosong",IF(S13&lt;&gt;"Aktif","Siswa Tidak Aktif",
IF(OR(U13:AA13="Belum mengisi"),"Belum mengisi",IF(AND(U13:AA13="Sudah terbiasa"),"Sudah terbiasa","Belum terbiasa"))))))</f>
        <v>Nama Siswa Kosong</v>
      </c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</row>
    <row r="14" spans="1:43" ht="15.6" hidden="1" customHeight="1" x14ac:dyDescent="0.3">
      <c r="B14" s="4" t="str">
        <f>IF(ROW(A2)&lt;=profilKelas!$F$14,ROW(A2),"")</f>
        <v/>
      </c>
      <c r="C14" s="94" t="str">
        <f>IF(ISBLANK(identitasMurid!C7),"",identitasMurid!C7)</f>
        <v/>
      </c>
      <c r="D14" s="6" t="str">
        <f>IF(ISBLANK(identitasMurid!D7),"",identitasMurid!D7)</f>
        <v/>
      </c>
      <c r="E14" s="95"/>
      <c r="F14" s="95"/>
      <c r="G14" s="95"/>
      <c r="H14" s="95"/>
      <c r="I14" s="95"/>
      <c r="J14" s="95"/>
      <c r="K14" s="95"/>
      <c r="L14" s="95"/>
      <c r="M14" s="95"/>
      <c r="Q14" s="5" t="str">
        <f>IF(ROW(A2)&lt;=profilKelas!$F$14,ROW(A2),"")</f>
        <v/>
      </c>
      <c r="R14" s="12" t="str">
        <f t="shared" si="0"/>
        <v/>
      </c>
      <c r="S14" s="108" t="str">
        <f t="shared" si="1"/>
        <v/>
      </c>
      <c r="T14" s="108" t="str">
        <f t="shared" si="2"/>
        <v/>
      </c>
      <c r="U14" s="108" t="str">
        <f t="shared" si="3"/>
        <v/>
      </c>
      <c r="V14" s="108" t="str">
        <f t="shared" si="3"/>
        <v/>
      </c>
      <c r="W14" s="108" t="str">
        <f t="shared" si="3"/>
        <v/>
      </c>
      <c r="X14" s="108" t="str">
        <f t="shared" si="3"/>
        <v/>
      </c>
      <c r="Y14" s="108" t="str">
        <f t="shared" si="3"/>
        <v/>
      </c>
      <c r="Z14" s="108" t="str">
        <f t="shared" si="3"/>
        <v/>
      </c>
      <c r="AA14" s="108" t="str">
        <f t="shared" si="3"/>
        <v/>
      </c>
      <c r="AB14" s="108" t="str" cm="1">
        <f t="array" ref="AB14">IF(LEN($B14)=0,"",IF(LEN(C14)=0,"Nama Siswa Kosong",IF($E14="","Status Siswa Kosong",IF(S14&lt;&gt;"Aktif","Siswa Tidak Aktif",
IF(OR(U14:AA14="Belum mengisi"),"Belum mengisi",IF(AND(U14:AA14="Sudah terbiasa"),"Sudah terbiasa","Belum terbiasa"))))))</f>
        <v/>
      </c>
      <c r="AD14" s="162" t="s">
        <v>0</v>
      </c>
      <c r="AE14" s="162" t="s">
        <v>831</v>
      </c>
      <c r="AF14" s="164" t="s">
        <v>833</v>
      </c>
      <c r="AG14" s="173" t="s">
        <v>596</v>
      </c>
      <c r="AH14" s="174"/>
      <c r="AI14" s="174"/>
      <c r="AJ14" s="175"/>
      <c r="AK14" s="13"/>
      <c r="AL14" s="158"/>
      <c r="AM14" s="158"/>
      <c r="AN14" s="158"/>
      <c r="AO14" s="158"/>
      <c r="AP14" s="158"/>
      <c r="AQ14" s="158"/>
    </row>
    <row r="15" spans="1:43" ht="15.6" hidden="1" customHeight="1" x14ac:dyDescent="0.3">
      <c r="B15" s="4" t="str">
        <f>IF(ROW(A3)&lt;=profilKelas!$F$14,ROW(A3),"")</f>
        <v/>
      </c>
      <c r="C15" s="94" t="str">
        <f>IF(ISBLANK(identitasMurid!C8),"",identitasMurid!C8)</f>
        <v/>
      </c>
      <c r="D15" s="6" t="str">
        <f>IF(ISBLANK(identitasMurid!D8),"",identitasMurid!D8)</f>
        <v/>
      </c>
      <c r="E15" s="95"/>
      <c r="F15" s="95"/>
      <c r="G15" s="95"/>
      <c r="H15" s="95"/>
      <c r="I15" s="95"/>
      <c r="J15" s="95"/>
      <c r="K15" s="95"/>
      <c r="L15" s="95"/>
      <c r="M15" s="95"/>
      <c r="Q15" s="5" t="str">
        <f>IF(ROW(A3)&lt;=profilKelas!$F$14,ROW(A3),"")</f>
        <v/>
      </c>
      <c r="R15" s="12" t="str">
        <f t="shared" si="0"/>
        <v/>
      </c>
      <c r="S15" s="108" t="str">
        <f t="shared" si="1"/>
        <v/>
      </c>
      <c r="T15" s="108" t="str">
        <f t="shared" si="2"/>
        <v/>
      </c>
      <c r="U15" s="108" t="str">
        <f t="shared" si="3"/>
        <v/>
      </c>
      <c r="V15" s="108" t="str">
        <f t="shared" si="3"/>
        <v/>
      </c>
      <c r="W15" s="108" t="str">
        <f t="shared" si="3"/>
        <v/>
      </c>
      <c r="X15" s="108" t="str">
        <f t="shared" si="3"/>
        <v/>
      </c>
      <c r="Y15" s="108" t="str">
        <f t="shared" si="3"/>
        <v/>
      </c>
      <c r="Z15" s="108" t="str">
        <f t="shared" si="3"/>
        <v/>
      </c>
      <c r="AA15" s="108" t="str">
        <f t="shared" si="3"/>
        <v/>
      </c>
      <c r="AB15" s="108" t="str" cm="1">
        <f t="array" ref="AB15">IF(LEN($B15)=0,"",IF(LEN(C15)=0,"Nama Siswa Kosong",IF($E15="","Status Siswa Kosong",IF(S15&lt;&gt;"Aktif","Siswa Tidak Aktif",
IF(OR(U15:AA15="Belum mengisi"),"Belum mengisi",IF(AND(U15:AA15="Sudah terbiasa"),"Sudah terbiasa","Belum terbiasa"))))))</f>
        <v/>
      </c>
      <c r="AD15" s="163"/>
      <c r="AE15" s="163"/>
      <c r="AF15" s="165"/>
      <c r="AG15" s="148" t="s">
        <v>597</v>
      </c>
      <c r="AH15" s="148"/>
      <c r="AI15" s="148" t="s">
        <v>598</v>
      </c>
      <c r="AJ15" s="148"/>
      <c r="AK15" s="13"/>
      <c r="AL15" s="158"/>
      <c r="AM15" s="158"/>
      <c r="AN15" s="158"/>
      <c r="AO15" s="158"/>
      <c r="AP15" s="158"/>
      <c r="AQ15" s="158"/>
    </row>
    <row r="16" spans="1:43" hidden="1" x14ac:dyDescent="0.3">
      <c r="B16" s="4" t="str">
        <f>IF(ROW(A4)&lt;=profilKelas!$F$14,ROW(A4),"")</f>
        <v/>
      </c>
      <c r="C16" s="94" t="str">
        <f>IF(ISBLANK(identitasMurid!C9),"",identitasMurid!C9)</f>
        <v/>
      </c>
      <c r="D16" s="6" t="str">
        <f>IF(ISBLANK(identitasMurid!D9),"",identitasMurid!D9)</f>
        <v/>
      </c>
      <c r="E16" s="95"/>
      <c r="F16" s="95"/>
      <c r="G16" s="95"/>
      <c r="H16" s="95"/>
      <c r="I16" s="95"/>
      <c r="J16" s="95"/>
      <c r="K16" s="95"/>
      <c r="L16" s="95"/>
      <c r="M16" s="95"/>
      <c r="Q16" s="5" t="str">
        <f>IF(ROW(A4)&lt;=profilKelas!$F$14,ROW(A4),"")</f>
        <v/>
      </c>
      <c r="R16" s="12" t="str">
        <f t="shared" si="0"/>
        <v/>
      </c>
      <c r="S16" s="108" t="str">
        <f t="shared" si="1"/>
        <v/>
      </c>
      <c r="T16" s="108" t="str">
        <f t="shared" si="2"/>
        <v/>
      </c>
      <c r="U16" s="108" t="str">
        <f t="shared" si="3"/>
        <v/>
      </c>
      <c r="V16" s="108" t="str">
        <f t="shared" si="3"/>
        <v/>
      </c>
      <c r="W16" s="108" t="str">
        <f t="shared" si="3"/>
        <v/>
      </c>
      <c r="X16" s="108" t="str">
        <f t="shared" si="3"/>
        <v/>
      </c>
      <c r="Y16" s="108" t="str">
        <f t="shared" si="3"/>
        <v/>
      </c>
      <c r="Z16" s="108" t="str">
        <f t="shared" si="3"/>
        <v/>
      </c>
      <c r="AA16" s="108" t="str">
        <f t="shared" si="3"/>
        <v/>
      </c>
      <c r="AB16" s="108" t="str" cm="1">
        <f t="array" ref="AB16">IF(LEN($B16)=0,"",IF(LEN(C16)=0,"Nama Siswa Kosong",IF($E16="","Status Siswa Kosong",IF(S16&lt;&gt;"Aktif","Siswa Tidak Aktif",
IF(OR(U16:AA16="Belum mengisi"),"Belum mengisi",IF(AND(U16:AA16="Sudah terbiasa"),"Sudah terbiasa","Belum terbiasa"))))))</f>
        <v/>
      </c>
      <c r="AD16" s="41">
        <v>1</v>
      </c>
      <c r="AE16" s="41" t="s">
        <v>607</v>
      </c>
      <c r="AF16" s="10">
        <f>COUNTIF(JulPL,Perempuan)</f>
        <v>0</v>
      </c>
      <c r="AG16" s="96">
        <f>COUNTIFS(JulKategoriAkhir,SudahTerbiasa,JulPL,Perempuan)</f>
        <v>0</v>
      </c>
      <c r="AH16" s="96"/>
      <c r="AI16" s="96">
        <f>COUNTIFS(JulKategoriAkhir,BelumTerbiasa,JulPL,Perempuan)</f>
        <v>0</v>
      </c>
      <c r="AJ16" s="96"/>
      <c r="AK16" s="13"/>
      <c r="AL16" s="158"/>
      <c r="AM16" s="158"/>
      <c r="AN16" s="158"/>
      <c r="AO16" s="158"/>
      <c r="AP16" s="158"/>
      <c r="AQ16" s="158"/>
    </row>
    <row r="17" spans="2:43" hidden="1" x14ac:dyDescent="0.3">
      <c r="B17" s="4" t="str">
        <f>IF(ROW(A5)&lt;=profilKelas!$F$14,ROW(A5),"")</f>
        <v/>
      </c>
      <c r="C17" s="94" t="str">
        <f>IF(ISBLANK(identitasMurid!C10),"",identitasMurid!C10)</f>
        <v/>
      </c>
      <c r="D17" s="6" t="str">
        <f>IF(ISBLANK(identitasMurid!D10),"",identitasMurid!D10)</f>
        <v/>
      </c>
      <c r="E17" s="95"/>
      <c r="F17" s="95"/>
      <c r="G17" s="95"/>
      <c r="H17" s="95"/>
      <c r="I17" s="95"/>
      <c r="J17" s="95"/>
      <c r="K17" s="95"/>
      <c r="L17" s="95"/>
      <c r="M17" s="95"/>
      <c r="Q17" s="5" t="str">
        <f>IF(ROW(A5)&lt;=profilKelas!$F$14,ROW(A5),"")</f>
        <v/>
      </c>
      <c r="R17" s="12" t="str">
        <f t="shared" si="0"/>
        <v/>
      </c>
      <c r="S17" s="108" t="str">
        <f t="shared" si="1"/>
        <v/>
      </c>
      <c r="T17" s="108" t="str">
        <f t="shared" si="2"/>
        <v/>
      </c>
      <c r="U17" s="108" t="str">
        <f t="shared" si="3"/>
        <v/>
      </c>
      <c r="V17" s="108" t="str">
        <f t="shared" si="3"/>
        <v/>
      </c>
      <c r="W17" s="108" t="str">
        <f t="shared" si="3"/>
        <v/>
      </c>
      <c r="X17" s="108" t="str">
        <f t="shared" si="3"/>
        <v/>
      </c>
      <c r="Y17" s="108" t="str">
        <f t="shared" si="3"/>
        <v/>
      </c>
      <c r="Z17" s="108" t="str">
        <f t="shared" si="3"/>
        <v/>
      </c>
      <c r="AA17" s="108" t="str">
        <f t="shared" si="3"/>
        <v/>
      </c>
      <c r="AB17" s="108" t="str" cm="1">
        <f t="array" ref="AB17">IF(LEN($B17)=0,"",IF(LEN(C17)=0,"Nama Siswa Kosong",IF($E17="","Status Siswa Kosong",IF(S17&lt;&gt;"Aktif","Siswa Tidak Aktif",
IF(OR(U17:AA17="Belum mengisi"),"Belum mengisi",IF(AND(U17:AA17="Sudah terbiasa"),"Sudah terbiasa","Belum terbiasa"))))))</f>
        <v/>
      </c>
      <c r="AD17" s="41">
        <v>2</v>
      </c>
      <c r="AE17" s="41" t="s">
        <v>608</v>
      </c>
      <c r="AF17" s="97">
        <f>COUNTIF(JulPL,Laki_Laki)</f>
        <v>0</v>
      </c>
      <c r="AG17" s="96">
        <f>COUNTIFS(JulKategoriAkhir,SudahTerbiasa,JulPL,Laki_Laki)</f>
        <v>0</v>
      </c>
      <c r="AH17" s="96"/>
      <c r="AI17" s="96">
        <f>COUNTIFS(JulKategoriAkhir,BelumTerbiasa,JulPL,Laki_Laki)</f>
        <v>0</v>
      </c>
      <c r="AJ17" s="96"/>
      <c r="AK17" s="13"/>
      <c r="AL17" s="158"/>
      <c r="AM17" s="158"/>
      <c r="AN17" s="158"/>
      <c r="AO17" s="158"/>
      <c r="AP17" s="158"/>
      <c r="AQ17" s="158"/>
    </row>
    <row r="18" spans="2:43" hidden="1" x14ac:dyDescent="0.3">
      <c r="B18" s="4" t="str">
        <f>IF(ROW(A6)&lt;=profilKelas!$F$14,ROW(A6),"")</f>
        <v/>
      </c>
      <c r="C18" s="94" t="str">
        <f>IF(ISBLANK(identitasMurid!C11),"",identitasMurid!C11)</f>
        <v/>
      </c>
      <c r="D18" s="6" t="str">
        <f>IF(ISBLANK(identitasMurid!D11),"",identitasMurid!D11)</f>
        <v/>
      </c>
      <c r="E18" s="95"/>
      <c r="F18" s="95"/>
      <c r="G18" s="95"/>
      <c r="H18" s="95"/>
      <c r="I18" s="95"/>
      <c r="J18" s="95"/>
      <c r="K18" s="95"/>
      <c r="L18" s="95"/>
      <c r="M18" s="95"/>
      <c r="Q18" s="5" t="str">
        <f>IF(ROW(A6)&lt;=profilKelas!$F$14,ROW(A6),"")</f>
        <v/>
      </c>
      <c r="R18" s="12" t="str">
        <f t="shared" si="0"/>
        <v/>
      </c>
      <c r="S18" s="108" t="str">
        <f t="shared" si="1"/>
        <v/>
      </c>
      <c r="T18" s="108" t="str">
        <f t="shared" si="2"/>
        <v/>
      </c>
      <c r="U18" s="108" t="str">
        <f t="shared" si="3"/>
        <v/>
      </c>
      <c r="V18" s="108" t="str">
        <f t="shared" si="3"/>
        <v/>
      </c>
      <c r="W18" s="108" t="str">
        <f t="shared" si="3"/>
        <v/>
      </c>
      <c r="X18" s="108" t="str">
        <f t="shared" si="3"/>
        <v/>
      </c>
      <c r="Y18" s="108" t="str">
        <f t="shared" si="3"/>
        <v/>
      </c>
      <c r="Z18" s="108" t="str">
        <f t="shared" si="3"/>
        <v/>
      </c>
      <c r="AA18" s="108" t="str">
        <f t="shared" si="3"/>
        <v/>
      </c>
      <c r="AB18" s="108" t="str" cm="1">
        <f t="array" ref="AB18">IF(LEN($B18)=0,"",IF(LEN(C18)=0,"Nama Siswa Kosong",IF($E18="","Status Siswa Kosong",IF(S18&lt;&gt;"Aktif","Siswa Tidak Aktif",
IF(OR(U18:AA18="Belum mengisi"),"Belum mengisi",IF(AND(U18:AA18="Sudah terbiasa"),"Sudah terbiasa","Belum terbiasa"))))))</f>
        <v/>
      </c>
      <c r="AD18" s="160" t="s">
        <v>832</v>
      </c>
      <c r="AE18" s="160"/>
      <c r="AF18" s="3">
        <f>SUM(AF16:AF17)</f>
        <v>0</v>
      </c>
      <c r="AG18" s="96">
        <f>SUM(AG16:AG17)</f>
        <v>0</v>
      </c>
      <c r="AH18" s="96"/>
      <c r="AI18" s="96">
        <f>SUM(AI16:AI17)</f>
        <v>0</v>
      </c>
      <c r="AJ18" s="96"/>
      <c r="AK18" s="13"/>
      <c r="AL18" s="158"/>
      <c r="AM18" s="158"/>
      <c r="AN18" s="158"/>
      <c r="AO18" s="158"/>
      <c r="AP18" s="158"/>
      <c r="AQ18" s="158"/>
    </row>
    <row r="19" spans="2:43" hidden="1" x14ac:dyDescent="0.3">
      <c r="B19" s="4" t="str">
        <f>IF(ROW(A7)&lt;=profilKelas!$F$14,ROW(A7),"")</f>
        <v/>
      </c>
      <c r="C19" s="94" t="str">
        <f>IF(ISBLANK(identitasMurid!C12),"",identitasMurid!C12)</f>
        <v/>
      </c>
      <c r="D19" s="6" t="str">
        <f>IF(ISBLANK(identitasMurid!D12),"",identitasMurid!D12)</f>
        <v/>
      </c>
      <c r="E19" s="95"/>
      <c r="F19" s="95"/>
      <c r="G19" s="95"/>
      <c r="H19" s="95"/>
      <c r="I19" s="95"/>
      <c r="J19" s="95"/>
      <c r="K19" s="95"/>
      <c r="L19" s="95"/>
      <c r="M19" s="95"/>
      <c r="Q19" s="5" t="str">
        <f>IF(ROW(A7)&lt;=profilKelas!$F$14,ROW(A7),"")</f>
        <v/>
      </c>
      <c r="R19" s="12" t="str">
        <f t="shared" si="0"/>
        <v/>
      </c>
      <c r="S19" s="108" t="str">
        <f t="shared" si="1"/>
        <v/>
      </c>
      <c r="T19" s="108" t="str">
        <f t="shared" si="2"/>
        <v/>
      </c>
      <c r="U19" s="108" t="str">
        <f t="shared" si="3"/>
        <v/>
      </c>
      <c r="V19" s="108" t="str">
        <f t="shared" si="3"/>
        <v/>
      </c>
      <c r="W19" s="108" t="str">
        <f t="shared" si="3"/>
        <v/>
      </c>
      <c r="X19" s="108" t="str">
        <f t="shared" si="3"/>
        <v/>
      </c>
      <c r="Y19" s="108" t="str">
        <f t="shared" si="3"/>
        <v/>
      </c>
      <c r="Z19" s="108" t="str">
        <f t="shared" si="3"/>
        <v/>
      </c>
      <c r="AA19" s="108" t="str">
        <f t="shared" si="3"/>
        <v/>
      </c>
      <c r="AB19" s="108" t="str" cm="1">
        <f t="array" ref="AB19">IF(LEN($B19)=0,"",IF(LEN(C19)=0,"Nama Siswa Kosong",IF($E19="","Status Siswa Kosong",IF(S19&lt;&gt;"Aktif","Siswa Tidak Aktif",
IF(OR(U19:AA19="Belum mengisi"),"Belum mengisi",IF(AND(U19:AA19="Sudah terbiasa"),"Sudah terbiasa","Belum terbiasa"))))))</f>
        <v/>
      </c>
      <c r="AD19" s="13"/>
      <c r="AE19" s="13"/>
      <c r="AF19" s="13"/>
      <c r="AG19" s="13"/>
      <c r="AH19" s="13"/>
      <c r="AI19" s="13"/>
      <c r="AJ19" s="13"/>
      <c r="AK19" s="13"/>
      <c r="AL19" s="43"/>
      <c r="AM19" s="43"/>
      <c r="AN19" s="43"/>
      <c r="AO19" s="43"/>
      <c r="AP19" s="43"/>
      <c r="AQ19" s="43"/>
    </row>
    <row r="20" spans="2:43" hidden="1" x14ac:dyDescent="0.3">
      <c r="B20" s="4" t="str">
        <f>IF(ROW(A8)&lt;=profilKelas!$F$14,ROW(A8),"")</f>
        <v/>
      </c>
      <c r="C20" s="94" t="str">
        <f>IF(ISBLANK(identitasMurid!C13),"",identitasMurid!C13)</f>
        <v/>
      </c>
      <c r="D20" s="6" t="str">
        <f>IF(ISBLANK(identitasMurid!D13),"",identitasMurid!D13)</f>
        <v/>
      </c>
      <c r="E20" s="95"/>
      <c r="F20" s="95"/>
      <c r="G20" s="95"/>
      <c r="H20" s="95"/>
      <c r="I20" s="95"/>
      <c r="J20" s="95"/>
      <c r="K20" s="95"/>
      <c r="L20" s="95"/>
      <c r="M20" s="95"/>
      <c r="Q20" s="5" t="str">
        <f>IF(ROW(A8)&lt;=profilKelas!$F$14,ROW(A8),"")</f>
        <v/>
      </c>
      <c r="R20" s="12" t="str">
        <f t="shared" si="0"/>
        <v/>
      </c>
      <c r="S20" s="108" t="str">
        <f>IF(LEN(B20)=0,"",IF(ISBLANK(E20),"Status Siswa Kosong",E20))</f>
        <v/>
      </c>
      <c r="T20" s="108" t="str">
        <f t="shared" si="2"/>
        <v/>
      </c>
      <c r="U20" s="108" t="str">
        <f t="shared" si="3"/>
        <v/>
      </c>
      <c r="V20" s="108" t="str">
        <f t="shared" si="3"/>
        <v/>
      </c>
      <c r="W20" s="108" t="str">
        <f t="shared" si="3"/>
        <v/>
      </c>
      <c r="X20" s="108" t="str">
        <f t="shared" si="3"/>
        <v/>
      </c>
      <c r="Y20" s="108" t="str">
        <f t="shared" si="3"/>
        <v/>
      </c>
      <c r="Z20" s="108" t="str">
        <f t="shared" si="3"/>
        <v/>
      </c>
      <c r="AA20" s="108" t="str">
        <f t="shared" si="3"/>
        <v/>
      </c>
      <c r="AB20" s="108" t="str" cm="1">
        <f t="array" ref="AB20">IF(LEN($B20)=0,"",IF(LEN(C20)=0,"Nama Siswa Kosong",IF($E20="","Status Siswa Kosong",IF(S20&lt;&gt;"Aktif","Siswa Tidak Aktif",
IF(OR(U20:AA20="Belum mengisi"),"Belum mengisi",IF(AND(U20:AA20="Sudah terbiasa"),"Sudah terbiasa","Belum terbiasa"))))))</f>
        <v/>
      </c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</row>
    <row r="21" spans="2:43" ht="15.75" hidden="1" customHeight="1" x14ac:dyDescent="0.3">
      <c r="B21" s="4" t="str">
        <f>IF(ROW(A9)&lt;=profilKelas!$F$14,ROW(A9),"")</f>
        <v/>
      </c>
      <c r="C21" s="94" t="str">
        <f>IF(ISBLANK(identitasMurid!C14),"",identitasMurid!C14)</f>
        <v/>
      </c>
      <c r="D21" s="6" t="str">
        <f>IF(ISBLANK(identitasMurid!D14),"",identitasMurid!D14)</f>
        <v/>
      </c>
      <c r="E21" s="95"/>
      <c r="F21" s="95"/>
      <c r="G21" s="95"/>
      <c r="H21" s="95"/>
      <c r="I21" s="95"/>
      <c r="J21" s="95"/>
      <c r="K21" s="95"/>
      <c r="L21" s="95"/>
      <c r="M21" s="95"/>
      <c r="Q21" s="5" t="str">
        <f>IF(ROW(A9)&lt;=profilKelas!$F$14,ROW(A9),"")</f>
        <v/>
      </c>
      <c r="R21" s="12" t="str">
        <f t="shared" si="0"/>
        <v/>
      </c>
      <c r="S21" s="108" t="str">
        <f t="shared" ref="S21:S57" si="4">IF(LEN(B21)=0,"",IF(ISBLANK(E21),"Status Siswa Kosong",E21))</f>
        <v/>
      </c>
      <c r="T21" s="108" t="str">
        <f t="shared" si="2"/>
        <v/>
      </c>
      <c r="U21" s="108" t="str">
        <f t="shared" si="3"/>
        <v/>
      </c>
      <c r="V21" s="108" t="str">
        <f t="shared" si="3"/>
        <v/>
      </c>
      <c r="W21" s="108" t="str">
        <f t="shared" si="3"/>
        <v/>
      </c>
      <c r="X21" s="108" t="str">
        <f t="shared" si="3"/>
        <v/>
      </c>
      <c r="Y21" s="108" t="str">
        <f t="shared" si="3"/>
        <v/>
      </c>
      <c r="Z21" s="108" t="str">
        <f t="shared" si="3"/>
        <v/>
      </c>
      <c r="AA21" s="108" t="str">
        <f t="shared" si="3"/>
        <v/>
      </c>
      <c r="AB21" s="108" t="str" cm="1">
        <f t="array" ref="AB21">IF(LEN($B21)=0,"",IF(LEN(C21)=0,"Nama Siswa Kosong",IF($E21="","Status Siswa Kosong",IF(S21&lt;&gt;"Aktif","Siswa Tidak Aktif",
IF(OR(U21:AA21="Belum mengisi"),"Belum mengisi",IF(AND(U21:AA21="Sudah terbiasa"),"Sudah terbiasa","Belum terbiasa"))))))</f>
        <v/>
      </c>
      <c r="AD21" s="13"/>
      <c r="AE21" s="13"/>
      <c r="AF21" s="13"/>
      <c r="AG21" s="173" t="s">
        <v>596</v>
      </c>
      <c r="AH21" s="174"/>
      <c r="AI21" s="174"/>
      <c r="AJ21" s="175"/>
      <c r="AK21" s="13"/>
      <c r="AL21" s="13"/>
      <c r="AM21" s="13"/>
      <c r="AN21" s="13"/>
      <c r="AO21" s="13"/>
      <c r="AP21" s="13"/>
      <c r="AQ21" s="13"/>
    </row>
    <row r="22" spans="2:43" hidden="1" x14ac:dyDescent="0.3">
      <c r="B22" s="4" t="str">
        <f>IF(ROW(A10)&lt;=profilKelas!$F$14,ROW(A10),"")</f>
        <v/>
      </c>
      <c r="C22" s="94" t="str">
        <f>IF(ISBLANK(identitasMurid!C15),"",identitasMurid!C15)</f>
        <v/>
      </c>
      <c r="D22" s="6" t="str">
        <f>IF(ISBLANK(identitasMurid!D15),"",identitasMurid!D15)</f>
        <v/>
      </c>
      <c r="E22" s="95"/>
      <c r="F22" s="95"/>
      <c r="G22" s="95"/>
      <c r="H22" s="95"/>
      <c r="I22" s="95"/>
      <c r="J22" s="95"/>
      <c r="K22" s="95"/>
      <c r="L22" s="95"/>
      <c r="M22" s="95"/>
      <c r="Q22" s="5" t="str">
        <f>IF(ROW(A10)&lt;=profilKelas!$F$14,ROW(A10),"")</f>
        <v/>
      </c>
      <c r="R22" s="12" t="str">
        <f t="shared" si="0"/>
        <v/>
      </c>
      <c r="S22" s="108" t="str">
        <f t="shared" si="4"/>
        <v/>
      </c>
      <c r="T22" s="108" t="str">
        <f t="shared" si="2"/>
        <v/>
      </c>
      <c r="U22" s="108" t="str">
        <f t="shared" si="3"/>
        <v/>
      </c>
      <c r="V22" s="108" t="str">
        <f t="shared" si="3"/>
        <v/>
      </c>
      <c r="W22" s="108" t="str">
        <f t="shared" si="3"/>
        <v/>
      </c>
      <c r="X22" s="108" t="str">
        <f t="shared" si="3"/>
        <v/>
      </c>
      <c r="Y22" s="108" t="str">
        <f t="shared" si="3"/>
        <v/>
      </c>
      <c r="Z22" s="108" t="str">
        <f t="shared" si="3"/>
        <v/>
      </c>
      <c r="AA22" s="108" t="str">
        <f t="shared" si="3"/>
        <v/>
      </c>
      <c r="AB22" s="108" t="str" cm="1">
        <f t="array" ref="AB22">IF(LEN($B22)=0,"",IF(LEN(C22)=0,"Nama Siswa Kosong",IF($E22="","Status Siswa Kosong",IF(S22&lt;&gt;"Aktif","Siswa Tidak Aktif",
IF(OR(U22:AA22="Belum mengisi"),"Belum mengisi",IF(AND(U22:AA22="Sudah terbiasa"),"Sudah terbiasa","Belum terbiasa"))))))</f>
        <v/>
      </c>
      <c r="AD22" s="98" t="s">
        <v>0</v>
      </c>
      <c r="AE22" s="148" t="s">
        <v>18</v>
      </c>
      <c r="AF22" s="148"/>
      <c r="AG22" s="148" t="s">
        <v>597</v>
      </c>
      <c r="AH22" s="148"/>
      <c r="AI22" s="171" t="s">
        <v>598</v>
      </c>
      <c r="AJ22" s="172"/>
      <c r="AK22" s="13"/>
      <c r="AL22" s="13"/>
      <c r="AM22" s="13"/>
      <c r="AN22" s="13"/>
      <c r="AO22" s="13"/>
      <c r="AP22" s="13"/>
      <c r="AQ22" s="13"/>
    </row>
    <row r="23" spans="2:43" hidden="1" x14ac:dyDescent="0.3">
      <c r="B23" s="4" t="str">
        <f>IF(ROW(A11)&lt;=profilKelas!$F$14,ROW(A11),"")</f>
        <v/>
      </c>
      <c r="C23" s="94" t="str">
        <f>IF(ISBLANK(identitasMurid!C16),"",identitasMurid!C16)</f>
        <v/>
      </c>
      <c r="D23" s="6" t="str">
        <f>IF(ISBLANK(identitasMurid!D16),"",identitasMurid!D16)</f>
        <v/>
      </c>
      <c r="E23" s="95"/>
      <c r="F23" s="95"/>
      <c r="G23" s="95"/>
      <c r="H23" s="95"/>
      <c r="I23" s="95"/>
      <c r="J23" s="95"/>
      <c r="K23" s="95"/>
      <c r="L23" s="95"/>
      <c r="M23" s="95"/>
      <c r="Q23" s="5" t="str">
        <f>IF(ROW(A11)&lt;=profilKelas!$F$14,ROW(A11),"")</f>
        <v/>
      </c>
      <c r="R23" s="12" t="str">
        <f t="shared" si="0"/>
        <v/>
      </c>
      <c r="S23" s="108" t="str">
        <f t="shared" si="4"/>
        <v/>
      </c>
      <c r="T23" s="108" t="str">
        <f t="shared" si="2"/>
        <v/>
      </c>
      <c r="U23" s="108" t="str">
        <f t="shared" si="3"/>
        <v/>
      </c>
      <c r="V23" s="108" t="str">
        <f t="shared" si="3"/>
        <v/>
      </c>
      <c r="W23" s="108" t="str">
        <f t="shared" si="3"/>
        <v/>
      </c>
      <c r="X23" s="108" t="str">
        <f t="shared" si="3"/>
        <v/>
      </c>
      <c r="Y23" s="108" t="str">
        <f t="shared" si="3"/>
        <v/>
      </c>
      <c r="Z23" s="108" t="str">
        <f t="shared" si="3"/>
        <v/>
      </c>
      <c r="AA23" s="108" t="str">
        <f t="shared" si="3"/>
        <v/>
      </c>
      <c r="AB23" s="108" t="str" cm="1">
        <f t="array" ref="AB23">IF(LEN($B23)=0,"",IF(LEN(C23)=0,"Nama Siswa Kosong",IF($E23="","Status Siswa Kosong",IF(S23&lt;&gt;"Aktif","Siswa Tidak Aktif",
IF(OR(U23:AA23="Belum mengisi"),"Belum mengisi",IF(AND(U23:AA23="Sudah terbiasa"),"Sudah terbiasa","Belum terbiasa"))))))</f>
        <v/>
      </c>
      <c r="AC23" s="99">
        <f t="shared" ref="AC23:AC29" si="5">RANK(AG23,$AG$23:$AG$29)</f>
        <v>1</v>
      </c>
      <c r="AD23" s="41">
        <v>1</v>
      </c>
      <c r="AE23" s="161" t="s">
        <v>2</v>
      </c>
      <c r="AF23" s="161"/>
      <c r="AG23" s="10">
        <f>COUNTIF(JulBangunPagi,SudahTerbiasa)</f>
        <v>0</v>
      </c>
      <c r="AH23" s="50">
        <f>IF(LEN(profilKelas!$F$14)=0,"",COUNTIF(JulBangunPagi,SudahTerbiasa)/profilKelas!$F$14)</f>
        <v>0</v>
      </c>
      <c r="AI23" s="10">
        <f>COUNTIF(JulBangunPagi,BelumTerbiasa)</f>
        <v>0</v>
      </c>
      <c r="AJ23" s="50">
        <f>IF(LEN(profilKelas!$F$14)=0,"",AI23/profilKelas!$F$14)</f>
        <v>0</v>
      </c>
      <c r="AK23" s="13"/>
      <c r="AL23" s="13"/>
      <c r="AM23" s="13"/>
      <c r="AN23" s="13"/>
      <c r="AO23" s="13"/>
      <c r="AP23" s="13"/>
      <c r="AQ23" s="13"/>
    </row>
    <row r="24" spans="2:43" hidden="1" x14ac:dyDescent="0.3">
      <c r="B24" s="4" t="str">
        <f>IF(ROW(A12)&lt;=profilKelas!$F$14,ROW(A12),"")</f>
        <v/>
      </c>
      <c r="C24" s="94" t="str">
        <f>IF(ISBLANK(identitasMurid!C17),"",identitasMurid!C17)</f>
        <v/>
      </c>
      <c r="D24" s="6" t="str">
        <f>IF(ISBLANK(identitasMurid!D17),"",identitasMurid!D17)</f>
        <v/>
      </c>
      <c r="E24" s="95"/>
      <c r="F24" s="95"/>
      <c r="G24" s="95"/>
      <c r="H24" s="95"/>
      <c r="I24" s="95"/>
      <c r="J24" s="95"/>
      <c r="K24" s="95"/>
      <c r="L24" s="95"/>
      <c r="M24" s="95"/>
      <c r="Q24" s="5" t="str">
        <f>IF(ROW(A12)&lt;=profilKelas!$F$14,ROW(A12),"")</f>
        <v/>
      </c>
      <c r="R24" s="12" t="str">
        <f t="shared" si="0"/>
        <v/>
      </c>
      <c r="S24" s="108" t="str">
        <f t="shared" si="4"/>
        <v/>
      </c>
      <c r="T24" s="108" t="str">
        <f t="shared" si="2"/>
        <v/>
      </c>
      <c r="U24" s="108" t="str">
        <f t="shared" si="3"/>
        <v/>
      </c>
      <c r="V24" s="108" t="str">
        <f t="shared" si="3"/>
        <v/>
      </c>
      <c r="W24" s="108" t="str">
        <f t="shared" si="3"/>
        <v/>
      </c>
      <c r="X24" s="108" t="str">
        <f t="shared" si="3"/>
        <v/>
      </c>
      <c r="Y24" s="108" t="str">
        <f t="shared" si="3"/>
        <v/>
      </c>
      <c r="Z24" s="108" t="str">
        <f t="shared" si="3"/>
        <v/>
      </c>
      <c r="AA24" s="108" t="str">
        <f t="shared" si="3"/>
        <v/>
      </c>
      <c r="AB24" s="108" t="str" cm="1">
        <f t="array" ref="AB24">IF(LEN($B24)=0,"",IF(LEN(C24)=0,"Nama Siswa Kosong",IF($E24="","Status Siswa Kosong",IF(S24&lt;&gt;"Aktif","Siswa Tidak Aktif",
IF(OR(U24:AA24="Belum mengisi"),"Belum mengisi",IF(AND(U24:AA24="Sudah terbiasa"),"Sudah terbiasa","Belum terbiasa"))))))</f>
        <v/>
      </c>
      <c r="AC24" s="99">
        <f t="shared" si="5"/>
        <v>1</v>
      </c>
      <c r="AD24" s="41">
        <v>2</v>
      </c>
      <c r="AE24" s="161" t="s">
        <v>3</v>
      </c>
      <c r="AF24" s="161"/>
      <c r="AG24" s="10">
        <f>COUNTIF(JulTaatBeribadah,SudahTerbiasa)</f>
        <v>0</v>
      </c>
      <c r="AH24" s="50">
        <f>IF(LEN(profilKelas!$F$14)=0,"",AG24/profilKelas!$F$14)</f>
        <v>0</v>
      </c>
      <c r="AI24" s="10">
        <f>COUNTIF(JulTaatBeribadah,BelumTerbiasa)</f>
        <v>0</v>
      </c>
      <c r="AJ24" s="50">
        <f>IF(LEN(profilKelas!$F$14)=0,"",AI24/profilKelas!$F$14)</f>
        <v>0</v>
      </c>
      <c r="AK24" s="13"/>
      <c r="AL24" s="13"/>
      <c r="AM24" s="13"/>
      <c r="AN24" s="13"/>
      <c r="AO24" s="13"/>
      <c r="AP24" s="13"/>
      <c r="AQ24" s="13"/>
    </row>
    <row r="25" spans="2:43" hidden="1" x14ac:dyDescent="0.3">
      <c r="B25" s="4" t="str">
        <f>IF(ROW(A13)&lt;=profilKelas!$F$14,ROW(A13),"")</f>
        <v/>
      </c>
      <c r="C25" s="94" t="str">
        <f>IF(ISBLANK(identitasMurid!C18),"",identitasMurid!C18)</f>
        <v/>
      </c>
      <c r="D25" s="6" t="str">
        <f>IF(ISBLANK(identitasMurid!D18),"",identitasMurid!D18)</f>
        <v/>
      </c>
      <c r="E25" s="95"/>
      <c r="F25" s="95"/>
      <c r="G25" s="95"/>
      <c r="H25" s="95"/>
      <c r="I25" s="95"/>
      <c r="J25" s="95"/>
      <c r="K25" s="95"/>
      <c r="L25" s="95"/>
      <c r="M25" s="95"/>
      <c r="Q25" s="5" t="str">
        <f>IF(ROW(A13)&lt;=profilKelas!$F$14,ROW(A13),"")</f>
        <v/>
      </c>
      <c r="R25" s="12" t="str">
        <f t="shared" si="0"/>
        <v/>
      </c>
      <c r="S25" s="108" t="str">
        <f t="shared" si="4"/>
        <v/>
      </c>
      <c r="T25" s="108" t="str">
        <f t="shared" si="2"/>
        <v/>
      </c>
      <c r="U25" s="108" t="str">
        <f t="shared" si="3"/>
        <v/>
      </c>
      <c r="V25" s="108" t="str">
        <f t="shared" si="3"/>
        <v/>
      </c>
      <c r="W25" s="108" t="str">
        <f t="shared" si="3"/>
        <v/>
      </c>
      <c r="X25" s="108" t="str">
        <f t="shared" si="3"/>
        <v/>
      </c>
      <c r="Y25" s="108" t="str">
        <f t="shared" si="3"/>
        <v/>
      </c>
      <c r="Z25" s="108" t="str">
        <f t="shared" si="3"/>
        <v/>
      </c>
      <c r="AA25" s="108" t="str">
        <f t="shared" si="3"/>
        <v/>
      </c>
      <c r="AB25" s="108" t="str" cm="1">
        <f t="array" ref="AB25">IF(LEN($B25)=0,"",IF(LEN(C25)=0,"Nama Siswa Kosong",IF($E25="","Status Siswa Kosong",IF(S25&lt;&gt;"Aktif","Siswa Tidak Aktif",
IF(OR(U25:AA25="Belum mengisi"),"Belum mengisi",IF(AND(U25:AA25="Sudah terbiasa"),"Sudah terbiasa","Belum terbiasa"))))))</f>
        <v/>
      </c>
      <c r="AC25" s="99">
        <f t="shared" si="5"/>
        <v>1</v>
      </c>
      <c r="AD25" s="41">
        <v>3</v>
      </c>
      <c r="AE25" s="161" t="s">
        <v>4</v>
      </c>
      <c r="AF25" s="161"/>
      <c r="AG25" s="10">
        <f>COUNTIF(JulBerolahraga,SudahTerbiasa)</f>
        <v>0</v>
      </c>
      <c r="AH25" s="50">
        <f>IF(LEN(profilKelas!$F$14)=0,"",AG25/profilKelas!$F$14)</f>
        <v>0</v>
      </c>
      <c r="AI25" s="10">
        <f>COUNTIF(JulBerolahraga,BelumTerbiasa)</f>
        <v>0</v>
      </c>
      <c r="AJ25" s="50">
        <f>IF(LEN(profilKelas!$F$14)=0,"",AI25/profilKelas!$F$14)</f>
        <v>0</v>
      </c>
      <c r="AK25" s="13"/>
      <c r="AL25" s="13"/>
      <c r="AM25" s="13"/>
      <c r="AN25" s="13"/>
      <c r="AO25" s="13"/>
      <c r="AP25" s="13"/>
      <c r="AQ25" s="13"/>
    </row>
    <row r="26" spans="2:43" hidden="1" x14ac:dyDescent="0.3">
      <c r="B26" s="4" t="str">
        <f>IF(ROW(A14)&lt;=profilKelas!$F$14,ROW(A14),"")</f>
        <v/>
      </c>
      <c r="C26" s="94" t="str">
        <f>IF(ISBLANK(identitasMurid!C19),"",identitasMurid!C19)</f>
        <v/>
      </c>
      <c r="D26" s="6" t="str">
        <f>IF(ISBLANK(identitasMurid!D19),"",identitasMurid!D19)</f>
        <v/>
      </c>
      <c r="E26" s="95"/>
      <c r="F26" s="95"/>
      <c r="G26" s="95"/>
      <c r="H26" s="95"/>
      <c r="I26" s="95"/>
      <c r="J26" s="95"/>
      <c r="K26" s="95"/>
      <c r="L26" s="95"/>
      <c r="M26" s="95"/>
      <c r="Q26" s="5" t="str">
        <f>IF(ROW(A14)&lt;=profilKelas!$F$14,ROW(A14),"")</f>
        <v/>
      </c>
      <c r="R26" s="12" t="str">
        <f t="shared" si="0"/>
        <v/>
      </c>
      <c r="S26" s="108" t="str">
        <f t="shared" si="4"/>
        <v/>
      </c>
      <c r="T26" s="108" t="str">
        <f t="shared" si="2"/>
        <v/>
      </c>
      <c r="U26" s="108" t="str">
        <f t="shared" si="3"/>
        <v/>
      </c>
      <c r="V26" s="108" t="str">
        <f t="shared" si="3"/>
        <v/>
      </c>
      <c r="W26" s="108" t="str">
        <f t="shared" si="3"/>
        <v/>
      </c>
      <c r="X26" s="108" t="str">
        <f t="shared" si="3"/>
        <v/>
      </c>
      <c r="Y26" s="108" t="str">
        <f t="shared" si="3"/>
        <v/>
      </c>
      <c r="Z26" s="108" t="str">
        <f t="shared" si="3"/>
        <v/>
      </c>
      <c r="AA26" s="108" t="str">
        <f t="shared" si="3"/>
        <v/>
      </c>
      <c r="AB26" s="108" t="str" cm="1">
        <f t="array" ref="AB26">IF(LEN($B26)=0,"",IF(LEN(C26)=0,"Nama Siswa Kosong",IF($E26="","Status Siswa Kosong",IF(S26&lt;&gt;"Aktif","Siswa Tidak Aktif",
IF(OR(U26:AA26="Belum mengisi"),"Belum mengisi",IF(AND(U26:AA26="Sudah terbiasa"),"Sudah terbiasa","Belum terbiasa"))))))</f>
        <v/>
      </c>
      <c r="AC26" s="99">
        <f t="shared" si="5"/>
        <v>1</v>
      </c>
      <c r="AD26" s="41">
        <v>4</v>
      </c>
      <c r="AE26" s="161" t="s">
        <v>5</v>
      </c>
      <c r="AF26" s="161"/>
      <c r="AG26" s="10">
        <f>COUNTIF(JulMakanSehatBergizi,SudahTerbiasa)</f>
        <v>0</v>
      </c>
      <c r="AH26" s="50">
        <f>IF(LEN(profilKelas!$F$14)=0,"",AG26/profilKelas!$F$14)</f>
        <v>0</v>
      </c>
      <c r="AI26" s="10">
        <f>COUNTIF(JulMakanSehatBergizi,BelumTerbiasa)</f>
        <v>0</v>
      </c>
      <c r="AJ26" s="50">
        <f>IF(LEN(profilKelas!$F$14)=0,"",AI26/profilKelas!$F$14)</f>
        <v>0</v>
      </c>
      <c r="AK26" s="13"/>
      <c r="AL26" s="13"/>
      <c r="AM26" s="13"/>
      <c r="AN26" s="13"/>
      <c r="AO26" s="13"/>
      <c r="AP26" s="13"/>
      <c r="AQ26" s="13"/>
    </row>
    <row r="27" spans="2:43" hidden="1" x14ac:dyDescent="0.3">
      <c r="B27" s="4" t="str">
        <f>IF(ROW(A15)&lt;=profilKelas!$F$14,ROW(A15),"")</f>
        <v/>
      </c>
      <c r="C27" s="94" t="str">
        <f>IF(ISBLANK(identitasMurid!C20),"",identitasMurid!C20)</f>
        <v/>
      </c>
      <c r="D27" s="6" t="str">
        <f>IF(ISBLANK(identitasMurid!D20),"",identitasMurid!D20)</f>
        <v/>
      </c>
      <c r="E27" s="95"/>
      <c r="F27" s="95"/>
      <c r="G27" s="95"/>
      <c r="H27" s="95"/>
      <c r="I27" s="95"/>
      <c r="J27" s="95"/>
      <c r="K27" s="95"/>
      <c r="L27" s="95"/>
      <c r="M27" s="95"/>
      <c r="Q27" s="5" t="str">
        <f>IF(ROW(A15)&lt;=profilKelas!$F$14,ROW(A15),"")</f>
        <v/>
      </c>
      <c r="R27" s="12" t="str">
        <f t="shared" si="0"/>
        <v/>
      </c>
      <c r="S27" s="108" t="str">
        <f t="shared" si="4"/>
        <v/>
      </c>
      <c r="T27" s="108" t="str">
        <f t="shared" si="2"/>
        <v/>
      </c>
      <c r="U27" s="108" t="str">
        <f t="shared" si="3"/>
        <v/>
      </c>
      <c r="V27" s="108" t="str">
        <f t="shared" si="3"/>
        <v/>
      </c>
      <c r="W27" s="108" t="str">
        <f t="shared" si="3"/>
        <v/>
      </c>
      <c r="X27" s="108" t="str">
        <f t="shared" si="3"/>
        <v/>
      </c>
      <c r="Y27" s="108" t="str">
        <f t="shared" si="3"/>
        <v/>
      </c>
      <c r="Z27" s="108" t="str">
        <f t="shared" si="3"/>
        <v/>
      </c>
      <c r="AA27" s="108" t="str">
        <f t="shared" si="3"/>
        <v/>
      </c>
      <c r="AB27" s="108" t="str" cm="1">
        <f t="array" ref="AB27">IF(LEN($B27)=0,"",IF(LEN(C27)=0,"Nama Siswa Kosong",IF($E27="","Status Siswa Kosong",IF(S27&lt;&gt;"Aktif","Siswa Tidak Aktif",
IF(OR(U27:AA27="Belum mengisi"),"Belum mengisi",IF(AND(U27:AA27="Sudah terbiasa"),"Sudah terbiasa","Belum terbiasa"))))))</f>
        <v/>
      </c>
      <c r="AC27" s="99">
        <f t="shared" si="5"/>
        <v>1</v>
      </c>
      <c r="AD27" s="41">
        <v>5</v>
      </c>
      <c r="AE27" s="161" t="s">
        <v>6</v>
      </c>
      <c r="AF27" s="161"/>
      <c r="AG27" s="10">
        <f>COUNTIF(JulGemarBelajar,SudahTerbiasa)</f>
        <v>0</v>
      </c>
      <c r="AH27" s="50">
        <f>IF(LEN(profilKelas!$F$14)=0,"",AG27/profilKelas!$F$14)</f>
        <v>0</v>
      </c>
      <c r="AI27" s="10">
        <f>COUNTIF(JulGemarBelajar,BelumTerbiasa)</f>
        <v>0</v>
      </c>
      <c r="AJ27" s="50">
        <f>IF(LEN(profilKelas!$F$14)=0,"",AI27/profilKelas!$F$14)</f>
        <v>0</v>
      </c>
      <c r="AK27" s="13"/>
      <c r="AL27" s="13"/>
      <c r="AM27" s="13"/>
      <c r="AN27" s="13"/>
      <c r="AO27" s="13"/>
      <c r="AP27" s="13"/>
      <c r="AQ27" s="13"/>
    </row>
    <row r="28" spans="2:43" hidden="1" x14ac:dyDescent="0.3">
      <c r="B28" s="4" t="str">
        <f>IF(ROW(A16)&lt;=profilKelas!$F$14,ROW(A16),"")</f>
        <v/>
      </c>
      <c r="C28" s="94" t="str">
        <f>IF(ISBLANK(identitasMurid!C21),"",identitasMurid!C21)</f>
        <v/>
      </c>
      <c r="D28" s="6" t="str">
        <f>IF(ISBLANK(identitasMurid!D21),"",identitasMurid!D21)</f>
        <v/>
      </c>
      <c r="E28" s="95"/>
      <c r="F28" s="95"/>
      <c r="G28" s="95"/>
      <c r="H28" s="95"/>
      <c r="I28" s="95"/>
      <c r="J28" s="95"/>
      <c r="K28" s="95"/>
      <c r="L28" s="95"/>
      <c r="M28" s="95"/>
      <c r="Q28" s="5" t="str">
        <f>IF(ROW(A16)&lt;=profilKelas!$F$14,ROW(A16),"")</f>
        <v/>
      </c>
      <c r="R28" s="12" t="str">
        <f t="shared" si="0"/>
        <v/>
      </c>
      <c r="S28" s="108" t="str">
        <f t="shared" si="4"/>
        <v/>
      </c>
      <c r="T28" s="108" t="str">
        <f t="shared" si="2"/>
        <v/>
      </c>
      <c r="U28" s="108" t="str">
        <f t="shared" si="3"/>
        <v/>
      </c>
      <c r="V28" s="108" t="str">
        <f t="shared" si="3"/>
        <v/>
      </c>
      <c r="W28" s="108" t="str">
        <f t="shared" si="3"/>
        <v/>
      </c>
      <c r="X28" s="108" t="str">
        <f t="shared" si="3"/>
        <v/>
      </c>
      <c r="Y28" s="108" t="str">
        <f t="shared" si="3"/>
        <v/>
      </c>
      <c r="Z28" s="108" t="str">
        <f t="shared" si="3"/>
        <v/>
      </c>
      <c r="AA28" s="108" t="str">
        <f t="shared" si="3"/>
        <v/>
      </c>
      <c r="AB28" s="108" t="str" cm="1">
        <f t="array" ref="AB28">IF(LEN($B28)=0,"",IF(LEN(C28)=0,"Nama Siswa Kosong",IF($E28="","Status Siswa Kosong",IF(S28&lt;&gt;"Aktif","Siswa Tidak Aktif",
IF(OR(U28:AA28="Belum mengisi"),"Belum mengisi",IF(AND(U28:AA28="Sudah terbiasa"),"Sudah terbiasa","Belum terbiasa"))))))</f>
        <v/>
      </c>
      <c r="AC28" s="99">
        <f t="shared" si="5"/>
        <v>1</v>
      </c>
      <c r="AD28" s="41">
        <v>6</v>
      </c>
      <c r="AE28" s="161" t="s">
        <v>7</v>
      </c>
      <c r="AF28" s="161"/>
      <c r="AG28" s="10">
        <f>COUNTIF(JulAktifBermasyarakat,SudahTerbiasa)</f>
        <v>0</v>
      </c>
      <c r="AH28" s="50">
        <f>IF(LEN(profilKelas!$F$14)=0,"",AG28/profilKelas!$F$14)</f>
        <v>0</v>
      </c>
      <c r="AI28" s="10">
        <f>COUNTIF(JulAktifBermasyarakat,BelumTerbiasa)</f>
        <v>0</v>
      </c>
      <c r="AJ28" s="50">
        <f>IF(LEN(profilKelas!$F$14)=0,"",AI28/profilKelas!$F$14)</f>
        <v>0</v>
      </c>
      <c r="AK28" s="13"/>
      <c r="AL28" s="43"/>
      <c r="AM28" s="43"/>
      <c r="AN28" s="43"/>
      <c r="AO28" s="43"/>
      <c r="AP28" s="43"/>
      <c r="AQ28" s="43"/>
    </row>
    <row r="29" spans="2:43" hidden="1" x14ac:dyDescent="0.3">
      <c r="B29" s="4" t="str">
        <f>IF(ROW(A17)&lt;=profilKelas!$F$14,ROW(A17),"")</f>
        <v/>
      </c>
      <c r="C29" s="94" t="str">
        <f>IF(ISBLANK(identitasMurid!C22),"",identitasMurid!C22)</f>
        <v/>
      </c>
      <c r="D29" s="6" t="str">
        <f>IF(ISBLANK(identitasMurid!D22),"",identitasMurid!D22)</f>
        <v/>
      </c>
      <c r="E29" s="95"/>
      <c r="F29" s="95"/>
      <c r="G29" s="95"/>
      <c r="H29" s="95"/>
      <c r="I29" s="95"/>
      <c r="J29" s="95"/>
      <c r="K29" s="95"/>
      <c r="L29" s="95"/>
      <c r="M29" s="95"/>
      <c r="Q29" s="5" t="str">
        <f>IF(ROW(A17)&lt;=profilKelas!$F$14,ROW(A17),"")</f>
        <v/>
      </c>
      <c r="R29" s="12" t="str">
        <f t="shared" si="0"/>
        <v/>
      </c>
      <c r="S29" s="108" t="str">
        <f t="shared" si="4"/>
        <v/>
      </c>
      <c r="T29" s="108" t="str">
        <f t="shared" si="2"/>
        <v/>
      </c>
      <c r="U29" s="108" t="str">
        <f t="shared" ref="U29:AA57" si="6">IF(LEN($B29)=0,"",IF(LEN($C29)=0,"Nama Siswa Kosong",IF($E29="","Status Siswa Kosong",IF($E29&lt;&gt;"Aktif","Siswa Tidak Aktif",
IF(ISBLANK(F29),"Belum mengisi",IF(F29&gt;=20,"Sudah terbiasa","Belum terbiasa"))))))</f>
        <v/>
      </c>
      <c r="V29" s="108" t="str">
        <f t="shared" si="6"/>
        <v/>
      </c>
      <c r="W29" s="108" t="str">
        <f t="shared" si="6"/>
        <v/>
      </c>
      <c r="X29" s="108" t="str">
        <f t="shared" si="6"/>
        <v/>
      </c>
      <c r="Y29" s="108" t="str">
        <f t="shared" si="6"/>
        <v/>
      </c>
      <c r="Z29" s="108" t="str">
        <f t="shared" si="6"/>
        <v/>
      </c>
      <c r="AA29" s="108" t="str">
        <f t="shared" si="6"/>
        <v/>
      </c>
      <c r="AB29" s="108" t="str" cm="1">
        <f t="array" ref="AB29">IF(LEN($B29)=0,"",IF(LEN(C29)=0,"Nama Siswa Kosong",IF($E29="","Status Siswa Kosong",IF(S29&lt;&gt;"Aktif","Siswa Tidak Aktif",
IF(OR(U29:AA29="Belum mengisi"),"Belum mengisi",IF(AND(U29:AA29="Sudah terbiasa"),"Sudah terbiasa","Belum terbiasa"))))))</f>
        <v/>
      </c>
      <c r="AC29" s="99">
        <f t="shared" si="5"/>
        <v>1</v>
      </c>
      <c r="AD29" s="41">
        <v>7</v>
      </c>
      <c r="AE29" s="161" t="s">
        <v>8</v>
      </c>
      <c r="AF29" s="161"/>
      <c r="AG29" s="10">
        <f>COUNTIF(JulTidurCepat,SudahTerbiasa)</f>
        <v>0</v>
      </c>
      <c r="AH29" s="50">
        <f>IF(LEN(profilKelas!$F$14)=0,"",AG29/profilKelas!$F$14)</f>
        <v>0</v>
      </c>
      <c r="AI29" s="10">
        <f>COUNTIF(JulTidurCepat,BelumTerbiasa)</f>
        <v>0</v>
      </c>
      <c r="AJ29" s="50">
        <f>IF(LEN(profilKelas!$F$14)=0,"",AI29/profilKelas!$F$14)</f>
        <v>0</v>
      </c>
      <c r="AK29" s="13"/>
      <c r="AL29" s="43"/>
      <c r="AM29" s="43"/>
      <c r="AN29" s="43"/>
      <c r="AO29" s="43"/>
      <c r="AP29" s="43"/>
      <c r="AQ29" s="43"/>
    </row>
    <row r="30" spans="2:43" hidden="1" x14ac:dyDescent="0.3">
      <c r="B30" s="4" t="str">
        <f>IF(ROW(A18)&lt;=profilKelas!$F$14,ROW(A18),"")</f>
        <v/>
      </c>
      <c r="C30" s="94" t="str">
        <f>IF(ISBLANK(identitasMurid!C23),"",identitasMurid!C23)</f>
        <v/>
      </c>
      <c r="D30" s="6" t="str">
        <f>IF(ISBLANK(identitasMurid!D23),"",identitasMurid!D23)</f>
        <v/>
      </c>
      <c r="E30" s="95"/>
      <c r="F30" s="95"/>
      <c r="G30" s="95"/>
      <c r="H30" s="95"/>
      <c r="I30" s="95"/>
      <c r="J30" s="95"/>
      <c r="K30" s="95"/>
      <c r="L30" s="95"/>
      <c r="M30" s="95"/>
      <c r="Q30" s="5" t="str">
        <f>IF(ROW(A18)&lt;=profilKelas!$F$14,ROW(A18),"")</f>
        <v/>
      </c>
      <c r="R30" s="12" t="str">
        <f t="shared" si="0"/>
        <v/>
      </c>
      <c r="S30" s="108" t="str">
        <f t="shared" si="4"/>
        <v/>
      </c>
      <c r="T30" s="108" t="str">
        <f t="shared" si="2"/>
        <v/>
      </c>
      <c r="U30" s="108" t="str">
        <f t="shared" si="6"/>
        <v/>
      </c>
      <c r="V30" s="108" t="str">
        <f t="shared" si="6"/>
        <v/>
      </c>
      <c r="W30" s="108" t="str">
        <f t="shared" si="6"/>
        <v/>
      </c>
      <c r="X30" s="108" t="str">
        <f t="shared" si="6"/>
        <v/>
      </c>
      <c r="Y30" s="108" t="str">
        <f t="shared" si="6"/>
        <v/>
      </c>
      <c r="Z30" s="108" t="str">
        <f t="shared" si="6"/>
        <v/>
      </c>
      <c r="AA30" s="108" t="str">
        <f t="shared" si="6"/>
        <v/>
      </c>
      <c r="AB30" s="108" t="str" cm="1">
        <f t="array" ref="AB30">IF(LEN($B30)=0,"",IF(LEN(C30)=0,"Nama Siswa Kosong",IF($E30="","Status Siswa Kosong",IF(S30&lt;&gt;"Aktif","Siswa Tidak Aktif",
IF(OR(U30:AA30="Belum mengisi"),"Belum mengisi",IF(AND(U30:AA30="Sudah terbiasa"),"Sudah terbiasa","Belum terbiasa"))))))</f>
        <v/>
      </c>
      <c r="AD30" s="13"/>
      <c r="AE30" s="13"/>
      <c r="AF30" s="13"/>
      <c r="AG30" s="13"/>
      <c r="AH30" s="13"/>
      <c r="AI30" s="13"/>
      <c r="AJ30" s="13"/>
      <c r="AK30" s="13"/>
      <c r="AL30" s="43"/>
      <c r="AM30" s="43"/>
      <c r="AN30" s="43"/>
      <c r="AO30" s="43"/>
      <c r="AP30" s="43"/>
      <c r="AQ30" s="43"/>
    </row>
    <row r="31" spans="2:43" hidden="1" x14ac:dyDescent="0.3">
      <c r="B31" s="4" t="str">
        <f>IF(ROW(A19)&lt;=profilKelas!$F$14,ROW(A19),"")</f>
        <v/>
      </c>
      <c r="C31" s="94" t="str">
        <f>IF(ISBLANK(identitasMurid!C24),"",identitasMurid!C24)</f>
        <v/>
      </c>
      <c r="D31" s="6" t="str">
        <f>IF(ISBLANK(identitasMurid!D24),"",identitasMurid!D24)</f>
        <v/>
      </c>
      <c r="E31" s="95"/>
      <c r="F31" s="95"/>
      <c r="G31" s="95"/>
      <c r="H31" s="95"/>
      <c r="I31" s="95"/>
      <c r="J31" s="95"/>
      <c r="K31" s="95"/>
      <c r="L31" s="95"/>
      <c r="M31" s="95"/>
      <c r="Q31" s="5" t="str">
        <f>IF(ROW(A19)&lt;=profilKelas!$F$14,ROW(A19),"")</f>
        <v/>
      </c>
      <c r="R31" s="12" t="str">
        <f t="shared" si="0"/>
        <v/>
      </c>
      <c r="S31" s="108" t="str">
        <f t="shared" si="4"/>
        <v/>
      </c>
      <c r="T31" s="108" t="str">
        <f t="shared" si="2"/>
        <v/>
      </c>
      <c r="U31" s="108" t="str">
        <f t="shared" si="6"/>
        <v/>
      </c>
      <c r="V31" s="108" t="str">
        <f t="shared" si="6"/>
        <v/>
      </c>
      <c r="W31" s="108" t="str">
        <f t="shared" si="6"/>
        <v/>
      </c>
      <c r="X31" s="108" t="str">
        <f t="shared" si="6"/>
        <v/>
      </c>
      <c r="Y31" s="108" t="str">
        <f t="shared" si="6"/>
        <v/>
      </c>
      <c r="Z31" s="108" t="str">
        <f t="shared" si="6"/>
        <v/>
      </c>
      <c r="AA31" s="108" t="str">
        <f t="shared" si="6"/>
        <v/>
      </c>
      <c r="AB31" s="108" t="str" cm="1">
        <f t="array" ref="AB31">IF(LEN($B31)=0,"",IF(LEN(C31)=0,"Nama Siswa Kosong",IF($E31="","Status Siswa Kosong",IF(S31&lt;&gt;"Aktif","Siswa Tidak Aktif",
IF(OR(U31:AA31="Belum mengisi"),"Belum mengisi",IF(AND(U31:AA31="Sudah terbiasa"),"Sudah terbiasa","Belum terbiasa"))))))</f>
        <v/>
      </c>
      <c r="AD31" s="13"/>
      <c r="AE31" s="13"/>
      <c r="AF31" s="13"/>
      <c r="AG31" s="148" t="s">
        <v>607</v>
      </c>
      <c r="AH31" s="148"/>
      <c r="AI31" s="148"/>
      <c r="AJ31" s="148"/>
      <c r="AK31" s="148" t="s">
        <v>608</v>
      </c>
      <c r="AL31" s="148"/>
      <c r="AM31" s="148"/>
      <c r="AN31" s="148"/>
      <c r="AO31" s="13"/>
      <c r="AP31" s="13"/>
      <c r="AQ31" s="13"/>
    </row>
    <row r="32" spans="2:43" hidden="1" x14ac:dyDescent="0.3">
      <c r="B32" s="4" t="str">
        <f>IF(ROW(A20)&lt;=profilKelas!$F$14,ROW(A20),"")</f>
        <v/>
      </c>
      <c r="C32" s="94" t="str">
        <f>IF(ISBLANK(identitasMurid!C25),"",identitasMurid!C25)</f>
        <v/>
      </c>
      <c r="D32" s="6" t="str">
        <f>IF(ISBLANK(identitasMurid!D25),"",identitasMurid!D25)</f>
        <v/>
      </c>
      <c r="E32" s="95"/>
      <c r="F32" s="95"/>
      <c r="G32" s="95"/>
      <c r="H32" s="95"/>
      <c r="I32" s="95"/>
      <c r="J32" s="95"/>
      <c r="K32" s="95"/>
      <c r="L32" s="95"/>
      <c r="M32" s="95"/>
      <c r="Q32" s="5" t="str">
        <f>IF(ROW(A20)&lt;=profilKelas!$F$14,ROW(A20),"")</f>
        <v/>
      </c>
      <c r="R32" s="12" t="str">
        <f t="shared" si="0"/>
        <v/>
      </c>
      <c r="S32" s="108" t="str">
        <f t="shared" si="4"/>
        <v/>
      </c>
      <c r="T32" s="108" t="str">
        <f t="shared" si="2"/>
        <v/>
      </c>
      <c r="U32" s="108" t="str">
        <f t="shared" si="6"/>
        <v/>
      </c>
      <c r="V32" s="108" t="str">
        <f t="shared" si="6"/>
        <v/>
      </c>
      <c r="W32" s="108" t="str">
        <f t="shared" si="6"/>
        <v/>
      </c>
      <c r="X32" s="108" t="str">
        <f t="shared" si="6"/>
        <v/>
      </c>
      <c r="Y32" s="108" t="str">
        <f t="shared" si="6"/>
        <v/>
      </c>
      <c r="Z32" s="108" t="str">
        <f t="shared" si="6"/>
        <v/>
      </c>
      <c r="AA32" s="108" t="str">
        <f t="shared" si="6"/>
        <v/>
      </c>
      <c r="AB32" s="108" t="str" cm="1">
        <f t="array" ref="AB32">IF(LEN($B32)=0,"",IF(LEN(C32)=0,"Nama Siswa Kosong",IF($E32="","Status Siswa Kosong",IF(S32&lt;&gt;"Aktif","Siswa Tidak Aktif",
IF(OR(U32:AA32="Belum mengisi"),"Belum mengisi",IF(AND(U32:AA32="Sudah terbiasa"),"Sudah terbiasa","Belum terbiasa"))))))</f>
        <v/>
      </c>
      <c r="AD32" s="98" t="s">
        <v>0</v>
      </c>
      <c r="AE32" s="148" t="s">
        <v>18</v>
      </c>
      <c r="AF32" s="148"/>
      <c r="AG32" s="148" t="s">
        <v>597</v>
      </c>
      <c r="AH32" s="148"/>
      <c r="AI32" s="148" t="s">
        <v>598</v>
      </c>
      <c r="AJ32" s="148"/>
      <c r="AK32" s="148" t="s">
        <v>597</v>
      </c>
      <c r="AL32" s="148"/>
      <c r="AM32" s="148" t="s">
        <v>598</v>
      </c>
      <c r="AN32" s="148"/>
      <c r="AO32" s="13"/>
      <c r="AP32" s="13"/>
      <c r="AQ32" s="13"/>
    </row>
    <row r="33" spans="2:43" hidden="1" x14ac:dyDescent="0.3">
      <c r="B33" s="4" t="str">
        <f>IF(ROW(A21)&lt;=profilKelas!$F$14,ROW(A21),"")</f>
        <v/>
      </c>
      <c r="C33" s="94" t="str">
        <f>IF(ISBLANK(identitasMurid!C26),"",identitasMurid!C26)</f>
        <v/>
      </c>
      <c r="D33" s="6" t="str">
        <f>IF(ISBLANK(identitasMurid!D26),"",identitasMurid!D26)</f>
        <v/>
      </c>
      <c r="E33" s="95"/>
      <c r="F33" s="95"/>
      <c r="G33" s="95"/>
      <c r="H33" s="95"/>
      <c r="I33" s="95"/>
      <c r="J33" s="95"/>
      <c r="K33" s="95"/>
      <c r="L33" s="95"/>
      <c r="M33" s="95"/>
      <c r="Q33" s="5" t="str">
        <f>IF(ROW(A21)&lt;=profilKelas!$F$14,ROW(A21),"")</f>
        <v/>
      </c>
      <c r="R33" s="12" t="str">
        <f t="shared" si="0"/>
        <v/>
      </c>
      <c r="S33" s="108" t="str">
        <f t="shared" si="4"/>
        <v/>
      </c>
      <c r="T33" s="108" t="str">
        <f t="shared" si="2"/>
        <v/>
      </c>
      <c r="U33" s="108" t="str">
        <f t="shared" si="6"/>
        <v/>
      </c>
      <c r="V33" s="108" t="str">
        <f t="shared" si="6"/>
        <v/>
      </c>
      <c r="W33" s="108" t="str">
        <f t="shared" si="6"/>
        <v/>
      </c>
      <c r="X33" s="108" t="str">
        <f t="shared" si="6"/>
        <v/>
      </c>
      <c r="Y33" s="108" t="str">
        <f t="shared" si="6"/>
        <v/>
      </c>
      <c r="Z33" s="108" t="str">
        <f t="shared" si="6"/>
        <v/>
      </c>
      <c r="AA33" s="108" t="str">
        <f t="shared" si="6"/>
        <v/>
      </c>
      <c r="AB33" s="108" t="str" cm="1">
        <f t="array" ref="AB33">IF(LEN($B33)=0,"",IF(LEN(C33)=0,"Nama Siswa Kosong",IF($E33="","Status Siswa Kosong",IF(S33&lt;&gt;"Aktif","Siswa Tidak Aktif",
IF(OR(U33:AA33="Belum mengisi"),"Belum mengisi",IF(AND(U33:AA33="Sudah terbiasa"),"Sudah terbiasa","Belum terbiasa"))))))</f>
        <v/>
      </c>
      <c r="AD33" s="41">
        <v>1</v>
      </c>
      <c r="AE33" s="161" t="s">
        <v>2</v>
      </c>
      <c r="AF33" s="161"/>
      <c r="AG33" s="51">
        <f>COUNTIFS(JulBangunPagi,SudahTerbiasa,JulPL,Perempuan)</f>
        <v>0</v>
      </c>
      <c r="AH33" s="52" t="str">
        <f>IFERROR(IF($AF$18=0,"",COUNTIFS(JulBangunPagi,SudahTerbiasa,JulPL,Perempuan)/COUNTIFS(JulPL,Perempuan)),)</f>
        <v/>
      </c>
      <c r="AI33" s="53">
        <f>COUNTIFS(JulBangunPagi,BelumTerbiasa,JulPL,Perempuan)</f>
        <v>0</v>
      </c>
      <c r="AJ33" s="54" t="str">
        <f>IFERROR(IF($AF$18=0,"",COUNTIFS(JulBangunPagi,BelumTerbiasa,JulPL,Perempuan)/COUNTIF(JulPL,Perempuan)),)</f>
        <v/>
      </c>
      <c r="AK33" s="55">
        <f>COUNTIFS(JulBangunPagi,SudahTerbiasa,JulPL,Laki_Laki)</f>
        <v>0</v>
      </c>
      <c r="AL33" s="56" t="str">
        <f>IFERROR(IF($AF$18=0,"",COUNTIFS(JulBangunPagi,SudahTerbiasa,JulPL,Laki_Laki)/COUNTIFS(JulPL,Laki_Laki)),)</f>
        <v/>
      </c>
      <c r="AM33" s="57">
        <f>COUNTIFS(JulBangunPagi,BelumTerbiasa,JulPL,Laki_Laki)</f>
        <v>0</v>
      </c>
      <c r="AN33" s="58" t="str">
        <f>IFERROR(IF($AF$18=0,"",COUNTIFS(JulBangunPagi,BelumTerbiasa,JulPL,Laki_Laki)/COUNTIFS(JulPL,Laki_Laki)),)</f>
        <v/>
      </c>
      <c r="AO33" s="13"/>
      <c r="AP33" s="13"/>
      <c r="AQ33" s="13"/>
    </row>
    <row r="34" spans="2:43" hidden="1" x14ac:dyDescent="0.3">
      <c r="B34" s="4" t="str">
        <f>IF(ROW(A22)&lt;=profilKelas!$F$14,ROW(A22),"")</f>
        <v/>
      </c>
      <c r="C34" s="94" t="str">
        <f>IF(ISBLANK(identitasMurid!C27),"",identitasMurid!C27)</f>
        <v/>
      </c>
      <c r="D34" s="6" t="str">
        <f>IF(ISBLANK(identitasMurid!D27),"",identitasMurid!D27)</f>
        <v/>
      </c>
      <c r="E34" s="95"/>
      <c r="F34" s="95"/>
      <c r="G34" s="95"/>
      <c r="H34" s="95"/>
      <c r="I34" s="95"/>
      <c r="J34" s="95"/>
      <c r="K34" s="95"/>
      <c r="L34" s="95"/>
      <c r="M34" s="95"/>
      <c r="Q34" s="5" t="str">
        <f>IF(ROW(A22)&lt;=profilKelas!$F$14,ROW(A22),"")</f>
        <v/>
      </c>
      <c r="R34" s="12" t="str">
        <f t="shared" si="0"/>
        <v/>
      </c>
      <c r="S34" s="108" t="str">
        <f t="shared" si="4"/>
        <v/>
      </c>
      <c r="T34" s="108" t="str">
        <f t="shared" si="2"/>
        <v/>
      </c>
      <c r="U34" s="108" t="str">
        <f t="shared" si="6"/>
        <v/>
      </c>
      <c r="V34" s="108" t="str">
        <f t="shared" si="6"/>
        <v/>
      </c>
      <c r="W34" s="108" t="str">
        <f t="shared" si="6"/>
        <v/>
      </c>
      <c r="X34" s="108" t="str">
        <f t="shared" si="6"/>
        <v/>
      </c>
      <c r="Y34" s="108" t="str">
        <f t="shared" si="6"/>
        <v/>
      </c>
      <c r="Z34" s="108" t="str">
        <f t="shared" si="6"/>
        <v/>
      </c>
      <c r="AA34" s="108" t="str">
        <f t="shared" si="6"/>
        <v/>
      </c>
      <c r="AB34" s="108" t="str" cm="1">
        <f t="array" ref="AB34">IF(LEN($B34)=0,"",IF(LEN(C34)=0,"Nama Siswa Kosong",IF($E34="","Status Siswa Kosong",IF(S34&lt;&gt;"Aktif","Siswa Tidak Aktif",
IF(OR(U34:AA34="Belum mengisi"),"Belum mengisi",IF(AND(U34:AA34="Sudah terbiasa"),"Sudah terbiasa","Belum terbiasa"))))))</f>
        <v/>
      </c>
      <c r="AD34" s="41">
        <v>2</v>
      </c>
      <c r="AE34" s="161" t="s">
        <v>3</v>
      </c>
      <c r="AF34" s="161"/>
      <c r="AG34" s="51">
        <f>COUNTIFS(JulTaatBeribadah,SudahTerbiasa,JulPL,Perempuan)</f>
        <v>0</v>
      </c>
      <c r="AH34" s="52" t="str">
        <f>IFERROR(IF($AF$18=0,"",COUNTIFS(JulTaatBeribadah,SudahTerbiasa,JulPL,Perempuan)/COUNTIFS(JulPL,Perempuan)),)</f>
        <v/>
      </c>
      <c r="AI34" s="53">
        <f>COUNTIFS(JulTaatBeribadah,BelumTerbiasa,JulPL,Perempuan)</f>
        <v>0</v>
      </c>
      <c r="AJ34" s="59" t="str">
        <f>IFERROR(IF($AF$18=0,"",COUNTIFS(JulTaatBeribadah,BelumTerbiasa,JulPL,Perempuan)/COUNTIFS(JulPL,Perempuan)),)</f>
        <v/>
      </c>
      <c r="AK34" s="55">
        <f>COUNTIFS(JulTaatBeribadah,SudahTerbiasa,JulPL,Laki_Laki)</f>
        <v>0</v>
      </c>
      <c r="AL34" s="56" t="str">
        <f>IFERROR(IF($AF$18=0,"",COUNTIFS(JulTaatBeribadah,SudahTerbiasa,JulPL,Laki_Laki)/COUNTIFS(JulPL,Laki_Laki)),)</f>
        <v/>
      </c>
      <c r="AM34" s="57">
        <f>COUNTIFS(JulTaatBeribadah,BelumTerbiasa,JulPL,Laki_Laki)</f>
        <v>0</v>
      </c>
      <c r="AN34" s="58" t="str">
        <f>IFERROR(IF($AF$18=0,"",COUNTIFS(JulTaatBeribadah,BelumTerbiasa,JulPL,Laki_Laki)/COUNTIFS(JulPL,Laki_Laki)),)</f>
        <v/>
      </c>
      <c r="AO34" s="13"/>
      <c r="AP34" s="13"/>
      <c r="AQ34" s="13"/>
    </row>
    <row r="35" spans="2:43" hidden="1" x14ac:dyDescent="0.3">
      <c r="B35" s="4" t="str">
        <f>IF(ROW(A23)&lt;=profilKelas!$F$14,ROW(A23),"")</f>
        <v/>
      </c>
      <c r="C35" s="94" t="str">
        <f>IF(ISBLANK(identitasMurid!C28),"",identitasMurid!C28)</f>
        <v/>
      </c>
      <c r="D35" s="6" t="str">
        <f>IF(ISBLANK(identitasMurid!D28),"",identitasMurid!D28)</f>
        <v/>
      </c>
      <c r="E35" s="95"/>
      <c r="F35" s="95"/>
      <c r="G35" s="95"/>
      <c r="H35" s="95"/>
      <c r="I35" s="95"/>
      <c r="J35" s="95"/>
      <c r="K35" s="95"/>
      <c r="L35" s="95"/>
      <c r="M35" s="95"/>
      <c r="Q35" s="5" t="str">
        <f>IF(ROW(A23)&lt;=profilKelas!$F$14,ROW(A23),"")</f>
        <v/>
      </c>
      <c r="R35" s="12" t="str">
        <f t="shared" si="0"/>
        <v/>
      </c>
      <c r="S35" s="108" t="str">
        <f t="shared" si="4"/>
        <v/>
      </c>
      <c r="T35" s="108" t="str">
        <f t="shared" si="2"/>
        <v/>
      </c>
      <c r="U35" s="108" t="str">
        <f t="shared" si="6"/>
        <v/>
      </c>
      <c r="V35" s="108" t="str">
        <f t="shared" si="6"/>
        <v/>
      </c>
      <c r="W35" s="108" t="str">
        <f t="shared" si="6"/>
        <v/>
      </c>
      <c r="X35" s="108" t="str">
        <f t="shared" si="6"/>
        <v/>
      </c>
      <c r="Y35" s="108" t="str">
        <f t="shared" si="6"/>
        <v/>
      </c>
      <c r="Z35" s="108" t="str">
        <f t="shared" si="6"/>
        <v/>
      </c>
      <c r="AA35" s="108" t="str">
        <f t="shared" si="6"/>
        <v/>
      </c>
      <c r="AB35" s="108" t="str" cm="1">
        <f t="array" ref="AB35">IF(LEN($B35)=0,"",IF(LEN(C35)=0,"Nama Siswa Kosong",IF($E35="","Status Siswa Kosong",IF(S35&lt;&gt;"Aktif","Siswa Tidak Aktif",
IF(OR(U35:AA35="Belum mengisi"),"Belum mengisi",IF(AND(U35:AA35="Sudah terbiasa"),"Sudah terbiasa","Belum terbiasa"))))))</f>
        <v/>
      </c>
      <c r="AD35" s="41">
        <v>3</v>
      </c>
      <c r="AE35" s="161" t="s">
        <v>4</v>
      </c>
      <c r="AF35" s="161"/>
      <c r="AG35" s="51">
        <f>COUNTIFS(JulBerolahraga,SudahTerbiasa,JulPL,Perempuan)</f>
        <v>0</v>
      </c>
      <c r="AH35" s="52" t="str">
        <f>IFERROR(IF($AF$18=0,"",COUNTIFS(JulBerolahraga,SudahTerbiasa,JulPL,Perempuan)/COUNTIFS(JulPL,Perempuan)),)</f>
        <v/>
      </c>
      <c r="AI35" s="53">
        <f>COUNTIFS(JulBerolahraga,BelumTerbiasa,JulPL,Perempuan)</f>
        <v>0</v>
      </c>
      <c r="AJ35" s="59" t="str">
        <f>IFERROR(IF($AF$18=0,"",COUNTIFS(JulBerolahraga,BelumTerbiasa,JulPL,Perempuan)/COUNTIFS(JulPL,Perempuan)),)</f>
        <v/>
      </c>
      <c r="AK35" s="55">
        <f>COUNTIFS(JulBerolahraga,SudahTerbiasa,JulPL,Laki_Laki)</f>
        <v>0</v>
      </c>
      <c r="AL35" s="56" t="str">
        <f>IFERROR(IF($AF$18=0,"",COUNTIFS(JulBerolahraga,SudahTerbiasa,JulPL,Laki_Laki)/COUNTIFS(JulPL,Laki_Laki)),)</f>
        <v/>
      </c>
      <c r="AM35" s="57">
        <f>COUNTIFS(JulBerolahraga,BelumTerbiasa,JulPL,Laki_Laki)</f>
        <v>0</v>
      </c>
      <c r="AN35" s="58" t="str">
        <f>IFERROR(IF($AF$18=0,"",COUNTIFS(JulBerolahraga,BelumTerbiasa,JulPL,Laki_Laki)/COUNTIFS(JulPL,Laki_Laki)),)</f>
        <v/>
      </c>
      <c r="AO35" s="13"/>
      <c r="AP35" s="13"/>
      <c r="AQ35" s="13"/>
    </row>
    <row r="36" spans="2:43" hidden="1" x14ac:dyDescent="0.3">
      <c r="B36" s="4" t="str">
        <f>IF(ROW(A24)&lt;=profilKelas!$F$14,ROW(A24),"")</f>
        <v/>
      </c>
      <c r="C36" s="94" t="str">
        <f>IF(ISBLANK(identitasMurid!C29),"",identitasMurid!C29)</f>
        <v/>
      </c>
      <c r="D36" s="6" t="str">
        <f>IF(ISBLANK(identitasMurid!D29),"",identitasMurid!D29)</f>
        <v/>
      </c>
      <c r="E36" s="95"/>
      <c r="F36" s="95"/>
      <c r="G36" s="95"/>
      <c r="H36" s="95"/>
      <c r="I36" s="95"/>
      <c r="J36" s="95"/>
      <c r="K36" s="95"/>
      <c r="L36" s="95"/>
      <c r="M36" s="95"/>
      <c r="Q36" s="5" t="str">
        <f>IF(ROW(A24)&lt;=profilKelas!$F$14,ROW(A24),"")</f>
        <v/>
      </c>
      <c r="R36" s="12" t="str">
        <f t="shared" si="0"/>
        <v/>
      </c>
      <c r="S36" s="108" t="str">
        <f t="shared" si="4"/>
        <v/>
      </c>
      <c r="T36" s="108" t="str">
        <f t="shared" si="2"/>
        <v/>
      </c>
      <c r="U36" s="108" t="str">
        <f t="shared" si="6"/>
        <v/>
      </c>
      <c r="V36" s="108" t="str">
        <f t="shared" si="6"/>
        <v/>
      </c>
      <c r="W36" s="108" t="str">
        <f t="shared" si="6"/>
        <v/>
      </c>
      <c r="X36" s="108" t="str">
        <f t="shared" si="6"/>
        <v/>
      </c>
      <c r="Y36" s="108" t="str">
        <f t="shared" si="6"/>
        <v/>
      </c>
      <c r="Z36" s="108" t="str">
        <f t="shared" si="6"/>
        <v/>
      </c>
      <c r="AA36" s="108" t="str">
        <f t="shared" si="6"/>
        <v/>
      </c>
      <c r="AB36" s="108" t="str" cm="1">
        <f t="array" ref="AB36">IF(LEN($B36)=0,"",IF(LEN(C36)=0,"Nama Siswa Kosong",IF($E36="","Status Siswa Kosong",IF(S36&lt;&gt;"Aktif","Siswa Tidak Aktif",
IF(OR(U36:AA36="Belum mengisi"),"Belum mengisi",IF(AND(U36:AA36="Sudah terbiasa"),"Sudah terbiasa","Belum terbiasa"))))))</f>
        <v/>
      </c>
      <c r="AD36" s="41">
        <v>4</v>
      </c>
      <c r="AE36" s="161" t="s">
        <v>5</v>
      </c>
      <c r="AF36" s="161"/>
      <c r="AG36" s="51">
        <f>COUNTIFS(JulMakanSehatBergizi,SudahTerbiasa,JulPL,Perempuan)</f>
        <v>0</v>
      </c>
      <c r="AH36" s="52" t="str">
        <f>IFERROR(IF($AF$18=0,"",COUNTIFS(JulMakanSehatBergizi,SudahTerbiasa,JulPL,Perempuan)/COUNTIFS(JulPL,Perempuan)),)</f>
        <v/>
      </c>
      <c r="AI36" s="53">
        <f>COUNTIFS(JulMakanSehatBergizi,BelumTerbiasa,JulPL,Perempuan)</f>
        <v>0</v>
      </c>
      <c r="AJ36" s="59" t="str">
        <f>IFERROR(IF($AF$18=0,"",COUNTIFS(JulMakanSehatBergizi,BelumTerbiasa,JulPL,Perempuan)/COUNTIFS(JulPL,Perempuan)),)</f>
        <v/>
      </c>
      <c r="AK36" s="55">
        <f>COUNTIFS(JulMakanSehatBergizi,SudahTerbiasa,JulPL,Laki_Laki)</f>
        <v>0</v>
      </c>
      <c r="AL36" s="56" t="str">
        <f>IFERROR(IF($AF$18=0,"",COUNTIFS(JulMakanSehatBergizi,SudahTerbiasa,JulPL,Laki_Laki)/COUNTIFS(JulPL,Laki_Laki)),)</f>
        <v/>
      </c>
      <c r="AM36" s="57">
        <f>COUNTIFS(JulMakanSehatBergizi,BelumTerbiasa,JulPL,Laki_Laki)</f>
        <v>0</v>
      </c>
      <c r="AN36" s="58" t="str">
        <f>IFERROR(IF($AF$18=0,"",COUNTIFS(JulMakanSehatBergizi,BelumTerbiasa,JulPL,Laki_Laki)/COUNTIFS(JulPL,Laki_Laki)),)</f>
        <v/>
      </c>
      <c r="AO36" s="13"/>
      <c r="AP36" s="13"/>
      <c r="AQ36" s="13"/>
    </row>
    <row r="37" spans="2:43" hidden="1" x14ac:dyDescent="0.3">
      <c r="B37" s="4" t="str">
        <f>IF(ROW(A25)&lt;=profilKelas!$F$14,ROW(A25),"")</f>
        <v/>
      </c>
      <c r="C37" s="94" t="str">
        <f>IF(ISBLANK(identitasMurid!C30),"",identitasMurid!C30)</f>
        <v/>
      </c>
      <c r="D37" s="6" t="str">
        <f>IF(ISBLANK(identitasMurid!D30),"",identitasMurid!D30)</f>
        <v/>
      </c>
      <c r="E37" s="95"/>
      <c r="F37" s="95"/>
      <c r="G37" s="95"/>
      <c r="H37" s="95"/>
      <c r="I37" s="95"/>
      <c r="J37" s="95"/>
      <c r="K37" s="95"/>
      <c r="L37" s="95"/>
      <c r="M37" s="95"/>
      <c r="Q37" s="5" t="str">
        <f>IF(ROW(A25)&lt;=profilKelas!$F$14,ROW(A25),"")</f>
        <v/>
      </c>
      <c r="R37" s="12" t="str">
        <f t="shared" si="0"/>
        <v/>
      </c>
      <c r="S37" s="108" t="str">
        <f t="shared" si="4"/>
        <v/>
      </c>
      <c r="T37" s="108" t="str">
        <f t="shared" si="2"/>
        <v/>
      </c>
      <c r="U37" s="108" t="str">
        <f t="shared" si="6"/>
        <v/>
      </c>
      <c r="V37" s="108" t="str">
        <f t="shared" si="6"/>
        <v/>
      </c>
      <c r="W37" s="108" t="str">
        <f t="shared" si="6"/>
        <v/>
      </c>
      <c r="X37" s="108" t="str">
        <f t="shared" si="6"/>
        <v/>
      </c>
      <c r="Y37" s="108" t="str">
        <f t="shared" si="6"/>
        <v/>
      </c>
      <c r="Z37" s="108" t="str">
        <f t="shared" si="6"/>
        <v/>
      </c>
      <c r="AA37" s="108" t="str">
        <f t="shared" si="6"/>
        <v/>
      </c>
      <c r="AB37" s="108" t="str" cm="1">
        <f t="array" ref="AB37">IF(LEN($B37)=0,"",IF(LEN(C37)=0,"Nama Siswa Kosong",IF($E37="","Status Siswa Kosong",IF(S37&lt;&gt;"Aktif","Siswa Tidak Aktif",
IF(OR(U37:AA37="Belum mengisi"),"Belum mengisi",IF(AND(U37:AA37="Sudah terbiasa"),"Sudah terbiasa","Belum terbiasa"))))))</f>
        <v/>
      </c>
      <c r="AD37" s="41">
        <v>5</v>
      </c>
      <c r="AE37" s="161" t="s">
        <v>6</v>
      </c>
      <c r="AF37" s="161"/>
      <c r="AG37" s="51">
        <f>COUNTIFS(JulGemarBelajar,SudahTerbiasa,JulPL,Perempuan)</f>
        <v>0</v>
      </c>
      <c r="AH37" s="52" t="str">
        <f>IFERROR(IF($AF$18=0,"",COUNTIFS(JulGemarBelajar,SudahTerbiasa,JulPL,Perempuan)/COUNTIFS(JulPL,Perempuan)),)</f>
        <v/>
      </c>
      <c r="AI37" s="53">
        <f>COUNTIFS(JulGemarBelajar,BelumTerbiasa,JulPL,Perempuan)</f>
        <v>0</v>
      </c>
      <c r="AJ37" s="59" t="str">
        <f>IFERROR(IF($AF$18=0,"",COUNTIFS(JulGemarBelajar,BelumTerbiasa,JulPL,Perempuan)/COUNTIFS(JulPL,Perempuan)),)</f>
        <v/>
      </c>
      <c r="AK37" s="55">
        <f>COUNTIFS(JulGemarBelajar,SudahTerbiasa,JulPL,Laki_Laki)</f>
        <v>0</v>
      </c>
      <c r="AL37" s="56" t="str">
        <f>IFERROR(IF($AF$18=0,"",COUNTIFS(JulGemarBelajar,SudahTerbiasa,JulPL,Laki_Laki)/COUNTIFS(JulPL,Laki_Laki)),)</f>
        <v/>
      </c>
      <c r="AM37" s="57">
        <f>COUNTIFS(JulGemarBelajar,BelumTerbiasa,JulPL,Laki_Laki)</f>
        <v>0</v>
      </c>
      <c r="AN37" s="58" t="str">
        <f>IFERROR(IF($AF$18=0,"",COUNTIFS(JulGemarBelajar,BelumTerbiasa,JulPL,Laki_Laki)/COUNTIFS(JulPL,Laki_Laki)),)</f>
        <v/>
      </c>
      <c r="AO37" s="13"/>
      <c r="AP37" s="13"/>
      <c r="AQ37" s="13"/>
    </row>
    <row r="38" spans="2:43" hidden="1" x14ac:dyDescent="0.3">
      <c r="B38" s="4" t="str">
        <f>IF(ROW(A26)&lt;=profilKelas!$F$14,ROW(A26),"")</f>
        <v/>
      </c>
      <c r="C38" s="94" t="str">
        <f>IF(ISBLANK(identitasMurid!C31),"",identitasMurid!C31)</f>
        <v/>
      </c>
      <c r="D38" s="6" t="str">
        <f>IF(ISBLANK(identitasMurid!D31),"",identitasMurid!D31)</f>
        <v/>
      </c>
      <c r="E38" s="95"/>
      <c r="F38" s="95"/>
      <c r="G38" s="95"/>
      <c r="H38" s="95"/>
      <c r="I38" s="95"/>
      <c r="J38" s="95"/>
      <c r="K38" s="95"/>
      <c r="L38" s="95"/>
      <c r="M38" s="95"/>
      <c r="Q38" s="5" t="str">
        <f>IF(ROW(A26)&lt;=profilKelas!$F$14,ROW(A26),"")</f>
        <v/>
      </c>
      <c r="R38" s="12" t="str">
        <f t="shared" si="0"/>
        <v/>
      </c>
      <c r="S38" s="108" t="str">
        <f t="shared" si="4"/>
        <v/>
      </c>
      <c r="T38" s="108" t="str">
        <f t="shared" si="2"/>
        <v/>
      </c>
      <c r="U38" s="108" t="str">
        <f t="shared" si="6"/>
        <v/>
      </c>
      <c r="V38" s="108" t="str">
        <f t="shared" si="6"/>
        <v/>
      </c>
      <c r="W38" s="108" t="str">
        <f t="shared" si="6"/>
        <v/>
      </c>
      <c r="X38" s="108" t="str">
        <f t="shared" si="6"/>
        <v/>
      </c>
      <c r="Y38" s="108" t="str">
        <f t="shared" si="6"/>
        <v/>
      </c>
      <c r="Z38" s="108" t="str">
        <f t="shared" si="6"/>
        <v/>
      </c>
      <c r="AA38" s="108" t="str">
        <f t="shared" si="6"/>
        <v/>
      </c>
      <c r="AB38" s="108" t="str" cm="1">
        <f t="array" ref="AB38">IF(LEN($B38)=0,"",IF(LEN(C38)=0,"Nama Siswa Kosong",IF($E38="","Status Siswa Kosong",IF(S38&lt;&gt;"Aktif","Siswa Tidak Aktif",
IF(OR(U38:AA38="Belum mengisi"),"Belum mengisi",IF(AND(U38:AA38="Sudah terbiasa"),"Sudah terbiasa","Belum terbiasa"))))))</f>
        <v/>
      </c>
      <c r="AD38" s="41">
        <v>6</v>
      </c>
      <c r="AE38" s="161" t="s">
        <v>7</v>
      </c>
      <c r="AF38" s="161"/>
      <c r="AG38" s="51">
        <f>COUNTIFS(JulAktifBermasyarakat,SudahTerbiasa,JulPL,Perempuan)</f>
        <v>0</v>
      </c>
      <c r="AH38" s="52" t="str">
        <f>IFERROR(IF($AF$18=0,"",COUNTIFS(JulAktifBermasyarakat,SudahTerbiasa,JulPL,Perempuan)/COUNTIFS(JulPL,Perempuan)),)</f>
        <v/>
      </c>
      <c r="AI38" s="53">
        <f>COUNTIFS(JulAktifBermasyarakat,BelumTerbiasa,JulPL,Perempuan)</f>
        <v>0</v>
      </c>
      <c r="AJ38" s="59" t="str">
        <f>IFERROR(IF($AF$18=0,"",COUNTIFS(JulAktifBermasyarakat,BelumTerbiasa,JulPL,Perempuan)/COUNTIFS(JulPL,Perempuan)),)</f>
        <v/>
      </c>
      <c r="AK38" s="55">
        <f>COUNTIFS(JulAktifBermasyarakat,SudahTerbiasa,JulPL,Laki_Laki)</f>
        <v>0</v>
      </c>
      <c r="AL38" s="56" t="str">
        <f>IFERROR(IF($AF$18=0,"",COUNTIFS(JulAktifBermasyarakat,SudahTerbiasa,JulPL,Laki_Laki)/COUNTIFS(JulPL,Laki_Laki)),)</f>
        <v/>
      </c>
      <c r="AM38" s="57">
        <f>COUNTIFS(JulAktifBermasyarakat,BelumTerbiasa,JulPL,Laki_Laki)</f>
        <v>0</v>
      </c>
      <c r="AN38" s="58" t="str">
        <f>IFERROR(IF($AF$18=0,"",COUNTIFS(JulAktifBermasyarakat,BelumTerbiasa,JulPL,Laki_Laki)/COUNTIFS(JulPL,Laki_Laki)),)</f>
        <v/>
      </c>
      <c r="AO38" s="13"/>
      <c r="AP38" s="13"/>
      <c r="AQ38" s="13"/>
    </row>
    <row r="39" spans="2:43" hidden="1" x14ac:dyDescent="0.3">
      <c r="B39" s="4" t="str">
        <f>IF(ROW(A27)&lt;=profilKelas!$F$14,ROW(A27),"")</f>
        <v/>
      </c>
      <c r="C39" s="94" t="str">
        <f>IF(ISBLANK(identitasMurid!C32),"",identitasMurid!C32)</f>
        <v/>
      </c>
      <c r="D39" s="6" t="str">
        <f>IF(ISBLANK(identitasMurid!D32),"",identitasMurid!D32)</f>
        <v/>
      </c>
      <c r="E39" s="95"/>
      <c r="F39" s="95"/>
      <c r="G39" s="95"/>
      <c r="H39" s="95"/>
      <c r="I39" s="95"/>
      <c r="J39" s="95"/>
      <c r="K39" s="95"/>
      <c r="L39" s="95"/>
      <c r="M39" s="95"/>
      <c r="Q39" s="5" t="str">
        <f>IF(ROW(A27)&lt;=profilKelas!$F$14,ROW(A27),"")</f>
        <v/>
      </c>
      <c r="R39" s="12" t="str">
        <f t="shared" si="0"/>
        <v/>
      </c>
      <c r="S39" s="108" t="str">
        <f t="shared" si="4"/>
        <v/>
      </c>
      <c r="T39" s="108" t="str">
        <f t="shared" si="2"/>
        <v/>
      </c>
      <c r="U39" s="108" t="str">
        <f t="shared" si="6"/>
        <v/>
      </c>
      <c r="V39" s="108" t="str">
        <f t="shared" si="6"/>
        <v/>
      </c>
      <c r="W39" s="108" t="str">
        <f t="shared" si="6"/>
        <v/>
      </c>
      <c r="X39" s="108" t="str">
        <f t="shared" si="6"/>
        <v/>
      </c>
      <c r="Y39" s="108" t="str">
        <f t="shared" si="6"/>
        <v/>
      </c>
      <c r="Z39" s="108" t="str">
        <f t="shared" si="6"/>
        <v/>
      </c>
      <c r="AA39" s="108" t="str">
        <f t="shared" si="6"/>
        <v/>
      </c>
      <c r="AB39" s="108" t="str" cm="1">
        <f t="array" ref="AB39">IF(LEN($B39)=0,"",IF(LEN(C39)=0,"Nama Siswa Kosong",IF($E39="","Status Siswa Kosong",IF(S39&lt;&gt;"Aktif","Siswa Tidak Aktif",
IF(OR(U39:AA39="Belum mengisi"),"Belum mengisi",IF(AND(U39:AA39="Sudah terbiasa"),"Sudah terbiasa","Belum terbiasa"))))))</f>
        <v/>
      </c>
      <c r="AD39" s="41">
        <v>7</v>
      </c>
      <c r="AE39" s="161" t="s">
        <v>8</v>
      </c>
      <c r="AF39" s="161"/>
      <c r="AG39" s="51">
        <f>COUNTIFS(JulTidurCepat,SudahTerbiasa,JulPL,Perempuan)</f>
        <v>0</v>
      </c>
      <c r="AH39" s="52" t="str">
        <f>IFERROR(IF($AF$18=0,"",COUNTIFS(JulTidurCepat,SudahTerbiasa,JulPL,Perempuan)/COUNTIFS(JulPL,Perempuan)),)</f>
        <v/>
      </c>
      <c r="AI39" s="53">
        <f>COUNTIFS(JulTidurCepat,BelumTerbiasa,JulPL,Perempuan)</f>
        <v>0</v>
      </c>
      <c r="AJ39" s="59" t="str">
        <f>IFERROR(IF($AF$18=0,"",COUNTIFS(JulTidurCepat,BelumTerbiasa,JulPL,Perempuan)/COUNTIFS(JulPL,Perempuan)),)</f>
        <v/>
      </c>
      <c r="AK39" s="55">
        <f>COUNTIFS(JulTidurCepat,SudahTerbiasa,JulPL,Laki_Laki)</f>
        <v>0</v>
      </c>
      <c r="AL39" s="56" t="str">
        <f>IFERROR(IF($AF$18=0,"",COUNTIFS(JulTidurCepat,SudahTerbiasa,JulPL,Laki_Laki)/COUNTIFS(JulPL,Laki_Laki)),)</f>
        <v/>
      </c>
      <c r="AM39" s="57">
        <f>COUNTIFS(JulTidurCepat,BelumTerbiasa,JulPL,Laki_Laki)</f>
        <v>0</v>
      </c>
      <c r="AN39" s="58" t="str">
        <f>IFERROR(IF($AF$18=0,"",COUNTIFS(JulTidurCepat,BelumTerbiasa,JulPL,Laki_Laki)/COUNTIFS(JulPL,Laki_Laki)),)</f>
        <v/>
      </c>
      <c r="AO39" s="13"/>
      <c r="AP39" s="13"/>
      <c r="AQ39" s="13"/>
    </row>
    <row r="40" spans="2:43" hidden="1" x14ac:dyDescent="0.3">
      <c r="B40" s="4" t="str">
        <f>IF(ROW(A28)&lt;=profilKelas!$F$14,ROW(A28),"")</f>
        <v/>
      </c>
      <c r="C40" s="94" t="str">
        <f>IF(ISBLANK(identitasMurid!C33),"",identitasMurid!C33)</f>
        <v/>
      </c>
      <c r="D40" s="6" t="str">
        <f>IF(ISBLANK(identitasMurid!D33),"",identitasMurid!D33)</f>
        <v/>
      </c>
      <c r="E40" s="95"/>
      <c r="F40" s="95"/>
      <c r="G40" s="95"/>
      <c r="H40" s="95"/>
      <c r="I40" s="95"/>
      <c r="J40" s="95"/>
      <c r="K40" s="95"/>
      <c r="L40" s="95"/>
      <c r="M40" s="95"/>
      <c r="Q40" s="5" t="str">
        <f>IF(ROW(A28)&lt;=profilKelas!$F$14,ROW(A28),"")</f>
        <v/>
      </c>
      <c r="R40" s="12" t="str">
        <f t="shared" si="0"/>
        <v/>
      </c>
      <c r="S40" s="108" t="str">
        <f t="shared" si="4"/>
        <v/>
      </c>
      <c r="T40" s="108" t="str">
        <f t="shared" si="2"/>
        <v/>
      </c>
      <c r="U40" s="108" t="str">
        <f t="shared" si="6"/>
        <v/>
      </c>
      <c r="V40" s="108" t="str">
        <f t="shared" si="6"/>
        <v/>
      </c>
      <c r="W40" s="108" t="str">
        <f t="shared" si="6"/>
        <v/>
      </c>
      <c r="X40" s="108" t="str">
        <f t="shared" si="6"/>
        <v/>
      </c>
      <c r="Y40" s="108" t="str">
        <f t="shared" si="6"/>
        <v/>
      </c>
      <c r="Z40" s="108" t="str">
        <f t="shared" si="6"/>
        <v/>
      </c>
      <c r="AA40" s="108" t="str">
        <f t="shared" si="6"/>
        <v/>
      </c>
      <c r="AB40" s="108" t="str" cm="1">
        <f t="array" ref="AB40">IF(LEN($B40)=0,"",IF(LEN(C40)=0,"Nama Siswa Kosong",IF($E40="","Status Siswa Kosong",IF(S40&lt;&gt;"Aktif","Siswa Tidak Aktif",
IF(OR(U40:AA40="Belum mengisi"),"Belum mengisi",IF(AND(U40:AA40="Sudah terbiasa"),"Sudah terbiasa","Belum terbiasa"))))))</f>
        <v/>
      </c>
    </row>
    <row r="41" spans="2:43" hidden="1" x14ac:dyDescent="0.3">
      <c r="B41" s="4" t="str">
        <f>IF(ROW(A29)&lt;=profilKelas!$F$14,ROW(A29),"")</f>
        <v/>
      </c>
      <c r="C41" s="94" t="str">
        <f>IF(ISBLANK(identitasMurid!C34),"",identitasMurid!C34)</f>
        <v/>
      </c>
      <c r="D41" s="6" t="str">
        <f>IF(ISBLANK(identitasMurid!D34),"",identitasMurid!D34)</f>
        <v/>
      </c>
      <c r="E41" s="95"/>
      <c r="F41" s="95"/>
      <c r="G41" s="95"/>
      <c r="H41" s="95"/>
      <c r="I41" s="95"/>
      <c r="J41" s="95"/>
      <c r="K41" s="95"/>
      <c r="L41" s="95"/>
      <c r="M41" s="95"/>
      <c r="Q41" s="5" t="str">
        <f>IF(ROW(A29)&lt;=profilKelas!$F$14,ROW(A29),"")</f>
        <v/>
      </c>
      <c r="R41" s="12" t="str">
        <f t="shared" si="0"/>
        <v/>
      </c>
      <c r="S41" s="108" t="str">
        <f t="shared" si="4"/>
        <v/>
      </c>
      <c r="T41" s="108" t="str">
        <f t="shared" si="2"/>
        <v/>
      </c>
      <c r="U41" s="108" t="str">
        <f t="shared" si="6"/>
        <v/>
      </c>
      <c r="V41" s="108" t="str">
        <f t="shared" si="6"/>
        <v/>
      </c>
      <c r="W41" s="108" t="str">
        <f t="shared" si="6"/>
        <v/>
      </c>
      <c r="X41" s="108" t="str">
        <f t="shared" si="6"/>
        <v/>
      </c>
      <c r="Y41" s="108" t="str">
        <f t="shared" si="6"/>
        <v/>
      </c>
      <c r="Z41" s="108" t="str">
        <f t="shared" si="6"/>
        <v/>
      </c>
      <c r="AA41" s="108" t="str">
        <f t="shared" si="6"/>
        <v/>
      </c>
      <c r="AB41" s="108" t="str" cm="1">
        <f t="array" ref="AB41">IF(LEN($B41)=0,"",IF(LEN(C41)=0,"Nama Siswa Kosong",IF($E41="","Status Siswa Kosong",IF(S41&lt;&gt;"Aktif","Siswa Tidak Aktif",
IF(OR(U41:AA41="Belum mengisi"),"Belum mengisi",IF(AND(U41:AA41="Sudah terbiasa"),"Sudah terbiasa","Belum terbiasa"))))))</f>
        <v/>
      </c>
    </row>
    <row r="42" spans="2:43" hidden="1" x14ac:dyDescent="0.3">
      <c r="B42" s="4" t="str">
        <f>IF(ROW(A30)&lt;=profilKelas!$F$14,ROW(A30),"")</f>
        <v/>
      </c>
      <c r="C42" s="94" t="str">
        <f>IF(ISBLANK(identitasMurid!C35),"",identitasMurid!C35)</f>
        <v/>
      </c>
      <c r="D42" s="6" t="str">
        <f>IF(ISBLANK(identitasMurid!D35),"",identitasMurid!D35)</f>
        <v/>
      </c>
      <c r="E42" s="95"/>
      <c r="F42" s="95"/>
      <c r="G42" s="95"/>
      <c r="H42" s="95"/>
      <c r="I42" s="95"/>
      <c r="J42" s="95"/>
      <c r="K42" s="95"/>
      <c r="L42" s="95"/>
      <c r="M42" s="95"/>
      <c r="Q42" s="5" t="str">
        <f>IF(ROW(A30)&lt;=profilKelas!$F$14,ROW(A30),"")</f>
        <v/>
      </c>
      <c r="R42" s="12" t="str">
        <f t="shared" si="0"/>
        <v/>
      </c>
      <c r="S42" s="108" t="str">
        <f t="shared" si="4"/>
        <v/>
      </c>
      <c r="T42" s="108" t="str">
        <f t="shared" si="2"/>
        <v/>
      </c>
      <c r="U42" s="108" t="str">
        <f t="shared" si="6"/>
        <v/>
      </c>
      <c r="V42" s="108" t="str">
        <f t="shared" si="6"/>
        <v/>
      </c>
      <c r="W42" s="108" t="str">
        <f t="shared" si="6"/>
        <v/>
      </c>
      <c r="X42" s="108" t="str">
        <f t="shared" si="6"/>
        <v/>
      </c>
      <c r="Y42" s="108" t="str">
        <f t="shared" si="6"/>
        <v/>
      </c>
      <c r="Z42" s="108" t="str">
        <f t="shared" si="6"/>
        <v/>
      </c>
      <c r="AA42" s="108" t="str">
        <f t="shared" si="6"/>
        <v/>
      </c>
      <c r="AB42" s="108" t="str" cm="1">
        <f t="array" ref="AB42">IF(LEN($B42)=0,"",IF(LEN(C42)=0,"Nama Siswa Kosong",IF($E42="","Status Siswa Kosong",IF(S42&lt;&gt;"Aktif","Siswa Tidak Aktif",
IF(OR(U42:AA42="Belum mengisi"),"Belum mengisi",IF(AND(U42:AA42="Sudah terbiasa"),"Sudah terbiasa","Belum terbiasa"))))))</f>
        <v/>
      </c>
    </row>
    <row r="43" spans="2:43" hidden="1" x14ac:dyDescent="0.3">
      <c r="B43" s="4" t="str">
        <f>IF(ROW(A31)&lt;=profilKelas!$F$14,ROW(A31),"")</f>
        <v/>
      </c>
      <c r="C43" s="94" t="str">
        <f>IF(ISBLANK(identitasMurid!C36),"",identitasMurid!C36)</f>
        <v/>
      </c>
      <c r="D43" s="6" t="str">
        <f>IF(ISBLANK(identitasMurid!D36),"",identitasMurid!D36)</f>
        <v/>
      </c>
      <c r="E43" s="95"/>
      <c r="F43" s="95"/>
      <c r="G43" s="95"/>
      <c r="H43" s="95"/>
      <c r="I43" s="95"/>
      <c r="J43" s="95"/>
      <c r="K43" s="95"/>
      <c r="L43" s="95"/>
      <c r="M43" s="95"/>
      <c r="Q43" s="5" t="str">
        <f>IF(ROW(A31)&lt;=profilKelas!$F$14,ROW(A31),"")</f>
        <v/>
      </c>
      <c r="R43" s="12" t="str">
        <f t="shared" si="0"/>
        <v/>
      </c>
      <c r="S43" s="108" t="str">
        <f t="shared" si="4"/>
        <v/>
      </c>
      <c r="T43" s="108" t="str">
        <f t="shared" si="2"/>
        <v/>
      </c>
      <c r="U43" s="108" t="str">
        <f t="shared" si="6"/>
        <v/>
      </c>
      <c r="V43" s="108" t="str">
        <f t="shared" si="6"/>
        <v/>
      </c>
      <c r="W43" s="108" t="str">
        <f t="shared" si="6"/>
        <v/>
      </c>
      <c r="X43" s="108" t="str">
        <f t="shared" si="6"/>
        <v/>
      </c>
      <c r="Y43" s="108" t="str">
        <f t="shared" si="6"/>
        <v/>
      </c>
      <c r="Z43" s="108" t="str">
        <f t="shared" si="6"/>
        <v/>
      </c>
      <c r="AA43" s="108" t="str">
        <f t="shared" si="6"/>
        <v/>
      </c>
      <c r="AB43" s="108" t="str" cm="1">
        <f t="array" ref="AB43">IF(LEN($B43)=0,"",IF(LEN(C43)=0,"Nama Siswa Kosong",IF($E43="","Status Siswa Kosong",IF(S43&lt;&gt;"Aktif","Siswa Tidak Aktif",
IF(OR(U43:AA43="Belum mengisi"),"Belum mengisi",IF(AND(U43:AA43="Sudah terbiasa"),"Sudah terbiasa","Belum terbiasa"))))))</f>
        <v/>
      </c>
    </row>
    <row r="44" spans="2:43" hidden="1" x14ac:dyDescent="0.3">
      <c r="B44" s="4" t="str">
        <f>IF(ROW(A32)&lt;=profilKelas!$F$14,ROW(A32),"")</f>
        <v/>
      </c>
      <c r="C44" s="94" t="str">
        <f>IF(ISBLANK(identitasMurid!C37),"",identitasMurid!C37)</f>
        <v/>
      </c>
      <c r="D44" s="6" t="str">
        <f>IF(ISBLANK(identitasMurid!D37),"",identitasMurid!D37)</f>
        <v/>
      </c>
      <c r="E44" s="95"/>
      <c r="F44" s="95"/>
      <c r="G44" s="95"/>
      <c r="H44" s="95"/>
      <c r="I44" s="95"/>
      <c r="J44" s="95"/>
      <c r="K44" s="95"/>
      <c r="L44" s="95"/>
      <c r="M44" s="95"/>
      <c r="Q44" s="5" t="str">
        <f>IF(ROW(A32)&lt;=profilKelas!$F$14,ROW(A32),"")</f>
        <v/>
      </c>
      <c r="R44" s="12" t="str">
        <f t="shared" si="0"/>
        <v/>
      </c>
      <c r="S44" s="108" t="str">
        <f t="shared" si="4"/>
        <v/>
      </c>
      <c r="T44" s="108" t="str">
        <f t="shared" si="2"/>
        <v/>
      </c>
      <c r="U44" s="108" t="str">
        <f t="shared" si="6"/>
        <v/>
      </c>
      <c r="V44" s="108" t="str">
        <f t="shared" si="6"/>
        <v/>
      </c>
      <c r="W44" s="108" t="str">
        <f t="shared" si="6"/>
        <v/>
      </c>
      <c r="X44" s="108" t="str">
        <f t="shared" si="6"/>
        <v/>
      </c>
      <c r="Y44" s="108" t="str">
        <f t="shared" si="6"/>
        <v/>
      </c>
      <c r="Z44" s="108" t="str">
        <f t="shared" si="6"/>
        <v/>
      </c>
      <c r="AA44" s="108" t="str">
        <f t="shared" si="6"/>
        <v/>
      </c>
      <c r="AB44" s="108" t="str" cm="1">
        <f t="array" ref="AB44">IF(LEN($B44)=0,"",IF(LEN(C44)=0,"Nama Siswa Kosong",IF($E44="","Status Siswa Kosong",IF(S44&lt;&gt;"Aktif","Siswa Tidak Aktif",
IF(OR(U44:AA44="Belum mengisi"),"Belum mengisi",IF(AND(U44:AA44="Sudah terbiasa"),"Sudah terbiasa","Belum terbiasa"))))))</f>
        <v/>
      </c>
    </row>
    <row r="45" spans="2:43" hidden="1" x14ac:dyDescent="0.3">
      <c r="B45" s="4" t="str">
        <f>IF(ROW(A33)&lt;=profilKelas!$F$14,ROW(A33),"")</f>
        <v/>
      </c>
      <c r="C45" s="94" t="str">
        <f>IF(ISBLANK(identitasMurid!C38),"",identitasMurid!C38)</f>
        <v/>
      </c>
      <c r="D45" s="6" t="str">
        <f>IF(ISBLANK(identitasMurid!D38),"",identitasMurid!D38)</f>
        <v/>
      </c>
      <c r="E45" s="95"/>
      <c r="F45" s="95"/>
      <c r="G45" s="95"/>
      <c r="H45" s="95"/>
      <c r="I45" s="95"/>
      <c r="J45" s="95"/>
      <c r="K45" s="95"/>
      <c r="L45" s="95"/>
      <c r="M45" s="95"/>
      <c r="Q45" s="5" t="str">
        <f>IF(ROW(A33)&lt;=profilKelas!$F$14,ROW(A33),"")</f>
        <v/>
      </c>
      <c r="R45" s="12" t="str">
        <f t="shared" si="0"/>
        <v/>
      </c>
      <c r="S45" s="108" t="str">
        <f t="shared" si="4"/>
        <v/>
      </c>
      <c r="T45" s="108" t="str">
        <f t="shared" si="2"/>
        <v/>
      </c>
      <c r="U45" s="108" t="str">
        <f t="shared" si="6"/>
        <v/>
      </c>
      <c r="V45" s="108" t="str">
        <f t="shared" si="6"/>
        <v/>
      </c>
      <c r="W45" s="108" t="str">
        <f t="shared" si="6"/>
        <v/>
      </c>
      <c r="X45" s="108" t="str">
        <f t="shared" si="6"/>
        <v/>
      </c>
      <c r="Y45" s="108" t="str">
        <f t="shared" si="6"/>
        <v/>
      </c>
      <c r="Z45" s="108" t="str">
        <f t="shared" si="6"/>
        <v/>
      </c>
      <c r="AA45" s="108" t="str">
        <f t="shared" si="6"/>
        <v/>
      </c>
      <c r="AB45" s="108" t="str" cm="1">
        <f t="array" ref="AB45">IF(LEN($B45)=0,"",IF(LEN(C45)=0,"Nama Siswa Kosong",IF($E45="","Status Siswa Kosong",IF(S45&lt;&gt;"Aktif","Siswa Tidak Aktif",
IF(OR(U45:AA45="Belum mengisi"),"Belum mengisi",IF(AND(U45:AA45="Sudah terbiasa"),"Sudah terbiasa","Belum terbiasa"))))))</f>
        <v/>
      </c>
    </row>
    <row r="46" spans="2:43" hidden="1" x14ac:dyDescent="0.3">
      <c r="B46" s="4" t="str">
        <f>IF(ROW(A34)&lt;=profilKelas!$F$14,ROW(A34),"")</f>
        <v/>
      </c>
      <c r="C46" s="94" t="str">
        <f>IF(ISBLANK(identitasMurid!C39),"",identitasMurid!C39)</f>
        <v/>
      </c>
      <c r="D46" s="6" t="str">
        <f>IF(ISBLANK(identitasMurid!D39),"",identitasMurid!D39)</f>
        <v/>
      </c>
      <c r="E46" s="95"/>
      <c r="F46" s="95"/>
      <c r="G46" s="95"/>
      <c r="H46" s="95"/>
      <c r="I46" s="95"/>
      <c r="J46" s="95"/>
      <c r="K46" s="95"/>
      <c r="L46" s="95"/>
      <c r="M46" s="95"/>
      <c r="Q46" s="5" t="str">
        <f>IF(ROW(A34)&lt;=profilKelas!$F$14,ROW(A34),"")</f>
        <v/>
      </c>
      <c r="R46" s="12" t="str">
        <f t="shared" si="0"/>
        <v/>
      </c>
      <c r="S46" s="108" t="str">
        <f t="shared" si="4"/>
        <v/>
      </c>
      <c r="T46" s="108" t="str">
        <f t="shared" si="2"/>
        <v/>
      </c>
      <c r="U46" s="108" t="str">
        <f t="shared" si="6"/>
        <v/>
      </c>
      <c r="V46" s="108" t="str">
        <f t="shared" si="6"/>
        <v/>
      </c>
      <c r="W46" s="108" t="str">
        <f t="shared" si="6"/>
        <v/>
      </c>
      <c r="X46" s="108" t="str">
        <f t="shared" si="6"/>
        <v/>
      </c>
      <c r="Y46" s="108" t="str">
        <f t="shared" si="6"/>
        <v/>
      </c>
      <c r="Z46" s="108" t="str">
        <f t="shared" si="6"/>
        <v/>
      </c>
      <c r="AA46" s="108" t="str">
        <f t="shared" si="6"/>
        <v/>
      </c>
      <c r="AB46" s="108" t="str" cm="1">
        <f t="array" ref="AB46">IF(LEN($B46)=0,"",IF(LEN(C46)=0,"Nama Siswa Kosong",IF($E46="","Status Siswa Kosong",IF(S46&lt;&gt;"Aktif","Siswa Tidak Aktif",
IF(OR(U46:AA46="Belum mengisi"),"Belum mengisi",IF(AND(U46:AA46="Sudah terbiasa"),"Sudah terbiasa","Belum terbiasa"))))))</f>
        <v/>
      </c>
    </row>
    <row r="47" spans="2:43" hidden="1" x14ac:dyDescent="0.3">
      <c r="B47" s="4" t="str">
        <f>IF(ROW(A35)&lt;=profilKelas!$F$14,ROW(A35),"")</f>
        <v/>
      </c>
      <c r="C47" s="94" t="str">
        <f>IF(ISBLANK(identitasMurid!C40),"",identitasMurid!C40)</f>
        <v/>
      </c>
      <c r="D47" s="6" t="str">
        <f>IF(ISBLANK(identitasMurid!D40),"",identitasMurid!D40)</f>
        <v/>
      </c>
      <c r="E47" s="95"/>
      <c r="F47" s="95"/>
      <c r="G47" s="95"/>
      <c r="H47" s="95"/>
      <c r="I47" s="95"/>
      <c r="J47" s="95"/>
      <c r="K47" s="95"/>
      <c r="L47" s="95"/>
      <c r="M47" s="95"/>
      <c r="Q47" s="5" t="str">
        <f>IF(ROW(A35)&lt;=profilKelas!$F$14,ROW(A35),"")</f>
        <v/>
      </c>
      <c r="R47" s="12" t="str">
        <f t="shared" si="0"/>
        <v/>
      </c>
      <c r="S47" s="108" t="str">
        <f t="shared" si="4"/>
        <v/>
      </c>
      <c r="T47" s="108" t="str">
        <f t="shared" si="2"/>
        <v/>
      </c>
      <c r="U47" s="108" t="str">
        <f t="shared" si="6"/>
        <v/>
      </c>
      <c r="V47" s="108" t="str">
        <f t="shared" si="6"/>
        <v/>
      </c>
      <c r="W47" s="108" t="str">
        <f t="shared" si="6"/>
        <v/>
      </c>
      <c r="X47" s="108" t="str">
        <f t="shared" si="6"/>
        <v/>
      </c>
      <c r="Y47" s="108" t="str">
        <f t="shared" si="6"/>
        <v/>
      </c>
      <c r="Z47" s="108" t="str">
        <f t="shared" si="6"/>
        <v/>
      </c>
      <c r="AA47" s="108" t="str">
        <f t="shared" si="6"/>
        <v/>
      </c>
      <c r="AB47" s="108" t="str" cm="1">
        <f t="array" ref="AB47">IF(LEN($B47)=0,"",IF(LEN(C47)=0,"Nama Siswa Kosong",IF($E47="","Status Siswa Kosong",IF(S47&lt;&gt;"Aktif","Siswa Tidak Aktif",
IF(OR(U47:AA47="Belum mengisi"),"Belum mengisi",IF(AND(U47:AA47="Sudah terbiasa"),"Sudah terbiasa","Belum terbiasa"))))))</f>
        <v/>
      </c>
    </row>
    <row r="48" spans="2:43" hidden="1" x14ac:dyDescent="0.3">
      <c r="B48" s="4" t="str">
        <f>IF(ROW(A36)&lt;=profilKelas!$F$14,ROW(A36),"")</f>
        <v/>
      </c>
      <c r="C48" s="94" t="str">
        <f>IF(ISBLANK(identitasMurid!C41),"",identitasMurid!C41)</f>
        <v/>
      </c>
      <c r="D48" s="6" t="str">
        <f>IF(ISBLANK(identitasMurid!D41),"",identitasMurid!D41)</f>
        <v/>
      </c>
      <c r="E48" s="95"/>
      <c r="F48" s="95"/>
      <c r="G48" s="95"/>
      <c r="H48" s="95"/>
      <c r="I48" s="95"/>
      <c r="J48" s="95"/>
      <c r="K48" s="95"/>
      <c r="L48" s="95"/>
      <c r="M48" s="30"/>
      <c r="Q48" s="5" t="str">
        <f>IF(ROW(A36)&lt;=profilKelas!$F$14,ROW(A36),"")</f>
        <v/>
      </c>
      <c r="R48" s="12" t="str">
        <f t="shared" si="0"/>
        <v/>
      </c>
      <c r="S48" s="108" t="str">
        <f t="shared" si="4"/>
        <v/>
      </c>
      <c r="T48" s="108" t="str">
        <f t="shared" si="2"/>
        <v/>
      </c>
      <c r="U48" s="108" t="str">
        <f t="shared" si="6"/>
        <v/>
      </c>
      <c r="V48" s="108" t="str">
        <f t="shared" si="6"/>
        <v/>
      </c>
      <c r="W48" s="108" t="str">
        <f t="shared" si="6"/>
        <v/>
      </c>
      <c r="X48" s="108" t="str">
        <f t="shared" si="6"/>
        <v/>
      </c>
      <c r="Y48" s="108" t="str">
        <f t="shared" si="6"/>
        <v/>
      </c>
      <c r="Z48" s="108" t="str">
        <f t="shared" si="6"/>
        <v/>
      </c>
      <c r="AA48" s="108" t="str">
        <f t="shared" si="6"/>
        <v/>
      </c>
      <c r="AB48" s="108" t="str" cm="1">
        <f t="array" ref="AB48">IF(LEN($B48)=0,"",IF(LEN(C48)=0,"Nama Siswa Kosong",IF($E48="","Status Siswa Kosong",IF(S48&lt;&gt;"Aktif","Siswa Tidak Aktif",
IF(OR(U48:AA48="Belum mengisi"),"Belum mengisi",IF(AND(U48:AA48="Sudah terbiasa"),"Sudah terbiasa","Belum terbiasa"))))))</f>
        <v/>
      </c>
    </row>
    <row r="49" spans="2:28" hidden="1" x14ac:dyDescent="0.3">
      <c r="B49" s="4" t="str">
        <f>IF(ROW(A37)&lt;=profilKelas!$F$14,ROW(A37),"")</f>
        <v/>
      </c>
      <c r="C49" s="94" t="str">
        <f>IF(ISBLANK(identitasMurid!C42),"",identitasMurid!C42)</f>
        <v/>
      </c>
      <c r="D49" s="6" t="str">
        <f>IF(ISBLANK(identitasMurid!D42),"",identitasMurid!D42)</f>
        <v/>
      </c>
      <c r="E49" s="95"/>
      <c r="F49" s="95"/>
      <c r="G49" s="95"/>
      <c r="H49" s="95"/>
      <c r="I49" s="95"/>
      <c r="J49" s="95"/>
      <c r="K49" s="95"/>
      <c r="L49" s="95"/>
      <c r="M49" s="30"/>
      <c r="Q49" s="5" t="str">
        <f>IF(ROW(A37)&lt;=profilKelas!$F$14,ROW(A37),"")</f>
        <v/>
      </c>
      <c r="R49" s="12" t="str">
        <f t="shared" si="0"/>
        <v/>
      </c>
      <c r="S49" s="108" t="str">
        <f t="shared" si="4"/>
        <v/>
      </c>
      <c r="T49" s="108" t="str">
        <f t="shared" si="2"/>
        <v/>
      </c>
      <c r="U49" s="108" t="str">
        <f t="shared" si="6"/>
        <v/>
      </c>
      <c r="V49" s="108" t="str">
        <f t="shared" si="6"/>
        <v/>
      </c>
      <c r="W49" s="108" t="str">
        <f t="shared" si="6"/>
        <v/>
      </c>
      <c r="X49" s="108" t="str">
        <f t="shared" si="6"/>
        <v/>
      </c>
      <c r="Y49" s="108" t="str">
        <f t="shared" si="6"/>
        <v/>
      </c>
      <c r="Z49" s="108" t="str">
        <f t="shared" si="6"/>
        <v/>
      </c>
      <c r="AA49" s="108" t="str">
        <f t="shared" si="6"/>
        <v/>
      </c>
      <c r="AB49" s="108" t="str" cm="1">
        <f t="array" ref="AB49">IF(LEN($B49)=0,"",IF(LEN(C49)=0,"Nama Siswa Kosong",IF($E49="","Status Siswa Kosong",IF(S49&lt;&gt;"Aktif","Siswa Tidak Aktif",
IF(OR(U49:AA49="Belum mengisi"),"Belum mengisi",IF(AND(U49:AA49="Sudah terbiasa"),"Sudah terbiasa","Belum terbiasa"))))))</f>
        <v/>
      </c>
    </row>
    <row r="50" spans="2:28" hidden="1" x14ac:dyDescent="0.3">
      <c r="B50" s="4" t="str">
        <f>IF(ROW(A38)&lt;=profilKelas!$F$14,ROW(A38),"")</f>
        <v/>
      </c>
      <c r="C50" s="94" t="str">
        <f>IF(ISBLANK(identitasMurid!C43),"",identitasMurid!C43)</f>
        <v/>
      </c>
      <c r="D50" s="6" t="str">
        <f>IF(ISBLANK(identitasMurid!D43),"",identitasMurid!D43)</f>
        <v/>
      </c>
      <c r="E50" s="95"/>
      <c r="F50" s="95"/>
      <c r="G50" s="95"/>
      <c r="H50" s="95"/>
      <c r="I50" s="95"/>
      <c r="J50" s="95"/>
      <c r="K50" s="95"/>
      <c r="L50" s="95"/>
      <c r="M50" s="30"/>
      <c r="Q50" s="5" t="str">
        <f>IF(ROW(A38)&lt;=profilKelas!$F$14,ROW(A38),"")</f>
        <v/>
      </c>
      <c r="R50" s="12" t="str">
        <f t="shared" si="0"/>
        <v/>
      </c>
      <c r="S50" s="108" t="str">
        <f t="shared" si="4"/>
        <v/>
      </c>
      <c r="T50" s="108" t="str">
        <f t="shared" si="2"/>
        <v/>
      </c>
      <c r="U50" s="108" t="str">
        <f t="shared" si="6"/>
        <v/>
      </c>
      <c r="V50" s="108" t="str">
        <f t="shared" si="6"/>
        <v/>
      </c>
      <c r="W50" s="108" t="str">
        <f t="shared" si="6"/>
        <v/>
      </c>
      <c r="X50" s="108" t="str">
        <f t="shared" si="6"/>
        <v/>
      </c>
      <c r="Y50" s="108" t="str">
        <f t="shared" si="6"/>
        <v/>
      </c>
      <c r="Z50" s="108" t="str">
        <f t="shared" si="6"/>
        <v/>
      </c>
      <c r="AA50" s="108" t="str">
        <f t="shared" si="6"/>
        <v/>
      </c>
      <c r="AB50" s="108" t="str" cm="1">
        <f t="array" ref="AB50">IF(LEN($B50)=0,"",IF(LEN(C50)=0,"Nama Siswa Kosong",IF($E50="","Status Siswa Kosong",IF(S50&lt;&gt;"Aktif","Siswa Tidak Aktif",
IF(OR(U50:AA50="Belum mengisi"),"Belum mengisi",IF(AND(U50:AA50="Sudah terbiasa"),"Sudah terbiasa","Belum terbiasa"))))))</f>
        <v/>
      </c>
    </row>
    <row r="51" spans="2:28" hidden="1" x14ac:dyDescent="0.3">
      <c r="B51" s="4" t="str">
        <f>IF(ROW(A39)&lt;=profilKelas!$F$14,ROW(A39),"")</f>
        <v/>
      </c>
      <c r="C51" s="94" t="str">
        <f>IF(ISBLANK(identitasMurid!C44),"",identitasMurid!C44)</f>
        <v/>
      </c>
      <c r="D51" s="6" t="str">
        <f>IF(ISBLANK(identitasMurid!D44),"",identitasMurid!D44)</f>
        <v/>
      </c>
      <c r="E51" s="95"/>
      <c r="F51" s="95"/>
      <c r="G51" s="95"/>
      <c r="H51" s="95"/>
      <c r="I51" s="95"/>
      <c r="J51" s="95"/>
      <c r="K51" s="95"/>
      <c r="L51" s="95"/>
      <c r="M51" s="30"/>
      <c r="Q51" s="5" t="str">
        <f>IF(ROW(A39)&lt;=profilKelas!$F$14,ROW(A39),"")</f>
        <v/>
      </c>
      <c r="R51" s="12" t="str">
        <f t="shared" si="0"/>
        <v/>
      </c>
      <c r="S51" s="108" t="str">
        <f t="shared" si="4"/>
        <v/>
      </c>
      <c r="T51" s="108" t="str">
        <f t="shared" si="2"/>
        <v/>
      </c>
      <c r="U51" s="108" t="str">
        <f t="shared" si="6"/>
        <v/>
      </c>
      <c r="V51" s="108" t="str">
        <f t="shared" si="6"/>
        <v/>
      </c>
      <c r="W51" s="108" t="str">
        <f t="shared" si="6"/>
        <v/>
      </c>
      <c r="X51" s="108" t="str">
        <f t="shared" si="6"/>
        <v/>
      </c>
      <c r="Y51" s="108" t="str">
        <f t="shared" si="6"/>
        <v/>
      </c>
      <c r="Z51" s="108" t="str">
        <f t="shared" si="6"/>
        <v/>
      </c>
      <c r="AA51" s="108" t="str">
        <f t="shared" si="6"/>
        <v/>
      </c>
      <c r="AB51" s="108" t="str" cm="1">
        <f t="array" ref="AB51">IF(LEN($B51)=0,"",IF(LEN(C51)=0,"Nama Siswa Kosong",IF($E51="","Status Siswa Kosong",IF(S51&lt;&gt;"Aktif","Siswa Tidak Aktif",
IF(OR(U51:AA51="Belum mengisi"),"Belum mengisi",IF(AND(U51:AA51="Sudah terbiasa"),"Sudah terbiasa","Belum terbiasa"))))))</f>
        <v/>
      </c>
    </row>
    <row r="52" spans="2:28" hidden="1" x14ac:dyDescent="0.3">
      <c r="B52" s="4" t="str">
        <f>IF(ROW(A40)&lt;=profilKelas!$F$14,ROW(A40),"")</f>
        <v/>
      </c>
      <c r="C52" s="94" t="str">
        <f>IF(ISBLANK(identitasMurid!C45),"",identitasMurid!C45)</f>
        <v/>
      </c>
      <c r="D52" s="6" t="str">
        <f>IF(ISBLANK(identitasMurid!D45),"",identitasMurid!D45)</f>
        <v/>
      </c>
      <c r="E52" s="95"/>
      <c r="F52" s="95"/>
      <c r="G52" s="95"/>
      <c r="H52" s="95"/>
      <c r="I52" s="95"/>
      <c r="J52" s="95"/>
      <c r="K52" s="95"/>
      <c r="L52" s="95"/>
      <c r="M52" s="30"/>
      <c r="Q52" s="5" t="str">
        <f>IF(ROW(A40)&lt;=profilKelas!$F$14,ROW(A40),"")</f>
        <v/>
      </c>
      <c r="R52" s="12" t="str">
        <f t="shared" si="0"/>
        <v/>
      </c>
      <c r="S52" s="108" t="str">
        <f t="shared" si="4"/>
        <v/>
      </c>
      <c r="T52" s="108" t="str">
        <f t="shared" si="2"/>
        <v/>
      </c>
      <c r="U52" s="108" t="str">
        <f t="shared" si="6"/>
        <v/>
      </c>
      <c r="V52" s="108" t="str">
        <f t="shared" si="6"/>
        <v/>
      </c>
      <c r="W52" s="108" t="str">
        <f t="shared" si="6"/>
        <v/>
      </c>
      <c r="X52" s="108" t="str">
        <f t="shared" si="6"/>
        <v/>
      </c>
      <c r="Y52" s="108" t="str">
        <f t="shared" si="6"/>
        <v/>
      </c>
      <c r="Z52" s="108" t="str">
        <f t="shared" si="6"/>
        <v/>
      </c>
      <c r="AA52" s="108" t="str">
        <f t="shared" si="6"/>
        <v/>
      </c>
      <c r="AB52" s="108" t="str" cm="1">
        <f t="array" ref="AB52">IF(LEN($B52)=0,"",IF(LEN(C52)=0,"Nama Siswa Kosong",IF($E52="","Status Siswa Kosong",IF(S52&lt;&gt;"Aktif","Siswa Tidak Aktif",
IF(OR(U52:AA52="Belum mengisi"),"Belum mengisi",IF(AND(U52:AA52="Sudah terbiasa"),"Sudah terbiasa","Belum terbiasa"))))))</f>
        <v/>
      </c>
    </row>
    <row r="53" spans="2:28" hidden="1" x14ac:dyDescent="0.3">
      <c r="B53" s="4" t="str">
        <f>IF(ROW(A41)&lt;=profilKelas!$F$14,ROW(A41),"")</f>
        <v/>
      </c>
      <c r="C53" s="94" t="str">
        <f>IF(ISBLANK(identitasMurid!C46),"",identitasMurid!C46)</f>
        <v/>
      </c>
      <c r="D53" s="6" t="str">
        <f>IF(ISBLANK(identitasMurid!D46),"",identitasMurid!D46)</f>
        <v/>
      </c>
      <c r="E53" s="95"/>
      <c r="F53" s="95"/>
      <c r="G53" s="95"/>
      <c r="H53" s="95"/>
      <c r="I53" s="95"/>
      <c r="J53" s="95"/>
      <c r="K53" s="95"/>
      <c r="L53" s="95"/>
      <c r="M53" s="30"/>
      <c r="Q53" s="5" t="str">
        <f>IF(ROW(A41)&lt;=profilKelas!$F$14,ROW(A41),"")</f>
        <v/>
      </c>
      <c r="R53" s="12" t="str">
        <f t="shared" si="0"/>
        <v/>
      </c>
      <c r="S53" s="108" t="str">
        <f t="shared" si="4"/>
        <v/>
      </c>
      <c r="T53" s="108" t="str">
        <f t="shared" si="2"/>
        <v/>
      </c>
      <c r="U53" s="108" t="str">
        <f t="shared" si="6"/>
        <v/>
      </c>
      <c r="V53" s="108" t="str">
        <f t="shared" si="6"/>
        <v/>
      </c>
      <c r="W53" s="108" t="str">
        <f t="shared" si="6"/>
        <v/>
      </c>
      <c r="X53" s="108" t="str">
        <f t="shared" si="6"/>
        <v/>
      </c>
      <c r="Y53" s="108" t="str">
        <f t="shared" si="6"/>
        <v/>
      </c>
      <c r="Z53" s="108" t="str">
        <f t="shared" si="6"/>
        <v/>
      </c>
      <c r="AA53" s="108" t="str">
        <f t="shared" si="6"/>
        <v/>
      </c>
      <c r="AB53" s="108" t="str" cm="1">
        <f t="array" ref="AB53">IF(LEN($B53)=0,"",IF(LEN(C53)=0,"Nama Siswa Kosong",IF($E53="","Status Siswa Kosong",IF(S53&lt;&gt;"Aktif","Siswa Tidak Aktif",
IF(OR(U53:AA53="Belum mengisi"),"Belum mengisi",IF(AND(U53:AA53="Sudah terbiasa"),"Sudah terbiasa","Belum terbiasa"))))))</f>
        <v/>
      </c>
    </row>
    <row r="54" spans="2:28" hidden="1" x14ac:dyDescent="0.3">
      <c r="B54" s="4" t="str">
        <f>IF(ROW(A42)&lt;=profilKelas!$F$14,ROW(A42),"")</f>
        <v/>
      </c>
      <c r="C54" s="94" t="str">
        <f>IF(ISBLANK(identitasMurid!C47),"",identitasMurid!C47)</f>
        <v/>
      </c>
      <c r="D54" s="6" t="str">
        <f>IF(ISBLANK(identitasMurid!D47),"",identitasMurid!D47)</f>
        <v/>
      </c>
      <c r="E54" s="95"/>
      <c r="F54" s="95"/>
      <c r="G54" s="95"/>
      <c r="H54" s="95"/>
      <c r="I54" s="95"/>
      <c r="J54" s="95"/>
      <c r="K54" s="95"/>
      <c r="L54" s="95"/>
      <c r="M54" s="30"/>
      <c r="Q54" s="5" t="str">
        <f>IF(ROW(A42)&lt;=profilKelas!$F$14,ROW(A42),"")</f>
        <v/>
      </c>
      <c r="R54" s="12" t="str">
        <f t="shared" si="0"/>
        <v/>
      </c>
      <c r="S54" s="108" t="str">
        <f t="shared" si="4"/>
        <v/>
      </c>
      <c r="T54" s="108" t="str">
        <f t="shared" si="2"/>
        <v/>
      </c>
      <c r="U54" s="108" t="str">
        <f t="shared" si="6"/>
        <v/>
      </c>
      <c r="V54" s="108" t="str">
        <f t="shared" si="6"/>
        <v/>
      </c>
      <c r="W54" s="108" t="str">
        <f t="shared" si="6"/>
        <v/>
      </c>
      <c r="X54" s="108" t="str">
        <f t="shared" si="6"/>
        <v/>
      </c>
      <c r="Y54" s="108" t="str">
        <f t="shared" si="6"/>
        <v/>
      </c>
      <c r="Z54" s="108" t="str">
        <f t="shared" si="6"/>
        <v/>
      </c>
      <c r="AA54" s="108" t="str">
        <f t="shared" si="6"/>
        <v/>
      </c>
      <c r="AB54" s="108" t="str" cm="1">
        <f t="array" ref="AB54">IF(LEN($B54)=0,"",IF(LEN(C54)=0,"Nama Siswa Kosong",IF($E54="","Status Siswa Kosong",IF(S54&lt;&gt;"Aktif","Siswa Tidak Aktif",
IF(OR(U54:AA54="Belum mengisi"),"Belum mengisi",IF(AND(U54:AA54="Sudah terbiasa"),"Sudah terbiasa","Belum terbiasa"))))))</f>
        <v/>
      </c>
    </row>
    <row r="55" spans="2:28" hidden="1" x14ac:dyDescent="0.3">
      <c r="B55" s="4" t="str">
        <f>IF(ROW(A43)&lt;=profilKelas!$F$14,ROW(A43),"")</f>
        <v/>
      </c>
      <c r="C55" s="94" t="str">
        <f>IF(ISBLANK(identitasMurid!C48),"",identitasMurid!C48)</f>
        <v/>
      </c>
      <c r="D55" s="6" t="str">
        <f>IF(ISBLANK(identitasMurid!D48),"",identitasMurid!D48)</f>
        <v/>
      </c>
      <c r="E55" s="95"/>
      <c r="F55" s="95"/>
      <c r="G55" s="95"/>
      <c r="H55" s="95"/>
      <c r="I55" s="95"/>
      <c r="J55" s="95"/>
      <c r="K55" s="95"/>
      <c r="L55" s="95"/>
      <c r="M55" s="30"/>
      <c r="Q55" s="5" t="str">
        <f>IF(ROW(A43)&lt;=profilKelas!$F$14,ROW(A43),"")</f>
        <v/>
      </c>
      <c r="R55" s="12" t="str">
        <f t="shared" si="0"/>
        <v/>
      </c>
      <c r="S55" s="108" t="str">
        <f t="shared" si="4"/>
        <v/>
      </c>
      <c r="T55" s="108" t="str">
        <f t="shared" si="2"/>
        <v/>
      </c>
      <c r="U55" s="108" t="str">
        <f t="shared" si="6"/>
        <v/>
      </c>
      <c r="V55" s="108" t="str">
        <f t="shared" si="6"/>
        <v/>
      </c>
      <c r="W55" s="108" t="str">
        <f t="shared" si="6"/>
        <v/>
      </c>
      <c r="X55" s="108" t="str">
        <f t="shared" si="6"/>
        <v/>
      </c>
      <c r="Y55" s="108" t="str">
        <f t="shared" si="6"/>
        <v/>
      </c>
      <c r="Z55" s="108" t="str">
        <f t="shared" si="6"/>
        <v/>
      </c>
      <c r="AA55" s="108" t="str">
        <f t="shared" si="6"/>
        <v/>
      </c>
      <c r="AB55" s="108" t="str" cm="1">
        <f t="array" ref="AB55">IF(LEN($B55)=0,"",IF(LEN(C55)=0,"Nama Siswa Kosong",IF($E55="","Status Siswa Kosong",IF(S55&lt;&gt;"Aktif","Siswa Tidak Aktif",
IF(OR(U55:AA55="Belum mengisi"),"Belum mengisi",IF(AND(U55:AA55="Sudah terbiasa"),"Sudah terbiasa","Belum terbiasa"))))))</f>
        <v/>
      </c>
    </row>
    <row r="56" spans="2:28" hidden="1" x14ac:dyDescent="0.3">
      <c r="B56" s="4" t="str">
        <f>IF(ROW(A44)&lt;=profilKelas!$F$14,ROW(A44),"")</f>
        <v/>
      </c>
      <c r="C56" s="94" t="str">
        <f>IF(ISBLANK(identitasMurid!C49),"",identitasMurid!C49)</f>
        <v/>
      </c>
      <c r="D56" s="6" t="str">
        <f>IF(ISBLANK(identitasMurid!D49),"",identitasMurid!D49)</f>
        <v/>
      </c>
      <c r="E56" s="95"/>
      <c r="F56" s="95"/>
      <c r="G56" s="95"/>
      <c r="H56" s="95"/>
      <c r="I56" s="95"/>
      <c r="J56" s="95"/>
      <c r="K56" s="95"/>
      <c r="L56" s="95"/>
      <c r="M56" s="30"/>
      <c r="Q56" s="5" t="str">
        <f>IF(ROW(A44)&lt;=profilKelas!$F$14,ROW(A44),"")</f>
        <v/>
      </c>
      <c r="R56" s="12" t="str">
        <f t="shared" si="0"/>
        <v/>
      </c>
      <c r="S56" s="108" t="str">
        <f t="shared" si="4"/>
        <v/>
      </c>
      <c r="T56" s="108" t="str">
        <f t="shared" si="2"/>
        <v/>
      </c>
      <c r="U56" s="108" t="str">
        <f t="shared" si="6"/>
        <v/>
      </c>
      <c r="V56" s="108" t="str">
        <f t="shared" si="6"/>
        <v/>
      </c>
      <c r="W56" s="108" t="str">
        <f t="shared" si="6"/>
        <v/>
      </c>
      <c r="X56" s="108" t="str">
        <f t="shared" si="6"/>
        <v/>
      </c>
      <c r="Y56" s="108" t="str">
        <f t="shared" si="6"/>
        <v/>
      </c>
      <c r="Z56" s="108" t="str">
        <f t="shared" si="6"/>
        <v/>
      </c>
      <c r="AA56" s="108" t="str">
        <f t="shared" si="6"/>
        <v/>
      </c>
      <c r="AB56" s="108" t="str" cm="1">
        <f t="array" ref="AB56">IF(LEN($B56)=0,"",IF(LEN(C56)=0,"Nama Siswa Kosong",IF($E56="","Status Siswa Kosong",IF(S56&lt;&gt;"Aktif","Siswa Tidak Aktif",
IF(OR(U56:AA56="Belum mengisi"),"Belum mengisi",IF(AND(U56:AA56="Sudah terbiasa"),"Sudah terbiasa","Belum terbiasa"))))))</f>
        <v/>
      </c>
    </row>
    <row r="57" spans="2:28" hidden="1" x14ac:dyDescent="0.3">
      <c r="B57" s="4" t="str">
        <f>IF(ROW(A45)&lt;=profilKelas!$F$14,ROW(A45),"")</f>
        <v/>
      </c>
      <c r="C57" s="94" t="str">
        <f>IF(ISBLANK(identitasMurid!C50),"",identitasMurid!C50)</f>
        <v/>
      </c>
      <c r="D57" s="6" t="str">
        <f>IF(ISBLANK(identitasMurid!D50),"",identitasMurid!D50)</f>
        <v/>
      </c>
      <c r="E57" s="95"/>
      <c r="F57" s="95"/>
      <c r="G57" s="95"/>
      <c r="H57" s="95"/>
      <c r="I57" s="95"/>
      <c r="J57" s="95"/>
      <c r="K57" s="95"/>
      <c r="L57" s="95"/>
      <c r="M57" s="30"/>
      <c r="Q57" s="5" t="str">
        <f>IF(ROW(A45)&lt;=profilKelas!$F$14,ROW(A45),"")</f>
        <v/>
      </c>
      <c r="R57" s="12" t="str">
        <f t="shared" si="0"/>
        <v/>
      </c>
      <c r="S57" s="108" t="str">
        <f t="shared" si="4"/>
        <v/>
      </c>
      <c r="T57" s="108" t="str">
        <f t="shared" si="2"/>
        <v/>
      </c>
      <c r="U57" s="108" t="str">
        <f t="shared" si="6"/>
        <v/>
      </c>
      <c r="V57" s="108" t="str">
        <f t="shared" si="6"/>
        <v/>
      </c>
      <c r="W57" s="108" t="str">
        <f t="shared" si="6"/>
        <v/>
      </c>
      <c r="X57" s="108" t="str">
        <f t="shared" si="6"/>
        <v/>
      </c>
      <c r="Y57" s="108" t="str">
        <f t="shared" si="6"/>
        <v/>
      </c>
      <c r="Z57" s="108" t="str">
        <f t="shared" si="6"/>
        <v/>
      </c>
      <c r="AA57" s="108" t="str">
        <f t="shared" si="6"/>
        <v/>
      </c>
      <c r="AB57" s="108" t="str" cm="1">
        <f t="array" ref="AB57">IF(LEN($B57)=0,"",IF(LEN(C57)=0,"Nama Siswa Kosong",IF($E57="","Status Siswa Kosong",IF(S57&lt;&gt;"Aktif","Siswa Tidak Aktif",
IF(OR(U57:AA57="Belum mengisi"),"Belum mengisi",IF(AND(U57:AA57="Sudah terbiasa"),"Sudah terbiasa","Belum terbiasa"))))))</f>
        <v/>
      </c>
    </row>
    <row r="58" spans="2:28" x14ac:dyDescent="0.3"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</row>
    <row r="59" spans="2:28" ht="16.2" x14ac:dyDescent="0.35">
      <c r="B59" s="13"/>
      <c r="C59" s="71"/>
      <c r="D59" s="71" t="s">
        <v>15</v>
      </c>
      <c r="E59" s="13"/>
      <c r="F59" s="13"/>
      <c r="G59" s="13"/>
      <c r="H59" s="13"/>
      <c r="I59" s="13"/>
      <c r="J59" s="13"/>
      <c r="K59" s="13" t="str">
        <f>profilKelas!F9&amp;", "&amp;O60</f>
        <v>, 31 Agustus 2025</v>
      </c>
      <c r="L59" s="13"/>
      <c r="M59" s="13"/>
      <c r="O59" s="31" t="s">
        <v>860</v>
      </c>
      <c r="Q59" s="13"/>
      <c r="R59" s="13"/>
      <c r="S59" s="13" t="s">
        <v>15</v>
      </c>
      <c r="T59" s="13"/>
      <c r="U59" s="13"/>
      <c r="V59" s="13"/>
      <c r="W59" s="13"/>
      <c r="X59" s="13"/>
      <c r="Y59" s="13"/>
      <c r="Z59" s="13" t="str">
        <f>profilKelas!F9&amp;", "&amp;O60</f>
        <v>, 31 Agustus 2025</v>
      </c>
      <c r="AA59" s="13"/>
      <c r="AB59" s="13"/>
    </row>
    <row r="60" spans="2:28" x14ac:dyDescent="0.3">
      <c r="B60" s="13"/>
      <c r="C60" s="71"/>
      <c r="D60" s="71" t="str">
        <f>IF(ISBLANK(profilKelas!B10),"",SUBSTITUTE(profilKelas!B10,"Nama ",""))</f>
        <v>Kepala Sekolah</v>
      </c>
      <c r="E60" s="13"/>
      <c r="F60" s="13"/>
      <c r="G60" s="13"/>
      <c r="H60" s="13"/>
      <c r="I60" s="13"/>
      <c r="J60" s="13"/>
      <c r="K60" s="13" t="str">
        <f>SUBSTITUTE(profilKelas!B15,"Nama ","")&amp;","</f>
        <v>Guru Wali Kelas,</v>
      </c>
      <c r="L60" s="13"/>
      <c r="M60" s="13"/>
      <c r="O60" s="100" t="s">
        <v>911</v>
      </c>
      <c r="Q60" s="13"/>
      <c r="R60" s="13"/>
      <c r="S60" s="13" t="str">
        <f>IF(ISBLANK(profilKelas!B10),"",profilKelas!B10)</f>
        <v>Nama Kepala Sekolah</v>
      </c>
      <c r="T60" s="13"/>
      <c r="U60" s="13"/>
      <c r="V60" s="13"/>
      <c r="W60" s="13"/>
      <c r="X60" s="13"/>
      <c r="Y60" s="13"/>
      <c r="Z60" s="13" t="str">
        <f>SUBSTITUTE(profilKelas!B15,"Nama ","")&amp;","</f>
        <v>Guru Wali Kelas,</v>
      </c>
      <c r="AA60" s="13"/>
      <c r="AB60" s="13"/>
    </row>
    <row r="61" spans="2:28" x14ac:dyDescent="0.3"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</row>
    <row r="62" spans="2:28" x14ac:dyDescent="0.3"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</row>
    <row r="63" spans="2:28" x14ac:dyDescent="0.3"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</row>
    <row r="64" spans="2:28" x14ac:dyDescent="0.3">
      <c r="B64" s="13"/>
      <c r="C64" s="13"/>
      <c r="D64" s="101" t="str">
        <f>IF(ISBLANK(profilKelas!F10),"",profilKelas!F10)</f>
        <v/>
      </c>
      <c r="E64" s="13"/>
      <c r="F64" s="13"/>
      <c r="G64" s="13"/>
      <c r="H64" s="13"/>
      <c r="I64" s="13"/>
      <c r="J64" s="13"/>
      <c r="K64" s="101" t="str">
        <f>IF(LEN(profilKelas!F15)=0,"",profilKelas!F15)</f>
        <v/>
      </c>
      <c r="L64" s="13"/>
      <c r="M64" s="13"/>
      <c r="Q64" s="13"/>
      <c r="R64" s="13"/>
      <c r="S64" s="101" t="str">
        <f>IF(ISBLANK(profilKelas!F10),"",profilKelas!F10)</f>
        <v/>
      </c>
      <c r="T64" s="13"/>
      <c r="U64" s="13"/>
      <c r="V64" s="13"/>
      <c r="W64" s="13"/>
      <c r="X64" s="13"/>
      <c r="Y64" s="13"/>
      <c r="Z64" s="101">
        <f>profilKelas!F15</f>
        <v>0</v>
      </c>
      <c r="AA64" s="13"/>
      <c r="AB64" s="13"/>
    </row>
    <row r="65" spans="2:28" x14ac:dyDescent="0.3">
      <c r="B65" s="13"/>
      <c r="C65" s="13"/>
      <c r="D65" s="13" t="str">
        <f>"NIP. "&amp;profilKelas!F11</f>
        <v xml:space="preserve">NIP. </v>
      </c>
      <c r="E65" s="13"/>
      <c r="F65" s="13"/>
      <c r="G65" s="13"/>
      <c r="H65" s="13"/>
      <c r="I65" s="13"/>
      <c r="J65" s="13"/>
      <c r="K65" s="13" t="str">
        <f>"NIP. "&amp;profilKelas!F16</f>
        <v xml:space="preserve">NIP. </v>
      </c>
      <c r="L65" s="13"/>
      <c r="M65" s="13"/>
      <c r="Q65" s="13"/>
      <c r="R65" s="13"/>
      <c r="S65" s="13" t="str">
        <f>"NIP. "&amp;profilKelas!F11</f>
        <v xml:space="preserve">NIP. </v>
      </c>
      <c r="T65" s="13"/>
      <c r="U65" s="13"/>
      <c r="V65" s="13"/>
      <c r="W65" s="13"/>
      <c r="X65" s="13"/>
      <c r="Y65" s="13"/>
      <c r="Z65" s="13" t="str">
        <f>"NIP. "&amp;profilKelas!F16</f>
        <v xml:space="preserve">NIP. </v>
      </c>
      <c r="AA65" s="13"/>
      <c r="AB65" s="13"/>
    </row>
    <row r="66" spans="2:28" x14ac:dyDescent="0.3"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</row>
    <row r="67" spans="2:28" x14ac:dyDescent="0.3">
      <c r="B67" s="13"/>
      <c r="C67" s="102" t="s">
        <v>10</v>
      </c>
      <c r="D67" s="71" t="s">
        <v>609</v>
      </c>
      <c r="E67" s="13"/>
      <c r="F67" s="13"/>
      <c r="G67" s="13"/>
      <c r="H67" s="13"/>
      <c r="I67" s="13"/>
      <c r="J67" s="13"/>
      <c r="K67" s="13"/>
      <c r="L67" s="13"/>
      <c r="M67" s="13"/>
      <c r="Q67" s="13"/>
      <c r="R67" s="102" t="s">
        <v>10</v>
      </c>
      <c r="S67" s="71" t="s">
        <v>609</v>
      </c>
      <c r="T67" s="13"/>
      <c r="U67" s="13"/>
      <c r="V67" s="13"/>
      <c r="W67" s="13"/>
      <c r="X67" s="13"/>
      <c r="Y67" s="13"/>
      <c r="Z67" s="13"/>
      <c r="AA67" s="13"/>
      <c r="AB67" s="13"/>
    </row>
    <row r="68" spans="2:28" ht="15.6" customHeight="1" x14ac:dyDescent="0.3"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63">
        <f>SUBTOTAL(109,N69)</f>
        <v>0</v>
      </c>
      <c r="O68" s="63" t="str">
        <f>IF(N68=0,"ATUR HALAMAN","TAMPILAN NORMAL")</f>
        <v>ATUR HALAMAN</v>
      </c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</row>
    <row r="69" spans="2:28" hidden="1" x14ac:dyDescent="0.3">
      <c r="N69" s="7">
        <v>1</v>
      </c>
    </row>
  </sheetData>
  <sheetProtection algorithmName="SHA-512" hashValue="Gf15tM/jWdB1AYauYiRGplabfO+In0rQ8x3i2S63Uh0x5Nmfunt5nH/IhO7W3IE6GwUzsQ30j0XQPQmb7asJNg==" saltValue="0H7Pn0n4BHGt8ZCC8nKGKg==" spinCount="100000" sheet="1" objects="1" scenarios="1" formatCells="0" formatColumns="0" formatRows="0" insertColumns="0" insertRows="0" insertHyperlinks="0" deleteColumns="0" deleteRows="0" autoFilter="0"/>
  <mergeCells count="41">
    <mergeCell ref="AL14:AQ18"/>
    <mergeCell ref="AG15:AH15"/>
    <mergeCell ref="AI15:AJ15"/>
    <mergeCell ref="AD18:AE18"/>
    <mergeCell ref="B6:M6"/>
    <mergeCell ref="Q6:AB6"/>
    <mergeCell ref="AD6:AQ7"/>
    <mergeCell ref="B10:B12"/>
    <mergeCell ref="C10:C12"/>
    <mergeCell ref="D10:D12"/>
    <mergeCell ref="E10:E12"/>
    <mergeCell ref="M10:M12"/>
    <mergeCell ref="AE24:AF24"/>
    <mergeCell ref="AD14:AD15"/>
    <mergeCell ref="AE14:AE15"/>
    <mergeCell ref="AF14:AF15"/>
    <mergeCell ref="AG14:AJ14"/>
    <mergeCell ref="AG21:AJ21"/>
    <mergeCell ref="AE22:AF22"/>
    <mergeCell ref="AG22:AH22"/>
    <mergeCell ref="AI22:AJ22"/>
    <mergeCell ref="AE23:AF23"/>
    <mergeCell ref="AE25:AF25"/>
    <mergeCell ref="AE26:AF26"/>
    <mergeCell ref="AE27:AF27"/>
    <mergeCell ref="AE28:AF28"/>
    <mergeCell ref="AE29:AF29"/>
    <mergeCell ref="AK31:AN31"/>
    <mergeCell ref="AE32:AF32"/>
    <mergeCell ref="AG32:AH32"/>
    <mergeCell ref="AI32:AJ32"/>
    <mergeCell ref="AK32:AL32"/>
    <mergeCell ref="AM32:AN32"/>
    <mergeCell ref="AG31:AJ31"/>
    <mergeCell ref="AE39:AF39"/>
    <mergeCell ref="AE33:AF33"/>
    <mergeCell ref="AE34:AF34"/>
    <mergeCell ref="AE35:AF35"/>
    <mergeCell ref="AE36:AF36"/>
    <mergeCell ref="AE37:AF37"/>
    <mergeCell ref="AE38:AF38"/>
  </mergeCells>
  <conditionalFormatting sqref="F17:F57">
    <cfRule type="expression" dxfId="153" priority="14">
      <formula>AND($C17="",$F17="")</formula>
    </cfRule>
  </conditionalFormatting>
  <conditionalFormatting sqref="E17:M57 B13:C57 M13:M16">
    <cfRule type="expression" dxfId="152" priority="13">
      <formula>$B13&lt;&gt;""</formula>
    </cfRule>
  </conditionalFormatting>
  <conditionalFormatting sqref="D13:D57">
    <cfRule type="expression" dxfId="151" priority="12">
      <formula>$B13&lt;&gt;""</formula>
    </cfRule>
  </conditionalFormatting>
  <conditionalFormatting sqref="R13:T57">
    <cfRule type="expression" dxfId="150" priority="11">
      <formula>$Q13&lt;&gt;""</formula>
    </cfRule>
  </conditionalFormatting>
  <conditionalFormatting sqref="Q13">
    <cfRule type="expression" dxfId="149" priority="10">
      <formula>$B13&lt;&gt;""</formula>
    </cfRule>
  </conditionalFormatting>
  <conditionalFormatting sqref="U13:AA57">
    <cfRule type="containsText" dxfId="148" priority="7" operator="containsText" text="Belum terbiasa">
      <formula>NOT(ISERROR(SEARCH("Belum terbiasa",U13)))</formula>
    </cfRule>
    <cfRule type="containsText" dxfId="147" priority="8" operator="containsText" text="Sudah terbiasa">
      <formula>NOT(ISERROR(SEARCH("Sudah terbiasa",U13)))</formula>
    </cfRule>
    <cfRule type="containsText" dxfId="146" priority="9" operator="containsText" text="Belum mengisi">
      <formula>NOT(ISERROR(SEARCH("Belum mengisi",U13)))</formula>
    </cfRule>
  </conditionalFormatting>
  <conditionalFormatting sqref="AB13:AB57">
    <cfRule type="containsText" dxfId="145" priority="4" operator="containsText" text="mengisi">
      <formula>NOT(ISERROR(SEARCH("mengisi",AB13)))</formula>
    </cfRule>
    <cfRule type="containsText" dxfId="144" priority="5" operator="containsText" text="Belum terbiasa">
      <formula>NOT(ISERROR(SEARCH("Belum terbiasa",AB13)))</formula>
    </cfRule>
    <cfRule type="containsText" dxfId="143" priority="6" operator="containsText" text="Sudah terbiasa">
      <formula>NOT(ISERROR(SEARCH("Sudah terbiasa",AB13)))</formula>
    </cfRule>
  </conditionalFormatting>
  <conditionalFormatting sqref="Q14:Q57">
    <cfRule type="expression" dxfId="142" priority="3">
      <formula>$B14&lt;&gt;""</formula>
    </cfRule>
  </conditionalFormatting>
  <conditionalFormatting sqref="F13:L16">
    <cfRule type="expression" dxfId="141" priority="2">
      <formula>AND($C13="",$F13="")</formula>
    </cfRule>
  </conditionalFormatting>
  <conditionalFormatting sqref="E13:L16">
    <cfRule type="expression" dxfId="140" priority="1">
      <formula>$B13&lt;&gt;""</formula>
    </cfRule>
  </conditionalFormatting>
  <dataValidations count="2">
    <dataValidation allowBlank="1" showInputMessage="1" showErrorMessage="1" promptTitle="Tanggal pengesahan" prompt="Contoh penulisan_x000a_31 Juli 2025" sqref="O60:P60" xr:uid="{00000000-0002-0000-0F00-000000000000}"/>
    <dataValidation type="whole" allowBlank="1" showInputMessage="1" showErrorMessage="1" errorTitle="Angka" error="Isian hanya berupa angka 0 s.d. 31." promptTitle="Angka" prompt="Inputan angka dari 0 s.d. 31 sesuai bulan berjalan." sqref="F13:L57" xr:uid="{00000000-0002-0000-0F00-000001000000}">
      <formula1>0</formula1>
      <formula2>31</formula2>
    </dataValidation>
  </dataValidations>
  <pageMargins left="0.19685039370078741" right="0.19685039370078741" top="0.74803149606299213" bottom="0.74803149606299213" header="0.31496062992125984" footer="0.31496062992125984"/>
  <pageSetup paperSize="9" scale="57" fitToHeight="0" orientation="landscape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Catatan" error="Harap dipilih." promptTitle="Catatan" prompt="Pilih keterangan siswa_x000a_aktif: aktif pada bulan berjalan_x000a_pindah: pada bulan berjalan sudah pindah_x000a_berhenti: pada bulan berjalan berhenti _x000a_meninggal: pada bulan berjalan meninggal_x000a__x000a_Jika terdapat penambahan siswa, keterangan bulan sebelumnya dipilih tidak." xr:uid="{00000000-0002-0000-0F00-000002000000}">
          <x14:formula1>
            <xm:f>info!$AD$2:$AD$6</xm:f>
          </x14:formula1>
          <xm:sqref>E13:E57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mmSep"/>
  <dimension ref="A1:AQ69"/>
  <sheetViews>
    <sheetView showGridLines="0" showRowColHeaders="0" zoomScaleNormal="100" zoomScaleSheetLayoutView="100" zoomScalePageLayoutView="47" workbookViewId="0">
      <selection activeCell="B6" sqref="B6:M6"/>
    </sheetView>
  </sheetViews>
  <sheetFormatPr defaultColWidth="0" defaultRowHeight="15.6" customHeight="1" zeroHeight="1" x14ac:dyDescent="0.3"/>
  <cols>
    <col min="1" max="1" width="9.109375" style="7" customWidth="1"/>
    <col min="2" max="2" width="3.5546875" style="7" bestFit="1" customWidth="1"/>
    <col min="3" max="3" width="31.5546875" style="7" customWidth="1"/>
    <col min="4" max="4" width="10" style="7" customWidth="1"/>
    <col min="5" max="5" width="11.5546875" style="7" customWidth="1"/>
    <col min="6" max="12" width="24" style="7" customWidth="1"/>
    <col min="13" max="13" width="18.33203125" style="7" customWidth="1"/>
    <col min="14" max="14" width="2.109375" style="7" customWidth="1"/>
    <col min="15" max="15" width="25.109375" style="7" bestFit="1" customWidth="1"/>
    <col min="16" max="16" width="9.109375" style="7" customWidth="1"/>
    <col min="17" max="17" width="3.5546875" style="7" hidden="1" customWidth="1"/>
    <col min="18" max="18" width="27.88671875" style="7" hidden="1" customWidth="1"/>
    <col min="19" max="19" width="8.6640625" style="7" hidden="1" customWidth="1"/>
    <col min="20" max="20" width="5.6640625" style="7" hidden="1" customWidth="1"/>
    <col min="21" max="28" width="21.33203125" style="7" hidden="1" customWidth="1"/>
    <col min="29" max="29" width="9.109375" style="7" hidden="1" customWidth="1"/>
    <col min="30" max="30" width="3.5546875" style="7" hidden="1" customWidth="1"/>
    <col min="31" max="31" width="20" style="7" hidden="1" customWidth="1"/>
    <col min="32" max="32" width="6.5546875" style="7" hidden="1" customWidth="1"/>
    <col min="33" max="36" width="9.6640625" style="7" hidden="1" customWidth="1"/>
    <col min="37" max="16384" width="0" style="7" hidden="1"/>
  </cols>
  <sheetData>
    <row r="1" spans="1:43" x14ac:dyDescent="0.3">
      <c r="A1" s="63">
        <f>profilKelas!F14</f>
        <v>1</v>
      </c>
      <c r="D1" s="64" t="s">
        <v>890</v>
      </c>
      <c r="E1" s="65"/>
      <c r="F1" s="65"/>
      <c r="G1" s="65"/>
      <c r="H1" s="65"/>
      <c r="Q1" s="66" t="s">
        <v>859</v>
      </c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D1" s="66" t="s">
        <v>859</v>
      </c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</row>
    <row r="2" spans="1:43" x14ac:dyDescent="0.3">
      <c r="D2" s="67"/>
      <c r="E2" s="67"/>
      <c r="F2" s="67"/>
      <c r="G2" s="67"/>
      <c r="H2" s="67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</row>
    <row r="3" spans="1:43" ht="15.6" customHeight="1" x14ac:dyDescent="0.3"/>
    <row r="4" spans="1:43" ht="15.6" customHeight="1" x14ac:dyDescent="0.3"/>
    <row r="5" spans="1:43" x14ac:dyDescent="0.3">
      <c r="Q5" s="68"/>
      <c r="S5" s="69"/>
      <c r="T5" s="69"/>
      <c r="V5" s="69"/>
      <c r="X5" s="69"/>
      <c r="Z5" s="69"/>
      <c r="AL5" s="70"/>
    </row>
    <row r="6" spans="1:43" ht="15.6" customHeight="1" x14ac:dyDescent="0.3">
      <c r="B6" s="168" t="s">
        <v>882</v>
      </c>
      <c r="C6" s="168"/>
      <c r="D6" s="168"/>
      <c r="E6" s="168"/>
      <c r="F6" s="168"/>
      <c r="G6" s="168"/>
      <c r="H6" s="168"/>
      <c r="I6" s="168"/>
      <c r="J6" s="168"/>
      <c r="K6" s="168"/>
      <c r="L6" s="168"/>
      <c r="M6" s="168"/>
      <c r="Q6" s="168"/>
      <c r="R6" s="168"/>
      <c r="S6" s="168"/>
      <c r="T6" s="168"/>
      <c r="U6" s="168"/>
      <c r="V6" s="168"/>
      <c r="W6" s="168"/>
      <c r="X6" s="168"/>
      <c r="Y6" s="168"/>
      <c r="Z6" s="168"/>
      <c r="AA6" s="168"/>
      <c r="AB6" s="168"/>
      <c r="AD6" s="159" t="str">
        <f>"REKAPITULASI CATATAN HARIAN KELAS (RCHS) "&amp;CHAR(10)&amp;"SEMESTER "&amp;MID(J7,3,1)&amp;" BULAN"&amp;UPPER(MID(J7,SEARCH("/",J7)+1,99))&amp;" TAHUN "&amp;IF(ISBLANK(O11),profilKelas!F12,O11)</f>
        <v xml:space="preserve">REKAPITULASI CATATAN HARIAN KELAS (RCHS) 
SEMESTER I BULAN SEPTEMBER TAHUN </v>
      </c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</row>
    <row r="7" spans="1:43" x14ac:dyDescent="0.3">
      <c r="B7" s="13"/>
      <c r="C7" s="13" t="s">
        <v>862</v>
      </c>
      <c r="D7" s="13" t="str">
        <f>": "&amp;IF(ISBLANK(profilKelas!F5),"",profilKelas!F5&amp;" ("&amp;profilKelas!F6&amp;")")</f>
        <v xml:space="preserve">: </v>
      </c>
      <c r="E7" s="13"/>
      <c r="F7" s="13"/>
      <c r="G7" s="13"/>
      <c r="H7" s="13"/>
      <c r="I7" s="13" t="s">
        <v>885</v>
      </c>
      <c r="J7" s="13" t="str">
        <f>": I / September"</f>
        <v>: I / September</v>
      </c>
      <c r="K7" s="13"/>
      <c r="L7" s="13"/>
      <c r="M7" s="71"/>
      <c r="O7"/>
      <c r="Q7" s="13"/>
      <c r="R7" s="13" t="s">
        <v>862</v>
      </c>
      <c r="S7" s="13" t="str">
        <f>": "&amp;IF(ISBLANK(profilKelas!F5),"",profilKelas!F5&amp;" ("&amp;profilKelas!F6&amp;")")</f>
        <v xml:space="preserve">: </v>
      </c>
      <c r="T7" s="13"/>
      <c r="U7" s="13"/>
      <c r="V7" s="13"/>
      <c r="W7" s="13"/>
      <c r="X7" s="13"/>
      <c r="Y7" s="13" t="s">
        <v>840</v>
      </c>
      <c r="Z7" s="13" t="str">
        <f>J7</f>
        <v>: I / September</v>
      </c>
      <c r="AA7" s="71"/>
      <c r="AB7" s="13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</row>
    <row r="8" spans="1:43" x14ac:dyDescent="0.3">
      <c r="B8" s="13"/>
      <c r="C8" s="13" t="s">
        <v>842</v>
      </c>
      <c r="D8" s="13" t="str">
        <f ca="1">": "&amp;IF(ISBLANK(profilKelas!H13),"",profilKelas!H13)</f>
        <v>: Pilih Kelas dan Rombel</v>
      </c>
      <c r="E8" s="13"/>
      <c r="F8" s="13"/>
      <c r="G8" s="13"/>
      <c r="H8" s="13"/>
      <c r="I8" s="13" t="s">
        <v>880</v>
      </c>
      <c r="J8" s="13" t="str">
        <f>": "&amp;IF(ISBLANK(profilKelas!F12),"Ketik Tahun Ajaran pada Profil Kelas",profilKelas!F12)</f>
        <v>: Ketik Tahun Ajaran pada Profil Kelas</v>
      </c>
      <c r="K8" s="13"/>
      <c r="L8" s="13"/>
      <c r="M8" s="71"/>
      <c r="O8"/>
      <c r="Q8" s="13"/>
      <c r="R8" s="13" t="s">
        <v>842</v>
      </c>
      <c r="S8" s="13" t="str">
        <f ca="1">": "&amp;IF(ISBLANK(profilKelas!H13),"",profilKelas!H13)</f>
        <v>: Pilih Kelas dan Rombel</v>
      </c>
      <c r="T8" s="13"/>
      <c r="U8" s="13"/>
      <c r="V8" s="13"/>
      <c r="W8" s="13"/>
      <c r="X8" s="13"/>
      <c r="Y8" s="13" t="s">
        <v>841</v>
      </c>
      <c r="Z8" s="13" t="str">
        <f>": "&amp;IF(ISBLANK(profilKelas!F12),"Ketik Tahun Ajaran pada Profil Kelas",IF(ISBLANK(O11),profilKelas!F12,O11))</f>
        <v>: Ketik Tahun Ajaran pada Profil Kelas</v>
      </c>
      <c r="AA8" s="71"/>
      <c r="AB8" s="13"/>
      <c r="AD8" s="72"/>
      <c r="AE8" s="72"/>
      <c r="AF8" s="72"/>
      <c r="AG8" s="72"/>
      <c r="AH8" s="72"/>
      <c r="AI8" s="72"/>
      <c r="AJ8" s="72"/>
      <c r="AK8" s="72"/>
      <c r="AL8" s="72"/>
      <c r="AM8" s="72"/>
      <c r="AN8" s="72"/>
      <c r="AO8" s="13"/>
      <c r="AP8" s="13"/>
      <c r="AQ8" s="13"/>
    </row>
    <row r="9" spans="1:43" x14ac:dyDescent="0.3"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71"/>
      <c r="Q9" s="13"/>
      <c r="R9" s="13"/>
      <c r="S9" s="13"/>
      <c r="T9" s="13"/>
      <c r="U9" s="13"/>
      <c r="V9" s="13"/>
      <c r="W9" s="13"/>
      <c r="X9" s="13"/>
      <c r="Y9" s="13"/>
      <c r="Z9" s="13"/>
      <c r="AA9" s="71"/>
      <c r="AB9" s="13"/>
      <c r="AD9" s="13" t="s">
        <v>862</v>
      </c>
      <c r="AE9" s="13"/>
      <c r="AF9" s="13" t="str">
        <f>UPPER(": "&amp;profilKelas!F5&amp;" ("&amp;profilKelas!F6&amp;")")</f>
        <v>:  ()</v>
      </c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</row>
    <row r="10" spans="1:43" x14ac:dyDescent="0.3">
      <c r="B10" s="162" t="s">
        <v>0</v>
      </c>
      <c r="C10" s="162" t="s">
        <v>858</v>
      </c>
      <c r="D10" s="164" t="s">
        <v>831</v>
      </c>
      <c r="E10" s="164" t="s">
        <v>987</v>
      </c>
      <c r="F10" s="44" t="s">
        <v>19</v>
      </c>
      <c r="G10" s="45"/>
      <c r="H10" s="45"/>
      <c r="I10" s="45"/>
      <c r="J10" s="45"/>
      <c r="K10" s="45"/>
      <c r="L10" s="46"/>
      <c r="M10" s="162" t="s">
        <v>9</v>
      </c>
      <c r="O10"/>
      <c r="Q10" s="73"/>
      <c r="R10" s="74"/>
      <c r="S10" s="74"/>
      <c r="T10" s="75"/>
      <c r="U10" s="76" t="s">
        <v>19</v>
      </c>
      <c r="V10" s="77"/>
      <c r="W10" s="77"/>
      <c r="X10" s="77"/>
      <c r="Y10" s="77"/>
      <c r="Z10" s="77"/>
      <c r="AA10" s="78"/>
      <c r="AB10" s="36"/>
      <c r="AD10" s="13" t="s">
        <v>863</v>
      </c>
      <c r="AE10" s="13"/>
      <c r="AF10" s="13" t="str">
        <f>UPPER(": "&amp;profilKelas!F9&amp;", Provinsi "&amp;profilKelas!F8)</f>
        <v xml:space="preserve">: , PROVINSI </v>
      </c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</row>
    <row r="11" spans="1:43" x14ac:dyDescent="0.3">
      <c r="B11" s="169"/>
      <c r="C11" s="169"/>
      <c r="D11" s="170"/>
      <c r="E11" s="170"/>
      <c r="F11" s="80" t="s">
        <v>2</v>
      </c>
      <c r="G11" s="80" t="s">
        <v>3</v>
      </c>
      <c r="H11" s="80" t="s">
        <v>4</v>
      </c>
      <c r="I11" s="81" t="s">
        <v>606</v>
      </c>
      <c r="J11" s="81" t="s">
        <v>6</v>
      </c>
      <c r="K11" s="81" t="s">
        <v>7</v>
      </c>
      <c r="L11" s="81" t="s">
        <v>8</v>
      </c>
      <c r="M11" s="169"/>
      <c r="O11"/>
      <c r="Q11" s="82"/>
      <c r="R11" s="83"/>
      <c r="S11" s="83"/>
      <c r="T11" s="84"/>
      <c r="U11" s="85" t="s">
        <v>14</v>
      </c>
      <c r="V11" s="86"/>
      <c r="W11" s="86"/>
      <c r="X11" s="86"/>
      <c r="Y11" s="86"/>
      <c r="Z11" s="86"/>
      <c r="AA11" s="87"/>
      <c r="AB11" s="79"/>
      <c r="AD11" s="13" t="str">
        <f>profilKelas!B10</f>
        <v>Nama Kepala Sekolah</v>
      </c>
      <c r="AE11" s="13"/>
      <c r="AF11" s="13" t="str">
        <f>UPPER(": "&amp;profilKelas!F10&amp;" (NIP."&amp;profilKelas!F11&amp;")")</f>
        <v>:  (NIP.)</v>
      </c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</row>
    <row r="12" spans="1:43" ht="16.2" x14ac:dyDescent="0.3">
      <c r="B12" s="163"/>
      <c r="C12" s="163"/>
      <c r="D12" s="165"/>
      <c r="E12" s="165"/>
      <c r="F12" s="88" t="s">
        <v>881</v>
      </c>
      <c r="G12" s="89"/>
      <c r="H12" s="89"/>
      <c r="I12" s="89"/>
      <c r="J12" s="89"/>
      <c r="K12" s="89"/>
      <c r="L12" s="90"/>
      <c r="M12" s="163"/>
      <c r="Q12" s="91" t="s">
        <v>0</v>
      </c>
      <c r="R12" s="92" t="s">
        <v>1</v>
      </c>
      <c r="S12" s="35" t="s">
        <v>596</v>
      </c>
      <c r="T12" s="35" t="s">
        <v>605</v>
      </c>
      <c r="U12" s="80" t="s">
        <v>599</v>
      </c>
      <c r="V12" s="80" t="s">
        <v>600</v>
      </c>
      <c r="W12" s="80" t="s">
        <v>4</v>
      </c>
      <c r="X12" s="81" t="s">
        <v>601</v>
      </c>
      <c r="Y12" s="81" t="s">
        <v>602</v>
      </c>
      <c r="Z12" s="81" t="s">
        <v>603</v>
      </c>
      <c r="AA12" s="93" t="s">
        <v>604</v>
      </c>
      <c r="AB12" s="36" t="s">
        <v>11</v>
      </c>
      <c r="AD12" s="34" t="str">
        <f ca="1">SUBSTITUTE(profilKelas!B15,"Nama ","")&amp;" "&amp;IF(ISBLANK(profilKelas!H13),"",profilKelas!H13)</f>
        <v>Guru Wali Kelas Pilih Kelas dan Rombel</v>
      </c>
      <c r="AE12" s="34"/>
      <c r="AF12" s="34" t="str">
        <f>UPPER(": "&amp;profilKelas!F15)</f>
        <v xml:space="preserve">: </v>
      </c>
      <c r="AG12" s="34"/>
      <c r="AH12" s="34"/>
      <c r="AI12" s="34"/>
      <c r="AJ12" s="34"/>
      <c r="AK12" s="34"/>
      <c r="AL12" s="34"/>
      <c r="AM12" s="34"/>
      <c r="AN12" s="34"/>
      <c r="AO12" s="34"/>
      <c r="AP12" s="13"/>
      <c r="AQ12" s="13"/>
    </row>
    <row r="13" spans="1:43" x14ac:dyDescent="0.3">
      <c r="B13" s="4">
        <f>IF(ROW(A1)&lt;=profilKelas!$F$14,ROW(A1),"")</f>
        <v>1</v>
      </c>
      <c r="C13" s="94" t="str">
        <f>IF(ISBLANK(identitasMurid!C6),"",identitasMurid!C6)</f>
        <v/>
      </c>
      <c r="D13" s="6" t="str">
        <f>IF(ISBLANK(identitasMurid!D6),"",identitasMurid!D6)</f>
        <v/>
      </c>
      <c r="E13" s="95"/>
      <c r="F13" s="95"/>
      <c r="G13" s="95"/>
      <c r="H13" s="95"/>
      <c r="I13" s="95"/>
      <c r="J13" s="95"/>
      <c r="K13" s="95"/>
      <c r="L13" s="95"/>
      <c r="M13" s="95"/>
      <c r="Q13" s="5">
        <f>IF(ROW(A1)&lt;=profilKelas!$F$14,ROW(A1),"")</f>
        <v>1</v>
      </c>
      <c r="R13" s="12" t="str">
        <f t="shared" ref="R13:R57" si="0">C13</f>
        <v/>
      </c>
      <c r="S13" s="108" t="str">
        <f t="shared" ref="S13:S19" si="1">IF(LEN(B13)=0,"",IF(ISBLANK(E13),"Status Siswa Kosong",E13))</f>
        <v>Status Siswa Kosong</v>
      </c>
      <c r="T13" s="108" t="str">
        <f t="shared" ref="T13:T57" si="2">IF(ISBLANK(D13),"",D13)</f>
        <v/>
      </c>
      <c r="U13" s="108" t="str">
        <f t="shared" ref="U13:AA28" si="3">IF(LEN($B13)=0,"",IF(LEN($C13)=0,"Nama Siswa Kosong",IF($E13="","Status Siswa Kosong",IF($E13&lt;&gt;"Aktif","Siswa Tidak Aktif",
IF(ISBLANK(F13),"Belum mengisi",IF(F13&gt;=20,"Sudah terbiasa","Belum terbiasa"))))))</f>
        <v>Nama Siswa Kosong</v>
      </c>
      <c r="V13" s="108" t="str">
        <f t="shared" si="3"/>
        <v>Nama Siswa Kosong</v>
      </c>
      <c r="W13" s="108" t="str">
        <f t="shared" si="3"/>
        <v>Nama Siswa Kosong</v>
      </c>
      <c r="X13" s="108" t="str">
        <f t="shared" si="3"/>
        <v>Nama Siswa Kosong</v>
      </c>
      <c r="Y13" s="108" t="str">
        <f t="shared" si="3"/>
        <v>Nama Siswa Kosong</v>
      </c>
      <c r="Z13" s="108" t="str">
        <f t="shared" si="3"/>
        <v>Nama Siswa Kosong</v>
      </c>
      <c r="AA13" s="108" t="str">
        <f t="shared" si="3"/>
        <v>Nama Siswa Kosong</v>
      </c>
      <c r="AB13" s="108" t="str" cm="1">
        <f t="array" ref="AB13">IF(LEN($B13)=0,"",IF(LEN(C13)=0,"Nama Siswa Kosong",IF($E13="","Status Siswa Kosong",IF(S13&lt;&gt;"Aktif","Siswa Tidak Aktif",
IF(OR(U13:AA13="Belum mengisi"),"Belum mengisi",IF(AND(U13:AA13="Sudah terbiasa"),"Sudah terbiasa","Belum terbiasa"))))))</f>
        <v>Nama Siswa Kosong</v>
      </c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</row>
    <row r="14" spans="1:43" ht="15.6" hidden="1" customHeight="1" x14ac:dyDescent="0.3">
      <c r="B14" s="4" t="str">
        <f>IF(ROW(A2)&lt;=profilKelas!$F$14,ROW(A2),"")</f>
        <v/>
      </c>
      <c r="C14" s="94" t="str">
        <f>IF(ISBLANK(identitasMurid!C7),"",identitasMurid!C7)</f>
        <v/>
      </c>
      <c r="D14" s="6" t="str">
        <f>IF(ISBLANK(identitasMurid!D7),"",identitasMurid!D7)</f>
        <v/>
      </c>
      <c r="E14" s="95"/>
      <c r="F14" s="95"/>
      <c r="G14" s="95"/>
      <c r="H14" s="95"/>
      <c r="I14" s="95"/>
      <c r="J14" s="95"/>
      <c r="K14" s="95"/>
      <c r="L14" s="95"/>
      <c r="M14" s="95"/>
      <c r="Q14" s="5" t="str">
        <f>IF(ROW(A2)&lt;=profilKelas!$F$14,ROW(A2),"")</f>
        <v/>
      </c>
      <c r="R14" s="12" t="str">
        <f t="shared" si="0"/>
        <v/>
      </c>
      <c r="S14" s="108" t="str">
        <f t="shared" si="1"/>
        <v/>
      </c>
      <c r="T14" s="108" t="str">
        <f t="shared" si="2"/>
        <v/>
      </c>
      <c r="U14" s="108" t="str">
        <f t="shared" si="3"/>
        <v/>
      </c>
      <c r="V14" s="108" t="str">
        <f t="shared" si="3"/>
        <v/>
      </c>
      <c r="W14" s="108" t="str">
        <f t="shared" si="3"/>
        <v/>
      </c>
      <c r="X14" s="108" t="str">
        <f t="shared" si="3"/>
        <v/>
      </c>
      <c r="Y14" s="108" t="str">
        <f t="shared" si="3"/>
        <v/>
      </c>
      <c r="Z14" s="108" t="str">
        <f t="shared" si="3"/>
        <v/>
      </c>
      <c r="AA14" s="108" t="str">
        <f t="shared" si="3"/>
        <v/>
      </c>
      <c r="AB14" s="108" t="str" cm="1">
        <f t="array" ref="AB14">IF(LEN($B14)=0,"",IF(LEN(C14)=0,"Nama Siswa Kosong",IF($E14="","Status Siswa Kosong",IF(S14&lt;&gt;"Aktif","Siswa Tidak Aktif",
IF(OR(U14:AA14="Belum mengisi"),"Belum mengisi",IF(AND(U14:AA14="Sudah terbiasa"),"Sudah terbiasa","Belum terbiasa"))))))</f>
        <v/>
      </c>
      <c r="AD14" s="162" t="s">
        <v>0</v>
      </c>
      <c r="AE14" s="162" t="s">
        <v>831</v>
      </c>
      <c r="AF14" s="164" t="s">
        <v>833</v>
      </c>
      <c r="AG14" s="173" t="s">
        <v>596</v>
      </c>
      <c r="AH14" s="174"/>
      <c r="AI14" s="174"/>
      <c r="AJ14" s="175"/>
      <c r="AK14" s="13"/>
      <c r="AL14" s="158"/>
      <c r="AM14" s="158"/>
      <c r="AN14" s="158"/>
      <c r="AO14" s="158"/>
      <c r="AP14" s="158"/>
      <c r="AQ14" s="158"/>
    </row>
    <row r="15" spans="1:43" ht="15.6" hidden="1" customHeight="1" x14ac:dyDescent="0.3">
      <c r="B15" s="4" t="str">
        <f>IF(ROW(A3)&lt;=profilKelas!$F$14,ROW(A3),"")</f>
        <v/>
      </c>
      <c r="C15" s="94" t="str">
        <f>IF(ISBLANK(identitasMurid!C8),"",identitasMurid!C8)</f>
        <v/>
      </c>
      <c r="D15" s="6" t="str">
        <f>IF(ISBLANK(identitasMurid!D8),"",identitasMurid!D8)</f>
        <v/>
      </c>
      <c r="E15" s="95"/>
      <c r="F15" s="95"/>
      <c r="G15" s="95"/>
      <c r="H15" s="95"/>
      <c r="I15" s="95"/>
      <c r="J15" s="95"/>
      <c r="K15" s="95"/>
      <c r="L15" s="95"/>
      <c r="M15" s="95"/>
      <c r="Q15" s="5" t="str">
        <f>IF(ROW(A3)&lt;=profilKelas!$F$14,ROW(A3),"")</f>
        <v/>
      </c>
      <c r="R15" s="12" t="str">
        <f t="shared" si="0"/>
        <v/>
      </c>
      <c r="S15" s="108" t="str">
        <f t="shared" si="1"/>
        <v/>
      </c>
      <c r="T15" s="108" t="str">
        <f t="shared" si="2"/>
        <v/>
      </c>
      <c r="U15" s="108" t="str">
        <f t="shared" si="3"/>
        <v/>
      </c>
      <c r="V15" s="108" t="str">
        <f t="shared" si="3"/>
        <v/>
      </c>
      <c r="W15" s="108" t="str">
        <f t="shared" si="3"/>
        <v/>
      </c>
      <c r="X15" s="108" t="str">
        <f t="shared" si="3"/>
        <v/>
      </c>
      <c r="Y15" s="108" t="str">
        <f t="shared" si="3"/>
        <v/>
      </c>
      <c r="Z15" s="108" t="str">
        <f t="shared" si="3"/>
        <v/>
      </c>
      <c r="AA15" s="108" t="str">
        <f t="shared" si="3"/>
        <v/>
      </c>
      <c r="AB15" s="108" t="str" cm="1">
        <f t="array" ref="AB15">IF(LEN($B15)=0,"",IF(LEN(C15)=0,"Nama Siswa Kosong",IF($E15="","Status Siswa Kosong",IF(S15&lt;&gt;"Aktif","Siswa Tidak Aktif",
IF(OR(U15:AA15="Belum mengisi"),"Belum mengisi",IF(AND(U15:AA15="Sudah terbiasa"),"Sudah terbiasa","Belum terbiasa"))))))</f>
        <v/>
      </c>
      <c r="AD15" s="163"/>
      <c r="AE15" s="163"/>
      <c r="AF15" s="165"/>
      <c r="AG15" s="148" t="s">
        <v>597</v>
      </c>
      <c r="AH15" s="148"/>
      <c r="AI15" s="148" t="s">
        <v>598</v>
      </c>
      <c r="AJ15" s="148"/>
      <c r="AK15" s="13"/>
      <c r="AL15" s="158"/>
      <c r="AM15" s="158"/>
      <c r="AN15" s="158"/>
      <c r="AO15" s="158"/>
      <c r="AP15" s="158"/>
      <c r="AQ15" s="158"/>
    </row>
    <row r="16" spans="1:43" hidden="1" x14ac:dyDescent="0.3">
      <c r="B16" s="4" t="str">
        <f>IF(ROW(A4)&lt;=profilKelas!$F$14,ROW(A4),"")</f>
        <v/>
      </c>
      <c r="C16" s="94" t="str">
        <f>IF(ISBLANK(identitasMurid!C9),"",identitasMurid!C9)</f>
        <v/>
      </c>
      <c r="D16" s="6" t="str">
        <f>IF(ISBLANK(identitasMurid!D9),"",identitasMurid!D9)</f>
        <v/>
      </c>
      <c r="E16" s="95"/>
      <c r="F16" s="95"/>
      <c r="G16" s="95"/>
      <c r="H16" s="95"/>
      <c r="I16" s="95"/>
      <c r="J16" s="95"/>
      <c r="K16" s="95"/>
      <c r="L16" s="95"/>
      <c r="M16" s="95"/>
      <c r="Q16" s="5" t="str">
        <f>IF(ROW(A4)&lt;=profilKelas!$F$14,ROW(A4),"")</f>
        <v/>
      </c>
      <c r="R16" s="12" t="str">
        <f t="shared" si="0"/>
        <v/>
      </c>
      <c r="S16" s="108" t="str">
        <f t="shared" si="1"/>
        <v/>
      </c>
      <c r="T16" s="108" t="str">
        <f t="shared" si="2"/>
        <v/>
      </c>
      <c r="U16" s="108" t="str">
        <f t="shared" si="3"/>
        <v/>
      </c>
      <c r="V16" s="108" t="str">
        <f t="shared" si="3"/>
        <v/>
      </c>
      <c r="W16" s="108" t="str">
        <f t="shared" si="3"/>
        <v/>
      </c>
      <c r="X16" s="108" t="str">
        <f t="shared" si="3"/>
        <v/>
      </c>
      <c r="Y16" s="108" t="str">
        <f t="shared" si="3"/>
        <v/>
      </c>
      <c r="Z16" s="108" t="str">
        <f t="shared" si="3"/>
        <v/>
      </c>
      <c r="AA16" s="108" t="str">
        <f t="shared" si="3"/>
        <v/>
      </c>
      <c r="AB16" s="108" t="str" cm="1">
        <f t="array" ref="AB16">IF(LEN($B16)=0,"",IF(LEN(C16)=0,"Nama Siswa Kosong",IF($E16="","Status Siswa Kosong",IF(S16&lt;&gt;"Aktif","Siswa Tidak Aktif",
IF(OR(U16:AA16="Belum mengisi"),"Belum mengisi",IF(AND(U16:AA16="Sudah terbiasa"),"Sudah terbiasa","Belum terbiasa"))))))</f>
        <v/>
      </c>
      <c r="AD16" s="41">
        <v>1</v>
      </c>
      <c r="AE16" s="41" t="s">
        <v>607</v>
      </c>
      <c r="AF16" s="10">
        <f>COUNTIF(JulPL,Perempuan)</f>
        <v>0</v>
      </c>
      <c r="AG16" s="96">
        <f>COUNTIFS(JulKategoriAkhir,SudahTerbiasa,JulPL,Perempuan)</f>
        <v>0</v>
      </c>
      <c r="AH16" s="96"/>
      <c r="AI16" s="96">
        <f>COUNTIFS(JulKategoriAkhir,BelumTerbiasa,JulPL,Perempuan)</f>
        <v>0</v>
      </c>
      <c r="AJ16" s="96"/>
      <c r="AK16" s="13"/>
      <c r="AL16" s="158"/>
      <c r="AM16" s="158"/>
      <c r="AN16" s="158"/>
      <c r="AO16" s="158"/>
      <c r="AP16" s="158"/>
      <c r="AQ16" s="158"/>
    </row>
    <row r="17" spans="2:43" hidden="1" x14ac:dyDescent="0.3">
      <c r="B17" s="4" t="str">
        <f>IF(ROW(A5)&lt;=profilKelas!$F$14,ROW(A5),"")</f>
        <v/>
      </c>
      <c r="C17" s="94" t="str">
        <f>IF(ISBLANK(identitasMurid!C10),"",identitasMurid!C10)</f>
        <v/>
      </c>
      <c r="D17" s="6" t="str">
        <f>IF(ISBLANK(identitasMurid!D10),"",identitasMurid!D10)</f>
        <v/>
      </c>
      <c r="E17" s="95"/>
      <c r="F17" s="95"/>
      <c r="G17" s="95"/>
      <c r="H17" s="95"/>
      <c r="I17" s="95"/>
      <c r="J17" s="95"/>
      <c r="K17" s="95"/>
      <c r="L17" s="95"/>
      <c r="M17" s="95"/>
      <c r="Q17" s="5" t="str">
        <f>IF(ROW(A5)&lt;=profilKelas!$F$14,ROW(A5),"")</f>
        <v/>
      </c>
      <c r="R17" s="12" t="str">
        <f t="shared" si="0"/>
        <v/>
      </c>
      <c r="S17" s="108" t="str">
        <f t="shared" si="1"/>
        <v/>
      </c>
      <c r="T17" s="108" t="str">
        <f t="shared" si="2"/>
        <v/>
      </c>
      <c r="U17" s="108" t="str">
        <f t="shared" si="3"/>
        <v/>
      </c>
      <c r="V17" s="108" t="str">
        <f t="shared" si="3"/>
        <v/>
      </c>
      <c r="W17" s="108" t="str">
        <f t="shared" si="3"/>
        <v/>
      </c>
      <c r="X17" s="108" t="str">
        <f t="shared" si="3"/>
        <v/>
      </c>
      <c r="Y17" s="108" t="str">
        <f t="shared" si="3"/>
        <v/>
      </c>
      <c r="Z17" s="108" t="str">
        <f t="shared" si="3"/>
        <v/>
      </c>
      <c r="AA17" s="108" t="str">
        <f t="shared" si="3"/>
        <v/>
      </c>
      <c r="AB17" s="108" t="str" cm="1">
        <f t="array" ref="AB17">IF(LEN($B17)=0,"",IF(LEN(C17)=0,"Nama Siswa Kosong",IF($E17="","Status Siswa Kosong",IF(S17&lt;&gt;"Aktif","Siswa Tidak Aktif",
IF(OR(U17:AA17="Belum mengisi"),"Belum mengisi",IF(AND(U17:AA17="Sudah terbiasa"),"Sudah terbiasa","Belum terbiasa"))))))</f>
        <v/>
      </c>
      <c r="AD17" s="41">
        <v>2</v>
      </c>
      <c r="AE17" s="41" t="s">
        <v>608</v>
      </c>
      <c r="AF17" s="97">
        <f>COUNTIF(JulPL,Laki_Laki)</f>
        <v>0</v>
      </c>
      <c r="AG17" s="96">
        <f>COUNTIFS(JulKategoriAkhir,SudahTerbiasa,JulPL,Laki_Laki)</f>
        <v>0</v>
      </c>
      <c r="AH17" s="96"/>
      <c r="AI17" s="96">
        <f>COUNTIFS(JulKategoriAkhir,BelumTerbiasa,JulPL,Laki_Laki)</f>
        <v>0</v>
      </c>
      <c r="AJ17" s="96"/>
      <c r="AK17" s="13"/>
      <c r="AL17" s="158"/>
      <c r="AM17" s="158"/>
      <c r="AN17" s="158"/>
      <c r="AO17" s="158"/>
      <c r="AP17" s="158"/>
      <c r="AQ17" s="158"/>
    </row>
    <row r="18" spans="2:43" hidden="1" x14ac:dyDescent="0.3">
      <c r="B18" s="4" t="str">
        <f>IF(ROW(A6)&lt;=profilKelas!$F$14,ROW(A6),"")</f>
        <v/>
      </c>
      <c r="C18" s="94" t="str">
        <f>IF(ISBLANK(identitasMurid!C11),"",identitasMurid!C11)</f>
        <v/>
      </c>
      <c r="D18" s="6" t="str">
        <f>IF(ISBLANK(identitasMurid!D11),"",identitasMurid!D11)</f>
        <v/>
      </c>
      <c r="E18" s="95"/>
      <c r="F18" s="95"/>
      <c r="G18" s="95"/>
      <c r="H18" s="95"/>
      <c r="I18" s="95"/>
      <c r="J18" s="95"/>
      <c r="K18" s="95"/>
      <c r="L18" s="95"/>
      <c r="M18" s="95"/>
      <c r="Q18" s="5" t="str">
        <f>IF(ROW(A6)&lt;=profilKelas!$F$14,ROW(A6),"")</f>
        <v/>
      </c>
      <c r="R18" s="12" t="str">
        <f t="shared" si="0"/>
        <v/>
      </c>
      <c r="S18" s="108" t="str">
        <f t="shared" si="1"/>
        <v/>
      </c>
      <c r="T18" s="108" t="str">
        <f t="shared" si="2"/>
        <v/>
      </c>
      <c r="U18" s="108" t="str">
        <f t="shared" si="3"/>
        <v/>
      </c>
      <c r="V18" s="108" t="str">
        <f t="shared" si="3"/>
        <v/>
      </c>
      <c r="W18" s="108" t="str">
        <f t="shared" si="3"/>
        <v/>
      </c>
      <c r="X18" s="108" t="str">
        <f t="shared" si="3"/>
        <v/>
      </c>
      <c r="Y18" s="108" t="str">
        <f t="shared" si="3"/>
        <v/>
      </c>
      <c r="Z18" s="108" t="str">
        <f t="shared" si="3"/>
        <v/>
      </c>
      <c r="AA18" s="108" t="str">
        <f t="shared" si="3"/>
        <v/>
      </c>
      <c r="AB18" s="108" t="str" cm="1">
        <f t="array" ref="AB18">IF(LEN($B18)=0,"",IF(LEN(C18)=0,"Nama Siswa Kosong",IF($E18="","Status Siswa Kosong",IF(S18&lt;&gt;"Aktif","Siswa Tidak Aktif",
IF(OR(U18:AA18="Belum mengisi"),"Belum mengisi",IF(AND(U18:AA18="Sudah terbiasa"),"Sudah terbiasa","Belum terbiasa"))))))</f>
        <v/>
      </c>
      <c r="AD18" s="160" t="s">
        <v>832</v>
      </c>
      <c r="AE18" s="160"/>
      <c r="AF18" s="3">
        <f>SUM(AF16:AF17)</f>
        <v>0</v>
      </c>
      <c r="AG18" s="96">
        <f>SUM(AG16:AG17)</f>
        <v>0</v>
      </c>
      <c r="AH18" s="96"/>
      <c r="AI18" s="96">
        <f>SUM(AI16:AI17)</f>
        <v>0</v>
      </c>
      <c r="AJ18" s="96"/>
      <c r="AK18" s="13"/>
      <c r="AL18" s="158"/>
      <c r="AM18" s="158"/>
      <c r="AN18" s="158"/>
      <c r="AO18" s="158"/>
      <c r="AP18" s="158"/>
      <c r="AQ18" s="158"/>
    </row>
    <row r="19" spans="2:43" hidden="1" x14ac:dyDescent="0.3">
      <c r="B19" s="4" t="str">
        <f>IF(ROW(A7)&lt;=profilKelas!$F$14,ROW(A7),"")</f>
        <v/>
      </c>
      <c r="C19" s="94" t="str">
        <f>IF(ISBLANK(identitasMurid!C12),"",identitasMurid!C12)</f>
        <v/>
      </c>
      <c r="D19" s="6" t="str">
        <f>IF(ISBLANK(identitasMurid!D12),"",identitasMurid!D12)</f>
        <v/>
      </c>
      <c r="E19" s="95"/>
      <c r="F19" s="95"/>
      <c r="G19" s="95"/>
      <c r="H19" s="95"/>
      <c r="I19" s="95"/>
      <c r="J19" s="95"/>
      <c r="K19" s="95"/>
      <c r="L19" s="95"/>
      <c r="M19" s="95"/>
      <c r="Q19" s="5" t="str">
        <f>IF(ROW(A7)&lt;=profilKelas!$F$14,ROW(A7),"")</f>
        <v/>
      </c>
      <c r="R19" s="12" t="str">
        <f t="shared" si="0"/>
        <v/>
      </c>
      <c r="S19" s="108" t="str">
        <f t="shared" si="1"/>
        <v/>
      </c>
      <c r="T19" s="108" t="str">
        <f t="shared" si="2"/>
        <v/>
      </c>
      <c r="U19" s="108" t="str">
        <f t="shared" si="3"/>
        <v/>
      </c>
      <c r="V19" s="108" t="str">
        <f t="shared" si="3"/>
        <v/>
      </c>
      <c r="W19" s="108" t="str">
        <f t="shared" si="3"/>
        <v/>
      </c>
      <c r="X19" s="108" t="str">
        <f t="shared" si="3"/>
        <v/>
      </c>
      <c r="Y19" s="108" t="str">
        <f t="shared" si="3"/>
        <v/>
      </c>
      <c r="Z19" s="108" t="str">
        <f t="shared" si="3"/>
        <v/>
      </c>
      <c r="AA19" s="108" t="str">
        <f t="shared" si="3"/>
        <v/>
      </c>
      <c r="AB19" s="108" t="str" cm="1">
        <f t="array" ref="AB19">IF(LEN($B19)=0,"",IF(LEN(C19)=0,"Nama Siswa Kosong",IF($E19="","Status Siswa Kosong",IF(S19&lt;&gt;"Aktif","Siswa Tidak Aktif",
IF(OR(U19:AA19="Belum mengisi"),"Belum mengisi",IF(AND(U19:AA19="Sudah terbiasa"),"Sudah terbiasa","Belum terbiasa"))))))</f>
        <v/>
      </c>
      <c r="AD19" s="13"/>
      <c r="AE19" s="13"/>
      <c r="AF19" s="13"/>
      <c r="AG19" s="13"/>
      <c r="AH19" s="13"/>
      <c r="AI19" s="13"/>
      <c r="AJ19" s="13"/>
      <c r="AK19" s="13"/>
      <c r="AL19" s="43"/>
      <c r="AM19" s="43"/>
      <c r="AN19" s="43"/>
      <c r="AO19" s="43"/>
      <c r="AP19" s="43"/>
      <c r="AQ19" s="43"/>
    </row>
    <row r="20" spans="2:43" hidden="1" x14ac:dyDescent="0.3">
      <c r="B20" s="4" t="str">
        <f>IF(ROW(A8)&lt;=profilKelas!$F$14,ROW(A8),"")</f>
        <v/>
      </c>
      <c r="C20" s="94" t="str">
        <f>IF(ISBLANK(identitasMurid!C13),"",identitasMurid!C13)</f>
        <v/>
      </c>
      <c r="D20" s="6" t="str">
        <f>IF(ISBLANK(identitasMurid!D13),"",identitasMurid!D13)</f>
        <v/>
      </c>
      <c r="E20" s="95"/>
      <c r="F20" s="95"/>
      <c r="G20" s="95"/>
      <c r="H20" s="95"/>
      <c r="I20" s="95"/>
      <c r="J20" s="95"/>
      <c r="K20" s="95"/>
      <c r="L20" s="95"/>
      <c r="M20" s="95"/>
      <c r="Q20" s="5" t="str">
        <f>IF(ROW(A8)&lt;=profilKelas!$F$14,ROW(A8),"")</f>
        <v/>
      </c>
      <c r="R20" s="12" t="str">
        <f t="shared" si="0"/>
        <v/>
      </c>
      <c r="S20" s="108" t="str">
        <f>IF(LEN(B20)=0,"",IF(ISBLANK(E20),"Status Siswa Kosong",E20))</f>
        <v/>
      </c>
      <c r="T20" s="108" t="str">
        <f t="shared" si="2"/>
        <v/>
      </c>
      <c r="U20" s="108" t="str">
        <f t="shared" si="3"/>
        <v/>
      </c>
      <c r="V20" s="108" t="str">
        <f t="shared" si="3"/>
        <v/>
      </c>
      <c r="W20" s="108" t="str">
        <f t="shared" si="3"/>
        <v/>
      </c>
      <c r="X20" s="108" t="str">
        <f t="shared" si="3"/>
        <v/>
      </c>
      <c r="Y20" s="108" t="str">
        <f t="shared" si="3"/>
        <v/>
      </c>
      <c r="Z20" s="108" t="str">
        <f t="shared" si="3"/>
        <v/>
      </c>
      <c r="AA20" s="108" t="str">
        <f t="shared" si="3"/>
        <v/>
      </c>
      <c r="AB20" s="108" t="str" cm="1">
        <f t="array" ref="AB20">IF(LEN($B20)=0,"",IF(LEN(C20)=0,"Nama Siswa Kosong",IF($E20="","Status Siswa Kosong",IF(S20&lt;&gt;"Aktif","Siswa Tidak Aktif",
IF(OR(U20:AA20="Belum mengisi"),"Belum mengisi",IF(AND(U20:AA20="Sudah terbiasa"),"Sudah terbiasa","Belum terbiasa"))))))</f>
        <v/>
      </c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</row>
    <row r="21" spans="2:43" ht="15.75" hidden="1" customHeight="1" x14ac:dyDescent="0.3">
      <c r="B21" s="4" t="str">
        <f>IF(ROW(A9)&lt;=profilKelas!$F$14,ROW(A9),"")</f>
        <v/>
      </c>
      <c r="C21" s="94" t="str">
        <f>IF(ISBLANK(identitasMurid!C14),"",identitasMurid!C14)</f>
        <v/>
      </c>
      <c r="D21" s="6" t="str">
        <f>IF(ISBLANK(identitasMurid!D14),"",identitasMurid!D14)</f>
        <v/>
      </c>
      <c r="E21" s="95"/>
      <c r="F21" s="95"/>
      <c r="G21" s="95"/>
      <c r="H21" s="95"/>
      <c r="I21" s="95"/>
      <c r="J21" s="95"/>
      <c r="K21" s="95"/>
      <c r="L21" s="95"/>
      <c r="M21" s="95"/>
      <c r="Q21" s="5" t="str">
        <f>IF(ROW(A9)&lt;=profilKelas!$F$14,ROW(A9),"")</f>
        <v/>
      </c>
      <c r="R21" s="12" t="str">
        <f t="shared" si="0"/>
        <v/>
      </c>
      <c r="S21" s="108" t="str">
        <f t="shared" ref="S21:S57" si="4">IF(LEN(B21)=0,"",IF(ISBLANK(E21),"Status Siswa Kosong",E21))</f>
        <v/>
      </c>
      <c r="T21" s="108" t="str">
        <f t="shared" si="2"/>
        <v/>
      </c>
      <c r="U21" s="108" t="str">
        <f t="shared" si="3"/>
        <v/>
      </c>
      <c r="V21" s="108" t="str">
        <f t="shared" si="3"/>
        <v/>
      </c>
      <c r="W21" s="108" t="str">
        <f t="shared" si="3"/>
        <v/>
      </c>
      <c r="X21" s="108" t="str">
        <f t="shared" si="3"/>
        <v/>
      </c>
      <c r="Y21" s="108" t="str">
        <f t="shared" si="3"/>
        <v/>
      </c>
      <c r="Z21" s="108" t="str">
        <f t="shared" si="3"/>
        <v/>
      </c>
      <c r="AA21" s="108" t="str">
        <f t="shared" si="3"/>
        <v/>
      </c>
      <c r="AB21" s="108" t="str" cm="1">
        <f t="array" ref="AB21">IF(LEN($B21)=0,"",IF(LEN(C21)=0,"Nama Siswa Kosong",IF($E21="","Status Siswa Kosong",IF(S21&lt;&gt;"Aktif","Siswa Tidak Aktif",
IF(OR(U21:AA21="Belum mengisi"),"Belum mengisi",IF(AND(U21:AA21="Sudah terbiasa"),"Sudah terbiasa","Belum terbiasa"))))))</f>
        <v/>
      </c>
      <c r="AD21" s="13"/>
      <c r="AE21" s="13"/>
      <c r="AF21" s="13"/>
      <c r="AG21" s="173" t="s">
        <v>596</v>
      </c>
      <c r="AH21" s="174"/>
      <c r="AI21" s="174"/>
      <c r="AJ21" s="175"/>
      <c r="AK21" s="13"/>
      <c r="AL21" s="13"/>
      <c r="AM21" s="13"/>
      <c r="AN21" s="13"/>
      <c r="AO21" s="13"/>
      <c r="AP21" s="13"/>
      <c r="AQ21" s="13"/>
    </row>
    <row r="22" spans="2:43" hidden="1" x14ac:dyDescent="0.3">
      <c r="B22" s="4" t="str">
        <f>IF(ROW(A10)&lt;=profilKelas!$F$14,ROW(A10),"")</f>
        <v/>
      </c>
      <c r="C22" s="94" t="str">
        <f>IF(ISBLANK(identitasMurid!C15),"",identitasMurid!C15)</f>
        <v/>
      </c>
      <c r="D22" s="6" t="str">
        <f>IF(ISBLANK(identitasMurid!D15),"",identitasMurid!D15)</f>
        <v/>
      </c>
      <c r="E22" s="95"/>
      <c r="F22" s="95"/>
      <c r="G22" s="95"/>
      <c r="H22" s="95"/>
      <c r="I22" s="95"/>
      <c r="J22" s="95"/>
      <c r="K22" s="95"/>
      <c r="L22" s="95"/>
      <c r="M22" s="95"/>
      <c r="Q22" s="5" t="str">
        <f>IF(ROW(A10)&lt;=profilKelas!$F$14,ROW(A10),"")</f>
        <v/>
      </c>
      <c r="R22" s="12" t="str">
        <f t="shared" si="0"/>
        <v/>
      </c>
      <c r="S22" s="108" t="str">
        <f t="shared" si="4"/>
        <v/>
      </c>
      <c r="T22" s="108" t="str">
        <f t="shared" si="2"/>
        <v/>
      </c>
      <c r="U22" s="108" t="str">
        <f t="shared" si="3"/>
        <v/>
      </c>
      <c r="V22" s="108" t="str">
        <f t="shared" si="3"/>
        <v/>
      </c>
      <c r="W22" s="108" t="str">
        <f t="shared" si="3"/>
        <v/>
      </c>
      <c r="X22" s="108" t="str">
        <f t="shared" si="3"/>
        <v/>
      </c>
      <c r="Y22" s="108" t="str">
        <f t="shared" si="3"/>
        <v/>
      </c>
      <c r="Z22" s="108" t="str">
        <f t="shared" si="3"/>
        <v/>
      </c>
      <c r="AA22" s="108" t="str">
        <f t="shared" si="3"/>
        <v/>
      </c>
      <c r="AB22" s="108" t="str" cm="1">
        <f t="array" ref="AB22">IF(LEN($B22)=0,"",IF(LEN(C22)=0,"Nama Siswa Kosong",IF($E22="","Status Siswa Kosong",IF(S22&lt;&gt;"Aktif","Siswa Tidak Aktif",
IF(OR(U22:AA22="Belum mengisi"),"Belum mengisi",IF(AND(U22:AA22="Sudah terbiasa"),"Sudah terbiasa","Belum terbiasa"))))))</f>
        <v/>
      </c>
      <c r="AD22" s="98" t="s">
        <v>0</v>
      </c>
      <c r="AE22" s="148" t="s">
        <v>18</v>
      </c>
      <c r="AF22" s="148"/>
      <c r="AG22" s="148" t="s">
        <v>597</v>
      </c>
      <c r="AH22" s="148"/>
      <c r="AI22" s="171" t="s">
        <v>598</v>
      </c>
      <c r="AJ22" s="172"/>
      <c r="AK22" s="13"/>
      <c r="AL22" s="13"/>
      <c r="AM22" s="13"/>
      <c r="AN22" s="13"/>
      <c r="AO22" s="13"/>
      <c r="AP22" s="13"/>
      <c r="AQ22" s="13"/>
    </row>
    <row r="23" spans="2:43" hidden="1" x14ac:dyDescent="0.3">
      <c r="B23" s="4" t="str">
        <f>IF(ROW(A11)&lt;=profilKelas!$F$14,ROW(A11),"")</f>
        <v/>
      </c>
      <c r="C23" s="94" t="str">
        <f>IF(ISBLANK(identitasMurid!C16),"",identitasMurid!C16)</f>
        <v/>
      </c>
      <c r="D23" s="6" t="str">
        <f>IF(ISBLANK(identitasMurid!D16),"",identitasMurid!D16)</f>
        <v/>
      </c>
      <c r="E23" s="95"/>
      <c r="F23" s="95"/>
      <c r="G23" s="95"/>
      <c r="H23" s="95"/>
      <c r="I23" s="95"/>
      <c r="J23" s="95"/>
      <c r="K23" s="95"/>
      <c r="L23" s="95"/>
      <c r="M23" s="95"/>
      <c r="Q23" s="5" t="str">
        <f>IF(ROW(A11)&lt;=profilKelas!$F$14,ROW(A11),"")</f>
        <v/>
      </c>
      <c r="R23" s="12" t="str">
        <f t="shared" si="0"/>
        <v/>
      </c>
      <c r="S23" s="108" t="str">
        <f t="shared" si="4"/>
        <v/>
      </c>
      <c r="T23" s="108" t="str">
        <f t="shared" si="2"/>
        <v/>
      </c>
      <c r="U23" s="108" t="str">
        <f t="shared" si="3"/>
        <v/>
      </c>
      <c r="V23" s="108" t="str">
        <f t="shared" si="3"/>
        <v/>
      </c>
      <c r="W23" s="108" t="str">
        <f t="shared" si="3"/>
        <v/>
      </c>
      <c r="X23" s="108" t="str">
        <f t="shared" si="3"/>
        <v/>
      </c>
      <c r="Y23" s="108" t="str">
        <f t="shared" si="3"/>
        <v/>
      </c>
      <c r="Z23" s="108" t="str">
        <f t="shared" si="3"/>
        <v/>
      </c>
      <c r="AA23" s="108" t="str">
        <f t="shared" si="3"/>
        <v/>
      </c>
      <c r="AB23" s="108" t="str" cm="1">
        <f t="array" ref="AB23">IF(LEN($B23)=0,"",IF(LEN(C23)=0,"Nama Siswa Kosong",IF($E23="","Status Siswa Kosong",IF(S23&lt;&gt;"Aktif","Siswa Tidak Aktif",
IF(OR(U23:AA23="Belum mengisi"),"Belum mengisi",IF(AND(U23:AA23="Sudah terbiasa"),"Sudah terbiasa","Belum terbiasa"))))))</f>
        <v/>
      </c>
      <c r="AC23" s="99">
        <f t="shared" ref="AC23:AC29" si="5">RANK(AG23,$AG$23:$AG$29)</f>
        <v>1</v>
      </c>
      <c r="AD23" s="41">
        <v>1</v>
      </c>
      <c r="AE23" s="161" t="s">
        <v>2</v>
      </c>
      <c r="AF23" s="161"/>
      <c r="AG23" s="10">
        <f>COUNTIF(JulBangunPagi,SudahTerbiasa)</f>
        <v>0</v>
      </c>
      <c r="AH23" s="50">
        <f>IF(LEN(profilKelas!$F$14)=0,"",COUNTIF(JulBangunPagi,SudahTerbiasa)/profilKelas!$F$14)</f>
        <v>0</v>
      </c>
      <c r="AI23" s="10">
        <f>COUNTIF(JulBangunPagi,BelumTerbiasa)</f>
        <v>0</v>
      </c>
      <c r="AJ23" s="50">
        <f>IF(LEN(profilKelas!$F$14)=0,"",AI23/profilKelas!$F$14)</f>
        <v>0</v>
      </c>
      <c r="AK23" s="13"/>
      <c r="AL23" s="13"/>
      <c r="AM23" s="13"/>
      <c r="AN23" s="13"/>
      <c r="AO23" s="13"/>
      <c r="AP23" s="13"/>
      <c r="AQ23" s="13"/>
    </row>
    <row r="24" spans="2:43" hidden="1" x14ac:dyDescent="0.3">
      <c r="B24" s="4" t="str">
        <f>IF(ROW(A12)&lt;=profilKelas!$F$14,ROW(A12),"")</f>
        <v/>
      </c>
      <c r="C24" s="94" t="str">
        <f>IF(ISBLANK(identitasMurid!C17),"",identitasMurid!C17)</f>
        <v/>
      </c>
      <c r="D24" s="6" t="str">
        <f>IF(ISBLANK(identitasMurid!D17),"",identitasMurid!D17)</f>
        <v/>
      </c>
      <c r="E24" s="95"/>
      <c r="F24" s="95"/>
      <c r="G24" s="95"/>
      <c r="H24" s="95"/>
      <c r="I24" s="95"/>
      <c r="J24" s="95"/>
      <c r="K24" s="95"/>
      <c r="L24" s="95"/>
      <c r="M24" s="95"/>
      <c r="Q24" s="5" t="str">
        <f>IF(ROW(A12)&lt;=profilKelas!$F$14,ROW(A12),"")</f>
        <v/>
      </c>
      <c r="R24" s="12" t="str">
        <f t="shared" si="0"/>
        <v/>
      </c>
      <c r="S24" s="108" t="str">
        <f t="shared" si="4"/>
        <v/>
      </c>
      <c r="T24" s="108" t="str">
        <f t="shared" si="2"/>
        <v/>
      </c>
      <c r="U24" s="108" t="str">
        <f t="shared" si="3"/>
        <v/>
      </c>
      <c r="V24" s="108" t="str">
        <f t="shared" si="3"/>
        <v/>
      </c>
      <c r="W24" s="108" t="str">
        <f t="shared" si="3"/>
        <v/>
      </c>
      <c r="X24" s="108" t="str">
        <f t="shared" si="3"/>
        <v/>
      </c>
      <c r="Y24" s="108" t="str">
        <f t="shared" si="3"/>
        <v/>
      </c>
      <c r="Z24" s="108" t="str">
        <f t="shared" si="3"/>
        <v/>
      </c>
      <c r="AA24" s="108" t="str">
        <f t="shared" si="3"/>
        <v/>
      </c>
      <c r="AB24" s="108" t="str" cm="1">
        <f t="array" ref="AB24">IF(LEN($B24)=0,"",IF(LEN(C24)=0,"Nama Siswa Kosong",IF($E24="","Status Siswa Kosong",IF(S24&lt;&gt;"Aktif","Siswa Tidak Aktif",
IF(OR(U24:AA24="Belum mengisi"),"Belum mengisi",IF(AND(U24:AA24="Sudah terbiasa"),"Sudah terbiasa","Belum terbiasa"))))))</f>
        <v/>
      </c>
      <c r="AC24" s="99">
        <f t="shared" si="5"/>
        <v>1</v>
      </c>
      <c r="AD24" s="41">
        <v>2</v>
      </c>
      <c r="AE24" s="161" t="s">
        <v>3</v>
      </c>
      <c r="AF24" s="161"/>
      <c r="AG24" s="10">
        <f>COUNTIF(JulTaatBeribadah,SudahTerbiasa)</f>
        <v>0</v>
      </c>
      <c r="AH24" s="50">
        <f>IF(LEN(profilKelas!$F$14)=0,"",AG24/profilKelas!$F$14)</f>
        <v>0</v>
      </c>
      <c r="AI24" s="10">
        <f>COUNTIF(JulTaatBeribadah,BelumTerbiasa)</f>
        <v>0</v>
      </c>
      <c r="AJ24" s="50">
        <f>IF(LEN(profilKelas!$F$14)=0,"",AI24/profilKelas!$F$14)</f>
        <v>0</v>
      </c>
      <c r="AK24" s="13"/>
      <c r="AL24" s="13"/>
      <c r="AM24" s="13"/>
      <c r="AN24" s="13"/>
      <c r="AO24" s="13"/>
      <c r="AP24" s="13"/>
      <c r="AQ24" s="13"/>
    </row>
    <row r="25" spans="2:43" hidden="1" x14ac:dyDescent="0.3">
      <c r="B25" s="4" t="str">
        <f>IF(ROW(A13)&lt;=profilKelas!$F$14,ROW(A13),"")</f>
        <v/>
      </c>
      <c r="C25" s="94" t="str">
        <f>IF(ISBLANK(identitasMurid!C18),"",identitasMurid!C18)</f>
        <v/>
      </c>
      <c r="D25" s="6" t="str">
        <f>IF(ISBLANK(identitasMurid!D18),"",identitasMurid!D18)</f>
        <v/>
      </c>
      <c r="E25" s="95"/>
      <c r="F25" s="95"/>
      <c r="G25" s="95"/>
      <c r="H25" s="95"/>
      <c r="I25" s="95"/>
      <c r="J25" s="95"/>
      <c r="K25" s="95"/>
      <c r="L25" s="95"/>
      <c r="M25" s="95"/>
      <c r="Q25" s="5" t="str">
        <f>IF(ROW(A13)&lt;=profilKelas!$F$14,ROW(A13),"")</f>
        <v/>
      </c>
      <c r="R25" s="12" t="str">
        <f t="shared" si="0"/>
        <v/>
      </c>
      <c r="S25" s="108" t="str">
        <f t="shared" si="4"/>
        <v/>
      </c>
      <c r="T25" s="108" t="str">
        <f t="shared" si="2"/>
        <v/>
      </c>
      <c r="U25" s="108" t="str">
        <f t="shared" si="3"/>
        <v/>
      </c>
      <c r="V25" s="108" t="str">
        <f t="shared" si="3"/>
        <v/>
      </c>
      <c r="W25" s="108" t="str">
        <f t="shared" si="3"/>
        <v/>
      </c>
      <c r="X25" s="108" t="str">
        <f t="shared" si="3"/>
        <v/>
      </c>
      <c r="Y25" s="108" t="str">
        <f t="shared" si="3"/>
        <v/>
      </c>
      <c r="Z25" s="108" t="str">
        <f t="shared" si="3"/>
        <v/>
      </c>
      <c r="AA25" s="108" t="str">
        <f t="shared" si="3"/>
        <v/>
      </c>
      <c r="AB25" s="108" t="str" cm="1">
        <f t="array" ref="AB25">IF(LEN($B25)=0,"",IF(LEN(C25)=0,"Nama Siswa Kosong",IF($E25="","Status Siswa Kosong",IF(S25&lt;&gt;"Aktif","Siswa Tidak Aktif",
IF(OR(U25:AA25="Belum mengisi"),"Belum mengisi",IF(AND(U25:AA25="Sudah terbiasa"),"Sudah terbiasa","Belum terbiasa"))))))</f>
        <v/>
      </c>
      <c r="AC25" s="99">
        <f t="shared" si="5"/>
        <v>1</v>
      </c>
      <c r="AD25" s="41">
        <v>3</v>
      </c>
      <c r="AE25" s="161" t="s">
        <v>4</v>
      </c>
      <c r="AF25" s="161"/>
      <c r="AG25" s="10">
        <f>COUNTIF(JulBerolahraga,SudahTerbiasa)</f>
        <v>0</v>
      </c>
      <c r="AH25" s="50">
        <f>IF(LEN(profilKelas!$F$14)=0,"",AG25/profilKelas!$F$14)</f>
        <v>0</v>
      </c>
      <c r="AI25" s="10">
        <f>COUNTIF(JulBerolahraga,BelumTerbiasa)</f>
        <v>0</v>
      </c>
      <c r="AJ25" s="50">
        <f>IF(LEN(profilKelas!$F$14)=0,"",AI25/profilKelas!$F$14)</f>
        <v>0</v>
      </c>
      <c r="AK25" s="13"/>
      <c r="AL25" s="13"/>
      <c r="AM25" s="13"/>
      <c r="AN25" s="13"/>
      <c r="AO25" s="13"/>
      <c r="AP25" s="13"/>
      <c r="AQ25" s="13"/>
    </row>
    <row r="26" spans="2:43" hidden="1" x14ac:dyDescent="0.3">
      <c r="B26" s="4" t="str">
        <f>IF(ROW(A14)&lt;=profilKelas!$F$14,ROW(A14),"")</f>
        <v/>
      </c>
      <c r="C26" s="94" t="str">
        <f>IF(ISBLANK(identitasMurid!C19),"",identitasMurid!C19)</f>
        <v/>
      </c>
      <c r="D26" s="6" t="str">
        <f>IF(ISBLANK(identitasMurid!D19),"",identitasMurid!D19)</f>
        <v/>
      </c>
      <c r="E26" s="95"/>
      <c r="F26" s="95"/>
      <c r="G26" s="95"/>
      <c r="H26" s="95"/>
      <c r="I26" s="95"/>
      <c r="J26" s="95"/>
      <c r="K26" s="95"/>
      <c r="L26" s="95"/>
      <c r="M26" s="95"/>
      <c r="Q26" s="5" t="str">
        <f>IF(ROW(A14)&lt;=profilKelas!$F$14,ROW(A14),"")</f>
        <v/>
      </c>
      <c r="R26" s="12" t="str">
        <f t="shared" si="0"/>
        <v/>
      </c>
      <c r="S26" s="108" t="str">
        <f t="shared" si="4"/>
        <v/>
      </c>
      <c r="T26" s="108" t="str">
        <f t="shared" si="2"/>
        <v/>
      </c>
      <c r="U26" s="108" t="str">
        <f t="shared" si="3"/>
        <v/>
      </c>
      <c r="V26" s="108" t="str">
        <f t="shared" si="3"/>
        <v/>
      </c>
      <c r="W26" s="108" t="str">
        <f t="shared" si="3"/>
        <v/>
      </c>
      <c r="X26" s="108" t="str">
        <f t="shared" si="3"/>
        <v/>
      </c>
      <c r="Y26" s="108" t="str">
        <f t="shared" si="3"/>
        <v/>
      </c>
      <c r="Z26" s="108" t="str">
        <f t="shared" si="3"/>
        <v/>
      </c>
      <c r="AA26" s="108" t="str">
        <f t="shared" si="3"/>
        <v/>
      </c>
      <c r="AB26" s="108" t="str" cm="1">
        <f t="array" ref="AB26">IF(LEN($B26)=0,"",IF(LEN(C26)=0,"Nama Siswa Kosong",IF($E26="","Status Siswa Kosong",IF(S26&lt;&gt;"Aktif","Siswa Tidak Aktif",
IF(OR(U26:AA26="Belum mengisi"),"Belum mengisi",IF(AND(U26:AA26="Sudah terbiasa"),"Sudah terbiasa","Belum terbiasa"))))))</f>
        <v/>
      </c>
      <c r="AC26" s="99">
        <f t="shared" si="5"/>
        <v>1</v>
      </c>
      <c r="AD26" s="41">
        <v>4</v>
      </c>
      <c r="AE26" s="161" t="s">
        <v>5</v>
      </c>
      <c r="AF26" s="161"/>
      <c r="AG26" s="10">
        <f>COUNTIF(JulMakanSehatBergizi,SudahTerbiasa)</f>
        <v>0</v>
      </c>
      <c r="AH26" s="50">
        <f>IF(LEN(profilKelas!$F$14)=0,"",AG26/profilKelas!$F$14)</f>
        <v>0</v>
      </c>
      <c r="AI26" s="10">
        <f>COUNTIF(JulMakanSehatBergizi,BelumTerbiasa)</f>
        <v>0</v>
      </c>
      <c r="AJ26" s="50">
        <f>IF(LEN(profilKelas!$F$14)=0,"",AI26/profilKelas!$F$14)</f>
        <v>0</v>
      </c>
      <c r="AK26" s="13"/>
      <c r="AL26" s="13"/>
      <c r="AM26" s="13"/>
      <c r="AN26" s="13"/>
      <c r="AO26" s="13"/>
      <c r="AP26" s="13"/>
      <c r="AQ26" s="13"/>
    </row>
    <row r="27" spans="2:43" hidden="1" x14ac:dyDescent="0.3">
      <c r="B27" s="4" t="str">
        <f>IF(ROW(A15)&lt;=profilKelas!$F$14,ROW(A15),"")</f>
        <v/>
      </c>
      <c r="C27" s="94" t="str">
        <f>IF(ISBLANK(identitasMurid!C20),"",identitasMurid!C20)</f>
        <v/>
      </c>
      <c r="D27" s="6" t="str">
        <f>IF(ISBLANK(identitasMurid!D20),"",identitasMurid!D20)</f>
        <v/>
      </c>
      <c r="E27" s="95"/>
      <c r="F27" s="95"/>
      <c r="G27" s="95"/>
      <c r="H27" s="95"/>
      <c r="I27" s="95"/>
      <c r="J27" s="95"/>
      <c r="K27" s="95"/>
      <c r="L27" s="95"/>
      <c r="M27" s="95"/>
      <c r="Q27" s="5" t="str">
        <f>IF(ROW(A15)&lt;=profilKelas!$F$14,ROW(A15),"")</f>
        <v/>
      </c>
      <c r="R27" s="12" t="str">
        <f t="shared" si="0"/>
        <v/>
      </c>
      <c r="S27" s="108" t="str">
        <f t="shared" si="4"/>
        <v/>
      </c>
      <c r="T27" s="108" t="str">
        <f t="shared" si="2"/>
        <v/>
      </c>
      <c r="U27" s="108" t="str">
        <f t="shared" si="3"/>
        <v/>
      </c>
      <c r="V27" s="108" t="str">
        <f t="shared" si="3"/>
        <v/>
      </c>
      <c r="W27" s="108" t="str">
        <f t="shared" si="3"/>
        <v/>
      </c>
      <c r="X27" s="108" t="str">
        <f t="shared" si="3"/>
        <v/>
      </c>
      <c r="Y27" s="108" t="str">
        <f t="shared" si="3"/>
        <v/>
      </c>
      <c r="Z27" s="108" t="str">
        <f t="shared" si="3"/>
        <v/>
      </c>
      <c r="AA27" s="108" t="str">
        <f t="shared" si="3"/>
        <v/>
      </c>
      <c r="AB27" s="108" t="str" cm="1">
        <f t="array" ref="AB27">IF(LEN($B27)=0,"",IF(LEN(C27)=0,"Nama Siswa Kosong",IF($E27="","Status Siswa Kosong",IF(S27&lt;&gt;"Aktif","Siswa Tidak Aktif",
IF(OR(U27:AA27="Belum mengisi"),"Belum mengisi",IF(AND(U27:AA27="Sudah terbiasa"),"Sudah terbiasa","Belum terbiasa"))))))</f>
        <v/>
      </c>
      <c r="AC27" s="99">
        <f t="shared" si="5"/>
        <v>1</v>
      </c>
      <c r="AD27" s="41">
        <v>5</v>
      </c>
      <c r="AE27" s="161" t="s">
        <v>6</v>
      </c>
      <c r="AF27" s="161"/>
      <c r="AG27" s="10">
        <f>COUNTIF(JulGemarBelajar,SudahTerbiasa)</f>
        <v>0</v>
      </c>
      <c r="AH27" s="50">
        <f>IF(LEN(profilKelas!$F$14)=0,"",AG27/profilKelas!$F$14)</f>
        <v>0</v>
      </c>
      <c r="AI27" s="10">
        <f>COUNTIF(JulGemarBelajar,BelumTerbiasa)</f>
        <v>0</v>
      </c>
      <c r="AJ27" s="50">
        <f>IF(LEN(profilKelas!$F$14)=0,"",AI27/profilKelas!$F$14)</f>
        <v>0</v>
      </c>
      <c r="AK27" s="13"/>
      <c r="AL27" s="13"/>
      <c r="AM27" s="13"/>
      <c r="AN27" s="13"/>
      <c r="AO27" s="13"/>
      <c r="AP27" s="13"/>
      <c r="AQ27" s="13"/>
    </row>
    <row r="28" spans="2:43" hidden="1" x14ac:dyDescent="0.3">
      <c r="B28" s="4" t="str">
        <f>IF(ROW(A16)&lt;=profilKelas!$F$14,ROW(A16),"")</f>
        <v/>
      </c>
      <c r="C28" s="94" t="str">
        <f>IF(ISBLANK(identitasMurid!C21),"",identitasMurid!C21)</f>
        <v/>
      </c>
      <c r="D28" s="6" t="str">
        <f>IF(ISBLANK(identitasMurid!D21),"",identitasMurid!D21)</f>
        <v/>
      </c>
      <c r="E28" s="95"/>
      <c r="F28" s="95"/>
      <c r="G28" s="95"/>
      <c r="H28" s="95"/>
      <c r="I28" s="95"/>
      <c r="J28" s="95"/>
      <c r="K28" s="95"/>
      <c r="L28" s="95"/>
      <c r="M28" s="95"/>
      <c r="Q28" s="5" t="str">
        <f>IF(ROW(A16)&lt;=profilKelas!$F$14,ROW(A16),"")</f>
        <v/>
      </c>
      <c r="R28" s="12" t="str">
        <f t="shared" si="0"/>
        <v/>
      </c>
      <c r="S28" s="108" t="str">
        <f t="shared" si="4"/>
        <v/>
      </c>
      <c r="T28" s="108" t="str">
        <f t="shared" si="2"/>
        <v/>
      </c>
      <c r="U28" s="108" t="str">
        <f t="shared" si="3"/>
        <v/>
      </c>
      <c r="V28" s="108" t="str">
        <f t="shared" si="3"/>
        <v/>
      </c>
      <c r="W28" s="108" t="str">
        <f t="shared" si="3"/>
        <v/>
      </c>
      <c r="X28" s="108" t="str">
        <f t="shared" si="3"/>
        <v/>
      </c>
      <c r="Y28" s="108" t="str">
        <f t="shared" si="3"/>
        <v/>
      </c>
      <c r="Z28" s="108" t="str">
        <f t="shared" si="3"/>
        <v/>
      </c>
      <c r="AA28" s="108" t="str">
        <f t="shared" si="3"/>
        <v/>
      </c>
      <c r="AB28" s="108" t="str" cm="1">
        <f t="array" ref="AB28">IF(LEN($B28)=0,"",IF(LEN(C28)=0,"Nama Siswa Kosong",IF($E28="","Status Siswa Kosong",IF(S28&lt;&gt;"Aktif","Siswa Tidak Aktif",
IF(OR(U28:AA28="Belum mengisi"),"Belum mengisi",IF(AND(U28:AA28="Sudah terbiasa"),"Sudah terbiasa","Belum terbiasa"))))))</f>
        <v/>
      </c>
      <c r="AC28" s="99">
        <f t="shared" si="5"/>
        <v>1</v>
      </c>
      <c r="AD28" s="41">
        <v>6</v>
      </c>
      <c r="AE28" s="161" t="s">
        <v>7</v>
      </c>
      <c r="AF28" s="161"/>
      <c r="AG28" s="10">
        <f>COUNTIF(JulAktifBermasyarakat,SudahTerbiasa)</f>
        <v>0</v>
      </c>
      <c r="AH28" s="50">
        <f>IF(LEN(profilKelas!$F$14)=0,"",AG28/profilKelas!$F$14)</f>
        <v>0</v>
      </c>
      <c r="AI28" s="10">
        <f>COUNTIF(JulAktifBermasyarakat,BelumTerbiasa)</f>
        <v>0</v>
      </c>
      <c r="AJ28" s="50">
        <f>IF(LEN(profilKelas!$F$14)=0,"",AI28/profilKelas!$F$14)</f>
        <v>0</v>
      </c>
      <c r="AK28" s="13"/>
      <c r="AL28" s="43"/>
      <c r="AM28" s="43"/>
      <c r="AN28" s="43"/>
      <c r="AO28" s="43"/>
      <c r="AP28" s="43"/>
      <c r="AQ28" s="43"/>
    </row>
    <row r="29" spans="2:43" hidden="1" x14ac:dyDescent="0.3">
      <c r="B29" s="4" t="str">
        <f>IF(ROW(A17)&lt;=profilKelas!$F$14,ROW(A17),"")</f>
        <v/>
      </c>
      <c r="C29" s="94" t="str">
        <f>IF(ISBLANK(identitasMurid!C22),"",identitasMurid!C22)</f>
        <v/>
      </c>
      <c r="D29" s="6" t="str">
        <f>IF(ISBLANK(identitasMurid!D22),"",identitasMurid!D22)</f>
        <v/>
      </c>
      <c r="E29" s="95"/>
      <c r="F29" s="95"/>
      <c r="G29" s="95"/>
      <c r="H29" s="95"/>
      <c r="I29" s="95"/>
      <c r="J29" s="95"/>
      <c r="K29" s="95"/>
      <c r="L29" s="95"/>
      <c r="M29" s="95"/>
      <c r="Q29" s="5" t="str">
        <f>IF(ROW(A17)&lt;=profilKelas!$F$14,ROW(A17),"")</f>
        <v/>
      </c>
      <c r="R29" s="12" t="str">
        <f t="shared" si="0"/>
        <v/>
      </c>
      <c r="S29" s="108" t="str">
        <f t="shared" si="4"/>
        <v/>
      </c>
      <c r="T29" s="108" t="str">
        <f t="shared" si="2"/>
        <v/>
      </c>
      <c r="U29" s="108" t="str">
        <f t="shared" ref="U29:AA57" si="6">IF(LEN($B29)=0,"",IF(LEN($C29)=0,"Nama Siswa Kosong",IF($E29="","Status Siswa Kosong",IF($E29&lt;&gt;"Aktif","Siswa Tidak Aktif",
IF(ISBLANK(F29),"Belum mengisi",IF(F29&gt;=20,"Sudah terbiasa","Belum terbiasa"))))))</f>
        <v/>
      </c>
      <c r="V29" s="108" t="str">
        <f t="shared" si="6"/>
        <v/>
      </c>
      <c r="W29" s="108" t="str">
        <f t="shared" si="6"/>
        <v/>
      </c>
      <c r="X29" s="108" t="str">
        <f t="shared" si="6"/>
        <v/>
      </c>
      <c r="Y29" s="108" t="str">
        <f t="shared" si="6"/>
        <v/>
      </c>
      <c r="Z29" s="108" t="str">
        <f t="shared" si="6"/>
        <v/>
      </c>
      <c r="AA29" s="108" t="str">
        <f t="shared" si="6"/>
        <v/>
      </c>
      <c r="AB29" s="108" t="str" cm="1">
        <f t="array" ref="AB29">IF(LEN($B29)=0,"",IF(LEN(C29)=0,"Nama Siswa Kosong",IF($E29="","Status Siswa Kosong",IF(S29&lt;&gt;"Aktif","Siswa Tidak Aktif",
IF(OR(U29:AA29="Belum mengisi"),"Belum mengisi",IF(AND(U29:AA29="Sudah terbiasa"),"Sudah terbiasa","Belum terbiasa"))))))</f>
        <v/>
      </c>
      <c r="AC29" s="99">
        <f t="shared" si="5"/>
        <v>1</v>
      </c>
      <c r="AD29" s="41">
        <v>7</v>
      </c>
      <c r="AE29" s="161" t="s">
        <v>8</v>
      </c>
      <c r="AF29" s="161"/>
      <c r="AG29" s="10">
        <f>COUNTIF(JulTidurCepat,SudahTerbiasa)</f>
        <v>0</v>
      </c>
      <c r="AH29" s="50">
        <f>IF(LEN(profilKelas!$F$14)=0,"",AG29/profilKelas!$F$14)</f>
        <v>0</v>
      </c>
      <c r="AI29" s="10">
        <f>COUNTIF(JulTidurCepat,BelumTerbiasa)</f>
        <v>0</v>
      </c>
      <c r="AJ29" s="50">
        <f>IF(LEN(profilKelas!$F$14)=0,"",AI29/profilKelas!$F$14)</f>
        <v>0</v>
      </c>
      <c r="AK29" s="13"/>
      <c r="AL29" s="43"/>
      <c r="AM29" s="43"/>
      <c r="AN29" s="43"/>
      <c r="AO29" s="43"/>
      <c r="AP29" s="43"/>
      <c r="AQ29" s="43"/>
    </row>
    <row r="30" spans="2:43" hidden="1" x14ac:dyDescent="0.3">
      <c r="B30" s="4" t="str">
        <f>IF(ROW(A18)&lt;=profilKelas!$F$14,ROW(A18),"")</f>
        <v/>
      </c>
      <c r="C30" s="94" t="str">
        <f>IF(ISBLANK(identitasMurid!C23),"",identitasMurid!C23)</f>
        <v/>
      </c>
      <c r="D30" s="6" t="str">
        <f>IF(ISBLANK(identitasMurid!D23),"",identitasMurid!D23)</f>
        <v/>
      </c>
      <c r="E30" s="95"/>
      <c r="F30" s="95"/>
      <c r="G30" s="95"/>
      <c r="H30" s="95"/>
      <c r="I30" s="95"/>
      <c r="J30" s="95"/>
      <c r="K30" s="95"/>
      <c r="L30" s="95"/>
      <c r="M30" s="95"/>
      <c r="Q30" s="5" t="str">
        <f>IF(ROW(A18)&lt;=profilKelas!$F$14,ROW(A18),"")</f>
        <v/>
      </c>
      <c r="R30" s="12" t="str">
        <f t="shared" si="0"/>
        <v/>
      </c>
      <c r="S30" s="108" t="str">
        <f t="shared" si="4"/>
        <v/>
      </c>
      <c r="T30" s="108" t="str">
        <f t="shared" si="2"/>
        <v/>
      </c>
      <c r="U30" s="108" t="str">
        <f t="shared" si="6"/>
        <v/>
      </c>
      <c r="V30" s="108" t="str">
        <f t="shared" si="6"/>
        <v/>
      </c>
      <c r="W30" s="108" t="str">
        <f t="shared" si="6"/>
        <v/>
      </c>
      <c r="X30" s="108" t="str">
        <f t="shared" si="6"/>
        <v/>
      </c>
      <c r="Y30" s="108" t="str">
        <f t="shared" si="6"/>
        <v/>
      </c>
      <c r="Z30" s="108" t="str">
        <f t="shared" si="6"/>
        <v/>
      </c>
      <c r="AA30" s="108" t="str">
        <f t="shared" si="6"/>
        <v/>
      </c>
      <c r="AB30" s="108" t="str" cm="1">
        <f t="array" ref="AB30">IF(LEN($B30)=0,"",IF(LEN(C30)=0,"Nama Siswa Kosong",IF($E30="","Status Siswa Kosong",IF(S30&lt;&gt;"Aktif","Siswa Tidak Aktif",
IF(OR(U30:AA30="Belum mengisi"),"Belum mengisi",IF(AND(U30:AA30="Sudah terbiasa"),"Sudah terbiasa","Belum terbiasa"))))))</f>
        <v/>
      </c>
      <c r="AD30" s="13"/>
      <c r="AE30" s="13"/>
      <c r="AF30" s="13"/>
      <c r="AG30" s="13"/>
      <c r="AH30" s="13"/>
      <c r="AI30" s="13"/>
      <c r="AJ30" s="13"/>
      <c r="AK30" s="13"/>
      <c r="AL30" s="43"/>
      <c r="AM30" s="43"/>
      <c r="AN30" s="43"/>
      <c r="AO30" s="43"/>
      <c r="AP30" s="43"/>
      <c r="AQ30" s="43"/>
    </row>
    <row r="31" spans="2:43" hidden="1" x14ac:dyDescent="0.3">
      <c r="B31" s="4" t="str">
        <f>IF(ROW(A19)&lt;=profilKelas!$F$14,ROW(A19),"")</f>
        <v/>
      </c>
      <c r="C31" s="94" t="str">
        <f>IF(ISBLANK(identitasMurid!C24),"",identitasMurid!C24)</f>
        <v/>
      </c>
      <c r="D31" s="6" t="str">
        <f>IF(ISBLANK(identitasMurid!D24),"",identitasMurid!D24)</f>
        <v/>
      </c>
      <c r="E31" s="95"/>
      <c r="F31" s="95"/>
      <c r="G31" s="95"/>
      <c r="H31" s="95"/>
      <c r="I31" s="95"/>
      <c r="J31" s="95"/>
      <c r="K31" s="95"/>
      <c r="L31" s="95"/>
      <c r="M31" s="95"/>
      <c r="Q31" s="5" t="str">
        <f>IF(ROW(A19)&lt;=profilKelas!$F$14,ROW(A19),"")</f>
        <v/>
      </c>
      <c r="R31" s="12" t="str">
        <f t="shared" si="0"/>
        <v/>
      </c>
      <c r="S31" s="108" t="str">
        <f t="shared" si="4"/>
        <v/>
      </c>
      <c r="T31" s="108" t="str">
        <f t="shared" si="2"/>
        <v/>
      </c>
      <c r="U31" s="108" t="str">
        <f t="shared" si="6"/>
        <v/>
      </c>
      <c r="V31" s="108" t="str">
        <f t="shared" si="6"/>
        <v/>
      </c>
      <c r="W31" s="108" t="str">
        <f t="shared" si="6"/>
        <v/>
      </c>
      <c r="X31" s="108" t="str">
        <f t="shared" si="6"/>
        <v/>
      </c>
      <c r="Y31" s="108" t="str">
        <f t="shared" si="6"/>
        <v/>
      </c>
      <c r="Z31" s="108" t="str">
        <f t="shared" si="6"/>
        <v/>
      </c>
      <c r="AA31" s="108" t="str">
        <f t="shared" si="6"/>
        <v/>
      </c>
      <c r="AB31" s="108" t="str" cm="1">
        <f t="array" ref="AB31">IF(LEN($B31)=0,"",IF(LEN(C31)=0,"Nama Siswa Kosong",IF($E31="","Status Siswa Kosong",IF(S31&lt;&gt;"Aktif","Siswa Tidak Aktif",
IF(OR(U31:AA31="Belum mengisi"),"Belum mengisi",IF(AND(U31:AA31="Sudah terbiasa"),"Sudah terbiasa","Belum terbiasa"))))))</f>
        <v/>
      </c>
      <c r="AD31" s="13"/>
      <c r="AE31" s="13"/>
      <c r="AF31" s="13"/>
      <c r="AG31" s="148" t="s">
        <v>607</v>
      </c>
      <c r="AH31" s="148"/>
      <c r="AI31" s="148"/>
      <c r="AJ31" s="148"/>
      <c r="AK31" s="148" t="s">
        <v>608</v>
      </c>
      <c r="AL31" s="148"/>
      <c r="AM31" s="148"/>
      <c r="AN31" s="148"/>
      <c r="AO31" s="13"/>
      <c r="AP31" s="13"/>
      <c r="AQ31" s="13"/>
    </row>
    <row r="32" spans="2:43" hidden="1" x14ac:dyDescent="0.3">
      <c r="B32" s="4" t="str">
        <f>IF(ROW(A20)&lt;=profilKelas!$F$14,ROW(A20),"")</f>
        <v/>
      </c>
      <c r="C32" s="94" t="str">
        <f>IF(ISBLANK(identitasMurid!C25),"",identitasMurid!C25)</f>
        <v/>
      </c>
      <c r="D32" s="6" t="str">
        <f>IF(ISBLANK(identitasMurid!D25),"",identitasMurid!D25)</f>
        <v/>
      </c>
      <c r="E32" s="95"/>
      <c r="F32" s="95"/>
      <c r="G32" s="95"/>
      <c r="H32" s="95"/>
      <c r="I32" s="95"/>
      <c r="J32" s="95"/>
      <c r="K32" s="95"/>
      <c r="L32" s="95"/>
      <c r="M32" s="95"/>
      <c r="Q32" s="5" t="str">
        <f>IF(ROW(A20)&lt;=profilKelas!$F$14,ROW(A20),"")</f>
        <v/>
      </c>
      <c r="R32" s="12" t="str">
        <f t="shared" si="0"/>
        <v/>
      </c>
      <c r="S32" s="108" t="str">
        <f t="shared" si="4"/>
        <v/>
      </c>
      <c r="T32" s="108" t="str">
        <f t="shared" si="2"/>
        <v/>
      </c>
      <c r="U32" s="108" t="str">
        <f t="shared" si="6"/>
        <v/>
      </c>
      <c r="V32" s="108" t="str">
        <f t="shared" si="6"/>
        <v/>
      </c>
      <c r="W32" s="108" t="str">
        <f t="shared" si="6"/>
        <v/>
      </c>
      <c r="X32" s="108" t="str">
        <f t="shared" si="6"/>
        <v/>
      </c>
      <c r="Y32" s="108" t="str">
        <f t="shared" si="6"/>
        <v/>
      </c>
      <c r="Z32" s="108" t="str">
        <f t="shared" si="6"/>
        <v/>
      </c>
      <c r="AA32" s="108" t="str">
        <f t="shared" si="6"/>
        <v/>
      </c>
      <c r="AB32" s="108" t="str" cm="1">
        <f t="array" ref="AB32">IF(LEN($B32)=0,"",IF(LEN(C32)=0,"Nama Siswa Kosong",IF($E32="","Status Siswa Kosong",IF(S32&lt;&gt;"Aktif","Siswa Tidak Aktif",
IF(OR(U32:AA32="Belum mengisi"),"Belum mengisi",IF(AND(U32:AA32="Sudah terbiasa"),"Sudah terbiasa","Belum terbiasa"))))))</f>
        <v/>
      </c>
      <c r="AD32" s="98" t="s">
        <v>0</v>
      </c>
      <c r="AE32" s="148" t="s">
        <v>18</v>
      </c>
      <c r="AF32" s="148"/>
      <c r="AG32" s="148" t="s">
        <v>597</v>
      </c>
      <c r="AH32" s="148"/>
      <c r="AI32" s="148" t="s">
        <v>598</v>
      </c>
      <c r="AJ32" s="148"/>
      <c r="AK32" s="148" t="s">
        <v>597</v>
      </c>
      <c r="AL32" s="148"/>
      <c r="AM32" s="148" t="s">
        <v>598</v>
      </c>
      <c r="AN32" s="148"/>
      <c r="AO32" s="13"/>
      <c r="AP32" s="13"/>
      <c r="AQ32" s="13"/>
    </row>
    <row r="33" spans="2:43" hidden="1" x14ac:dyDescent="0.3">
      <c r="B33" s="4" t="str">
        <f>IF(ROW(A21)&lt;=profilKelas!$F$14,ROW(A21),"")</f>
        <v/>
      </c>
      <c r="C33" s="94" t="str">
        <f>IF(ISBLANK(identitasMurid!C26),"",identitasMurid!C26)</f>
        <v/>
      </c>
      <c r="D33" s="6" t="str">
        <f>IF(ISBLANK(identitasMurid!D26),"",identitasMurid!D26)</f>
        <v/>
      </c>
      <c r="E33" s="95"/>
      <c r="F33" s="95"/>
      <c r="G33" s="95"/>
      <c r="H33" s="95"/>
      <c r="I33" s="95"/>
      <c r="J33" s="95"/>
      <c r="K33" s="95"/>
      <c r="L33" s="95"/>
      <c r="M33" s="95"/>
      <c r="Q33" s="5" t="str">
        <f>IF(ROW(A21)&lt;=profilKelas!$F$14,ROW(A21),"")</f>
        <v/>
      </c>
      <c r="R33" s="12" t="str">
        <f t="shared" si="0"/>
        <v/>
      </c>
      <c r="S33" s="108" t="str">
        <f t="shared" si="4"/>
        <v/>
      </c>
      <c r="T33" s="108" t="str">
        <f t="shared" si="2"/>
        <v/>
      </c>
      <c r="U33" s="108" t="str">
        <f t="shared" si="6"/>
        <v/>
      </c>
      <c r="V33" s="108" t="str">
        <f t="shared" si="6"/>
        <v/>
      </c>
      <c r="W33" s="108" t="str">
        <f t="shared" si="6"/>
        <v/>
      </c>
      <c r="X33" s="108" t="str">
        <f t="shared" si="6"/>
        <v/>
      </c>
      <c r="Y33" s="108" t="str">
        <f t="shared" si="6"/>
        <v/>
      </c>
      <c r="Z33" s="108" t="str">
        <f t="shared" si="6"/>
        <v/>
      </c>
      <c r="AA33" s="108" t="str">
        <f t="shared" si="6"/>
        <v/>
      </c>
      <c r="AB33" s="108" t="str" cm="1">
        <f t="array" ref="AB33">IF(LEN($B33)=0,"",IF(LEN(C33)=0,"Nama Siswa Kosong",IF($E33="","Status Siswa Kosong",IF(S33&lt;&gt;"Aktif","Siswa Tidak Aktif",
IF(OR(U33:AA33="Belum mengisi"),"Belum mengisi",IF(AND(U33:AA33="Sudah terbiasa"),"Sudah terbiasa","Belum terbiasa"))))))</f>
        <v/>
      </c>
      <c r="AD33" s="41">
        <v>1</v>
      </c>
      <c r="AE33" s="161" t="s">
        <v>2</v>
      </c>
      <c r="AF33" s="161"/>
      <c r="AG33" s="51">
        <f>COUNTIFS(JulBangunPagi,SudahTerbiasa,JulPL,Perempuan)</f>
        <v>0</v>
      </c>
      <c r="AH33" s="52" t="str">
        <f>IFERROR(IF($AF$18=0,"",COUNTIFS(JulBangunPagi,SudahTerbiasa,JulPL,Perempuan)/COUNTIFS(JulPL,Perempuan)),)</f>
        <v/>
      </c>
      <c r="AI33" s="53">
        <f>COUNTIFS(JulBangunPagi,BelumTerbiasa,JulPL,Perempuan)</f>
        <v>0</v>
      </c>
      <c r="AJ33" s="54" t="str">
        <f>IFERROR(IF($AF$18=0,"",COUNTIFS(JulBangunPagi,BelumTerbiasa,JulPL,Perempuan)/COUNTIF(JulPL,Perempuan)),)</f>
        <v/>
      </c>
      <c r="AK33" s="55">
        <f>COUNTIFS(JulBangunPagi,SudahTerbiasa,JulPL,Laki_Laki)</f>
        <v>0</v>
      </c>
      <c r="AL33" s="56" t="str">
        <f>IFERROR(IF($AF$18=0,"",COUNTIFS(JulBangunPagi,SudahTerbiasa,JulPL,Laki_Laki)/COUNTIFS(JulPL,Laki_Laki)),)</f>
        <v/>
      </c>
      <c r="AM33" s="57">
        <f>COUNTIFS(JulBangunPagi,BelumTerbiasa,JulPL,Laki_Laki)</f>
        <v>0</v>
      </c>
      <c r="AN33" s="58" t="str">
        <f>IFERROR(IF($AF$18=0,"",COUNTIFS(JulBangunPagi,BelumTerbiasa,JulPL,Laki_Laki)/COUNTIFS(JulPL,Laki_Laki)),)</f>
        <v/>
      </c>
      <c r="AO33" s="13"/>
      <c r="AP33" s="13"/>
      <c r="AQ33" s="13"/>
    </row>
    <row r="34" spans="2:43" hidden="1" x14ac:dyDescent="0.3">
      <c r="B34" s="4" t="str">
        <f>IF(ROW(A22)&lt;=profilKelas!$F$14,ROW(A22),"")</f>
        <v/>
      </c>
      <c r="C34" s="94" t="str">
        <f>IF(ISBLANK(identitasMurid!C27),"",identitasMurid!C27)</f>
        <v/>
      </c>
      <c r="D34" s="6" t="str">
        <f>IF(ISBLANK(identitasMurid!D27),"",identitasMurid!D27)</f>
        <v/>
      </c>
      <c r="E34" s="95"/>
      <c r="F34" s="95"/>
      <c r="G34" s="95"/>
      <c r="H34" s="95"/>
      <c r="I34" s="95"/>
      <c r="J34" s="95"/>
      <c r="K34" s="95"/>
      <c r="L34" s="95"/>
      <c r="M34" s="95"/>
      <c r="Q34" s="5" t="str">
        <f>IF(ROW(A22)&lt;=profilKelas!$F$14,ROW(A22),"")</f>
        <v/>
      </c>
      <c r="R34" s="12" t="str">
        <f t="shared" si="0"/>
        <v/>
      </c>
      <c r="S34" s="108" t="str">
        <f t="shared" si="4"/>
        <v/>
      </c>
      <c r="T34" s="108" t="str">
        <f t="shared" si="2"/>
        <v/>
      </c>
      <c r="U34" s="108" t="str">
        <f t="shared" si="6"/>
        <v/>
      </c>
      <c r="V34" s="108" t="str">
        <f t="shared" si="6"/>
        <v/>
      </c>
      <c r="W34" s="108" t="str">
        <f t="shared" si="6"/>
        <v/>
      </c>
      <c r="X34" s="108" t="str">
        <f t="shared" si="6"/>
        <v/>
      </c>
      <c r="Y34" s="108" t="str">
        <f t="shared" si="6"/>
        <v/>
      </c>
      <c r="Z34" s="108" t="str">
        <f t="shared" si="6"/>
        <v/>
      </c>
      <c r="AA34" s="108" t="str">
        <f t="shared" si="6"/>
        <v/>
      </c>
      <c r="AB34" s="108" t="str" cm="1">
        <f t="array" ref="AB34">IF(LEN($B34)=0,"",IF(LEN(C34)=0,"Nama Siswa Kosong",IF($E34="","Status Siswa Kosong",IF(S34&lt;&gt;"Aktif","Siswa Tidak Aktif",
IF(OR(U34:AA34="Belum mengisi"),"Belum mengisi",IF(AND(U34:AA34="Sudah terbiasa"),"Sudah terbiasa","Belum terbiasa"))))))</f>
        <v/>
      </c>
      <c r="AD34" s="41">
        <v>2</v>
      </c>
      <c r="AE34" s="161" t="s">
        <v>3</v>
      </c>
      <c r="AF34" s="161"/>
      <c r="AG34" s="51">
        <f>COUNTIFS(JulTaatBeribadah,SudahTerbiasa,JulPL,Perempuan)</f>
        <v>0</v>
      </c>
      <c r="AH34" s="52" t="str">
        <f>IFERROR(IF($AF$18=0,"",COUNTIFS(JulTaatBeribadah,SudahTerbiasa,JulPL,Perempuan)/COUNTIFS(JulPL,Perempuan)),)</f>
        <v/>
      </c>
      <c r="AI34" s="53">
        <f>COUNTIFS(JulTaatBeribadah,BelumTerbiasa,JulPL,Perempuan)</f>
        <v>0</v>
      </c>
      <c r="AJ34" s="59" t="str">
        <f>IFERROR(IF($AF$18=0,"",COUNTIFS(JulTaatBeribadah,BelumTerbiasa,JulPL,Perempuan)/COUNTIFS(JulPL,Perempuan)),)</f>
        <v/>
      </c>
      <c r="AK34" s="55">
        <f>COUNTIFS(JulTaatBeribadah,SudahTerbiasa,JulPL,Laki_Laki)</f>
        <v>0</v>
      </c>
      <c r="AL34" s="56" t="str">
        <f>IFERROR(IF($AF$18=0,"",COUNTIFS(JulTaatBeribadah,SudahTerbiasa,JulPL,Laki_Laki)/COUNTIFS(JulPL,Laki_Laki)),)</f>
        <v/>
      </c>
      <c r="AM34" s="57">
        <f>COUNTIFS(JulTaatBeribadah,BelumTerbiasa,JulPL,Laki_Laki)</f>
        <v>0</v>
      </c>
      <c r="AN34" s="58" t="str">
        <f>IFERROR(IF($AF$18=0,"",COUNTIFS(JulTaatBeribadah,BelumTerbiasa,JulPL,Laki_Laki)/COUNTIFS(JulPL,Laki_Laki)),)</f>
        <v/>
      </c>
      <c r="AO34" s="13"/>
      <c r="AP34" s="13"/>
      <c r="AQ34" s="13"/>
    </row>
    <row r="35" spans="2:43" hidden="1" x14ac:dyDescent="0.3">
      <c r="B35" s="4" t="str">
        <f>IF(ROW(A23)&lt;=profilKelas!$F$14,ROW(A23),"")</f>
        <v/>
      </c>
      <c r="C35" s="94" t="str">
        <f>IF(ISBLANK(identitasMurid!C28),"",identitasMurid!C28)</f>
        <v/>
      </c>
      <c r="D35" s="6" t="str">
        <f>IF(ISBLANK(identitasMurid!D28),"",identitasMurid!D28)</f>
        <v/>
      </c>
      <c r="E35" s="95"/>
      <c r="F35" s="95"/>
      <c r="G35" s="95"/>
      <c r="H35" s="95"/>
      <c r="I35" s="95"/>
      <c r="J35" s="95"/>
      <c r="K35" s="95"/>
      <c r="L35" s="95"/>
      <c r="M35" s="95"/>
      <c r="Q35" s="5" t="str">
        <f>IF(ROW(A23)&lt;=profilKelas!$F$14,ROW(A23),"")</f>
        <v/>
      </c>
      <c r="R35" s="12" t="str">
        <f t="shared" si="0"/>
        <v/>
      </c>
      <c r="S35" s="108" t="str">
        <f t="shared" si="4"/>
        <v/>
      </c>
      <c r="T35" s="108" t="str">
        <f t="shared" si="2"/>
        <v/>
      </c>
      <c r="U35" s="108" t="str">
        <f t="shared" si="6"/>
        <v/>
      </c>
      <c r="V35" s="108" t="str">
        <f t="shared" si="6"/>
        <v/>
      </c>
      <c r="W35" s="108" t="str">
        <f t="shared" si="6"/>
        <v/>
      </c>
      <c r="X35" s="108" t="str">
        <f t="shared" si="6"/>
        <v/>
      </c>
      <c r="Y35" s="108" t="str">
        <f t="shared" si="6"/>
        <v/>
      </c>
      <c r="Z35" s="108" t="str">
        <f t="shared" si="6"/>
        <v/>
      </c>
      <c r="AA35" s="108" t="str">
        <f t="shared" si="6"/>
        <v/>
      </c>
      <c r="AB35" s="108" t="str" cm="1">
        <f t="array" ref="AB35">IF(LEN($B35)=0,"",IF(LEN(C35)=0,"Nama Siswa Kosong",IF($E35="","Status Siswa Kosong",IF(S35&lt;&gt;"Aktif","Siswa Tidak Aktif",
IF(OR(U35:AA35="Belum mengisi"),"Belum mengisi",IF(AND(U35:AA35="Sudah terbiasa"),"Sudah terbiasa","Belum terbiasa"))))))</f>
        <v/>
      </c>
      <c r="AD35" s="41">
        <v>3</v>
      </c>
      <c r="AE35" s="161" t="s">
        <v>4</v>
      </c>
      <c r="AF35" s="161"/>
      <c r="AG35" s="51">
        <f>COUNTIFS(JulBerolahraga,SudahTerbiasa,JulPL,Perempuan)</f>
        <v>0</v>
      </c>
      <c r="AH35" s="52" t="str">
        <f>IFERROR(IF($AF$18=0,"",COUNTIFS(JulBerolahraga,SudahTerbiasa,JulPL,Perempuan)/COUNTIFS(JulPL,Perempuan)),)</f>
        <v/>
      </c>
      <c r="AI35" s="53">
        <f>COUNTIFS(JulBerolahraga,BelumTerbiasa,JulPL,Perempuan)</f>
        <v>0</v>
      </c>
      <c r="AJ35" s="59" t="str">
        <f>IFERROR(IF($AF$18=0,"",COUNTIFS(JulBerolahraga,BelumTerbiasa,JulPL,Perempuan)/COUNTIFS(JulPL,Perempuan)),)</f>
        <v/>
      </c>
      <c r="AK35" s="55">
        <f>COUNTIFS(JulBerolahraga,SudahTerbiasa,JulPL,Laki_Laki)</f>
        <v>0</v>
      </c>
      <c r="AL35" s="56" t="str">
        <f>IFERROR(IF($AF$18=0,"",COUNTIFS(JulBerolahraga,SudahTerbiasa,JulPL,Laki_Laki)/COUNTIFS(JulPL,Laki_Laki)),)</f>
        <v/>
      </c>
      <c r="AM35" s="57">
        <f>COUNTIFS(JulBerolahraga,BelumTerbiasa,JulPL,Laki_Laki)</f>
        <v>0</v>
      </c>
      <c r="AN35" s="58" t="str">
        <f>IFERROR(IF($AF$18=0,"",COUNTIFS(JulBerolahraga,BelumTerbiasa,JulPL,Laki_Laki)/COUNTIFS(JulPL,Laki_Laki)),)</f>
        <v/>
      </c>
      <c r="AO35" s="13"/>
      <c r="AP35" s="13"/>
      <c r="AQ35" s="13"/>
    </row>
    <row r="36" spans="2:43" hidden="1" x14ac:dyDescent="0.3">
      <c r="B36" s="4" t="str">
        <f>IF(ROW(A24)&lt;=profilKelas!$F$14,ROW(A24),"")</f>
        <v/>
      </c>
      <c r="C36" s="94" t="str">
        <f>IF(ISBLANK(identitasMurid!C29),"",identitasMurid!C29)</f>
        <v/>
      </c>
      <c r="D36" s="6" t="str">
        <f>IF(ISBLANK(identitasMurid!D29),"",identitasMurid!D29)</f>
        <v/>
      </c>
      <c r="E36" s="95"/>
      <c r="F36" s="95"/>
      <c r="G36" s="95"/>
      <c r="H36" s="95"/>
      <c r="I36" s="95"/>
      <c r="J36" s="95"/>
      <c r="K36" s="95"/>
      <c r="L36" s="95"/>
      <c r="M36" s="95"/>
      <c r="Q36" s="5" t="str">
        <f>IF(ROW(A24)&lt;=profilKelas!$F$14,ROW(A24),"")</f>
        <v/>
      </c>
      <c r="R36" s="12" t="str">
        <f t="shared" si="0"/>
        <v/>
      </c>
      <c r="S36" s="108" t="str">
        <f t="shared" si="4"/>
        <v/>
      </c>
      <c r="T36" s="108" t="str">
        <f t="shared" si="2"/>
        <v/>
      </c>
      <c r="U36" s="108" t="str">
        <f t="shared" si="6"/>
        <v/>
      </c>
      <c r="V36" s="108" t="str">
        <f t="shared" si="6"/>
        <v/>
      </c>
      <c r="W36" s="108" t="str">
        <f t="shared" si="6"/>
        <v/>
      </c>
      <c r="X36" s="108" t="str">
        <f t="shared" si="6"/>
        <v/>
      </c>
      <c r="Y36" s="108" t="str">
        <f t="shared" si="6"/>
        <v/>
      </c>
      <c r="Z36" s="108" t="str">
        <f t="shared" si="6"/>
        <v/>
      </c>
      <c r="AA36" s="108" t="str">
        <f t="shared" si="6"/>
        <v/>
      </c>
      <c r="AB36" s="108" t="str" cm="1">
        <f t="array" ref="AB36">IF(LEN($B36)=0,"",IF(LEN(C36)=0,"Nama Siswa Kosong",IF($E36="","Status Siswa Kosong",IF(S36&lt;&gt;"Aktif","Siswa Tidak Aktif",
IF(OR(U36:AA36="Belum mengisi"),"Belum mengisi",IF(AND(U36:AA36="Sudah terbiasa"),"Sudah terbiasa","Belum terbiasa"))))))</f>
        <v/>
      </c>
      <c r="AD36" s="41">
        <v>4</v>
      </c>
      <c r="AE36" s="161" t="s">
        <v>5</v>
      </c>
      <c r="AF36" s="161"/>
      <c r="AG36" s="51">
        <f>COUNTIFS(JulMakanSehatBergizi,SudahTerbiasa,JulPL,Perempuan)</f>
        <v>0</v>
      </c>
      <c r="AH36" s="52" t="str">
        <f>IFERROR(IF($AF$18=0,"",COUNTIFS(JulMakanSehatBergizi,SudahTerbiasa,JulPL,Perempuan)/COUNTIFS(JulPL,Perempuan)),)</f>
        <v/>
      </c>
      <c r="AI36" s="53">
        <f>COUNTIFS(JulMakanSehatBergizi,BelumTerbiasa,JulPL,Perempuan)</f>
        <v>0</v>
      </c>
      <c r="AJ36" s="59" t="str">
        <f>IFERROR(IF($AF$18=0,"",COUNTIFS(JulMakanSehatBergizi,BelumTerbiasa,JulPL,Perempuan)/COUNTIFS(JulPL,Perempuan)),)</f>
        <v/>
      </c>
      <c r="AK36" s="55">
        <f>COUNTIFS(JulMakanSehatBergizi,SudahTerbiasa,JulPL,Laki_Laki)</f>
        <v>0</v>
      </c>
      <c r="AL36" s="56" t="str">
        <f>IFERROR(IF($AF$18=0,"",COUNTIFS(JulMakanSehatBergizi,SudahTerbiasa,JulPL,Laki_Laki)/COUNTIFS(JulPL,Laki_Laki)),)</f>
        <v/>
      </c>
      <c r="AM36" s="57">
        <f>COUNTIFS(JulMakanSehatBergizi,BelumTerbiasa,JulPL,Laki_Laki)</f>
        <v>0</v>
      </c>
      <c r="AN36" s="58" t="str">
        <f>IFERROR(IF($AF$18=0,"",COUNTIFS(JulMakanSehatBergizi,BelumTerbiasa,JulPL,Laki_Laki)/COUNTIFS(JulPL,Laki_Laki)),)</f>
        <v/>
      </c>
      <c r="AO36" s="13"/>
      <c r="AP36" s="13"/>
      <c r="AQ36" s="13"/>
    </row>
    <row r="37" spans="2:43" hidden="1" x14ac:dyDescent="0.3">
      <c r="B37" s="4" t="str">
        <f>IF(ROW(A25)&lt;=profilKelas!$F$14,ROW(A25),"")</f>
        <v/>
      </c>
      <c r="C37" s="94" t="str">
        <f>IF(ISBLANK(identitasMurid!C30),"",identitasMurid!C30)</f>
        <v/>
      </c>
      <c r="D37" s="6" t="str">
        <f>IF(ISBLANK(identitasMurid!D30),"",identitasMurid!D30)</f>
        <v/>
      </c>
      <c r="E37" s="95"/>
      <c r="F37" s="95"/>
      <c r="G37" s="95"/>
      <c r="H37" s="95"/>
      <c r="I37" s="95"/>
      <c r="J37" s="95"/>
      <c r="K37" s="95"/>
      <c r="L37" s="95"/>
      <c r="M37" s="95"/>
      <c r="Q37" s="5" t="str">
        <f>IF(ROW(A25)&lt;=profilKelas!$F$14,ROW(A25),"")</f>
        <v/>
      </c>
      <c r="R37" s="12" t="str">
        <f t="shared" si="0"/>
        <v/>
      </c>
      <c r="S37" s="108" t="str">
        <f t="shared" si="4"/>
        <v/>
      </c>
      <c r="T37" s="108" t="str">
        <f t="shared" si="2"/>
        <v/>
      </c>
      <c r="U37" s="108" t="str">
        <f t="shared" si="6"/>
        <v/>
      </c>
      <c r="V37" s="108" t="str">
        <f t="shared" si="6"/>
        <v/>
      </c>
      <c r="W37" s="108" t="str">
        <f t="shared" si="6"/>
        <v/>
      </c>
      <c r="X37" s="108" t="str">
        <f t="shared" si="6"/>
        <v/>
      </c>
      <c r="Y37" s="108" t="str">
        <f t="shared" si="6"/>
        <v/>
      </c>
      <c r="Z37" s="108" t="str">
        <f t="shared" si="6"/>
        <v/>
      </c>
      <c r="AA37" s="108" t="str">
        <f t="shared" si="6"/>
        <v/>
      </c>
      <c r="AB37" s="108" t="str" cm="1">
        <f t="array" ref="AB37">IF(LEN($B37)=0,"",IF(LEN(C37)=0,"Nama Siswa Kosong",IF($E37="","Status Siswa Kosong",IF(S37&lt;&gt;"Aktif","Siswa Tidak Aktif",
IF(OR(U37:AA37="Belum mengisi"),"Belum mengisi",IF(AND(U37:AA37="Sudah terbiasa"),"Sudah terbiasa","Belum terbiasa"))))))</f>
        <v/>
      </c>
      <c r="AD37" s="41">
        <v>5</v>
      </c>
      <c r="AE37" s="161" t="s">
        <v>6</v>
      </c>
      <c r="AF37" s="161"/>
      <c r="AG37" s="51">
        <f>COUNTIFS(JulGemarBelajar,SudahTerbiasa,JulPL,Perempuan)</f>
        <v>0</v>
      </c>
      <c r="AH37" s="52" t="str">
        <f>IFERROR(IF($AF$18=0,"",COUNTIFS(JulGemarBelajar,SudahTerbiasa,JulPL,Perempuan)/COUNTIFS(JulPL,Perempuan)),)</f>
        <v/>
      </c>
      <c r="AI37" s="53">
        <f>COUNTIFS(JulGemarBelajar,BelumTerbiasa,JulPL,Perempuan)</f>
        <v>0</v>
      </c>
      <c r="AJ37" s="59" t="str">
        <f>IFERROR(IF($AF$18=0,"",COUNTIFS(JulGemarBelajar,BelumTerbiasa,JulPL,Perempuan)/COUNTIFS(JulPL,Perempuan)),)</f>
        <v/>
      </c>
      <c r="AK37" s="55">
        <f>COUNTIFS(JulGemarBelajar,SudahTerbiasa,JulPL,Laki_Laki)</f>
        <v>0</v>
      </c>
      <c r="AL37" s="56" t="str">
        <f>IFERROR(IF($AF$18=0,"",COUNTIFS(JulGemarBelajar,SudahTerbiasa,JulPL,Laki_Laki)/COUNTIFS(JulPL,Laki_Laki)),)</f>
        <v/>
      </c>
      <c r="AM37" s="57">
        <f>COUNTIFS(JulGemarBelajar,BelumTerbiasa,JulPL,Laki_Laki)</f>
        <v>0</v>
      </c>
      <c r="AN37" s="58" t="str">
        <f>IFERROR(IF($AF$18=0,"",COUNTIFS(JulGemarBelajar,BelumTerbiasa,JulPL,Laki_Laki)/COUNTIFS(JulPL,Laki_Laki)),)</f>
        <v/>
      </c>
      <c r="AO37" s="13"/>
      <c r="AP37" s="13"/>
      <c r="AQ37" s="13"/>
    </row>
    <row r="38" spans="2:43" hidden="1" x14ac:dyDescent="0.3">
      <c r="B38" s="4" t="str">
        <f>IF(ROW(A26)&lt;=profilKelas!$F$14,ROW(A26),"")</f>
        <v/>
      </c>
      <c r="C38" s="94" t="str">
        <f>IF(ISBLANK(identitasMurid!C31),"",identitasMurid!C31)</f>
        <v/>
      </c>
      <c r="D38" s="6" t="str">
        <f>IF(ISBLANK(identitasMurid!D31),"",identitasMurid!D31)</f>
        <v/>
      </c>
      <c r="E38" s="95"/>
      <c r="F38" s="95"/>
      <c r="G38" s="95"/>
      <c r="H38" s="95"/>
      <c r="I38" s="95"/>
      <c r="J38" s="95"/>
      <c r="K38" s="95"/>
      <c r="L38" s="95"/>
      <c r="M38" s="95"/>
      <c r="Q38" s="5" t="str">
        <f>IF(ROW(A26)&lt;=profilKelas!$F$14,ROW(A26),"")</f>
        <v/>
      </c>
      <c r="R38" s="12" t="str">
        <f t="shared" si="0"/>
        <v/>
      </c>
      <c r="S38" s="108" t="str">
        <f t="shared" si="4"/>
        <v/>
      </c>
      <c r="T38" s="108" t="str">
        <f t="shared" si="2"/>
        <v/>
      </c>
      <c r="U38" s="108" t="str">
        <f t="shared" si="6"/>
        <v/>
      </c>
      <c r="V38" s="108" t="str">
        <f t="shared" si="6"/>
        <v/>
      </c>
      <c r="W38" s="108" t="str">
        <f t="shared" si="6"/>
        <v/>
      </c>
      <c r="X38" s="108" t="str">
        <f t="shared" si="6"/>
        <v/>
      </c>
      <c r="Y38" s="108" t="str">
        <f t="shared" si="6"/>
        <v/>
      </c>
      <c r="Z38" s="108" t="str">
        <f t="shared" si="6"/>
        <v/>
      </c>
      <c r="AA38" s="108" t="str">
        <f t="shared" si="6"/>
        <v/>
      </c>
      <c r="AB38" s="108" t="str" cm="1">
        <f t="array" ref="AB38">IF(LEN($B38)=0,"",IF(LEN(C38)=0,"Nama Siswa Kosong",IF($E38="","Status Siswa Kosong",IF(S38&lt;&gt;"Aktif","Siswa Tidak Aktif",
IF(OR(U38:AA38="Belum mengisi"),"Belum mengisi",IF(AND(U38:AA38="Sudah terbiasa"),"Sudah terbiasa","Belum terbiasa"))))))</f>
        <v/>
      </c>
      <c r="AD38" s="41">
        <v>6</v>
      </c>
      <c r="AE38" s="161" t="s">
        <v>7</v>
      </c>
      <c r="AF38" s="161"/>
      <c r="AG38" s="51">
        <f>COUNTIFS(JulAktifBermasyarakat,SudahTerbiasa,JulPL,Perempuan)</f>
        <v>0</v>
      </c>
      <c r="AH38" s="52" t="str">
        <f>IFERROR(IF($AF$18=0,"",COUNTIFS(JulAktifBermasyarakat,SudahTerbiasa,JulPL,Perempuan)/COUNTIFS(JulPL,Perempuan)),)</f>
        <v/>
      </c>
      <c r="AI38" s="53">
        <f>COUNTIFS(JulAktifBermasyarakat,BelumTerbiasa,JulPL,Perempuan)</f>
        <v>0</v>
      </c>
      <c r="AJ38" s="59" t="str">
        <f>IFERROR(IF($AF$18=0,"",COUNTIFS(JulAktifBermasyarakat,BelumTerbiasa,JulPL,Perempuan)/COUNTIFS(JulPL,Perempuan)),)</f>
        <v/>
      </c>
      <c r="AK38" s="55">
        <f>COUNTIFS(JulAktifBermasyarakat,SudahTerbiasa,JulPL,Laki_Laki)</f>
        <v>0</v>
      </c>
      <c r="AL38" s="56" t="str">
        <f>IFERROR(IF($AF$18=0,"",COUNTIFS(JulAktifBermasyarakat,SudahTerbiasa,JulPL,Laki_Laki)/COUNTIFS(JulPL,Laki_Laki)),)</f>
        <v/>
      </c>
      <c r="AM38" s="57">
        <f>COUNTIFS(JulAktifBermasyarakat,BelumTerbiasa,JulPL,Laki_Laki)</f>
        <v>0</v>
      </c>
      <c r="AN38" s="58" t="str">
        <f>IFERROR(IF($AF$18=0,"",COUNTIFS(JulAktifBermasyarakat,BelumTerbiasa,JulPL,Laki_Laki)/COUNTIFS(JulPL,Laki_Laki)),)</f>
        <v/>
      </c>
      <c r="AO38" s="13"/>
      <c r="AP38" s="13"/>
      <c r="AQ38" s="13"/>
    </row>
    <row r="39" spans="2:43" hidden="1" x14ac:dyDescent="0.3">
      <c r="B39" s="4" t="str">
        <f>IF(ROW(A27)&lt;=profilKelas!$F$14,ROW(A27),"")</f>
        <v/>
      </c>
      <c r="C39" s="94" t="str">
        <f>IF(ISBLANK(identitasMurid!C32),"",identitasMurid!C32)</f>
        <v/>
      </c>
      <c r="D39" s="6" t="str">
        <f>IF(ISBLANK(identitasMurid!D32),"",identitasMurid!D32)</f>
        <v/>
      </c>
      <c r="E39" s="95"/>
      <c r="F39" s="95"/>
      <c r="G39" s="95"/>
      <c r="H39" s="95"/>
      <c r="I39" s="95"/>
      <c r="J39" s="95"/>
      <c r="K39" s="95"/>
      <c r="L39" s="95"/>
      <c r="M39" s="95"/>
      <c r="Q39" s="5" t="str">
        <f>IF(ROW(A27)&lt;=profilKelas!$F$14,ROW(A27),"")</f>
        <v/>
      </c>
      <c r="R39" s="12" t="str">
        <f t="shared" si="0"/>
        <v/>
      </c>
      <c r="S39" s="108" t="str">
        <f t="shared" si="4"/>
        <v/>
      </c>
      <c r="T39" s="108" t="str">
        <f t="shared" si="2"/>
        <v/>
      </c>
      <c r="U39" s="108" t="str">
        <f t="shared" si="6"/>
        <v/>
      </c>
      <c r="V39" s="108" t="str">
        <f t="shared" si="6"/>
        <v/>
      </c>
      <c r="W39" s="108" t="str">
        <f t="shared" si="6"/>
        <v/>
      </c>
      <c r="X39" s="108" t="str">
        <f t="shared" si="6"/>
        <v/>
      </c>
      <c r="Y39" s="108" t="str">
        <f t="shared" si="6"/>
        <v/>
      </c>
      <c r="Z39" s="108" t="str">
        <f t="shared" si="6"/>
        <v/>
      </c>
      <c r="AA39" s="108" t="str">
        <f t="shared" si="6"/>
        <v/>
      </c>
      <c r="AB39" s="108" t="str" cm="1">
        <f t="array" ref="AB39">IF(LEN($B39)=0,"",IF(LEN(C39)=0,"Nama Siswa Kosong",IF($E39="","Status Siswa Kosong",IF(S39&lt;&gt;"Aktif","Siswa Tidak Aktif",
IF(OR(U39:AA39="Belum mengisi"),"Belum mengisi",IF(AND(U39:AA39="Sudah terbiasa"),"Sudah terbiasa","Belum terbiasa"))))))</f>
        <v/>
      </c>
      <c r="AD39" s="41">
        <v>7</v>
      </c>
      <c r="AE39" s="161" t="s">
        <v>8</v>
      </c>
      <c r="AF39" s="161"/>
      <c r="AG39" s="51">
        <f>COUNTIFS(JulTidurCepat,SudahTerbiasa,JulPL,Perempuan)</f>
        <v>0</v>
      </c>
      <c r="AH39" s="52" t="str">
        <f>IFERROR(IF($AF$18=0,"",COUNTIFS(JulTidurCepat,SudahTerbiasa,JulPL,Perempuan)/COUNTIFS(JulPL,Perempuan)),)</f>
        <v/>
      </c>
      <c r="AI39" s="53">
        <f>COUNTIFS(JulTidurCepat,BelumTerbiasa,JulPL,Perempuan)</f>
        <v>0</v>
      </c>
      <c r="AJ39" s="59" t="str">
        <f>IFERROR(IF($AF$18=0,"",COUNTIFS(JulTidurCepat,BelumTerbiasa,JulPL,Perempuan)/COUNTIFS(JulPL,Perempuan)),)</f>
        <v/>
      </c>
      <c r="AK39" s="55">
        <f>COUNTIFS(JulTidurCepat,SudahTerbiasa,JulPL,Laki_Laki)</f>
        <v>0</v>
      </c>
      <c r="AL39" s="56" t="str">
        <f>IFERROR(IF($AF$18=0,"",COUNTIFS(JulTidurCepat,SudahTerbiasa,JulPL,Laki_Laki)/COUNTIFS(JulPL,Laki_Laki)),)</f>
        <v/>
      </c>
      <c r="AM39" s="57">
        <f>COUNTIFS(JulTidurCepat,BelumTerbiasa,JulPL,Laki_Laki)</f>
        <v>0</v>
      </c>
      <c r="AN39" s="58" t="str">
        <f>IFERROR(IF($AF$18=0,"",COUNTIFS(JulTidurCepat,BelumTerbiasa,JulPL,Laki_Laki)/COUNTIFS(JulPL,Laki_Laki)),)</f>
        <v/>
      </c>
      <c r="AO39" s="13"/>
      <c r="AP39" s="13"/>
      <c r="AQ39" s="13"/>
    </row>
    <row r="40" spans="2:43" hidden="1" x14ac:dyDescent="0.3">
      <c r="B40" s="4" t="str">
        <f>IF(ROW(A28)&lt;=profilKelas!$F$14,ROW(A28),"")</f>
        <v/>
      </c>
      <c r="C40" s="94" t="str">
        <f>IF(ISBLANK(identitasMurid!C33),"",identitasMurid!C33)</f>
        <v/>
      </c>
      <c r="D40" s="6" t="str">
        <f>IF(ISBLANK(identitasMurid!D33),"",identitasMurid!D33)</f>
        <v/>
      </c>
      <c r="E40" s="95"/>
      <c r="F40" s="95"/>
      <c r="G40" s="95"/>
      <c r="H40" s="95"/>
      <c r="I40" s="95"/>
      <c r="J40" s="95"/>
      <c r="K40" s="95"/>
      <c r="L40" s="95"/>
      <c r="M40" s="95"/>
      <c r="Q40" s="5" t="str">
        <f>IF(ROW(A28)&lt;=profilKelas!$F$14,ROW(A28),"")</f>
        <v/>
      </c>
      <c r="R40" s="12" t="str">
        <f t="shared" si="0"/>
        <v/>
      </c>
      <c r="S40" s="108" t="str">
        <f t="shared" si="4"/>
        <v/>
      </c>
      <c r="T40" s="108" t="str">
        <f t="shared" si="2"/>
        <v/>
      </c>
      <c r="U40" s="108" t="str">
        <f t="shared" si="6"/>
        <v/>
      </c>
      <c r="V40" s="108" t="str">
        <f t="shared" si="6"/>
        <v/>
      </c>
      <c r="W40" s="108" t="str">
        <f t="shared" si="6"/>
        <v/>
      </c>
      <c r="X40" s="108" t="str">
        <f t="shared" si="6"/>
        <v/>
      </c>
      <c r="Y40" s="108" t="str">
        <f t="shared" si="6"/>
        <v/>
      </c>
      <c r="Z40" s="108" t="str">
        <f t="shared" si="6"/>
        <v/>
      </c>
      <c r="AA40" s="108" t="str">
        <f t="shared" si="6"/>
        <v/>
      </c>
      <c r="AB40" s="108" t="str" cm="1">
        <f t="array" ref="AB40">IF(LEN($B40)=0,"",IF(LEN(C40)=0,"Nama Siswa Kosong",IF($E40="","Status Siswa Kosong",IF(S40&lt;&gt;"Aktif","Siswa Tidak Aktif",
IF(OR(U40:AA40="Belum mengisi"),"Belum mengisi",IF(AND(U40:AA40="Sudah terbiasa"),"Sudah terbiasa","Belum terbiasa"))))))</f>
        <v/>
      </c>
    </row>
    <row r="41" spans="2:43" hidden="1" x14ac:dyDescent="0.3">
      <c r="B41" s="4" t="str">
        <f>IF(ROW(A29)&lt;=profilKelas!$F$14,ROW(A29),"")</f>
        <v/>
      </c>
      <c r="C41" s="94" t="str">
        <f>IF(ISBLANK(identitasMurid!C34),"",identitasMurid!C34)</f>
        <v/>
      </c>
      <c r="D41" s="6" t="str">
        <f>IF(ISBLANK(identitasMurid!D34),"",identitasMurid!D34)</f>
        <v/>
      </c>
      <c r="E41" s="95"/>
      <c r="F41" s="95"/>
      <c r="G41" s="95"/>
      <c r="H41" s="95"/>
      <c r="I41" s="95"/>
      <c r="J41" s="95"/>
      <c r="K41" s="95"/>
      <c r="L41" s="95"/>
      <c r="M41" s="95"/>
      <c r="Q41" s="5" t="str">
        <f>IF(ROW(A29)&lt;=profilKelas!$F$14,ROW(A29),"")</f>
        <v/>
      </c>
      <c r="R41" s="12" t="str">
        <f t="shared" si="0"/>
        <v/>
      </c>
      <c r="S41" s="108" t="str">
        <f t="shared" si="4"/>
        <v/>
      </c>
      <c r="T41" s="108" t="str">
        <f t="shared" si="2"/>
        <v/>
      </c>
      <c r="U41" s="108" t="str">
        <f t="shared" si="6"/>
        <v/>
      </c>
      <c r="V41" s="108" t="str">
        <f t="shared" si="6"/>
        <v/>
      </c>
      <c r="W41" s="108" t="str">
        <f t="shared" si="6"/>
        <v/>
      </c>
      <c r="X41" s="108" t="str">
        <f t="shared" si="6"/>
        <v/>
      </c>
      <c r="Y41" s="108" t="str">
        <f t="shared" si="6"/>
        <v/>
      </c>
      <c r="Z41" s="108" t="str">
        <f t="shared" si="6"/>
        <v/>
      </c>
      <c r="AA41" s="108" t="str">
        <f t="shared" si="6"/>
        <v/>
      </c>
      <c r="AB41" s="108" t="str" cm="1">
        <f t="array" ref="AB41">IF(LEN($B41)=0,"",IF(LEN(C41)=0,"Nama Siswa Kosong",IF($E41="","Status Siswa Kosong",IF(S41&lt;&gt;"Aktif","Siswa Tidak Aktif",
IF(OR(U41:AA41="Belum mengisi"),"Belum mengisi",IF(AND(U41:AA41="Sudah terbiasa"),"Sudah terbiasa","Belum terbiasa"))))))</f>
        <v/>
      </c>
    </row>
    <row r="42" spans="2:43" hidden="1" x14ac:dyDescent="0.3">
      <c r="B42" s="4" t="str">
        <f>IF(ROW(A30)&lt;=profilKelas!$F$14,ROW(A30),"")</f>
        <v/>
      </c>
      <c r="C42" s="94" t="str">
        <f>IF(ISBLANK(identitasMurid!C35),"",identitasMurid!C35)</f>
        <v/>
      </c>
      <c r="D42" s="6" t="str">
        <f>IF(ISBLANK(identitasMurid!D35),"",identitasMurid!D35)</f>
        <v/>
      </c>
      <c r="E42" s="95"/>
      <c r="F42" s="95"/>
      <c r="G42" s="95"/>
      <c r="H42" s="95"/>
      <c r="I42" s="95"/>
      <c r="J42" s="95"/>
      <c r="K42" s="95"/>
      <c r="L42" s="95"/>
      <c r="M42" s="95"/>
      <c r="Q42" s="5" t="str">
        <f>IF(ROW(A30)&lt;=profilKelas!$F$14,ROW(A30),"")</f>
        <v/>
      </c>
      <c r="R42" s="12" t="str">
        <f t="shared" si="0"/>
        <v/>
      </c>
      <c r="S42" s="108" t="str">
        <f t="shared" si="4"/>
        <v/>
      </c>
      <c r="T42" s="108" t="str">
        <f t="shared" si="2"/>
        <v/>
      </c>
      <c r="U42" s="108" t="str">
        <f t="shared" si="6"/>
        <v/>
      </c>
      <c r="V42" s="108" t="str">
        <f t="shared" si="6"/>
        <v/>
      </c>
      <c r="W42" s="108" t="str">
        <f t="shared" si="6"/>
        <v/>
      </c>
      <c r="X42" s="108" t="str">
        <f t="shared" si="6"/>
        <v/>
      </c>
      <c r="Y42" s="108" t="str">
        <f t="shared" si="6"/>
        <v/>
      </c>
      <c r="Z42" s="108" t="str">
        <f t="shared" si="6"/>
        <v/>
      </c>
      <c r="AA42" s="108" t="str">
        <f t="shared" si="6"/>
        <v/>
      </c>
      <c r="AB42" s="108" t="str" cm="1">
        <f t="array" ref="AB42">IF(LEN($B42)=0,"",IF(LEN(C42)=0,"Nama Siswa Kosong",IF($E42="","Status Siswa Kosong",IF(S42&lt;&gt;"Aktif","Siswa Tidak Aktif",
IF(OR(U42:AA42="Belum mengisi"),"Belum mengisi",IF(AND(U42:AA42="Sudah terbiasa"),"Sudah terbiasa","Belum terbiasa"))))))</f>
        <v/>
      </c>
    </row>
    <row r="43" spans="2:43" hidden="1" x14ac:dyDescent="0.3">
      <c r="B43" s="4" t="str">
        <f>IF(ROW(A31)&lt;=profilKelas!$F$14,ROW(A31),"")</f>
        <v/>
      </c>
      <c r="C43" s="94" t="str">
        <f>IF(ISBLANK(identitasMurid!C36),"",identitasMurid!C36)</f>
        <v/>
      </c>
      <c r="D43" s="6" t="str">
        <f>IF(ISBLANK(identitasMurid!D36),"",identitasMurid!D36)</f>
        <v/>
      </c>
      <c r="E43" s="95"/>
      <c r="F43" s="95"/>
      <c r="G43" s="95"/>
      <c r="H43" s="95"/>
      <c r="I43" s="95"/>
      <c r="J43" s="95"/>
      <c r="K43" s="95"/>
      <c r="L43" s="95"/>
      <c r="M43" s="95"/>
      <c r="Q43" s="5" t="str">
        <f>IF(ROW(A31)&lt;=profilKelas!$F$14,ROW(A31),"")</f>
        <v/>
      </c>
      <c r="R43" s="12" t="str">
        <f t="shared" si="0"/>
        <v/>
      </c>
      <c r="S43" s="108" t="str">
        <f t="shared" si="4"/>
        <v/>
      </c>
      <c r="T43" s="108" t="str">
        <f t="shared" si="2"/>
        <v/>
      </c>
      <c r="U43" s="108" t="str">
        <f t="shared" si="6"/>
        <v/>
      </c>
      <c r="V43" s="108" t="str">
        <f t="shared" si="6"/>
        <v/>
      </c>
      <c r="W43" s="108" t="str">
        <f t="shared" si="6"/>
        <v/>
      </c>
      <c r="X43" s="108" t="str">
        <f t="shared" si="6"/>
        <v/>
      </c>
      <c r="Y43" s="108" t="str">
        <f t="shared" si="6"/>
        <v/>
      </c>
      <c r="Z43" s="108" t="str">
        <f t="shared" si="6"/>
        <v/>
      </c>
      <c r="AA43" s="108" t="str">
        <f t="shared" si="6"/>
        <v/>
      </c>
      <c r="AB43" s="108" t="str" cm="1">
        <f t="array" ref="AB43">IF(LEN($B43)=0,"",IF(LEN(C43)=0,"Nama Siswa Kosong",IF($E43="","Status Siswa Kosong",IF(S43&lt;&gt;"Aktif","Siswa Tidak Aktif",
IF(OR(U43:AA43="Belum mengisi"),"Belum mengisi",IF(AND(U43:AA43="Sudah terbiasa"),"Sudah terbiasa","Belum terbiasa"))))))</f>
        <v/>
      </c>
    </row>
    <row r="44" spans="2:43" hidden="1" x14ac:dyDescent="0.3">
      <c r="B44" s="4" t="str">
        <f>IF(ROW(A32)&lt;=profilKelas!$F$14,ROW(A32),"")</f>
        <v/>
      </c>
      <c r="C44" s="94" t="str">
        <f>IF(ISBLANK(identitasMurid!C37),"",identitasMurid!C37)</f>
        <v/>
      </c>
      <c r="D44" s="6" t="str">
        <f>IF(ISBLANK(identitasMurid!D37),"",identitasMurid!D37)</f>
        <v/>
      </c>
      <c r="E44" s="95"/>
      <c r="F44" s="95"/>
      <c r="G44" s="95"/>
      <c r="H44" s="95"/>
      <c r="I44" s="95"/>
      <c r="J44" s="95"/>
      <c r="K44" s="95"/>
      <c r="L44" s="95"/>
      <c r="M44" s="95"/>
      <c r="Q44" s="5" t="str">
        <f>IF(ROW(A32)&lt;=profilKelas!$F$14,ROW(A32),"")</f>
        <v/>
      </c>
      <c r="R44" s="12" t="str">
        <f t="shared" si="0"/>
        <v/>
      </c>
      <c r="S44" s="108" t="str">
        <f t="shared" si="4"/>
        <v/>
      </c>
      <c r="T44" s="108" t="str">
        <f t="shared" si="2"/>
        <v/>
      </c>
      <c r="U44" s="108" t="str">
        <f t="shared" si="6"/>
        <v/>
      </c>
      <c r="V44" s="108" t="str">
        <f t="shared" si="6"/>
        <v/>
      </c>
      <c r="W44" s="108" t="str">
        <f t="shared" si="6"/>
        <v/>
      </c>
      <c r="X44" s="108" t="str">
        <f t="shared" si="6"/>
        <v/>
      </c>
      <c r="Y44" s="108" t="str">
        <f t="shared" si="6"/>
        <v/>
      </c>
      <c r="Z44" s="108" t="str">
        <f t="shared" si="6"/>
        <v/>
      </c>
      <c r="AA44" s="108" t="str">
        <f t="shared" si="6"/>
        <v/>
      </c>
      <c r="AB44" s="108" t="str" cm="1">
        <f t="array" ref="AB44">IF(LEN($B44)=0,"",IF(LEN(C44)=0,"Nama Siswa Kosong",IF($E44="","Status Siswa Kosong",IF(S44&lt;&gt;"Aktif","Siswa Tidak Aktif",
IF(OR(U44:AA44="Belum mengisi"),"Belum mengisi",IF(AND(U44:AA44="Sudah terbiasa"),"Sudah terbiasa","Belum terbiasa"))))))</f>
        <v/>
      </c>
    </row>
    <row r="45" spans="2:43" hidden="1" x14ac:dyDescent="0.3">
      <c r="B45" s="4" t="str">
        <f>IF(ROW(A33)&lt;=profilKelas!$F$14,ROW(A33),"")</f>
        <v/>
      </c>
      <c r="C45" s="94" t="str">
        <f>IF(ISBLANK(identitasMurid!C38),"",identitasMurid!C38)</f>
        <v/>
      </c>
      <c r="D45" s="6" t="str">
        <f>IF(ISBLANK(identitasMurid!D38),"",identitasMurid!D38)</f>
        <v/>
      </c>
      <c r="E45" s="95"/>
      <c r="F45" s="95"/>
      <c r="G45" s="95"/>
      <c r="H45" s="95"/>
      <c r="I45" s="95"/>
      <c r="J45" s="95"/>
      <c r="K45" s="95"/>
      <c r="L45" s="95"/>
      <c r="M45" s="95"/>
      <c r="Q45" s="5" t="str">
        <f>IF(ROW(A33)&lt;=profilKelas!$F$14,ROW(A33),"")</f>
        <v/>
      </c>
      <c r="R45" s="12" t="str">
        <f t="shared" si="0"/>
        <v/>
      </c>
      <c r="S45" s="108" t="str">
        <f t="shared" si="4"/>
        <v/>
      </c>
      <c r="T45" s="108" t="str">
        <f t="shared" si="2"/>
        <v/>
      </c>
      <c r="U45" s="108" t="str">
        <f t="shared" si="6"/>
        <v/>
      </c>
      <c r="V45" s="108" t="str">
        <f t="shared" si="6"/>
        <v/>
      </c>
      <c r="W45" s="108" t="str">
        <f t="shared" si="6"/>
        <v/>
      </c>
      <c r="X45" s="108" t="str">
        <f t="shared" si="6"/>
        <v/>
      </c>
      <c r="Y45" s="108" t="str">
        <f t="shared" si="6"/>
        <v/>
      </c>
      <c r="Z45" s="108" t="str">
        <f t="shared" si="6"/>
        <v/>
      </c>
      <c r="AA45" s="108" t="str">
        <f t="shared" si="6"/>
        <v/>
      </c>
      <c r="AB45" s="108" t="str" cm="1">
        <f t="array" ref="AB45">IF(LEN($B45)=0,"",IF(LEN(C45)=0,"Nama Siswa Kosong",IF($E45="","Status Siswa Kosong",IF(S45&lt;&gt;"Aktif","Siswa Tidak Aktif",
IF(OR(U45:AA45="Belum mengisi"),"Belum mengisi",IF(AND(U45:AA45="Sudah terbiasa"),"Sudah terbiasa","Belum terbiasa"))))))</f>
        <v/>
      </c>
    </row>
    <row r="46" spans="2:43" hidden="1" x14ac:dyDescent="0.3">
      <c r="B46" s="4" t="str">
        <f>IF(ROW(A34)&lt;=profilKelas!$F$14,ROW(A34),"")</f>
        <v/>
      </c>
      <c r="C46" s="94" t="str">
        <f>IF(ISBLANK(identitasMurid!C39),"",identitasMurid!C39)</f>
        <v/>
      </c>
      <c r="D46" s="6" t="str">
        <f>IF(ISBLANK(identitasMurid!D39),"",identitasMurid!D39)</f>
        <v/>
      </c>
      <c r="E46" s="95"/>
      <c r="F46" s="95"/>
      <c r="G46" s="95"/>
      <c r="H46" s="95"/>
      <c r="I46" s="95"/>
      <c r="J46" s="95"/>
      <c r="K46" s="95"/>
      <c r="L46" s="95"/>
      <c r="M46" s="95"/>
      <c r="Q46" s="5" t="str">
        <f>IF(ROW(A34)&lt;=profilKelas!$F$14,ROW(A34),"")</f>
        <v/>
      </c>
      <c r="R46" s="12" t="str">
        <f t="shared" si="0"/>
        <v/>
      </c>
      <c r="S46" s="108" t="str">
        <f t="shared" si="4"/>
        <v/>
      </c>
      <c r="T46" s="108" t="str">
        <f t="shared" si="2"/>
        <v/>
      </c>
      <c r="U46" s="108" t="str">
        <f t="shared" si="6"/>
        <v/>
      </c>
      <c r="V46" s="108" t="str">
        <f t="shared" si="6"/>
        <v/>
      </c>
      <c r="W46" s="108" t="str">
        <f t="shared" si="6"/>
        <v/>
      </c>
      <c r="X46" s="108" t="str">
        <f t="shared" si="6"/>
        <v/>
      </c>
      <c r="Y46" s="108" t="str">
        <f t="shared" si="6"/>
        <v/>
      </c>
      <c r="Z46" s="108" t="str">
        <f t="shared" si="6"/>
        <v/>
      </c>
      <c r="AA46" s="108" t="str">
        <f t="shared" si="6"/>
        <v/>
      </c>
      <c r="AB46" s="108" t="str" cm="1">
        <f t="array" ref="AB46">IF(LEN($B46)=0,"",IF(LEN(C46)=0,"Nama Siswa Kosong",IF($E46="","Status Siswa Kosong",IF(S46&lt;&gt;"Aktif","Siswa Tidak Aktif",
IF(OR(U46:AA46="Belum mengisi"),"Belum mengisi",IF(AND(U46:AA46="Sudah terbiasa"),"Sudah terbiasa","Belum terbiasa"))))))</f>
        <v/>
      </c>
    </row>
    <row r="47" spans="2:43" hidden="1" x14ac:dyDescent="0.3">
      <c r="B47" s="4" t="str">
        <f>IF(ROW(A35)&lt;=profilKelas!$F$14,ROW(A35),"")</f>
        <v/>
      </c>
      <c r="C47" s="94" t="str">
        <f>IF(ISBLANK(identitasMurid!C40),"",identitasMurid!C40)</f>
        <v/>
      </c>
      <c r="D47" s="6" t="str">
        <f>IF(ISBLANK(identitasMurid!D40),"",identitasMurid!D40)</f>
        <v/>
      </c>
      <c r="E47" s="95"/>
      <c r="F47" s="95"/>
      <c r="G47" s="95"/>
      <c r="H47" s="95"/>
      <c r="I47" s="95"/>
      <c r="J47" s="95"/>
      <c r="K47" s="95"/>
      <c r="L47" s="95"/>
      <c r="M47" s="95"/>
      <c r="Q47" s="5" t="str">
        <f>IF(ROW(A35)&lt;=profilKelas!$F$14,ROW(A35),"")</f>
        <v/>
      </c>
      <c r="R47" s="12" t="str">
        <f t="shared" si="0"/>
        <v/>
      </c>
      <c r="S47" s="108" t="str">
        <f t="shared" si="4"/>
        <v/>
      </c>
      <c r="T47" s="108" t="str">
        <f t="shared" si="2"/>
        <v/>
      </c>
      <c r="U47" s="108" t="str">
        <f t="shared" si="6"/>
        <v/>
      </c>
      <c r="V47" s="108" t="str">
        <f t="shared" si="6"/>
        <v/>
      </c>
      <c r="W47" s="108" t="str">
        <f t="shared" si="6"/>
        <v/>
      </c>
      <c r="X47" s="108" t="str">
        <f t="shared" si="6"/>
        <v/>
      </c>
      <c r="Y47" s="108" t="str">
        <f t="shared" si="6"/>
        <v/>
      </c>
      <c r="Z47" s="108" t="str">
        <f t="shared" si="6"/>
        <v/>
      </c>
      <c r="AA47" s="108" t="str">
        <f t="shared" si="6"/>
        <v/>
      </c>
      <c r="AB47" s="108" t="str" cm="1">
        <f t="array" ref="AB47">IF(LEN($B47)=0,"",IF(LEN(C47)=0,"Nama Siswa Kosong",IF($E47="","Status Siswa Kosong",IF(S47&lt;&gt;"Aktif","Siswa Tidak Aktif",
IF(OR(U47:AA47="Belum mengisi"),"Belum mengisi",IF(AND(U47:AA47="Sudah terbiasa"),"Sudah terbiasa","Belum terbiasa"))))))</f>
        <v/>
      </c>
    </row>
    <row r="48" spans="2:43" hidden="1" x14ac:dyDescent="0.3">
      <c r="B48" s="4" t="str">
        <f>IF(ROW(A36)&lt;=profilKelas!$F$14,ROW(A36),"")</f>
        <v/>
      </c>
      <c r="C48" s="94" t="str">
        <f>IF(ISBLANK(identitasMurid!C41),"",identitasMurid!C41)</f>
        <v/>
      </c>
      <c r="D48" s="6" t="str">
        <f>IF(ISBLANK(identitasMurid!D41),"",identitasMurid!D41)</f>
        <v/>
      </c>
      <c r="E48" s="95"/>
      <c r="F48" s="95"/>
      <c r="G48" s="95"/>
      <c r="H48" s="95"/>
      <c r="I48" s="95"/>
      <c r="J48" s="95"/>
      <c r="K48" s="95"/>
      <c r="L48" s="95"/>
      <c r="M48" s="30"/>
      <c r="Q48" s="5" t="str">
        <f>IF(ROW(A36)&lt;=profilKelas!$F$14,ROW(A36),"")</f>
        <v/>
      </c>
      <c r="R48" s="12" t="str">
        <f t="shared" si="0"/>
        <v/>
      </c>
      <c r="S48" s="108" t="str">
        <f t="shared" si="4"/>
        <v/>
      </c>
      <c r="T48" s="108" t="str">
        <f t="shared" si="2"/>
        <v/>
      </c>
      <c r="U48" s="108" t="str">
        <f t="shared" si="6"/>
        <v/>
      </c>
      <c r="V48" s="108" t="str">
        <f t="shared" si="6"/>
        <v/>
      </c>
      <c r="W48" s="108" t="str">
        <f t="shared" si="6"/>
        <v/>
      </c>
      <c r="X48" s="108" t="str">
        <f t="shared" si="6"/>
        <v/>
      </c>
      <c r="Y48" s="108" t="str">
        <f t="shared" si="6"/>
        <v/>
      </c>
      <c r="Z48" s="108" t="str">
        <f t="shared" si="6"/>
        <v/>
      </c>
      <c r="AA48" s="108" t="str">
        <f t="shared" si="6"/>
        <v/>
      </c>
      <c r="AB48" s="108" t="str" cm="1">
        <f t="array" ref="AB48">IF(LEN($B48)=0,"",IF(LEN(C48)=0,"Nama Siswa Kosong",IF($E48="","Status Siswa Kosong",IF(S48&lt;&gt;"Aktif","Siswa Tidak Aktif",
IF(OR(U48:AA48="Belum mengisi"),"Belum mengisi",IF(AND(U48:AA48="Sudah terbiasa"),"Sudah terbiasa","Belum terbiasa"))))))</f>
        <v/>
      </c>
    </row>
    <row r="49" spans="2:28" hidden="1" x14ac:dyDescent="0.3">
      <c r="B49" s="4" t="str">
        <f>IF(ROW(A37)&lt;=profilKelas!$F$14,ROW(A37),"")</f>
        <v/>
      </c>
      <c r="C49" s="94" t="str">
        <f>IF(ISBLANK(identitasMurid!C42),"",identitasMurid!C42)</f>
        <v/>
      </c>
      <c r="D49" s="6" t="str">
        <f>IF(ISBLANK(identitasMurid!D42),"",identitasMurid!D42)</f>
        <v/>
      </c>
      <c r="E49" s="95"/>
      <c r="F49" s="95"/>
      <c r="G49" s="95"/>
      <c r="H49" s="95"/>
      <c r="I49" s="95"/>
      <c r="J49" s="95"/>
      <c r="K49" s="95"/>
      <c r="L49" s="95"/>
      <c r="M49" s="30"/>
      <c r="Q49" s="5" t="str">
        <f>IF(ROW(A37)&lt;=profilKelas!$F$14,ROW(A37),"")</f>
        <v/>
      </c>
      <c r="R49" s="12" t="str">
        <f t="shared" si="0"/>
        <v/>
      </c>
      <c r="S49" s="108" t="str">
        <f t="shared" si="4"/>
        <v/>
      </c>
      <c r="T49" s="108" t="str">
        <f t="shared" si="2"/>
        <v/>
      </c>
      <c r="U49" s="108" t="str">
        <f t="shared" si="6"/>
        <v/>
      </c>
      <c r="V49" s="108" t="str">
        <f t="shared" si="6"/>
        <v/>
      </c>
      <c r="W49" s="108" t="str">
        <f t="shared" si="6"/>
        <v/>
      </c>
      <c r="X49" s="108" t="str">
        <f t="shared" si="6"/>
        <v/>
      </c>
      <c r="Y49" s="108" t="str">
        <f t="shared" si="6"/>
        <v/>
      </c>
      <c r="Z49" s="108" t="str">
        <f t="shared" si="6"/>
        <v/>
      </c>
      <c r="AA49" s="108" t="str">
        <f t="shared" si="6"/>
        <v/>
      </c>
      <c r="AB49" s="108" t="str" cm="1">
        <f t="array" ref="AB49">IF(LEN($B49)=0,"",IF(LEN(C49)=0,"Nama Siswa Kosong",IF($E49="","Status Siswa Kosong",IF(S49&lt;&gt;"Aktif","Siswa Tidak Aktif",
IF(OR(U49:AA49="Belum mengisi"),"Belum mengisi",IF(AND(U49:AA49="Sudah terbiasa"),"Sudah terbiasa","Belum terbiasa"))))))</f>
        <v/>
      </c>
    </row>
    <row r="50" spans="2:28" hidden="1" x14ac:dyDescent="0.3">
      <c r="B50" s="4" t="str">
        <f>IF(ROW(A38)&lt;=profilKelas!$F$14,ROW(A38),"")</f>
        <v/>
      </c>
      <c r="C50" s="94" t="str">
        <f>IF(ISBLANK(identitasMurid!C43),"",identitasMurid!C43)</f>
        <v/>
      </c>
      <c r="D50" s="6" t="str">
        <f>IF(ISBLANK(identitasMurid!D43),"",identitasMurid!D43)</f>
        <v/>
      </c>
      <c r="E50" s="95"/>
      <c r="F50" s="95"/>
      <c r="G50" s="95"/>
      <c r="H50" s="95"/>
      <c r="I50" s="95"/>
      <c r="J50" s="95"/>
      <c r="K50" s="95"/>
      <c r="L50" s="95"/>
      <c r="M50" s="30"/>
      <c r="Q50" s="5" t="str">
        <f>IF(ROW(A38)&lt;=profilKelas!$F$14,ROW(A38),"")</f>
        <v/>
      </c>
      <c r="R50" s="12" t="str">
        <f t="shared" si="0"/>
        <v/>
      </c>
      <c r="S50" s="108" t="str">
        <f t="shared" si="4"/>
        <v/>
      </c>
      <c r="T50" s="108" t="str">
        <f t="shared" si="2"/>
        <v/>
      </c>
      <c r="U50" s="108" t="str">
        <f t="shared" si="6"/>
        <v/>
      </c>
      <c r="V50" s="108" t="str">
        <f t="shared" si="6"/>
        <v/>
      </c>
      <c r="W50" s="108" t="str">
        <f t="shared" si="6"/>
        <v/>
      </c>
      <c r="X50" s="108" t="str">
        <f t="shared" si="6"/>
        <v/>
      </c>
      <c r="Y50" s="108" t="str">
        <f t="shared" si="6"/>
        <v/>
      </c>
      <c r="Z50" s="108" t="str">
        <f t="shared" si="6"/>
        <v/>
      </c>
      <c r="AA50" s="108" t="str">
        <f t="shared" si="6"/>
        <v/>
      </c>
      <c r="AB50" s="108" t="str" cm="1">
        <f t="array" ref="AB50">IF(LEN($B50)=0,"",IF(LEN(C50)=0,"Nama Siswa Kosong",IF($E50="","Status Siswa Kosong",IF(S50&lt;&gt;"Aktif","Siswa Tidak Aktif",
IF(OR(U50:AA50="Belum mengisi"),"Belum mengisi",IF(AND(U50:AA50="Sudah terbiasa"),"Sudah terbiasa","Belum terbiasa"))))))</f>
        <v/>
      </c>
    </row>
    <row r="51" spans="2:28" hidden="1" x14ac:dyDescent="0.3">
      <c r="B51" s="4" t="str">
        <f>IF(ROW(A39)&lt;=profilKelas!$F$14,ROW(A39),"")</f>
        <v/>
      </c>
      <c r="C51" s="94" t="str">
        <f>IF(ISBLANK(identitasMurid!C44),"",identitasMurid!C44)</f>
        <v/>
      </c>
      <c r="D51" s="6" t="str">
        <f>IF(ISBLANK(identitasMurid!D44),"",identitasMurid!D44)</f>
        <v/>
      </c>
      <c r="E51" s="95"/>
      <c r="F51" s="95"/>
      <c r="G51" s="95"/>
      <c r="H51" s="95"/>
      <c r="I51" s="95"/>
      <c r="J51" s="95"/>
      <c r="K51" s="95"/>
      <c r="L51" s="95"/>
      <c r="M51" s="30"/>
      <c r="Q51" s="5" t="str">
        <f>IF(ROW(A39)&lt;=profilKelas!$F$14,ROW(A39),"")</f>
        <v/>
      </c>
      <c r="R51" s="12" t="str">
        <f t="shared" si="0"/>
        <v/>
      </c>
      <c r="S51" s="108" t="str">
        <f t="shared" si="4"/>
        <v/>
      </c>
      <c r="T51" s="108" t="str">
        <f t="shared" si="2"/>
        <v/>
      </c>
      <c r="U51" s="108" t="str">
        <f t="shared" si="6"/>
        <v/>
      </c>
      <c r="V51" s="108" t="str">
        <f t="shared" si="6"/>
        <v/>
      </c>
      <c r="W51" s="108" t="str">
        <f t="shared" si="6"/>
        <v/>
      </c>
      <c r="X51" s="108" t="str">
        <f t="shared" si="6"/>
        <v/>
      </c>
      <c r="Y51" s="108" t="str">
        <f t="shared" si="6"/>
        <v/>
      </c>
      <c r="Z51" s="108" t="str">
        <f t="shared" si="6"/>
        <v/>
      </c>
      <c r="AA51" s="108" t="str">
        <f t="shared" si="6"/>
        <v/>
      </c>
      <c r="AB51" s="108" t="str" cm="1">
        <f t="array" ref="AB51">IF(LEN($B51)=0,"",IF(LEN(C51)=0,"Nama Siswa Kosong",IF($E51="","Status Siswa Kosong",IF(S51&lt;&gt;"Aktif","Siswa Tidak Aktif",
IF(OR(U51:AA51="Belum mengisi"),"Belum mengisi",IF(AND(U51:AA51="Sudah terbiasa"),"Sudah terbiasa","Belum terbiasa"))))))</f>
        <v/>
      </c>
    </row>
    <row r="52" spans="2:28" hidden="1" x14ac:dyDescent="0.3">
      <c r="B52" s="4" t="str">
        <f>IF(ROW(A40)&lt;=profilKelas!$F$14,ROW(A40),"")</f>
        <v/>
      </c>
      <c r="C52" s="94" t="str">
        <f>IF(ISBLANK(identitasMurid!C45),"",identitasMurid!C45)</f>
        <v/>
      </c>
      <c r="D52" s="6" t="str">
        <f>IF(ISBLANK(identitasMurid!D45),"",identitasMurid!D45)</f>
        <v/>
      </c>
      <c r="E52" s="95"/>
      <c r="F52" s="95"/>
      <c r="G52" s="95"/>
      <c r="H52" s="95"/>
      <c r="I52" s="95"/>
      <c r="J52" s="95"/>
      <c r="K52" s="95"/>
      <c r="L52" s="95"/>
      <c r="M52" s="30"/>
      <c r="Q52" s="5" t="str">
        <f>IF(ROW(A40)&lt;=profilKelas!$F$14,ROW(A40),"")</f>
        <v/>
      </c>
      <c r="R52" s="12" t="str">
        <f t="shared" si="0"/>
        <v/>
      </c>
      <c r="S52" s="108" t="str">
        <f t="shared" si="4"/>
        <v/>
      </c>
      <c r="T52" s="108" t="str">
        <f t="shared" si="2"/>
        <v/>
      </c>
      <c r="U52" s="108" t="str">
        <f t="shared" si="6"/>
        <v/>
      </c>
      <c r="V52" s="108" t="str">
        <f t="shared" si="6"/>
        <v/>
      </c>
      <c r="W52" s="108" t="str">
        <f t="shared" si="6"/>
        <v/>
      </c>
      <c r="X52" s="108" t="str">
        <f t="shared" si="6"/>
        <v/>
      </c>
      <c r="Y52" s="108" t="str">
        <f t="shared" si="6"/>
        <v/>
      </c>
      <c r="Z52" s="108" t="str">
        <f t="shared" si="6"/>
        <v/>
      </c>
      <c r="AA52" s="108" t="str">
        <f t="shared" si="6"/>
        <v/>
      </c>
      <c r="AB52" s="108" t="str" cm="1">
        <f t="array" ref="AB52">IF(LEN($B52)=0,"",IF(LEN(C52)=0,"Nama Siswa Kosong",IF($E52="","Status Siswa Kosong",IF(S52&lt;&gt;"Aktif","Siswa Tidak Aktif",
IF(OR(U52:AA52="Belum mengisi"),"Belum mengisi",IF(AND(U52:AA52="Sudah terbiasa"),"Sudah terbiasa","Belum terbiasa"))))))</f>
        <v/>
      </c>
    </row>
    <row r="53" spans="2:28" hidden="1" x14ac:dyDescent="0.3">
      <c r="B53" s="4" t="str">
        <f>IF(ROW(A41)&lt;=profilKelas!$F$14,ROW(A41),"")</f>
        <v/>
      </c>
      <c r="C53" s="94" t="str">
        <f>IF(ISBLANK(identitasMurid!C46),"",identitasMurid!C46)</f>
        <v/>
      </c>
      <c r="D53" s="6" t="str">
        <f>IF(ISBLANK(identitasMurid!D46),"",identitasMurid!D46)</f>
        <v/>
      </c>
      <c r="E53" s="95"/>
      <c r="F53" s="95"/>
      <c r="G53" s="95"/>
      <c r="H53" s="95"/>
      <c r="I53" s="95"/>
      <c r="J53" s="95"/>
      <c r="K53" s="95"/>
      <c r="L53" s="95"/>
      <c r="M53" s="30"/>
      <c r="Q53" s="5" t="str">
        <f>IF(ROW(A41)&lt;=profilKelas!$F$14,ROW(A41),"")</f>
        <v/>
      </c>
      <c r="R53" s="12" t="str">
        <f t="shared" si="0"/>
        <v/>
      </c>
      <c r="S53" s="108" t="str">
        <f t="shared" si="4"/>
        <v/>
      </c>
      <c r="T53" s="108" t="str">
        <f t="shared" si="2"/>
        <v/>
      </c>
      <c r="U53" s="108" t="str">
        <f t="shared" si="6"/>
        <v/>
      </c>
      <c r="V53" s="108" t="str">
        <f t="shared" si="6"/>
        <v/>
      </c>
      <c r="W53" s="108" t="str">
        <f t="shared" si="6"/>
        <v/>
      </c>
      <c r="X53" s="108" t="str">
        <f t="shared" si="6"/>
        <v/>
      </c>
      <c r="Y53" s="108" t="str">
        <f t="shared" si="6"/>
        <v/>
      </c>
      <c r="Z53" s="108" t="str">
        <f t="shared" si="6"/>
        <v/>
      </c>
      <c r="AA53" s="108" t="str">
        <f t="shared" si="6"/>
        <v/>
      </c>
      <c r="AB53" s="108" t="str" cm="1">
        <f t="array" ref="AB53">IF(LEN($B53)=0,"",IF(LEN(C53)=0,"Nama Siswa Kosong",IF($E53="","Status Siswa Kosong",IF(S53&lt;&gt;"Aktif","Siswa Tidak Aktif",
IF(OR(U53:AA53="Belum mengisi"),"Belum mengisi",IF(AND(U53:AA53="Sudah terbiasa"),"Sudah terbiasa","Belum terbiasa"))))))</f>
        <v/>
      </c>
    </row>
    <row r="54" spans="2:28" hidden="1" x14ac:dyDescent="0.3">
      <c r="B54" s="4" t="str">
        <f>IF(ROW(A42)&lt;=profilKelas!$F$14,ROW(A42),"")</f>
        <v/>
      </c>
      <c r="C54" s="94" t="str">
        <f>IF(ISBLANK(identitasMurid!C47),"",identitasMurid!C47)</f>
        <v/>
      </c>
      <c r="D54" s="6" t="str">
        <f>IF(ISBLANK(identitasMurid!D47),"",identitasMurid!D47)</f>
        <v/>
      </c>
      <c r="E54" s="95"/>
      <c r="F54" s="95"/>
      <c r="G54" s="95"/>
      <c r="H54" s="95"/>
      <c r="I54" s="95"/>
      <c r="J54" s="95"/>
      <c r="K54" s="95"/>
      <c r="L54" s="95"/>
      <c r="M54" s="30"/>
      <c r="Q54" s="5" t="str">
        <f>IF(ROW(A42)&lt;=profilKelas!$F$14,ROW(A42),"")</f>
        <v/>
      </c>
      <c r="R54" s="12" t="str">
        <f t="shared" si="0"/>
        <v/>
      </c>
      <c r="S54" s="108" t="str">
        <f t="shared" si="4"/>
        <v/>
      </c>
      <c r="T54" s="108" t="str">
        <f t="shared" si="2"/>
        <v/>
      </c>
      <c r="U54" s="108" t="str">
        <f t="shared" si="6"/>
        <v/>
      </c>
      <c r="V54" s="108" t="str">
        <f t="shared" si="6"/>
        <v/>
      </c>
      <c r="W54" s="108" t="str">
        <f t="shared" si="6"/>
        <v/>
      </c>
      <c r="X54" s="108" t="str">
        <f t="shared" si="6"/>
        <v/>
      </c>
      <c r="Y54" s="108" t="str">
        <f t="shared" si="6"/>
        <v/>
      </c>
      <c r="Z54" s="108" t="str">
        <f t="shared" si="6"/>
        <v/>
      </c>
      <c r="AA54" s="108" t="str">
        <f t="shared" si="6"/>
        <v/>
      </c>
      <c r="AB54" s="108" t="str" cm="1">
        <f t="array" ref="AB54">IF(LEN($B54)=0,"",IF(LEN(C54)=0,"Nama Siswa Kosong",IF($E54="","Status Siswa Kosong",IF(S54&lt;&gt;"Aktif","Siswa Tidak Aktif",
IF(OR(U54:AA54="Belum mengisi"),"Belum mengisi",IF(AND(U54:AA54="Sudah terbiasa"),"Sudah terbiasa","Belum terbiasa"))))))</f>
        <v/>
      </c>
    </row>
    <row r="55" spans="2:28" hidden="1" x14ac:dyDescent="0.3">
      <c r="B55" s="4" t="str">
        <f>IF(ROW(A43)&lt;=profilKelas!$F$14,ROW(A43),"")</f>
        <v/>
      </c>
      <c r="C55" s="94" t="str">
        <f>IF(ISBLANK(identitasMurid!C48),"",identitasMurid!C48)</f>
        <v/>
      </c>
      <c r="D55" s="6" t="str">
        <f>IF(ISBLANK(identitasMurid!D48),"",identitasMurid!D48)</f>
        <v/>
      </c>
      <c r="E55" s="95"/>
      <c r="F55" s="95"/>
      <c r="G55" s="95"/>
      <c r="H55" s="95"/>
      <c r="I55" s="95"/>
      <c r="J55" s="95"/>
      <c r="K55" s="95"/>
      <c r="L55" s="95"/>
      <c r="M55" s="30"/>
      <c r="Q55" s="5" t="str">
        <f>IF(ROW(A43)&lt;=profilKelas!$F$14,ROW(A43),"")</f>
        <v/>
      </c>
      <c r="R55" s="12" t="str">
        <f t="shared" si="0"/>
        <v/>
      </c>
      <c r="S55" s="108" t="str">
        <f t="shared" si="4"/>
        <v/>
      </c>
      <c r="T55" s="108" t="str">
        <f t="shared" si="2"/>
        <v/>
      </c>
      <c r="U55" s="108" t="str">
        <f t="shared" si="6"/>
        <v/>
      </c>
      <c r="V55" s="108" t="str">
        <f t="shared" si="6"/>
        <v/>
      </c>
      <c r="W55" s="108" t="str">
        <f t="shared" si="6"/>
        <v/>
      </c>
      <c r="X55" s="108" t="str">
        <f t="shared" si="6"/>
        <v/>
      </c>
      <c r="Y55" s="108" t="str">
        <f t="shared" si="6"/>
        <v/>
      </c>
      <c r="Z55" s="108" t="str">
        <f t="shared" si="6"/>
        <v/>
      </c>
      <c r="AA55" s="108" t="str">
        <f t="shared" si="6"/>
        <v/>
      </c>
      <c r="AB55" s="108" t="str" cm="1">
        <f t="array" ref="AB55">IF(LEN($B55)=0,"",IF(LEN(C55)=0,"Nama Siswa Kosong",IF($E55="","Status Siswa Kosong",IF(S55&lt;&gt;"Aktif","Siswa Tidak Aktif",
IF(OR(U55:AA55="Belum mengisi"),"Belum mengisi",IF(AND(U55:AA55="Sudah terbiasa"),"Sudah terbiasa","Belum terbiasa"))))))</f>
        <v/>
      </c>
    </row>
    <row r="56" spans="2:28" hidden="1" x14ac:dyDescent="0.3">
      <c r="B56" s="4" t="str">
        <f>IF(ROW(A44)&lt;=profilKelas!$F$14,ROW(A44),"")</f>
        <v/>
      </c>
      <c r="C56" s="94" t="str">
        <f>IF(ISBLANK(identitasMurid!C49),"",identitasMurid!C49)</f>
        <v/>
      </c>
      <c r="D56" s="6" t="str">
        <f>IF(ISBLANK(identitasMurid!D49),"",identitasMurid!D49)</f>
        <v/>
      </c>
      <c r="E56" s="95"/>
      <c r="F56" s="95"/>
      <c r="G56" s="95"/>
      <c r="H56" s="95"/>
      <c r="I56" s="95"/>
      <c r="J56" s="95"/>
      <c r="K56" s="95"/>
      <c r="L56" s="95"/>
      <c r="M56" s="30"/>
      <c r="Q56" s="5" t="str">
        <f>IF(ROW(A44)&lt;=profilKelas!$F$14,ROW(A44),"")</f>
        <v/>
      </c>
      <c r="R56" s="12" t="str">
        <f t="shared" si="0"/>
        <v/>
      </c>
      <c r="S56" s="108" t="str">
        <f t="shared" si="4"/>
        <v/>
      </c>
      <c r="T56" s="108" t="str">
        <f t="shared" si="2"/>
        <v/>
      </c>
      <c r="U56" s="108" t="str">
        <f t="shared" si="6"/>
        <v/>
      </c>
      <c r="V56" s="108" t="str">
        <f t="shared" si="6"/>
        <v/>
      </c>
      <c r="W56" s="108" t="str">
        <f t="shared" si="6"/>
        <v/>
      </c>
      <c r="X56" s="108" t="str">
        <f t="shared" si="6"/>
        <v/>
      </c>
      <c r="Y56" s="108" t="str">
        <f t="shared" si="6"/>
        <v/>
      </c>
      <c r="Z56" s="108" t="str">
        <f t="shared" si="6"/>
        <v/>
      </c>
      <c r="AA56" s="108" t="str">
        <f t="shared" si="6"/>
        <v/>
      </c>
      <c r="AB56" s="108" t="str" cm="1">
        <f t="array" ref="AB56">IF(LEN($B56)=0,"",IF(LEN(C56)=0,"Nama Siswa Kosong",IF($E56="","Status Siswa Kosong",IF(S56&lt;&gt;"Aktif","Siswa Tidak Aktif",
IF(OR(U56:AA56="Belum mengisi"),"Belum mengisi",IF(AND(U56:AA56="Sudah terbiasa"),"Sudah terbiasa","Belum terbiasa"))))))</f>
        <v/>
      </c>
    </row>
    <row r="57" spans="2:28" hidden="1" x14ac:dyDescent="0.3">
      <c r="B57" s="4" t="str">
        <f>IF(ROW(A45)&lt;=profilKelas!$F$14,ROW(A45),"")</f>
        <v/>
      </c>
      <c r="C57" s="94" t="str">
        <f>IF(ISBLANK(identitasMurid!C50),"",identitasMurid!C50)</f>
        <v/>
      </c>
      <c r="D57" s="6" t="str">
        <f>IF(ISBLANK(identitasMurid!D50),"",identitasMurid!D50)</f>
        <v/>
      </c>
      <c r="E57" s="95"/>
      <c r="F57" s="95"/>
      <c r="G57" s="95"/>
      <c r="H57" s="95"/>
      <c r="I57" s="95"/>
      <c r="J57" s="95"/>
      <c r="K57" s="95"/>
      <c r="L57" s="95"/>
      <c r="M57" s="30"/>
      <c r="Q57" s="5" t="str">
        <f>IF(ROW(A45)&lt;=profilKelas!$F$14,ROW(A45),"")</f>
        <v/>
      </c>
      <c r="R57" s="12" t="str">
        <f t="shared" si="0"/>
        <v/>
      </c>
      <c r="S57" s="108" t="str">
        <f t="shared" si="4"/>
        <v/>
      </c>
      <c r="T57" s="108" t="str">
        <f t="shared" si="2"/>
        <v/>
      </c>
      <c r="U57" s="108" t="str">
        <f t="shared" si="6"/>
        <v/>
      </c>
      <c r="V57" s="108" t="str">
        <f t="shared" si="6"/>
        <v/>
      </c>
      <c r="W57" s="108" t="str">
        <f t="shared" si="6"/>
        <v/>
      </c>
      <c r="X57" s="108" t="str">
        <f t="shared" si="6"/>
        <v/>
      </c>
      <c r="Y57" s="108" t="str">
        <f t="shared" si="6"/>
        <v/>
      </c>
      <c r="Z57" s="108" t="str">
        <f t="shared" si="6"/>
        <v/>
      </c>
      <c r="AA57" s="108" t="str">
        <f t="shared" si="6"/>
        <v/>
      </c>
      <c r="AB57" s="108" t="str" cm="1">
        <f t="array" ref="AB57">IF(LEN($B57)=0,"",IF(LEN(C57)=0,"Nama Siswa Kosong",IF($E57="","Status Siswa Kosong",IF(S57&lt;&gt;"Aktif","Siswa Tidak Aktif",
IF(OR(U57:AA57="Belum mengisi"),"Belum mengisi",IF(AND(U57:AA57="Sudah terbiasa"),"Sudah terbiasa","Belum terbiasa"))))))</f>
        <v/>
      </c>
    </row>
    <row r="58" spans="2:28" x14ac:dyDescent="0.3"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</row>
    <row r="59" spans="2:28" ht="16.2" x14ac:dyDescent="0.35">
      <c r="B59" s="13"/>
      <c r="C59" s="71"/>
      <c r="D59" s="71" t="s">
        <v>15</v>
      </c>
      <c r="E59" s="13"/>
      <c r="F59" s="13"/>
      <c r="G59" s="13"/>
      <c r="H59" s="13"/>
      <c r="I59" s="13"/>
      <c r="J59" s="13"/>
      <c r="K59" s="13" t="str">
        <f>profilKelas!F9&amp;", "&amp;O60</f>
        <v>, 31 September 2025</v>
      </c>
      <c r="L59" s="13"/>
      <c r="M59" s="13"/>
      <c r="O59" s="31" t="s">
        <v>860</v>
      </c>
      <c r="Q59" s="13"/>
      <c r="R59" s="13"/>
      <c r="S59" s="13" t="s">
        <v>15</v>
      </c>
      <c r="T59" s="13"/>
      <c r="U59" s="13"/>
      <c r="V59" s="13"/>
      <c r="W59" s="13"/>
      <c r="X59" s="13"/>
      <c r="Y59" s="13"/>
      <c r="Z59" s="13" t="str">
        <f>profilKelas!F9&amp;", "&amp;O60</f>
        <v>, 31 September 2025</v>
      </c>
      <c r="AA59" s="13"/>
      <c r="AB59" s="13"/>
    </row>
    <row r="60" spans="2:28" x14ac:dyDescent="0.3">
      <c r="B60" s="13"/>
      <c r="C60" s="71"/>
      <c r="D60" s="71" t="str">
        <f>IF(ISBLANK(profilKelas!B10),"",SUBSTITUTE(profilKelas!B10,"Nama ",""))</f>
        <v>Kepala Sekolah</v>
      </c>
      <c r="E60" s="13"/>
      <c r="F60" s="13"/>
      <c r="G60" s="13"/>
      <c r="H60" s="13"/>
      <c r="I60" s="13"/>
      <c r="J60" s="13"/>
      <c r="K60" s="13" t="str">
        <f>SUBSTITUTE(profilKelas!B15,"Nama ","")&amp;","</f>
        <v>Guru Wali Kelas,</v>
      </c>
      <c r="L60" s="13"/>
      <c r="M60" s="13"/>
      <c r="O60" s="100" t="s">
        <v>940</v>
      </c>
      <c r="Q60" s="13"/>
      <c r="R60" s="13"/>
      <c r="S60" s="13" t="str">
        <f>IF(ISBLANK(profilKelas!B10),"",profilKelas!B10)</f>
        <v>Nama Kepala Sekolah</v>
      </c>
      <c r="T60" s="13"/>
      <c r="U60" s="13"/>
      <c r="V60" s="13"/>
      <c r="W60" s="13"/>
      <c r="X60" s="13"/>
      <c r="Y60" s="13"/>
      <c r="Z60" s="13" t="str">
        <f>SUBSTITUTE(profilKelas!B15,"Nama ","")&amp;","</f>
        <v>Guru Wali Kelas,</v>
      </c>
      <c r="AA60" s="13"/>
      <c r="AB60" s="13"/>
    </row>
    <row r="61" spans="2:28" x14ac:dyDescent="0.3"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</row>
    <row r="62" spans="2:28" x14ac:dyDescent="0.3"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</row>
    <row r="63" spans="2:28" x14ac:dyDescent="0.3"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</row>
    <row r="64" spans="2:28" x14ac:dyDescent="0.3">
      <c r="B64" s="13"/>
      <c r="C64" s="13"/>
      <c r="D64" s="101" t="str">
        <f>IF(ISBLANK(profilKelas!F10),"",profilKelas!F10)</f>
        <v/>
      </c>
      <c r="E64" s="13"/>
      <c r="F64" s="13"/>
      <c r="G64" s="13"/>
      <c r="H64" s="13"/>
      <c r="I64" s="13"/>
      <c r="J64" s="13"/>
      <c r="K64" s="101" t="str">
        <f>IF(LEN(profilKelas!F15)=0,"",profilKelas!F15)</f>
        <v/>
      </c>
      <c r="L64" s="13"/>
      <c r="M64" s="13"/>
      <c r="Q64" s="13"/>
      <c r="R64" s="13"/>
      <c r="S64" s="101" t="str">
        <f>IF(ISBLANK(profilKelas!F10),"",profilKelas!F10)</f>
        <v/>
      </c>
      <c r="T64" s="13"/>
      <c r="U64" s="13"/>
      <c r="V64" s="13"/>
      <c r="W64" s="13"/>
      <c r="X64" s="13"/>
      <c r="Y64" s="13"/>
      <c r="Z64" s="101">
        <f>profilKelas!F15</f>
        <v>0</v>
      </c>
      <c r="AA64" s="13"/>
      <c r="AB64" s="13"/>
    </row>
    <row r="65" spans="2:28" x14ac:dyDescent="0.3">
      <c r="B65" s="13"/>
      <c r="C65" s="13"/>
      <c r="D65" s="13" t="str">
        <f>"NIP. "&amp;profilKelas!F11</f>
        <v xml:space="preserve">NIP. </v>
      </c>
      <c r="E65" s="13"/>
      <c r="F65" s="13"/>
      <c r="G65" s="13"/>
      <c r="H65" s="13"/>
      <c r="I65" s="13"/>
      <c r="J65" s="13"/>
      <c r="K65" s="13" t="str">
        <f>"NIP. "&amp;profilKelas!F16</f>
        <v xml:space="preserve">NIP. </v>
      </c>
      <c r="L65" s="13"/>
      <c r="M65" s="13"/>
      <c r="Q65" s="13"/>
      <c r="R65" s="13"/>
      <c r="S65" s="13" t="str">
        <f>"NIP. "&amp;profilKelas!F11</f>
        <v xml:space="preserve">NIP. </v>
      </c>
      <c r="T65" s="13"/>
      <c r="U65" s="13"/>
      <c r="V65" s="13"/>
      <c r="W65" s="13"/>
      <c r="X65" s="13"/>
      <c r="Y65" s="13"/>
      <c r="Z65" s="13" t="str">
        <f>"NIP. "&amp;profilKelas!F16</f>
        <v xml:space="preserve">NIP. </v>
      </c>
      <c r="AA65" s="13"/>
      <c r="AB65" s="13"/>
    </row>
    <row r="66" spans="2:28" x14ac:dyDescent="0.3"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</row>
    <row r="67" spans="2:28" x14ac:dyDescent="0.3">
      <c r="B67" s="13"/>
      <c r="C67" s="102" t="s">
        <v>10</v>
      </c>
      <c r="D67" s="71" t="s">
        <v>609</v>
      </c>
      <c r="E67" s="13"/>
      <c r="F67" s="13"/>
      <c r="G67" s="13"/>
      <c r="H67" s="13"/>
      <c r="I67" s="13"/>
      <c r="J67" s="13"/>
      <c r="K67" s="13"/>
      <c r="L67" s="13"/>
      <c r="M67" s="13"/>
      <c r="Q67" s="13"/>
      <c r="R67" s="102" t="s">
        <v>10</v>
      </c>
      <c r="S67" s="71" t="s">
        <v>609</v>
      </c>
      <c r="T67" s="13"/>
      <c r="U67" s="13"/>
      <c r="V67" s="13"/>
      <c r="W67" s="13"/>
      <c r="X67" s="13"/>
      <c r="Y67" s="13"/>
      <c r="Z67" s="13"/>
      <c r="AA67" s="13"/>
      <c r="AB67" s="13"/>
    </row>
    <row r="68" spans="2:28" ht="15.6" customHeight="1" x14ac:dyDescent="0.3"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63">
        <f>SUBTOTAL(109,N69)</f>
        <v>0</v>
      </c>
      <c r="O68" s="63" t="str">
        <f>IF(N68=0,"ATUR HALAMAN","TAMPILAN NORMAL")</f>
        <v>ATUR HALAMAN</v>
      </c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</row>
    <row r="69" spans="2:28" hidden="1" x14ac:dyDescent="0.3">
      <c r="N69" s="7">
        <v>1</v>
      </c>
    </row>
  </sheetData>
  <sheetProtection algorithmName="SHA-512" hashValue="rjrGcW1BOXJsogbarQz1TfMga+8hIi//qnnL4HfKM87fAyXLIXYUAc5oVbhz94APsgLCTKLUV52C4BmdRYuLtg==" saltValue="RFvvytUO+Y7VeFOHOcKgjQ==" spinCount="100000" sheet="1" objects="1" scenarios="1" formatCells="0" formatColumns="0" formatRows="0" insertColumns="0" insertRows="0" insertHyperlinks="0" deleteColumns="0" deleteRows="0" autoFilter="0"/>
  <mergeCells count="41">
    <mergeCell ref="AL14:AQ18"/>
    <mergeCell ref="AG15:AH15"/>
    <mergeCell ref="AI15:AJ15"/>
    <mergeCell ref="AD18:AE18"/>
    <mergeCell ref="B6:M6"/>
    <mergeCell ref="Q6:AB6"/>
    <mergeCell ref="AD6:AQ7"/>
    <mergeCell ref="B10:B12"/>
    <mergeCell ref="C10:C12"/>
    <mergeCell ref="D10:D12"/>
    <mergeCell ref="E10:E12"/>
    <mergeCell ref="M10:M12"/>
    <mergeCell ref="AE24:AF24"/>
    <mergeCell ref="AD14:AD15"/>
    <mergeCell ref="AE14:AE15"/>
    <mergeCell ref="AF14:AF15"/>
    <mergeCell ref="AG14:AJ14"/>
    <mergeCell ref="AG21:AJ21"/>
    <mergeCell ref="AE22:AF22"/>
    <mergeCell ref="AG22:AH22"/>
    <mergeCell ref="AI22:AJ22"/>
    <mergeCell ref="AE23:AF23"/>
    <mergeCell ref="AE25:AF25"/>
    <mergeCell ref="AE26:AF26"/>
    <mergeCell ref="AE27:AF27"/>
    <mergeCell ref="AE28:AF28"/>
    <mergeCell ref="AE29:AF29"/>
    <mergeCell ref="AK31:AN31"/>
    <mergeCell ref="AE32:AF32"/>
    <mergeCell ref="AG32:AH32"/>
    <mergeCell ref="AI32:AJ32"/>
    <mergeCell ref="AK32:AL32"/>
    <mergeCell ref="AM32:AN32"/>
    <mergeCell ref="AG31:AJ31"/>
    <mergeCell ref="AE39:AF39"/>
    <mergeCell ref="AE33:AF33"/>
    <mergeCell ref="AE34:AF34"/>
    <mergeCell ref="AE35:AF35"/>
    <mergeCell ref="AE36:AF36"/>
    <mergeCell ref="AE37:AF37"/>
    <mergeCell ref="AE38:AF38"/>
  </mergeCells>
  <conditionalFormatting sqref="F17:F57">
    <cfRule type="expression" dxfId="139" priority="14">
      <formula>AND($C17="",$F17="")</formula>
    </cfRule>
  </conditionalFormatting>
  <conditionalFormatting sqref="E17:M57 B13:C57 M13:M16">
    <cfRule type="expression" dxfId="138" priority="13">
      <formula>$B13&lt;&gt;""</formula>
    </cfRule>
  </conditionalFormatting>
  <conditionalFormatting sqref="D13:D57">
    <cfRule type="expression" dxfId="137" priority="12">
      <formula>$B13&lt;&gt;""</formula>
    </cfRule>
  </conditionalFormatting>
  <conditionalFormatting sqref="R13:T57">
    <cfRule type="expression" dxfId="136" priority="11">
      <formula>$Q13&lt;&gt;""</formula>
    </cfRule>
  </conditionalFormatting>
  <conditionalFormatting sqref="Q13">
    <cfRule type="expression" dxfId="135" priority="10">
      <formula>$B13&lt;&gt;""</formula>
    </cfRule>
  </conditionalFormatting>
  <conditionalFormatting sqref="U13:AA57">
    <cfRule type="containsText" dxfId="134" priority="7" operator="containsText" text="Belum terbiasa">
      <formula>NOT(ISERROR(SEARCH("Belum terbiasa",U13)))</formula>
    </cfRule>
    <cfRule type="containsText" dxfId="133" priority="8" operator="containsText" text="Sudah terbiasa">
      <formula>NOT(ISERROR(SEARCH("Sudah terbiasa",U13)))</formula>
    </cfRule>
    <cfRule type="containsText" dxfId="132" priority="9" operator="containsText" text="Belum mengisi">
      <formula>NOT(ISERROR(SEARCH("Belum mengisi",U13)))</formula>
    </cfRule>
  </conditionalFormatting>
  <conditionalFormatting sqref="AB13:AB57">
    <cfRule type="containsText" dxfId="131" priority="4" operator="containsText" text="mengisi">
      <formula>NOT(ISERROR(SEARCH("mengisi",AB13)))</formula>
    </cfRule>
    <cfRule type="containsText" dxfId="130" priority="5" operator="containsText" text="Belum terbiasa">
      <formula>NOT(ISERROR(SEARCH("Belum terbiasa",AB13)))</formula>
    </cfRule>
    <cfRule type="containsText" dxfId="129" priority="6" operator="containsText" text="Sudah terbiasa">
      <formula>NOT(ISERROR(SEARCH("Sudah terbiasa",AB13)))</formula>
    </cfRule>
  </conditionalFormatting>
  <conditionalFormatting sqref="Q14:Q57">
    <cfRule type="expression" dxfId="128" priority="3">
      <formula>$B14&lt;&gt;""</formula>
    </cfRule>
  </conditionalFormatting>
  <conditionalFormatting sqref="F13:L16">
    <cfRule type="expression" dxfId="127" priority="2">
      <formula>AND($C13="",$F13="")</formula>
    </cfRule>
  </conditionalFormatting>
  <conditionalFormatting sqref="E13:L16">
    <cfRule type="expression" dxfId="126" priority="1">
      <formula>$B13&lt;&gt;""</formula>
    </cfRule>
  </conditionalFormatting>
  <dataValidations count="2">
    <dataValidation allowBlank="1" showInputMessage="1" showErrorMessage="1" promptTitle="Tanggal pengesahan" prompt="Contoh penulisan_x000a_31 Juli 2025" sqref="O60:P60" xr:uid="{00000000-0002-0000-1000-000000000000}"/>
    <dataValidation type="whole" allowBlank="1" showInputMessage="1" showErrorMessage="1" errorTitle="Angka" error="Isian hanya berupa angka 0 s.d. 30." promptTitle="Angka" prompt="Inputan angka dari 0 s.d. 30 sesuai bulan berjalan." sqref="F13:L57" xr:uid="{00000000-0002-0000-1000-000001000000}">
      <formula1>0</formula1>
      <formula2>30</formula2>
    </dataValidation>
  </dataValidations>
  <pageMargins left="0.19685039370078741" right="0.19685039370078741" top="0.74803149606299213" bottom="0.74803149606299213" header="0.31496062992125984" footer="0.31496062992125984"/>
  <pageSetup paperSize="9" scale="59" fitToHeight="0" orientation="landscape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Catatan" error="Harap dipilih." promptTitle="Catatan" prompt="Pilih keterangan murid _x000a_aktif: aktif pada bulan berjalan_x000a_pindah: pada bulan berjalan sudah pindah_x000a_berhenti: pada bulan berjalan berhenti _x000a_meninggal: pada bulan berjalan meninggal_x000a__x000a_Jika terdapat penambahan murid, keterangan bulan sebelumnya dipilih tidak." xr:uid="{00000000-0002-0000-1000-000002000000}">
          <x14:formula1>
            <xm:f>info!$AD$2:$AD$6</xm:f>
          </x14:formula1>
          <xm:sqref>E13:E57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mmOkt"/>
  <dimension ref="A1:AQ69"/>
  <sheetViews>
    <sheetView showGridLines="0" showRowColHeaders="0" zoomScaleNormal="100" zoomScaleSheetLayoutView="100" zoomScalePageLayoutView="47" workbookViewId="0">
      <pane xSplit="1" ySplit="12" topLeftCell="B13" activePane="bottomRight" state="frozen"/>
      <selection pane="topRight" activeCell="B1" sqref="B1"/>
      <selection pane="bottomLeft" activeCell="A13" sqref="A13"/>
      <selection pane="bottomRight" activeCell="B6" sqref="B6:M6"/>
    </sheetView>
  </sheetViews>
  <sheetFormatPr defaultColWidth="0" defaultRowHeight="15.6" customHeight="1" zeroHeight="1" x14ac:dyDescent="0.3"/>
  <cols>
    <col min="1" max="1" width="9.109375" style="7" customWidth="1"/>
    <col min="2" max="2" width="3.5546875" style="7" bestFit="1" customWidth="1"/>
    <col min="3" max="3" width="31.5546875" style="7" customWidth="1"/>
    <col min="4" max="4" width="10" style="7" customWidth="1"/>
    <col min="5" max="5" width="11.5546875" style="7" customWidth="1"/>
    <col min="6" max="12" width="24" style="7" customWidth="1"/>
    <col min="13" max="13" width="18.33203125" style="7" customWidth="1"/>
    <col min="14" max="14" width="2.109375" style="7" customWidth="1"/>
    <col min="15" max="15" width="25.109375" style="7" bestFit="1" customWidth="1"/>
    <col min="16" max="16" width="9.109375" style="7" customWidth="1"/>
    <col min="17" max="17" width="3.5546875" style="7" hidden="1" customWidth="1"/>
    <col min="18" max="18" width="27.88671875" style="7" hidden="1" customWidth="1"/>
    <col min="19" max="19" width="8.6640625" style="7" hidden="1" customWidth="1"/>
    <col min="20" max="20" width="5.6640625" style="7" hidden="1" customWidth="1"/>
    <col min="21" max="28" width="21.33203125" style="7" hidden="1" customWidth="1"/>
    <col min="29" max="29" width="9.109375" style="7" hidden="1" customWidth="1"/>
    <col min="30" max="30" width="3.5546875" style="7" hidden="1" customWidth="1"/>
    <col min="31" max="31" width="20" style="7" hidden="1" customWidth="1"/>
    <col min="32" max="32" width="6.5546875" style="7" hidden="1" customWidth="1"/>
    <col min="33" max="36" width="9.6640625" style="7" hidden="1" customWidth="1"/>
    <col min="37" max="16384" width="0" style="7" hidden="1"/>
  </cols>
  <sheetData>
    <row r="1" spans="1:43" x14ac:dyDescent="0.3">
      <c r="A1" s="63">
        <f>profilKelas!F14</f>
        <v>1</v>
      </c>
      <c r="D1" s="64" t="s">
        <v>890</v>
      </c>
      <c r="E1" s="65"/>
      <c r="F1" s="65"/>
      <c r="G1" s="65"/>
      <c r="H1" s="65"/>
      <c r="Q1" s="66" t="s">
        <v>859</v>
      </c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D1" s="66" t="s">
        <v>859</v>
      </c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</row>
    <row r="2" spans="1:43" x14ac:dyDescent="0.3">
      <c r="D2" s="67"/>
      <c r="E2" s="67"/>
      <c r="F2" s="67"/>
      <c r="G2" s="67"/>
      <c r="H2" s="67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</row>
    <row r="3" spans="1:43" ht="15.6" customHeight="1" x14ac:dyDescent="0.3"/>
    <row r="4" spans="1:43" ht="15.6" customHeight="1" x14ac:dyDescent="0.3"/>
    <row r="5" spans="1:43" x14ac:dyDescent="0.3">
      <c r="Q5" s="68"/>
      <c r="S5" s="69"/>
      <c r="T5" s="69"/>
      <c r="V5" s="69"/>
      <c r="X5" s="69"/>
      <c r="Z5" s="69"/>
      <c r="AL5" s="70"/>
    </row>
    <row r="6" spans="1:43" ht="15.6" customHeight="1" x14ac:dyDescent="0.3">
      <c r="B6" s="168" t="s">
        <v>882</v>
      </c>
      <c r="C6" s="168"/>
      <c r="D6" s="168"/>
      <c r="E6" s="168"/>
      <c r="F6" s="168"/>
      <c r="G6" s="168"/>
      <c r="H6" s="168"/>
      <c r="I6" s="168"/>
      <c r="J6" s="168"/>
      <c r="K6" s="168"/>
      <c r="L6" s="168"/>
      <c r="M6" s="168"/>
      <c r="Q6" s="168"/>
      <c r="R6" s="168"/>
      <c r="S6" s="168"/>
      <c r="T6" s="168"/>
      <c r="U6" s="168"/>
      <c r="V6" s="168"/>
      <c r="W6" s="168"/>
      <c r="X6" s="168"/>
      <c r="Y6" s="168"/>
      <c r="Z6" s="168"/>
      <c r="AA6" s="168"/>
      <c r="AB6" s="168"/>
      <c r="AD6" s="159" t="str">
        <f>"REKAPITULASI CATATAN HARIAN KELAS (RCHS) "&amp;CHAR(10)&amp;"SEMESTER "&amp;MID(J7,3,1)&amp;" BULAN"&amp;UPPER(MID(J7,SEARCH("/",J7)+1,99))&amp;" TAHUN "&amp;IF(ISBLANK(O11),profilKelas!F12,O11)</f>
        <v xml:space="preserve">REKAPITULASI CATATAN HARIAN KELAS (RCHS) 
SEMESTER I BULAN OKTOBER TAHUN </v>
      </c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</row>
    <row r="7" spans="1:43" x14ac:dyDescent="0.3">
      <c r="B7" s="13"/>
      <c r="C7" s="13" t="s">
        <v>862</v>
      </c>
      <c r="D7" s="13" t="str">
        <f>": "&amp;IF(ISBLANK(profilKelas!F5),"",profilKelas!F5&amp;" ("&amp;profilKelas!F6&amp;")")</f>
        <v xml:space="preserve">: </v>
      </c>
      <c r="E7" s="13"/>
      <c r="F7" s="13"/>
      <c r="G7" s="13"/>
      <c r="H7" s="13"/>
      <c r="I7" s="13" t="s">
        <v>885</v>
      </c>
      <c r="J7" s="13" t="str">
        <f>": I / Oktober"</f>
        <v>: I / Oktober</v>
      </c>
      <c r="K7" s="13"/>
      <c r="L7" s="13"/>
      <c r="M7" s="71"/>
      <c r="O7"/>
      <c r="Q7" s="13"/>
      <c r="R7" s="13" t="s">
        <v>862</v>
      </c>
      <c r="S7" s="13" t="str">
        <f>": "&amp;IF(ISBLANK(profilKelas!F5),"",profilKelas!F5&amp;" ("&amp;profilKelas!F6&amp;")")</f>
        <v xml:space="preserve">: </v>
      </c>
      <c r="T7" s="13"/>
      <c r="U7" s="13"/>
      <c r="V7" s="13"/>
      <c r="W7" s="13"/>
      <c r="X7" s="13"/>
      <c r="Y7" s="13" t="s">
        <v>840</v>
      </c>
      <c r="Z7" s="13" t="str">
        <f>J7</f>
        <v>: I / Oktober</v>
      </c>
      <c r="AA7" s="71"/>
      <c r="AB7" s="13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</row>
    <row r="8" spans="1:43" x14ac:dyDescent="0.3">
      <c r="B8" s="13"/>
      <c r="C8" s="13" t="s">
        <v>842</v>
      </c>
      <c r="D8" s="13" t="str">
        <f ca="1">": "&amp;IF(ISBLANK(profilKelas!H13),"",profilKelas!H13)</f>
        <v>: Pilih Kelas dan Rombel</v>
      </c>
      <c r="E8" s="13"/>
      <c r="F8" s="13"/>
      <c r="G8" s="13"/>
      <c r="H8" s="13"/>
      <c r="I8" s="13" t="s">
        <v>880</v>
      </c>
      <c r="J8" s="13" t="str">
        <f>": "&amp;IF(ISBLANK(profilKelas!F12),"Ketik Tahun Ajaran pada Profil Kelas",profilKelas!F12)</f>
        <v>: Ketik Tahun Ajaran pada Profil Kelas</v>
      </c>
      <c r="K8" s="13"/>
      <c r="L8" s="13"/>
      <c r="M8" s="71"/>
      <c r="O8"/>
      <c r="Q8" s="13"/>
      <c r="R8" s="13" t="s">
        <v>842</v>
      </c>
      <c r="S8" s="13" t="str">
        <f ca="1">": "&amp;IF(ISBLANK(profilKelas!H13),"",profilKelas!H13)</f>
        <v>: Pilih Kelas dan Rombel</v>
      </c>
      <c r="T8" s="13"/>
      <c r="U8" s="13"/>
      <c r="V8" s="13"/>
      <c r="W8" s="13"/>
      <c r="X8" s="13"/>
      <c r="Y8" s="13" t="s">
        <v>841</v>
      </c>
      <c r="Z8" s="13" t="str">
        <f>": "&amp;IF(ISBLANK(profilKelas!F12),"Ketik Tahun Ajaran pada Profil Kelas",IF(ISBLANK(O11),profilKelas!F12,O11))</f>
        <v>: Ketik Tahun Ajaran pada Profil Kelas</v>
      </c>
      <c r="AA8" s="71"/>
      <c r="AB8" s="13"/>
      <c r="AD8" s="72"/>
      <c r="AE8" s="72"/>
      <c r="AF8" s="72"/>
      <c r="AG8" s="72"/>
      <c r="AH8" s="72"/>
      <c r="AI8" s="72"/>
      <c r="AJ8" s="72"/>
      <c r="AK8" s="72"/>
      <c r="AL8" s="72"/>
      <c r="AM8" s="72"/>
      <c r="AN8" s="72"/>
      <c r="AO8" s="13"/>
      <c r="AP8" s="13"/>
      <c r="AQ8" s="13"/>
    </row>
    <row r="9" spans="1:43" x14ac:dyDescent="0.3"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71"/>
      <c r="Q9" s="13"/>
      <c r="R9" s="13"/>
      <c r="S9" s="13"/>
      <c r="T9" s="13"/>
      <c r="U9" s="13"/>
      <c r="V9" s="13"/>
      <c r="W9" s="13"/>
      <c r="X9" s="13"/>
      <c r="Y9" s="13"/>
      <c r="Z9" s="13"/>
      <c r="AA9" s="71"/>
      <c r="AB9" s="13"/>
      <c r="AD9" s="13" t="s">
        <v>862</v>
      </c>
      <c r="AE9" s="13"/>
      <c r="AF9" s="13" t="str">
        <f>UPPER(": "&amp;profilKelas!F5&amp;" ("&amp;profilKelas!F6&amp;")")</f>
        <v>:  ()</v>
      </c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</row>
    <row r="10" spans="1:43" x14ac:dyDescent="0.3">
      <c r="B10" s="162" t="s">
        <v>0</v>
      </c>
      <c r="C10" s="162" t="s">
        <v>858</v>
      </c>
      <c r="D10" s="164" t="s">
        <v>831</v>
      </c>
      <c r="E10" s="164" t="s">
        <v>987</v>
      </c>
      <c r="F10" s="44" t="s">
        <v>19</v>
      </c>
      <c r="G10" s="45"/>
      <c r="H10" s="45"/>
      <c r="I10" s="45"/>
      <c r="J10" s="45"/>
      <c r="K10" s="45"/>
      <c r="L10" s="46"/>
      <c r="M10" s="162" t="s">
        <v>9</v>
      </c>
      <c r="O10"/>
      <c r="Q10" s="73"/>
      <c r="R10" s="74"/>
      <c r="S10" s="74"/>
      <c r="T10" s="75"/>
      <c r="U10" s="76" t="s">
        <v>19</v>
      </c>
      <c r="V10" s="77"/>
      <c r="W10" s="77"/>
      <c r="X10" s="77"/>
      <c r="Y10" s="77"/>
      <c r="Z10" s="77"/>
      <c r="AA10" s="78"/>
      <c r="AB10" s="36"/>
      <c r="AD10" s="13" t="s">
        <v>863</v>
      </c>
      <c r="AE10" s="13"/>
      <c r="AF10" s="13" t="str">
        <f>UPPER(": "&amp;profilKelas!F9&amp;", Provinsi "&amp;profilKelas!F8)</f>
        <v xml:space="preserve">: , PROVINSI </v>
      </c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</row>
    <row r="11" spans="1:43" x14ac:dyDescent="0.3">
      <c r="B11" s="169"/>
      <c r="C11" s="169"/>
      <c r="D11" s="170"/>
      <c r="E11" s="170"/>
      <c r="F11" s="80" t="s">
        <v>2</v>
      </c>
      <c r="G11" s="80" t="s">
        <v>3</v>
      </c>
      <c r="H11" s="80" t="s">
        <v>4</v>
      </c>
      <c r="I11" s="81" t="s">
        <v>606</v>
      </c>
      <c r="J11" s="81" t="s">
        <v>6</v>
      </c>
      <c r="K11" s="81" t="s">
        <v>7</v>
      </c>
      <c r="L11" s="81" t="s">
        <v>8</v>
      </c>
      <c r="M11" s="169"/>
      <c r="O11"/>
      <c r="Q11" s="82"/>
      <c r="R11" s="83"/>
      <c r="S11" s="83"/>
      <c r="T11" s="84"/>
      <c r="U11" s="85" t="s">
        <v>14</v>
      </c>
      <c r="V11" s="86"/>
      <c r="W11" s="86"/>
      <c r="X11" s="86"/>
      <c r="Y11" s="86"/>
      <c r="Z11" s="86"/>
      <c r="AA11" s="87"/>
      <c r="AB11" s="79"/>
      <c r="AD11" s="13" t="str">
        <f>profilKelas!B10</f>
        <v>Nama Kepala Sekolah</v>
      </c>
      <c r="AE11" s="13"/>
      <c r="AF11" s="13" t="str">
        <f>UPPER(": "&amp;profilKelas!F10&amp;" (NIP."&amp;profilKelas!F11&amp;")")</f>
        <v>:  (NIP.)</v>
      </c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</row>
    <row r="12" spans="1:43" ht="16.2" x14ac:dyDescent="0.3">
      <c r="B12" s="163"/>
      <c r="C12" s="163"/>
      <c r="D12" s="165"/>
      <c r="E12" s="165"/>
      <c r="F12" s="88" t="s">
        <v>881</v>
      </c>
      <c r="G12" s="89"/>
      <c r="H12" s="89"/>
      <c r="I12" s="89"/>
      <c r="J12" s="89"/>
      <c r="K12" s="89"/>
      <c r="L12" s="90"/>
      <c r="M12" s="163"/>
      <c r="Q12" s="91" t="s">
        <v>0</v>
      </c>
      <c r="R12" s="92" t="s">
        <v>1</v>
      </c>
      <c r="S12" s="35" t="s">
        <v>596</v>
      </c>
      <c r="T12" s="35" t="s">
        <v>605</v>
      </c>
      <c r="U12" s="80" t="s">
        <v>599</v>
      </c>
      <c r="V12" s="80" t="s">
        <v>600</v>
      </c>
      <c r="W12" s="80" t="s">
        <v>4</v>
      </c>
      <c r="X12" s="81" t="s">
        <v>601</v>
      </c>
      <c r="Y12" s="81" t="s">
        <v>602</v>
      </c>
      <c r="Z12" s="81" t="s">
        <v>603</v>
      </c>
      <c r="AA12" s="93" t="s">
        <v>604</v>
      </c>
      <c r="AB12" s="36" t="s">
        <v>11</v>
      </c>
      <c r="AD12" s="34" t="str">
        <f ca="1">SUBSTITUTE(profilKelas!B15,"Nama ","")&amp;" "&amp;IF(ISBLANK(profilKelas!H13),"",profilKelas!H13)</f>
        <v>Guru Wali Kelas Pilih Kelas dan Rombel</v>
      </c>
      <c r="AE12" s="34"/>
      <c r="AF12" s="34" t="str">
        <f>UPPER(": "&amp;profilKelas!F15)</f>
        <v xml:space="preserve">: </v>
      </c>
      <c r="AG12" s="34"/>
      <c r="AH12" s="34"/>
      <c r="AI12" s="34"/>
      <c r="AJ12" s="34"/>
      <c r="AK12" s="34"/>
      <c r="AL12" s="34"/>
      <c r="AM12" s="34"/>
      <c r="AN12" s="34"/>
      <c r="AO12" s="34"/>
      <c r="AP12" s="13"/>
      <c r="AQ12" s="13"/>
    </row>
    <row r="13" spans="1:43" x14ac:dyDescent="0.3">
      <c r="B13" s="4">
        <f>IF(ROW(A1)&lt;=profilKelas!$F$14,ROW(A1),"")</f>
        <v>1</v>
      </c>
      <c r="C13" s="94" t="str">
        <f>IF(ISBLANK(identitasMurid!C6),"",identitasMurid!C6)</f>
        <v/>
      </c>
      <c r="D13" s="6" t="str">
        <f>IF(ISBLANK(identitasMurid!D6),"",identitasMurid!D6)</f>
        <v/>
      </c>
      <c r="E13" s="95"/>
      <c r="F13" s="95"/>
      <c r="G13" s="95"/>
      <c r="H13" s="95"/>
      <c r="I13" s="95"/>
      <c r="J13" s="95"/>
      <c r="K13" s="95"/>
      <c r="L13" s="95"/>
      <c r="M13" s="95"/>
      <c r="Q13" s="5">
        <f>IF(ROW(A1)&lt;=profilKelas!$F$14,ROW(A1),"")</f>
        <v>1</v>
      </c>
      <c r="R13" s="12" t="str">
        <f t="shared" ref="R13:R57" si="0">C13</f>
        <v/>
      </c>
      <c r="S13" s="108" t="str">
        <f t="shared" ref="S13:S19" si="1">IF(LEN(B13)=0,"",IF(ISBLANK(E13),"Status Siswa Kosong",E13))</f>
        <v>Status Siswa Kosong</v>
      </c>
      <c r="T13" s="108" t="str">
        <f t="shared" ref="T13:T57" si="2">IF(ISBLANK(D13),"",D13)</f>
        <v/>
      </c>
      <c r="U13" s="108" t="str">
        <f t="shared" ref="U13:AA28" si="3">IF(LEN($B13)=0,"",IF(LEN($C13)=0,"Nama Siswa Kosong",IF($E13="","Status Siswa Kosong",IF($E13&lt;&gt;"Aktif","Siswa Tidak Aktif",
IF(ISBLANK(F13),"Belum mengisi",IF(F13&gt;=20,"Sudah terbiasa","Belum terbiasa"))))))</f>
        <v>Nama Siswa Kosong</v>
      </c>
      <c r="V13" s="108" t="str">
        <f t="shared" si="3"/>
        <v>Nama Siswa Kosong</v>
      </c>
      <c r="W13" s="108" t="str">
        <f t="shared" si="3"/>
        <v>Nama Siswa Kosong</v>
      </c>
      <c r="X13" s="108" t="str">
        <f t="shared" si="3"/>
        <v>Nama Siswa Kosong</v>
      </c>
      <c r="Y13" s="108" t="str">
        <f t="shared" si="3"/>
        <v>Nama Siswa Kosong</v>
      </c>
      <c r="Z13" s="108" t="str">
        <f t="shared" si="3"/>
        <v>Nama Siswa Kosong</v>
      </c>
      <c r="AA13" s="108" t="str">
        <f t="shared" si="3"/>
        <v>Nama Siswa Kosong</v>
      </c>
      <c r="AB13" s="108" t="str" cm="1">
        <f t="array" ref="AB13">IF(LEN($B13)=0,"",IF(LEN(C13)=0,"Nama Siswa Kosong",IF($E13="","Status Siswa Kosong",IF(S13&lt;&gt;"Aktif","Siswa Tidak Aktif",
IF(OR(U13:AA13="Belum mengisi"),"Belum mengisi",IF(AND(U13:AA13="Sudah terbiasa"),"Sudah terbiasa","Belum terbiasa"))))))</f>
        <v>Nama Siswa Kosong</v>
      </c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</row>
    <row r="14" spans="1:43" ht="15.6" hidden="1" customHeight="1" x14ac:dyDescent="0.3">
      <c r="B14" s="4" t="str">
        <f>IF(ROW(A2)&lt;=profilKelas!$F$14,ROW(A2),"")</f>
        <v/>
      </c>
      <c r="C14" s="94" t="str">
        <f>IF(ISBLANK(identitasMurid!C7),"",identitasMurid!C7)</f>
        <v/>
      </c>
      <c r="D14" s="6" t="str">
        <f>IF(ISBLANK(identitasMurid!D7),"",identitasMurid!D7)</f>
        <v/>
      </c>
      <c r="E14" s="95"/>
      <c r="F14" s="95"/>
      <c r="G14" s="95"/>
      <c r="H14" s="95"/>
      <c r="I14" s="95"/>
      <c r="J14" s="95"/>
      <c r="K14" s="95"/>
      <c r="L14" s="95"/>
      <c r="M14" s="95"/>
      <c r="Q14" s="5" t="str">
        <f>IF(ROW(A2)&lt;=profilKelas!$F$14,ROW(A2),"")</f>
        <v/>
      </c>
      <c r="R14" s="12" t="str">
        <f t="shared" si="0"/>
        <v/>
      </c>
      <c r="S14" s="108" t="str">
        <f t="shared" si="1"/>
        <v/>
      </c>
      <c r="T14" s="108" t="str">
        <f t="shared" si="2"/>
        <v/>
      </c>
      <c r="U14" s="108" t="str">
        <f t="shared" si="3"/>
        <v/>
      </c>
      <c r="V14" s="108" t="str">
        <f t="shared" si="3"/>
        <v/>
      </c>
      <c r="W14" s="108" t="str">
        <f t="shared" si="3"/>
        <v/>
      </c>
      <c r="X14" s="108" t="str">
        <f t="shared" si="3"/>
        <v/>
      </c>
      <c r="Y14" s="108" t="str">
        <f t="shared" si="3"/>
        <v/>
      </c>
      <c r="Z14" s="108" t="str">
        <f t="shared" si="3"/>
        <v/>
      </c>
      <c r="AA14" s="108" t="str">
        <f t="shared" si="3"/>
        <v/>
      </c>
      <c r="AB14" s="108" t="str" cm="1">
        <f t="array" ref="AB14">IF(LEN($B14)=0,"",IF(LEN(C14)=0,"Nama Siswa Kosong",IF($E14="","Status Siswa Kosong",IF(S14&lt;&gt;"Aktif","Siswa Tidak Aktif",
IF(OR(U14:AA14="Belum mengisi"),"Belum mengisi",IF(AND(U14:AA14="Sudah terbiasa"),"Sudah terbiasa","Belum terbiasa"))))))</f>
        <v/>
      </c>
      <c r="AD14" s="162" t="s">
        <v>0</v>
      </c>
      <c r="AE14" s="162" t="s">
        <v>831</v>
      </c>
      <c r="AF14" s="164" t="s">
        <v>833</v>
      </c>
      <c r="AG14" s="173" t="s">
        <v>596</v>
      </c>
      <c r="AH14" s="174"/>
      <c r="AI14" s="174"/>
      <c r="AJ14" s="175"/>
      <c r="AK14" s="13"/>
      <c r="AL14" s="158"/>
      <c r="AM14" s="158"/>
      <c r="AN14" s="158"/>
      <c r="AO14" s="158"/>
      <c r="AP14" s="158"/>
      <c r="AQ14" s="158"/>
    </row>
    <row r="15" spans="1:43" ht="15.6" hidden="1" customHeight="1" x14ac:dyDescent="0.3">
      <c r="B15" s="4" t="str">
        <f>IF(ROW(A3)&lt;=profilKelas!$F$14,ROW(A3),"")</f>
        <v/>
      </c>
      <c r="C15" s="94" t="str">
        <f>IF(ISBLANK(identitasMurid!C8),"",identitasMurid!C8)</f>
        <v/>
      </c>
      <c r="D15" s="6" t="str">
        <f>IF(ISBLANK(identitasMurid!D8),"",identitasMurid!D8)</f>
        <v/>
      </c>
      <c r="E15" s="95"/>
      <c r="F15" s="95"/>
      <c r="G15" s="95"/>
      <c r="H15" s="95"/>
      <c r="I15" s="95"/>
      <c r="J15" s="95"/>
      <c r="K15" s="95"/>
      <c r="L15" s="95"/>
      <c r="M15" s="95"/>
      <c r="Q15" s="5" t="str">
        <f>IF(ROW(A3)&lt;=profilKelas!$F$14,ROW(A3),"")</f>
        <v/>
      </c>
      <c r="R15" s="12" t="str">
        <f t="shared" si="0"/>
        <v/>
      </c>
      <c r="S15" s="108" t="str">
        <f t="shared" si="1"/>
        <v/>
      </c>
      <c r="T15" s="108" t="str">
        <f t="shared" si="2"/>
        <v/>
      </c>
      <c r="U15" s="108" t="str">
        <f t="shared" si="3"/>
        <v/>
      </c>
      <c r="V15" s="108" t="str">
        <f t="shared" si="3"/>
        <v/>
      </c>
      <c r="W15" s="108" t="str">
        <f t="shared" si="3"/>
        <v/>
      </c>
      <c r="X15" s="108" t="str">
        <f t="shared" si="3"/>
        <v/>
      </c>
      <c r="Y15" s="108" t="str">
        <f t="shared" si="3"/>
        <v/>
      </c>
      <c r="Z15" s="108" t="str">
        <f t="shared" si="3"/>
        <v/>
      </c>
      <c r="AA15" s="108" t="str">
        <f t="shared" si="3"/>
        <v/>
      </c>
      <c r="AB15" s="108" t="str" cm="1">
        <f t="array" ref="AB15">IF(LEN($B15)=0,"",IF(LEN(C15)=0,"Nama Siswa Kosong",IF($E15="","Status Siswa Kosong",IF(S15&lt;&gt;"Aktif","Siswa Tidak Aktif",
IF(OR(U15:AA15="Belum mengisi"),"Belum mengisi",IF(AND(U15:AA15="Sudah terbiasa"),"Sudah terbiasa","Belum terbiasa"))))))</f>
        <v/>
      </c>
      <c r="AD15" s="163"/>
      <c r="AE15" s="163"/>
      <c r="AF15" s="165"/>
      <c r="AG15" s="148" t="s">
        <v>597</v>
      </c>
      <c r="AH15" s="148"/>
      <c r="AI15" s="148" t="s">
        <v>598</v>
      </c>
      <c r="AJ15" s="148"/>
      <c r="AK15" s="13"/>
      <c r="AL15" s="158"/>
      <c r="AM15" s="158"/>
      <c r="AN15" s="158"/>
      <c r="AO15" s="158"/>
      <c r="AP15" s="158"/>
      <c r="AQ15" s="158"/>
    </row>
    <row r="16" spans="1:43" hidden="1" x14ac:dyDescent="0.3">
      <c r="B16" s="4" t="str">
        <f>IF(ROW(A4)&lt;=profilKelas!$F$14,ROW(A4),"")</f>
        <v/>
      </c>
      <c r="C16" s="94" t="str">
        <f>IF(ISBLANK(identitasMurid!C9),"",identitasMurid!C9)</f>
        <v/>
      </c>
      <c r="D16" s="6" t="str">
        <f>IF(ISBLANK(identitasMurid!D9),"",identitasMurid!D9)</f>
        <v/>
      </c>
      <c r="E16" s="95"/>
      <c r="F16" s="95"/>
      <c r="G16" s="95"/>
      <c r="H16" s="95"/>
      <c r="I16" s="95"/>
      <c r="J16" s="95"/>
      <c r="K16" s="95"/>
      <c r="L16" s="95"/>
      <c r="M16" s="95"/>
      <c r="Q16" s="5" t="str">
        <f>IF(ROW(A4)&lt;=profilKelas!$F$14,ROW(A4),"")</f>
        <v/>
      </c>
      <c r="R16" s="12" t="str">
        <f t="shared" si="0"/>
        <v/>
      </c>
      <c r="S16" s="108" t="str">
        <f t="shared" si="1"/>
        <v/>
      </c>
      <c r="T16" s="108" t="str">
        <f t="shared" si="2"/>
        <v/>
      </c>
      <c r="U16" s="108" t="str">
        <f t="shared" si="3"/>
        <v/>
      </c>
      <c r="V16" s="108" t="str">
        <f t="shared" si="3"/>
        <v/>
      </c>
      <c r="W16" s="108" t="str">
        <f t="shared" si="3"/>
        <v/>
      </c>
      <c r="X16" s="108" t="str">
        <f t="shared" si="3"/>
        <v/>
      </c>
      <c r="Y16" s="108" t="str">
        <f t="shared" si="3"/>
        <v/>
      </c>
      <c r="Z16" s="108" t="str">
        <f t="shared" si="3"/>
        <v/>
      </c>
      <c r="AA16" s="108" t="str">
        <f t="shared" si="3"/>
        <v/>
      </c>
      <c r="AB16" s="108" t="str" cm="1">
        <f t="array" ref="AB16">IF(LEN($B16)=0,"",IF(LEN(C16)=0,"Nama Siswa Kosong",IF($E16="","Status Siswa Kosong",IF(S16&lt;&gt;"Aktif","Siswa Tidak Aktif",
IF(OR(U16:AA16="Belum mengisi"),"Belum mengisi",IF(AND(U16:AA16="Sudah terbiasa"),"Sudah terbiasa","Belum terbiasa"))))))</f>
        <v/>
      </c>
      <c r="AD16" s="41">
        <v>1</v>
      </c>
      <c r="AE16" s="41" t="s">
        <v>607</v>
      </c>
      <c r="AF16" s="10">
        <f>COUNTIF(JulPL,Perempuan)</f>
        <v>0</v>
      </c>
      <c r="AG16" s="96">
        <f>COUNTIFS(JulKategoriAkhir,SudahTerbiasa,JulPL,Perempuan)</f>
        <v>0</v>
      </c>
      <c r="AH16" s="96"/>
      <c r="AI16" s="96">
        <f>COUNTIFS(JulKategoriAkhir,BelumTerbiasa,JulPL,Perempuan)</f>
        <v>0</v>
      </c>
      <c r="AJ16" s="96"/>
      <c r="AK16" s="13"/>
      <c r="AL16" s="158"/>
      <c r="AM16" s="158"/>
      <c r="AN16" s="158"/>
      <c r="AO16" s="158"/>
      <c r="AP16" s="158"/>
      <c r="AQ16" s="158"/>
    </row>
    <row r="17" spans="2:43" hidden="1" x14ac:dyDescent="0.3">
      <c r="B17" s="4" t="str">
        <f>IF(ROW(A5)&lt;=profilKelas!$F$14,ROW(A5),"")</f>
        <v/>
      </c>
      <c r="C17" s="94" t="str">
        <f>IF(ISBLANK(identitasMurid!C10),"",identitasMurid!C10)</f>
        <v/>
      </c>
      <c r="D17" s="6" t="str">
        <f>IF(ISBLANK(identitasMurid!D10),"",identitasMurid!D10)</f>
        <v/>
      </c>
      <c r="E17" s="95"/>
      <c r="F17" s="95"/>
      <c r="G17" s="95"/>
      <c r="H17" s="95"/>
      <c r="I17" s="95"/>
      <c r="J17" s="95"/>
      <c r="K17" s="95"/>
      <c r="L17" s="95"/>
      <c r="M17" s="95"/>
      <c r="Q17" s="5" t="str">
        <f>IF(ROW(A5)&lt;=profilKelas!$F$14,ROW(A5),"")</f>
        <v/>
      </c>
      <c r="R17" s="12" t="str">
        <f t="shared" si="0"/>
        <v/>
      </c>
      <c r="S17" s="108" t="str">
        <f t="shared" si="1"/>
        <v/>
      </c>
      <c r="T17" s="108" t="str">
        <f t="shared" si="2"/>
        <v/>
      </c>
      <c r="U17" s="108" t="str">
        <f t="shared" si="3"/>
        <v/>
      </c>
      <c r="V17" s="108" t="str">
        <f t="shared" si="3"/>
        <v/>
      </c>
      <c r="W17" s="108" t="str">
        <f t="shared" si="3"/>
        <v/>
      </c>
      <c r="X17" s="108" t="str">
        <f t="shared" si="3"/>
        <v/>
      </c>
      <c r="Y17" s="108" t="str">
        <f t="shared" si="3"/>
        <v/>
      </c>
      <c r="Z17" s="108" t="str">
        <f t="shared" si="3"/>
        <v/>
      </c>
      <c r="AA17" s="108" t="str">
        <f t="shared" si="3"/>
        <v/>
      </c>
      <c r="AB17" s="108" t="str" cm="1">
        <f t="array" ref="AB17">IF(LEN($B17)=0,"",IF(LEN(C17)=0,"Nama Siswa Kosong",IF($E17="","Status Siswa Kosong",IF(S17&lt;&gt;"Aktif","Siswa Tidak Aktif",
IF(OR(U17:AA17="Belum mengisi"),"Belum mengisi",IF(AND(U17:AA17="Sudah terbiasa"),"Sudah terbiasa","Belum terbiasa"))))))</f>
        <v/>
      </c>
      <c r="AD17" s="41">
        <v>2</v>
      </c>
      <c r="AE17" s="41" t="s">
        <v>608</v>
      </c>
      <c r="AF17" s="97">
        <f>COUNTIF(JulPL,Laki_Laki)</f>
        <v>0</v>
      </c>
      <c r="AG17" s="96">
        <f>COUNTIFS(JulKategoriAkhir,SudahTerbiasa,JulPL,Laki_Laki)</f>
        <v>0</v>
      </c>
      <c r="AH17" s="96"/>
      <c r="AI17" s="96">
        <f>COUNTIFS(JulKategoriAkhir,BelumTerbiasa,JulPL,Laki_Laki)</f>
        <v>0</v>
      </c>
      <c r="AJ17" s="96"/>
      <c r="AK17" s="13"/>
      <c r="AL17" s="158"/>
      <c r="AM17" s="158"/>
      <c r="AN17" s="158"/>
      <c r="AO17" s="158"/>
      <c r="AP17" s="158"/>
      <c r="AQ17" s="158"/>
    </row>
    <row r="18" spans="2:43" hidden="1" x14ac:dyDescent="0.3">
      <c r="B18" s="4" t="str">
        <f>IF(ROW(A6)&lt;=profilKelas!$F$14,ROW(A6),"")</f>
        <v/>
      </c>
      <c r="C18" s="94" t="str">
        <f>IF(ISBLANK(identitasMurid!C11),"",identitasMurid!C11)</f>
        <v/>
      </c>
      <c r="D18" s="6" t="str">
        <f>IF(ISBLANK(identitasMurid!D11),"",identitasMurid!D11)</f>
        <v/>
      </c>
      <c r="E18" s="95"/>
      <c r="F18" s="95"/>
      <c r="G18" s="95"/>
      <c r="H18" s="95"/>
      <c r="I18" s="95"/>
      <c r="J18" s="95"/>
      <c r="K18" s="95"/>
      <c r="L18" s="95"/>
      <c r="M18" s="95"/>
      <c r="Q18" s="5" t="str">
        <f>IF(ROW(A6)&lt;=profilKelas!$F$14,ROW(A6),"")</f>
        <v/>
      </c>
      <c r="R18" s="12" t="str">
        <f t="shared" si="0"/>
        <v/>
      </c>
      <c r="S18" s="108" t="str">
        <f t="shared" si="1"/>
        <v/>
      </c>
      <c r="T18" s="108" t="str">
        <f t="shared" si="2"/>
        <v/>
      </c>
      <c r="U18" s="108" t="str">
        <f t="shared" si="3"/>
        <v/>
      </c>
      <c r="V18" s="108" t="str">
        <f t="shared" si="3"/>
        <v/>
      </c>
      <c r="W18" s="108" t="str">
        <f t="shared" si="3"/>
        <v/>
      </c>
      <c r="X18" s="108" t="str">
        <f t="shared" si="3"/>
        <v/>
      </c>
      <c r="Y18" s="108" t="str">
        <f t="shared" si="3"/>
        <v/>
      </c>
      <c r="Z18" s="108" t="str">
        <f t="shared" si="3"/>
        <v/>
      </c>
      <c r="AA18" s="108" t="str">
        <f t="shared" si="3"/>
        <v/>
      </c>
      <c r="AB18" s="108" t="str" cm="1">
        <f t="array" ref="AB18">IF(LEN($B18)=0,"",IF(LEN(C18)=0,"Nama Siswa Kosong",IF($E18="","Status Siswa Kosong",IF(S18&lt;&gt;"Aktif","Siswa Tidak Aktif",
IF(OR(U18:AA18="Belum mengisi"),"Belum mengisi",IF(AND(U18:AA18="Sudah terbiasa"),"Sudah terbiasa","Belum terbiasa"))))))</f>
        <v/>
      </c>
      <c r="AD18" s="160" t="s">
        <v>832</v>
      </c>
      <c r="AE18" s="160"/>
      <c r="AF18" s="3">
        <f>SUM(AF16:AF17)</f>
        <v>0</v>
      </c>
      <c r="AG18" s="96">
        <f>SUM(AG16:AG17)</f>
        <v>0</v>
      </c>
      <c r="AH18" s="96"/>
      <c r="AI18" s="96">
        <f>SUM(AI16:AI17)</f>
        <v>0</v>
      </c>
      <c r="AJ18" s="96"/>
      <c r="AK18" s="13"/>
      <c r="AL18" s="158"/>
      <c r="AM18" s="158"/>
      <c r="AN18" s="158"/>
      <c r="AO18" s="158"/>
      <c r="AP18" s="158"/>
      <c r="AQ18" s="158"/>
    </row>
    <row r="19" spans="2:43" hidden="1" x14ac:dyDescent="0.3">
      <c r="B19" s="4" t="str">
        <f>IF(ROW(A7)&lt;=profilKelas!$F$14,ROW(A7),"")</f>
        <v/>
      </c>
      <c r="C19" s="94" t="str">
        <f>IF(ISBLANK(identitasMurid!C12),"",identitasMurid!C12)</f>
        <v/>
      </c>
      <c r="D19" s="6" t="str">
        <f>IF(ISBLANK(identitasMurid!D12),"",identitasMurid!D12)</f>
        <v/>
      </c>
      <c r="E19" s="95"/>
      <c r="F19" s="95"/>
      <c r="G19" s="95"/>
      <c r="H19" s="95"/>
      <c r="I19" s="95"/>
      <c r="J19" s="95"/>
      <c r="K19" s="95"/>
      <c r="L19" s="95"/>
      <c r="M19" s="95"/>
      <c r="Q19" s="5" t="str">
        <f>IF(ROW(A7)&lt;=profilKelas!$F$14,ROW(A7),"")</f>
        <v/>
      </c>
      <c r="R19" s="12" t="str">
        <f t="shared" si="0"/>
        <v/>
      </c>
      <c r="S19" s="108" t="str">
        <f t="shared" si="1"/>
        <v/>
      </c>
      <c r="T19" s="108" t="str">
        <f t="shared" si="2"/>
        <v/>
      </c>
      <c r="U19" s="108" t="str">
        <f t="shared" si="3"/>
        <v/>
      </c>
      <c r="V19" s="108" t="str">
        <f t="shared" si="3"/>
        <v/>
      </c>
      <c r="W19" s="108" t="str">
        <f t="shared" si="3"/>
        <v/>
      </c>
      <c r="X19" s="108" t="str">
        <f t="shared" si="3"/>
        <v/>
      </c>
      <c r="Y19" s="108" t="str">
        <f t="shared" si="3"/>
        <v/>
      </c>
      <c r="Z19" s="108" t="str">
        <f t="shared" si="3"/>
        <v/>
      </c>
      <c r="AA19" s="108" t="str">
        <f t="shared" si="3"/>
        <v/>
      </c>
      <c r="AB19" s="108" t="str" cm="1">
        <f t="array" ref="AB19">IF(LEN($B19)=0,"",IF(LEN(C19)=0,"Nama Siswa Kosong",IF($E19="","Status Siswa Kosong",IF(S19&lt;&gt;"Aktif","Siswa Tidak Aktif",
IF(OR(U19:AA19="Belum mengisi"),"Belum mengisi",IF(AND(U19:AA19="Sudah terbiasa"),"Sudah terbiasa","Belum terbiasa"))))))</f>
        <v/>
      </c>
      <c r="AD19" s="13"/>
      <c r="AE19" s="13"/>
      <c r="AF19" s="13"/>
      <c r="AG19" s="13"/>
      <c r="AH19" s="13"/>
      <c r="AI19" s="13"/>
      <c r="AJ19" s="13"/>
      <c r="AK19" s="13"/>
      <c r="AL19" s="43"/>
      <c r="AM19" s="43"/>
      <c r="AN19" s="43"/>
      <c r="AO19" s="43"/>
      <c r="AP19" s="43"/>
      <c r="AQ19" s="43"/>
    </row>
    <row r="20" spans="2:43" hidden="1" x14ac:dyDescent="0.3">
      <c r="B20" s="4" t="str">
        <f>IF(ROW(A8)&lt;=profilKelas!$F$14,ROW(A8),"")</f>
        <v/>
      </c>
      <c r="C20" s="94" t="str">
        <f>IF(ISBLANK(identitasMurid!C13),"",identitasMurid!C13)</f>
        <v/>
      </c>
      <c r="D20" s="6" t="str">
        <f>IF(ISBLANK(identitasMurid!D13),"",identitasMurid!D13)</f>
        <v/>
      </c>
      <c r="E20" s="95"/>
      <c r="F20" s="95"/>
      <c r="G20" s="95"/>
      <c r="H20" s="95"/>
      <c r="I20" s="95"/>
      <c r="J20" s="95"/>
      <c r="K20" s="95"/>
      <c r="L20" s="95"/>
      <c r="M20" s="95"/>
      <c r="Q20" s="5" t="str">
        <f>IF(ROW(A8)&lt;=profilKelas!$F$14,ROW(A8),"")</f>
        <v/>
      </c>
      <c r="R20" s="12" t="str">
        <f t="shared" si="0"/>
        <v/>
      </c>
      <c r="S20" s="108" t="str">
        <f>IF(LEN(B20)=0,"",IF(ISBLANK(E20),"Status Siswa Kosong",E20))</f>
        <v/>
      </c>
      <c r="T20" s="108" t="str">
        <f t="shared" si="2"/>
        <v/>
      </c>
      <c r="U20" s="108" t="str">
        <f t="shared" si="3"/>
        <v/>
      </c>
      <c r="V20" s="108" t="str">
        <f t="shared" si="3"/>
        <v/>
      </c>
      <c r="W20" s="108" t="str">
        <f t="shared" si="3"/>
        <v/>
      </c>
      <c r="X20" s="108" t="str">
        <f t="shared" si="3"/>
        <v/>
      </c>
      <c r="Y20" s="108" t="str">
        <f t="shared" si="3"/>
        <v/>
      </c>
      <c r="Z20" s="108" t="str">
        <f t="shared" si="3"/>
        <v/>
      </c>
      <c r="AA20" s="108" t="str">
        <f t="shared" si="3"/>
        <v/>
      </c>
      <c r="AB20" s="108" t="str" cm="1">
        <f t="array" ref="AB20">IF(LEN($B20)=0,"",IF(LEN(C20)=0,"Nama Siswa Kosong",IF($E20="","Status Siswa Kosong",IF(S20&lt;&gt;"Aktif","Siswa Tidak Aktif",
IF(OR(U20:AA20="Belum mengisi"),"Belum mengisi",IF(AND(U20:AA20="Sudah terbiasa"),"Sudah terbiasa","Belum terbiasa"))))))</f>
        <v/>
      </c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</row>
    <row r="21" spans="2:43" ht="15.75" hidden="1" customHeight="1" x14ac:dyDescent="0.3">
      <c r="B21" s="4" t="str">
        <f>IF(ROW(A9)&lt;=profilKelas!$F$14,ROW(A9),"")</f>
        <v/>
      </c>
      <c r="C21" s="94" t="str">
        <f>IF(ISBLANK(identitasMurid!C14),"",identitasMurid!C14)</f>
        <v/>
      </c>
      <c r="D21" s="6" t="str">
        <f>IF(ISBLANK(identitasMurid!D14),"",identitasMurid!D14)</f>
        <v/>
      </c>
      <c r="E21" s="95"/>
      <c r="F21" s="95"/>
      <c r="G21" s="95"/>
      <c r="H21" s="95"/>
      <c r="I21" s="95"/>
      <c r="J21" s="95"/>
      <c r="K21" s="95"/>
      <c r="L21" s="95"/>
      <c r="M21" s="95"/>
      <c r="Q21" s="5" t="str">
        <f>IF(ROW(A9)&lt;=profilKelas!$F$14,ROW(A9),"")</f>
        <v/>
      </c>
      <c r="R21" s="12" t="str">
        <f t="shared" si="0"/>
        <v/>
      </c>
      <c r="S21" s="108" t="str">
        <f t="shared" ref="S21:S57" si="4">IF(LEN(B21)=0,"",IF(ISBLANK(E21),"Status Siswa Kosong",E21))</f>
        <v/>
      </c>
      <c r="T21" s="108" t="str">
        <f t="shared" si="2"/>
        <v/>
      </c>
      <c r="U21" s="108" t="str">
        <f t="shared" si="3"/>
        <v/>
      </c>
      <c r="V21" s="108" t="str">
        <f t="shared" si="3"/>
        <v/>
      </c>
      <c r="W21" s="108" t="str">
        <f t="shared" si="3"/>
        <v/>
      </c>
      <c r="X21" s="108" t="str">
        <f t="shared" si="3"/>
        <v/>
      </c>
      <c r="Y21" s="108" t="str">
        <f t="shared" si="3"/>
        <v/>
      </c>
      <c r="Z21" s="108" t="str">
        <f t="shared" si="3"/>
        <v/>
      </c>
      <c r="AA21" s="108" t="str">
        <f t="shared" si="3"/>
        <v/>
      </c>
      <c r="AB21" s="108" t="str" cm="1">
        <f t="array" ref="AB21">IF(LEN($B21)=0,"",IF(LEN(C21)=0,"Nama Siswa Kosong",IF($E21="","Status Siswa Kosong",IF(S21&lt;&gt;"Aktif","Siswa Tidak Aktif",
IF(OR(U21:AA21="Belum mengisi"),"Belum mengisi",IF(AND(U21:AA21="Sudah terbiasa"),"Sudah terbiasa","Belum terbiasa"))))))</f>
        <v/>
      </c>
      <c r="AD21" s="13"/>
      <c r="AE21" s="13"/>
      <c r="AF21" s="13"/>
      <c r="AG21" s="173" t="s">
        <v>596</v>
      </c>
      <c r="AH21" s="174"/>
      <c r="AI21" s="174"/>
      <c r="AJ21" s="175"/>
      <c r="AK21" s="13"/>
      <c r="AL21" s="13"/>
      <c r="AM21" s="13"/>
      <c r="AN21" s="13"/>
      <c r="AO21" s="13"/>
      <c r="AP21" s="13"/>
      <c r="AQ21" s="13"/>
    </row>
    <row r="22" spans="2:43" hidden="1" x14ac:dyDescent="0.3">
      <c r="B22" s="4" t="str">
        <f>IF(ROW(A10)&lt;=profilKelas!$F$14,ROW(A10),"")</f>
        <v/>
      </c>
      <c r="C22" s="94" t="str">
        <f>IF(ISBLANK(identitasMurid!C15),"",identitasMurid!C15)</f>
        <v/>
      </c>
      <c r="D22" s="6" t="str">
        <f>IF(ISBLANK(identitasMurid!D15),"",identitasMurid!D15)</f>
        <v/>
      </c>
      <c r="E22" s="95"/>
      <c r="F22" s="95"/>
      <c r="G22" s="95"/>
      <c r="H22" s="95"/>
      <c r="I22" s="95"/>
      <c r="J22" s="95"/>
      <c r="K22" s="95"/>
      <c r="L22" s="95"/>
      <c r="M22" s="95"/>
      <c r="Q22" s="5" t="str">
        <f>IF(ROW(A10)&lt;=profilKelas!$F$14,ROW(A10),"")</f>
        <v/>
      </c>
      <c r="R22" s="12" t="str">
        <f t="shared" si="0"/>
        <v/>
      </c>
      <c r="S22" s="108" t="str">
        <f t="shared" si="4"/>
        <v/>
      </c>
      <c r="T22" s="108" t="str">
        <f t="shared" si="2"/>
        <v/>
      </c>
      <c r="U22" s="108" t="str">
        <f t="shared" si="3"/>
        <v/>
      </c>
      <c r="V22" s="108" t="str">
        <f t="shared" si="3"/>
        <v/>
      </c>
      <c r="W22" s="108" t="str">
        <f t="shared" si="3"/>
        <v/>
      </c>
      <c r="X22" s="108" t="str">
        <f t="shared" si="3"/>
        <v/>
      </c>
      <c r="Y22" s="108" t="str">
        <f t="shared" si="3"/>
        <v/>
      </c>
      <c r="Z22" s="108" t="str">
        <f t="shared" si="3"/>
        <v/>
      </c>
      <c r="AA22" s="108" t="str">
        <f t="shared" si="3"/>
        <v/>
      </c>
      <c r="AB22" s="108" t="str" cm="1">
        <f t="array" ref="AB22">IF(LEN($B22)=0,"",IF(LEN(C22)=0,"Nama Siswa Kosong",IF($E22="","Status Siswa Kosong",IF(S22&lt;&gt;"Aktif","Siswa Tidak Aktif",
IF(OR(U22:AA22="Belum mengisi"),"Belum mengisi",IF(AND(U22:AA22="Sudah terbiasa"),"Sudah terbiasa","Belum terbiasa"))))))</f>
        <v/>
      </c>
      <c r="AD22" s="98" t="s">
        <v>0</v>
      </c>
      <c r="AE22" s="148" t="s">
        <v>18</v>
      </c>
      <c r="AF22" s="148"/>
      <c r="AG22" s="148" t="s">
        <v>597</v>
      </c>
      <c r="AH22" s="148"/>
      <c r="AI22" s="171" t="s">
        <v>598</v>
      </c>
      <c r="AJ22" s="172"/>
      <c r="AK22" s="13"/>
      <c r="AL22" s="13"/>
      <c r="AM22" s="13"/>
      <c r="AN22" s="13"/>
      <c r="AO22" s="13"/>
      <c r="AP22" s="13"/>
      <c r="AQ22" s="13"/>
    </row>
    <row r="23" spans="2:43" hidden="1" x14ac:dyDescent="0.3">
      <c r="B23" s="4" t="str">
        <f>IF(ROW(A11)&lt;=profilKelas!$F$14,ROW(A11),"")</f>
        <v/>
      </c>
      <c r="C23" s="94" t="str">
        <f>IF(ISBLANK(identitasMurid!C16),"",identitasMurid!C16)</f>
        <v/>
      </c>
      <c r="D23" s="6" t="str">
        <f>IF(ISBLANK(identitasMurid!D16),"",identitasMurid!D16)</f>
        <v/>
      </c>
      <c r="E23" s="95"/>
      <c r="F23" s="95"/>
      <c r="G23" s="95"/>
      <c r="H23" s="95"/>
      <c r="I23" s="95"/>
      <c r="J23" s="95"/>
      <c r="K23" s="95"/>
      <c r="L23" s="95"/>
      <c r="M23" s="95"/>
      <c r="Q23" s="5" t="str">
        <f>IF(ROW(A11)&lt;=profilKelas!$F$14,ROW(A11),"")</f>
        <v/>
      </c>
      <c r="R23" s="12" t="str">
        <f t="shared" si="0"/>
        <v/>
      </c>
      <c r="S23" s="108" t="str">
        <f t="shared" si="4"/>
        <v/>
      </c>
      <c r="T23" s="108" t="str">
        <f t="shared" si="2"/>
        <v/>
      </c>
      <c r="U23" s="108" t="str">
        <f t="shared" si="3"/>
        <v/>
      </c>
      <c r="V23" s="108" t="str">
        <f t="shared" si="3"/>
        <v/>
      </c>
      <c r="W23" s="108" t="str">
        <f t="shared" si="3"/>
        <v/>
      </c>
      <c r="X23" s="108" t="str">
        <f t="shared" si="3"/>
        <v/>
      </c>
      <c r="Y23" s="108" t="str">
        <f t="shared" si="3"/>
        <v/>
      </c>
      <c r="Z23" s="108" t="str">
        <f t="shared" si="3"/>
        <v/>
      </c>
      <c r="AA23" s="108" t="str">
        <f t="shared" si="3"/>
        <v/>
      </c>
      <c r="AB23" s="108" t="str" cm="1">
        <f t="array" ref="AB23">IF(LEN($B23)=0,"",IF(LEN(C23)=0,"Nama Siswa Kosong",IF($E23="","Status Siswa Kosong",IF(S23&lt;&gt;"Aktif","Siswa Tidak Aktif",
IF(OR(U23:AA23="Belum mengisi"),"Belum mengisi",IF(AND(U23:AA23="Sudah terbiasa"),"Sudah terbiasa","Belum terbiasa"))))))</f>
        <v/>
      </c>
      <c r="AC23" s="99">
        <f t="shared" ref="AC23:AC29" si="5">RANK(AG23,$AG$23:$AG$29)</f>
        <v>1</v>
      </c>
      <c r="AD23" s="41">
        <v>1</v>
      </c>
      <c r="AE23" s="161" t="s">
        <v>2</v>
      </c>
      <c r="AF23" s="161"/>
      <c r="AG23" s="10">
        <f>COUNTIF(JulBangunPagi,SudahTerbiasa)</f>
        <v>0</v>
      </c>
      <c r="AH23" s="50">
        <f>IF(LEN(profilKelas!$F$14)=0,"",COUNTIF(JulBangunPagi,SudahTerbiasa)/profilKelas!$F$14)</f>
        <v>0</v>
      </c>
      <c r="AI23" s="10">
        <f>COUNTIF(JulBangunPagi,BelumTerbiasa)</f>
        <v>0</v>
      </c>
      <c r="AJ23" s="50">
        <f>IF(LEN(profilKelas!$F$14)=0,"",AI23/profilKelas!$F$14)</f>
        <v>0</v>
      </c>
      <c r="AK23" s="13"/>
      <c r="AL23" s="13"/>
      <c r="AM23" s="13"/>
      <c r="AN23" s="13"/>
      <c r="AO23" s="13"/>
      <c r="AP23" s="13"/>
      <c r="AQ23" s="13"/>
    </row>
    <row r="24" spans="2:43" hidden="1" x14ac:dyDescent="0.3">
      <c r="B24" s="4" t="str">
        <f>IF(ROW(A12)&lt;=profilKelas!$F$14,ROW(A12),"")</f>
        <v/>
      </c>
      <c r="C24" s="94" t="str">
        <f>IF(ISBLANK(identitasMurid!C17),"",identitasMurid!C17)</f>
        <v/>
      </c>
      <c r="D24" s="6" t="str">
        <f>IF(ISBLANK(identitasMurid!D17),"",identitasMurid!D17)</f>
        <v/>
      </c>
      <c r="E24" s="95"/>
      <c r="F24" s="95"/>
      <c r="G24" s="95"/>
      <c r="H24" s="95"/>
      <c r="I24" s="95"/>
      <c r="J24" s="95"/>
      <c r="K24" s="95"/>
      <c r="L24" s="95"/>
      <c r="M24" s="95"/>
      <c r="Q24" s="5" t="str">
        <f>IF(ROW(A12)&lt;=profilKelas!$F$14,ROW(A12),"")</f>
        <v/>
      </c>
      <c r="R24" s="12" t="str">
        <f t="shared" si="0"/>
        <v/>
      </c>
      <c r="S24" s="108" t="str">
        <f t="shared" si="4"/>
        <v/>
      </c>
      <c r="T24" s="108" t="str">
        <f t="shared" si="2"/>
        <v/>
      </c>
      <c r="U24" s="108" t="str">
        <f t="shared" si="3"/>
        <v/>
      </c>
      <c r="V24" s="108" t="str">
        <f t="shared" si="3"/>
        <v/>
      </c>
      <c r="W24" s="108" t="str">
        <f t="shared" si="3"/>
        <v/>
      </c>
      <c r="X24" s="108" t="str">
        <f t="shared" si="3"/>
        <v/>
      </c>
      <c r="Y24" s="108" t="str">
        <f t="shared" si="3"/>
        <v/>
      </c>
      <c r="Z24" s="108" t="str">
        <f t="shared" si="3"/>
        <v/>
      </c>
      <c r="AA24" s="108" t="str">
        <f t="shared" si="3"/>
        <v/>
      </c>
      <c r="AB24" s="108" t="str" cm="1">
        <f t="array" ref="AB24">IF(LEN($B24)=0,"",IF(LEN(C24)=0,"Nama Siswa Kosong",IF($E24="","Status Siswa Kosong",IF(S24&lt;&gt;"Aktif","Siswa Tidak Aktif",
IF(OR(U24:AA24="Belum mengisi"),"Belum mengisi",IF(AND(U24:AA24="Sudah terbiasa"),"Sudah terbiasa","Belum terbiasa"))))))</f>
        <v/>
      </c>
      <c r="AC24" s="99">
        <f t="shared" si="5"/>
        <v>1</v>
      </c>
      <c r="AD24" s="41">
        <v>2</v>
      </c>
      <c r="AE24" s="161" t="s">
        <v>3</v>
      </c>
      <c r="AF24" s="161"/>
      <c r="AG24" s="10">
        <f>COUNTIF(JulTaatBeribadah,SudahTerbiasa)</f>
        <v>0</v>
      </c>
      <c r="AH24" s="50">
        <f>IF(LEN(profilKelas!$F$14)=0,"",AG24/profilKelas!$F$14)</f>
        <v>0</v>
      </c>
      <c r="AI24" s="10">
        <f>COUNTIF(JulTaatBeribadah,BelumTerbiasa)</f>
        <v>0</v>
      </c>
      <c r="AJ24" s="50">
        <f>IF(LEN(profilKelas!$F$14)=0,"",AI24/profilKelas!$F$14)</f>
        <v>0</v>
      </c>
      <c r="AK24" s="13"/>
      <c r="AL24" s="13"/>
      <c r="AM24" s="13"/>
      <c r="AN24" s="13"/>
      <c r="AO24" s="13"/>
      <c r="AP24" s="13"/>
      <c r="AQ24" s="13"/>
    </row>
    <row r="25" spans="2:43" hidden="1" x14ac:dyDescent="0.3">
      <c r="B25" s="4" t="str">
        <f>IF(ROW(A13)&lt;=profilKelas!$F$14,ROW(A13),"")</f>
        <v/>
      </c>
      <c r="C25" s="94" t="str">
        <f>IF(ISBLANK(identitasMurid!C18),"",identitasMurid!C18)</f>
        <v/>
      </c>
      <c r="D25" s="6" t="str">
        <f>IF(ISBLANK(identitasMurid!D18),"",identitasMurid!D18)</f>
        <v/>
      </c>
      <c r="E25" s="95"/>
      <c r="F25" s="95"/>
      <c r="G25" s="95"/>
      <c r="H25" s="95"/>
      <c r="I25" s="95"/>
      <c r="J25" s="95"/>
      <c r="K25" s="95"/>
      <c r="L25" s="95"/>
      <c r="M25" s="95"/>
      <c r="Q25" s="5" t="str">
        <f>IF(ROW(A13)&lt;=profilKelas!$F$14,ROW(A13),"")</f>
        <v/>
      </c>
      <c r="R25" s="12" t="str">
        <f t="shared" si="0"/>
        <v/>
      </c>
      <c r="S25" s="108" t="str">
        <f t="shared" si="4"/>
        <v/>
      </c>
      <c r="T25" s="108" t="str">
        <f t="shared" si="2"/>
        <v/>
      </c>
      <c r="U25" s="108" t="str">
        <f t="shared" si="3"/>
        <v/>
      </c>
      <c r="V25" s="108" t="str">
        <f t="shared" si="3"/>
        <v/>
      </c>
      <c r="W25" s="108" t="str">
        <f t="shared" si="3"/>
        <v/>
      </c>
      <c r="X25" s="108" t="str">
        <f t="shared" si="3"/>
        <v/>
      </c>
      <c r="Y25" s="108" t="str">
        <f t="shared" si="3"/>
        <v/>
      </c>
      <c r="Z25" s="108" t="str">
        <f t="shared" si="3"/>
        <v/>
      </c>
      <c r="AA25" s="108" t="str">
        <f t="shared" si="3"/>
        <v/>
      </c>
      <c r="AB25" s="108" t="str" cm="1">
        <f t="array" ref="AB25">IF(LEN($B25)=0,"",IF(LEN(C25)=0,"Nama Siswa Kosong",IF($E25="","Status Siswa Kosong",IF(S25&lt;&gt;"Aktif","Siswa Tidak Aktif",
IF(OR(U25:AA25="Belum mengisi"),"Belum mengisi",IF(AND(U25:AA25="Sudah terbiasa"),"Sudah terbiasa","Belum terbiasa"))))))</f>
        <v/>
      </c>
      <c r="AC25" s="99">
        <f t="shared" si="5"/>
        <v>1</v>
      </c>
      <c r="AD25" s="41">
        <v>3</v>
      </c>
      <c r="AE25" s="161" t="s">
        <v>4</v>
      </c>
      <c r="AF25" s="161"/>
      <c r="AG25" s="10">
        <f>COUNTIF(JulBerolahraga,SudahTerbiasa)</f>
        <v>0</v>
      </c>
      <c r="AH25" s="50">
        <f>IF(LEN(profilKelas!$F$14)=0,"",AG25/profilKelas!$F$14)</f>
        <v>0</v>
      </c>
      <c r="AI25" s="10">
        <f>COUNTIF(JulBerolahraga,BelumTerbiasa)</f>
        <v>0</v>
      </c>
      <c r="AJ25" s="50">
        <f>IF(LEN(profilKelas!$F$14)=0,"",AI25/profilKelas!$F$14)</f>
        <v>0</v>
      </c>
      <c r="AK25" s="13"/>
      <c r="AL25" s="13"/>
      <c r="AM25" s="13"/>
      <c r="AN25" s="13"/>
      <c r="AO25" s="13"/>
      <c r="AP25" s="13"/>
      <c r="AQ25" s="13"/>
    </row>
    <row r="26" spans="2:43" hidden="1" x14ac:dyDescent="0.3">
      <c r="B26" s="4" t="str">
        <f>IF(ROW(A14)&lt;=profilKelas!$F$14,ROW(A14),"")</f>
        <v/>
      </c>
      <c r="C26" s="94" t="str">
        <f>IF(ISBLANK(identitasMurid!C19),"",identitasMurid!C19)</f>
        <v/>
      </c>
      <c r="D26" s="6" t="str">
        <f>IF(ISBLANK(identitasMurid!D19),"",identitasMurid!D19)</f>
        <v/>
      </c>
      <c r="E26" s="95"/>
      <c r="F26" s="95"/>
      <c r="G26" s="95"/>
      <c r="H26" s="95"/>
      <c r="I26" s="95"/>
      <c r="J26" s="95"/>
      <c r="K26" s="95"/>
      <c r="L26" s="95"/>
      <c r="M26" s="95"/>
      <c r="Q26" s="5" t="str">
        <f>IF(ROW(A14)&lt;=profilKelas!$F$14,ROW(A14),"")</f>
        <v/>
      </c>
      <c r="R26" s="12" t="str">
        <f t="shared" si="0"/>
        <v/>
      </c>
      <c r="S26" s="108" t="str">
        <f t="shared" si="4"/>
        <v/>
      </c>
      <c r="T26" s="108" t="str">
        <f t="shared" si="2"/>
        <v/>
      </c>
      <c r="U26" s="108" t="str">
        <f t="shared" si="3"/>
        <v/>
      </c>
      <c r="V26" s="108" t="str">
        <f t="shared" si="3"/>
        <v/>
      </c>
      <c r="W26" s="108" t="str">
        <f t="shared" si="3"/>
        <v/>
      </c>
      <c r="X26" s="108" t="str">
        <f t="shared" si="3"/>
        <v/>
      </c>
      <c r="Y26" s="108" t="str">
        <f t="shared" si="3"/>
        <v/>
      </c>
      <c r="Z26" s="108" t="str">
        <f t="shared" si="3"/>
        <v/>
      </c>
      <c r="AA26" s="108" t="str">
        <f t="shared" si="3"/>
        <v/>
      </c>
      <c r="AB26" s="108" t="str" cm="1">
        <f t="array" ref="AB26">IF(LEN($B26)=0,"",IF(LEN(C26)=0,"Nama Siswa Kosong",IF($E26="","Status Siswa Kosong",IF(S26&lt;&gt;"Aktif","Siswa Tidak Aktif",
IF(OR(U26:AA26="Belum mengisi"),"Belum mengisi",IF(AND(U26:AA26="Sudah terbiasa"),"Sudah terbiasa","Belum terbiasa"))))))</f>
        <v/>
      </c>
      <c r="AC26" s="99">
        <f t="shared" si="5"/>
        <v>1</v>
      </c>
      <c r="AD26" s="41">
        <v>4</v>
      </c>
      <c r="AE26" s="161" t="s">
        <v>5</v>
      </c>
      <c r="AF26" s="161"/>
      <c r="AG26" s="10">
        <f>COUNTIF(JulMakanSehatBergizi,SudahTerbiasa)</f>
        <v>0</v>
      </c>
      <c r="AH26" s="50">
        <f>IF(LEN(profilKelas!$F$14)=0,"",AG26/profilKelas!$F$14)</f>
        <v>0</v>
      </c>
      <c r="AI26" s="10">
        <f>COUNTIF(JulMakanSehatBergizi,BelumTerbiasa)</f>
        <v>0</v>
      </c>
      <c r="AJ26" s="50">
        <f>IF(LEN(profilKelas!$F$14)=0,"",AI26/profilKelas!$F$14)</f>
        <v>0</v>
      </c>
      <c r="AK26" s="13"/>
      <c r="AL26" s="13"/>
      <c r="AM26" s="13"/>
      <c r="AN26" s="13"/>
      <c r="AO26" s="13"/>
      <c r="AP26" s="13"/>
      <c r="AQ26" s="13"/>
    </row>
    <row r="27" spans="2:43" hidden="1" x14ac:dyDescent="0.3">
      <c r="B27" s="4" t="str">
        <f>IF(ROW(A15)&lt;=profilKelas!$F$14,ROW(A15),"")</f>
        <v/>
      </c>
      <c r="C27" s="94" t="str">
        <f>IF(ISBLANK(identitasMurid!C20),"",identitasMurid!C20)</f>
        <v/>
      </c>
      <c r="D27" s="6" t="str">
        <f>IF(ISBLANK(identitasMurid!D20),"",identitasMurid!D20)</f>
        <v/>
      </c>
      <c r="E27" s="95"/>
      <c r="F27" s="95"/>
      <c r="G27" s="95"/>
      <c r="H27" s="95"/>
      <c r="I27" s="95"/>
      <c r="J27" s="95"/>
      <c r="K27" s="95"/>
      <c r="L27" s="95"/>
      <c r="M27" s="95"/>
      <c r="Q27" s="5" t="str">
        <f>IF(ROW(A15)&lt;=profilKelas!$F$14,ROW(A15),"")</f>
        <v/>
      </c>
      <c r="R27" s="12" t="str">
        <f t="shared" si="0"/>
        <v/>
      </c>
      <c r="S27" s="108" t="str">
        <f t="shared" si="4"/>
        <v/>
      </c>
      <c r="T27" s="108" t="str">
        <f t="shared" si="2"/>
        <v/>
      </c>
      <c r="U27" s="108" t="str">
        <f t="shared" si="3"/>
        <v/>
      </c>
      <c r="V27" s="108" t="str">
        <f t="shared" si="3"/>
        <v/>
      </c>
      <c r="W27" s="108" t="str">
        <f t="shared" si="3"/>
        <v/>
      </c>
      <c r="X27" s="108" t="str">
        <f t="shared" si="3"/>
        <v/>
      </c>
      <c r="Y27" s="108" t="str">
        <f t="shared" si="3"/>
        <v/>
      </c>
      <c r="Z27" s="108" t="str">
        <f t="shared" si="3"/>
        <v/>
      </c>
      <c r="AA27" s="108" t="str">
        <f t="shared" si="3"/>
        <v/>
      </c>
      <c r="AB27" s="108" t="str" cm="1">
        <f t="array" ref="AB27">IF(LEN($B27)=0,"",IF(LEN(C27)=0,"Nama Siswa Kosong",IF($E27="","Status Siswa Kosong",IF(S27&lt;&gt;"Aktif","Siswa Tidak Aktif",
IF(OR(U27:AA27="Belum mengisi"),"Belum mengisi",IF(AND(U27:AA27="Sudah terbiasa"),"Sudah terbiasa","Belum terbiasa"))))))</f>
        <v/>
      </c>
      <c r="AC27" s="99">
        <f t="shared" si="5"/>
        <v>1</v>
      </c>
      <c r="AD27" s="41">
        <v>5</v>
      </c>
      <c r="AE27" s="161" t="s">
        <v>6</v>
      </c>
      <c r="AF27" s="161"/>
      <c r="AG27" s="10">
        <f>COUNTIF(JulGemarBelajar,SudahTerbiasa)</f>
        <v>0</v>
      </c>
      <c r="AH27" s="50">
        <f>IF(LEN(profilKelas!$F$14)=0,"",AG27/profilKelas!$F$14)</f>
        <v>0</v>
      </c>
      <c r="AI27" s="10">
        <f>COUNTIF(JulGemarBelajar,BelumTerbiasa)</f>
        <v>0</v>
      </c>
      <c r="AJ27" s="50">
        <f>IF(LEN(profilKelas!$F$14)=0,"",AI27/profilKelas!$F$14)</f>
        <v>0</v>
      </c>
      <c r="AK27" s="13"/>
      <c r="AL27" s="13"/>
      <c r="AM27" s="13"/>
      <c r="AN27" s="13"/>
      <c r="AO27" s="13"/>
      <c r="AP27" s="13"/>
      <c r="AQ27" s="13"/>
    </row>
    <row r="28" spans="2:43" hidden="1" x14ac:dyDescent="0.3">
      <c r="B28" s="4" t="str">
        <f>IF(ROW(A16)&lt;=profilKelas!$F$14,ROW(A16),"")</f>
        <v/>
      </c>
      <c r="C28" s="94" t="str">
        <f>IF(ISBLANK(identitasMurid!C21),"",identitasMurid!C21)</f>
        <v/>
      </c>
      <c r="D28" s="6" t="str">
        <f>IF(ISBLANK(identitasMurid!D21),"",identitasMurid!D21)</f>
        <v/>
      </c>
      <c r="E28" s="95"/>
      <c r="F28" s="95"/>
      <c r="G28" s="95"/>
      <c r="H28" s="95"/>
      <c r="I28" s="95"/>
      <c r="J28" s="95"/>
      <c r="K28" s="95"/>
      <c r="L28" s="95"/>
      <c r="M28" s="95"/>
      <c r="Q28" s="5" t="str">
        <f>IF(ROW(A16)&lt;=profilKelas!$F$14,ROW(A16),"")</f>
        <v/>
      </c>
      <c r="R28" s="12" t="str">
        <f t="shared" si="0"/>
        <v/>
      </c>
      <c r="S28" s="108" t="str">
        <f t="shared" si="4"/>
        <v/>
      </c>
      <c r="T28" s="108" t="str">
        <f t="shared" si="2"/>
        <v/>
      </c>
      <c r="U28" s="108" t="str">
        <f t="shared" si="3"/>
        <v/>
      </c>
      <c r="V28" s="108" t="str">
        <f t="shared" si="3"/>
        <v/>
      </c>
      <c r="W28" s="108" t="str">
        <f t="shared" si="3"/>
        <v/>
      </c>
      <c r="X28" s="108" t="str">
        <f t="shared" si="3"/>
        <v/>
      </c>
      <c r="Y28" s="108" t="str">
        <f t="shared" si="3"/>
        <v/>
      </c>
      <c r="Z28" s="108" t="str">
        <f t="shared" si="3"/>
        <v/>
      </c>
      <c r="AA28" s="108" t="str">
        <f t="shared" si="3"/>
        <v/>
      </c>
      <c r="AB28" s="108" t="str" cm="1">
        <f t="array" ref="AB28">IF(LEN($B28)=0,"",IF(LEN(C28)=0,"Nama Siswa Kosong",IF($E28="","Status Siswa Kosong",IF(S28&lt;&gt;"Aktif","Siswa Tidak Aktif",
IF(OR(U28:AA28="Belum mengisi"),"Belum mengisi",IF(AND(U28:AA28="Sudah terbiasa"),"Sudah terbiasa","Belum terbiasa"))))))</f>
        <v/>
      </c>
      <c r="AC28" s="99">
        <f t="shared" si="5"/>
        <v>1</v>
      </c>
      <c r="AD28" s="41">
        <v>6</v>
      </c>
      <c r="AE28" s="161" t="s">
        <v>7</v>
      </c>
      <c r="AF28" s="161"/>
      <c r="AG28" s="10">
        <f>COUNTIF(JulAktifBermasyarakat,SudahTerbiasa)</f>
        <v>0</v>
      </c>
      <c r="AH28" s="50">
        <f>IF(LEN(profilKelas!$F$14)=0,"",AG28/profilKelas!$F$14)</f>
        <v>0</v>
      </c>
      <c r="AI28" s="10">
        <f>COUNTIF(JulAktifBermasyarakat,BelumTerbiasa)</f>
        <v>0</v>
      </c>
      <c r="AJ28" s="50">
        <f>IF(LEN(profilKelas!$F$14)=0,"",AI28/profilKelas!$F$14)</f>
        <v>0</v>
      </c>
      <c r="AK28" s="13"/>
      <c r="AL28" s="43"/>
      <c r="AM28" s="43"/>
      <c r="AN28" s="43"/>
      <c r="AO28" s="43"/>
      <c r="AP28" s="43"/>
      <c r="AQ28" s="43"/>
    </row>
    <row r="29" spans="2:43" hidden="1" x14ac:dyDescent="0.3">
      <c r="B29" s="4" t="str">
        <f>IF(ROW(A17)&lt;=profilKelas!$F$14,ROW(A17),"")</f>
        <v/>
      </c>
      <c r="C29" s="94" t="str">
        <f>IF(ISBLANK(identitasMurid!C22),"",identitasMurid!C22)</f>
        <v/>
      </c>
      <c r="D29" s="6" t="str">
        <f>IF(ISBLANK(identitasMurid!D22),"",identitasMurid!D22)</f>
        <v/>
      </c>
      <c r="E29" s="95"/>
      <c r="F29" s="95"/>
      <c r="G29" s="95"/>
      <c r="H29" s="95"/>
      <c r="I29" s="95"/>
      <c r="J29" s="95"/>
      <c r="K29" s="95"/>
      <c r="L29" s="95"/>
      <c r="M29" s="95"/>
      <c r="Q29" s="5" t="str">
        <f>IF(ROW(A17)&lt;=profilKelas!$F$14,ROW(A17),"")</f>
        <v/>
      </c>
      <c r="R29" s="12" t="str">
        <f t="shared" si="0"/>
        <v/>
      </c>
      <c r="S29" s="108" t="str">
        <f t="shared" si="4"/>
        <v/>
      </c>
      <c r="T29" s="108" t="str">
        <f t="shared" si="2"/>
        <v/>
      </c>
      <c r="U29" s="108" t="str">
        <f t="shared" ref="U29:AA57" si="6">IF(LEN($B29)=0,"",IF(LEN($C29)=0,"Nama Siswa Kosong",IF($E29="","Status Siswa Kosong",IF($E29&lt;&gt;"Aktif","Siswa Tidak Aktif",
IF(ISBLANK(F29),"Belum mengisi",IF(F29&gt;=20,"Sudah terbiasa","Belum terbiasa"))))))</f>
        <v/>
      </c>
      <c r="V29" s="108" t="str">
        <f t="shared" si="6"/>
        <v/>
      </c>
      <c r="W29" s="108" t="str">
        <f t="shared" si="6"/>
        <v/>
      </c>
      <c r="X29" s="108" t="str">
        <f t="shared" si="6"/>
        <v/>
      </c>
      <c r="Y29" s="108" t="str">
        <f t="shared" si="6"/>
        <v/>
      </c>
      <c r="Z29" s="108" t="str">
        <f t="shared" si="6"/>
        <v/>
      </c>
      <c r="AA29" s="108" t="str">
        <f t="shared" si="6"/>
        <v/>
      </c>
      <c r="AB29" s="108" t="str" cm="1">
        <f t="array" ref="AB29">IF(LEN($B29)=0,"",IF(LEN(C29)=0,"Nama Siswa Kosong",IF($E29="","Status Siswa Kosong",IF(S29&lt;&gt;"Aktif","Siswa Tidak Aktif",
IF(OR(U29:AA29="Belum mengisi"),"Belum mengisi",IF(AND(U29:AA29="Sudah terbiasa"),"Sudah terbiasa","Belum terbiasa"))))))</f>
        <v/>
      </c>
      <c r="AC29" s="99">
        <f t="shared" si="5"/>
        <v>1</v>
      </c>
      <c r="AD29" s="41">
        <v>7</v>
      </c>
      <c r="AE29" s="161" t="s">
        <v>8</v>
      </c>
      <c r="AF29" s="161"/>
      <c r="AG29" s="10">
        <f>COUNTIF(JulTidurCepat,SudahTerbiasa)</f>
        <v>0</v>
      </c>
      <c r="AH29" s="50">
        <f>IF(LEN(profilKelas!$F$14)=0,"",AG29/profilKelas!$F$14)</f>
        <v>0</v>
      </c>
      <c r="AI29" s="10">
        <f>COUNTIF(JulTidurCepat,BelumTerbiasa)</f>
        <v>0</v>
      </c>
      <c r="AJ29" s="50">
        <f>IF(LEN(profilKelas!$F$14)=0,"",AI29/profilKelas!$F$14)</f>
        <v>0</v>
      </c>
      <c r="AK29" s="13"/>
      <c r="AL29" s="43"/>
      <c r="AM29" s="43"/>
      <c r="AN29" s="43"/>
      <c r="AO29" s="43"/>
      <c r="AP29" s="43"/>
      <c r="AQ29" s="43"/>
    </row>
    <row r="30" spans="2:43" hidden="1" x14ac:dyDescent="0.3">
      <c r="B30" s="4" t="str">
        <f>IF(ROW(A18)&lt;=profilKelas!$F$14,ROW(A18),"")</f>
        <v/>
      </c>
      <c r="C30" s="94" t="str">
        <f>IF(ISBLANK(identitasMurid!C23),"",identitasMurid!C23)</f>
        <v/>
      </c>
      <c r="D30" s="6" t="str">
        <f>IF(ISBLANK(identitasMurid!D23),"",identitasMurid!D23)</f>
        <v/>
      </c>
      <c r="E30" s="95"/>
      <c r="F30" s="95"/>
      <c r="G30" s="95"/>
      <c r="H30" s="95"/>
      <c r="I30" s="95"/>
      <c r="J30" s="95"/>
      <c r="K30" s="95"/>
      <c r="L30" s="95"/>
      <c r="M30" s="95"/>
      <c r="Q30" s="5" t="str">
        <f>IF(ROW(A18)&lt;=profilKelas!$F$14,ROW(A18),"")</f>
        <v/>
      </c>
      <c r="R30" s="12" t="str">
        <f t="shared" si="0"/>
        <v/>
      </c>
      <c r="S30" s="108" t="str">
        <f t="shared" si="4"/>
        <v/>
      </c>
      <c r="T30" s="108" t="str">
        <f t="shared" si="2"/>
        <v/>
      </c>
      <c r="U30" s="108" t="str">
        <f t="shared" si="6"/>
        <v/>
      </c>
      <c r="V30" s="108" t="str">
        <f t="shared" si="6"/>
        <v/>
      </c>
      <c r="W30" s="108" t="str">
        <f t="shared" si="6"/>
        <v/>
      </c>
      <c r="X30" s="108" t="str">
        <f t="shared" si="6"/>
        <v/>
      </c>
      <c r="Y30" s="108" t="str">
        <f t="shared" si="6"/>
        <v/>
      </c>
      <c r="Z30" s="108" t="str">
        <f t="shared" si="6"/>
        <v/>
      </c>
      <c r="AA30" s="108" t="str">
        <f t="shared" si="6"/>
        <v/>
      </c>
      <c r="AB30" s="108" t="str" cm="1">
        <f t="array" ref="AB30">IF(LEN($B30)=0,"",IF(LEN(C30)=0,"Nama Siswa Kosong",IF($E30="","Status Siswa Kosong",IF(S30&lt;&gt;"Aktif","Siswa Tidak Aktif",
IF(OR(U30:AA30="Belum mengisi"),"Belum mengisi",IF(AND(U30:AA30="Sudah terbiasa"),"Sudah terbiasa","Belum terbiasa"))))))</f>
        <v/>
      </c>
      <c r="AD30" s="13"/>
      <c r="AE30" s="13"/>
      <c r="AF30" s="13"/>
      <c r="AG30" s="13"/>
      <c r="AH30" s="13"/>
      <c r="AI30" s="13"/>
      <c r="AJ30" s="13"/>
      <c r="AK30" s="13"/>
      <c r="AL30" s="43"/>
      <c r="AM30" s="43"/>
      <c r="AN30" s="43"/>
      <c r="AO30" s="43"/>
      <c r="AP30" s="43"/>
      <c r="AQ30" s="43"/>
    </row>
    <row r="31" spans="2:43" hidden="1" x14ac:dyDescent="0.3">
      <c r="B31" s="4" t="str">
        <f>IF(ROW(A19)&lt;=profilKelas!$F$14,ROW(A19),"")</f>
        <v/>
      </c>
      <c r="C31" s="94" t="str">
        <f>IF(ISBLANK(identitasMurid!C24),"",identitasMurid!C24)</f>
        <v/>
      </c>
      <c r="D31" s="6" t="str">
        <f>IF(ISBLANK(identitasMurid!D24),"",identitasMurid!D24)</f>
        <v/>
      </c>
      <c r="E31" s="95"/>
      <c r="F31" s="95"/>
      <c r="G31" s="95"/>
      <c r="H31" s="95"/>
      <c r="I31" s="95"/>
      <c r="J31" s="95"/>
      <c r="K31" s="95"/>
      <c r="L31" s="95"/>
      <c r="M31" s="95"/>
      <c r="Q31" s="5" t="str">
        <f>IF(ROW(A19)&lt;=profilKelas!$F$14,ROW(A19),"")</f>
        <v/>
      </c>
      <c r="R31" s="12" t="str">
        <f t="shared" si="0"/>
        <v/>
      </c>
      <c r="S31" s="108" t="str">
        <f t="shared" si="4"/>
        <v/>
      </c>
      <c r="T31" s="108" t="str">
        <f t="shared" si="2"/>
        <v/>
      </c>
      <c r="U31" s="108" t="str">
        <f t="shared" si="6"/>
        <v/>
      </c>
      <c r="V31" s="108" t="str">
        <f t="shared" si="6"/>
        <v/>
      </c>
      <c r="W31" s="108" t="str">
        <f t="shared" si="6"/>
        <v/>
      </c>
      <c r="X31" s="108" t="str">
        <f t="shared" si="6"/>
        <v/>
      </c>
      <c r="Y31" s="108" t="str">
        <f t="shared" si="6"/>
        <v/>
      </c>
      <c r="Z31" s="108" t="str">
        <f t="shared" si="6"/>
        <v/>
      </c>
      <c r="AA31" s="108" t="str">
        <f t="shared" si="6"/>
        <v/>
      </c>
      <c r="AB31" s="108" t="str" cm="1">
        <f t="array" ref="AB31">IF(LEN($B31)=0,"",IF(LEN(C31)=0,"Nama Siswa Kosong",IF($E31="","Status Siswa Kosong",IF(S31&lt;&gt;"Aktif","Siswa Tidak Aktif",
IF(OR(U31:AA31="Belum mengisi"),"Belum mengisi",IF(AND(U31:AA31="Sudah terbiasa"),"Sudah terbiasa","Belum terbiasa"))))))</f>
        <v/>
      </c>
      <c r="AD31" s="13"/>
      <c r="AE31" s="13"/>
      <c r="AF31" s="13"/>
      <c r="AG31" s="148" t="s">
        <v>607</v>
      </c>
      <c r="AH31" s="148"/>
      <c r="AI31" s="148"/>
      <c r="AJ31" s="148"/>
      <c r="AK31" s="148" t="s">
        <v>608</v>
      </c>
      <c r="AL31" s="148"/>
      <c r="AM31" s="148"/>
      <c r="AN31" s="148"/>
      <c r="AO31" s="13"/>
      <c r="AP31" s="13"/>
      <c r="AQ31" s="13"/>
    </row>
    <row r="32" spans="2:43" hidden="1" x14ac:dyDescent="0.3">
      <c r="B32" s="4" t="str">
        <f>IF(ROW(A20)&lt;=profilKelas!$F$14,ROW(A20),"")</f>
        <v/>
      </c>
      <c r="C32" s="94" t="str">
        <f>IF(ISBLANK(identitasMurid!C25),"",identitasMurid!C25)</f>
        <v/>
      </c>
      <c r="D32" s="6" t="str">
        <f>IF(ISBLANK(identitasMurid!D25),"",identitasMurid!D25)</f>
        <v/>
      </c>
      <c r="E32" s="95"/>
      <c r="F32" s="95"/>
      <c r="G32" s="95"/>
      <c r="H32" s="95"/>
      <c r="I32" s="95"/>
      <c r="J32" s="95"/>
      <c r="K32" s="95"/>
      <c r="L32" s="95"/>
      <c r="M32" s="95"/>
      <c r="Q32" s="5" t="str">
        <f>IF(ROW(A20)&lt;=profilKelas!$F$14,ROW(A20),"")</f>
        <v/>
      </c>
      <c r="R32" s="12" t="str">
        <f t="shared" si="0"/>
        <v/>
      </c>
      <c r="S32" s="108" t="str">
        <f t="shared" si="4"/>
        <v/>
      </c>
      <c r="T32" s="108" t="str">
        <f t="shared" si="2"/>
        <v/>
      </c>
      <c r="U32" s="108" t="str">
        <f t="shared" si="6"/>
        <v/>
      </c>
      <c r="V32" s="108" t="str">
        <f t="shared" si="6"/>
        <v/>
      </c>
      <c r="W32" s="108" t="str">
        <f t="shared" si="6"/>
        <v/>
      </c>
      <c r="X32" s="108" t="str">
        <f t="shared" si="6"/>
        <v/>
      </c>
      <c r="Y32" s="108" t="str">
        <f t="shared" si="6"/>
        <v/>
      </c>
      <c r="Z32" s="108" t="str">
        <f t="shared" si="6"/>
        <v/>
      </c>
      <c r="AA32" s="108" t="str">
        <f t="shared" si="6"/>
        <v/>
      </c>
      <c r="AB32" s="108" t="str" cm="1">
        <f t="array" ref="AB32">IF(LEN($B32)=0,"",IF(LEN(C32)=0,"Nama Siswa Kosong",IF($E32="","Status Siswa Kosong",IF(S32&lt;&gt;"Aktif","Siswa Tidak Aktif",
IF(OR(U32:AA32="Belum mengisi"),"Belum mengisi",IF(AND(U32:AA32="Sudah terbiasa"),"Sudah terbiasa","Belum terbiasa"))))))</f>
        <v/>
      </c>
      <c r="AD32" s="98" t="s">
        <v>0</v>
      </c>
      <c r="AE32" s="148" t="s">
        <v>18</v>
      </c>
      <c r="AF32" s="148"/>
      <c r="AG32" s="148" t="s">
        <v>597</v>
      </c>
      <c r="AH32" s="148"/>
      <c r="AI32" s="148" t="s">
        <v>598</v>
      </c>
      <c r="AJ32" s="148"/>
      <c r="AK32" s="148" t="s">
        <v>597</v>
      </c>
      <c r="AL32" s="148"/>
      <c r="AM32" s="148" t="s">
        <v>598</v>
      </c>
      <c r="AN32" s="148"/>
      <c r="AO32" s="13"/>
      <c r="AP32" s="13"/>
      <c r="AQ32" s="13"/>
    </row>
    <row r="33" spans="2:43" hidden="1" x14ac:dyDescent="0.3">
      <c r="B33" s="4" t="str">
        <f>IF(ROW(A21)&lt;=profilKelas!$F$14,ROW(A21),"")</f>
        <v/>
      </c>
      <c r="C33" s="94" t="str">
        <f>IF(ISBLANK(identitasMurid!C26),"",identitasMurid!C26)</f>
        <v/>
      </c>
      <c r="D33" s="6" t="str">
        <f>IF(ISBLANK(identitasMurid!D26),"",identitasMurid!D26)</f>
        <v/>
      </c>
      <c r="E33" s="95"/>
      <c r="F33" s="95"/>
      <c r="G33" s="95"/>
      <c r="H33" s="95"/>
      <c r="I33" s="95"/>
      <c r="J33" s="95"/>
      <c r="K33" s="95"/>
      <c r="L33" s="95"/>
      <c r="M33" s="95"/>
      <c r="Q33" s="5" t="str">
        <f>IF(ROW(A21)&lt;=profilKelas!$F$14,ROW(A21),"")</f>
        <v/>
      </c>
      <c r="R33" s="12" t="str">
        <f t="shared" si="0"/>
        <v/>
      </c>
      <c r="S33" s="108" t="str">
        <f t="shared" si="4"/>
        <v/>
      </c>
      <c r="T33" s="108" t="str">
        <f t="shared" si="2"/>
        <v/>
      </c>
      <c r="U33" s="108" t="str">
        <f t="shared" si="6"/>
        <v/>
      </c>
      <c r="V33" s="108" t="str">
        <f t="shared" si="6"/>
        <v/>
      </c>
      <c r="W33" s="108" t="str">
        <f t="shared" si="6"/>
        <v/>
      </c>
      <c r="X33" s="108" t="str">
        <f t="shared" si="6"/>
        <v/>
      </c>
      <c r="Y33" s="108" t="str">
        <f t="shared" si="6"/>
        <v/>
      </c>
      <c r="Z33" s="108" t="str">
        <f t="shared" si="6"/>
        <v/>
      </c>
      <c r="AA33" s="108" t="str">
        <f t="shared" si="6"/>
        <v/>
      </c>
      <c r="AB33" s="108" t="str" cm="1">
        <f t="array" ref="AB33">IF(LEN($B33)=0,"",IF(LEN(C33)=0,"Nama Siswa Kosong",IF($E33="","Status Siswa Kosong",IF(S33&lt;&gt;"Aktif","Siswa Tidak Aktif",
IF(OR(U33:AA33="Belum mengisi"),"Belum mengisi",IF(AND(U33:AA33="Sudah terbiasa"),"Sudah terbiasa","Belum terbiasa"))))))</f>
        <v/>
      </c>
      <c r="AD33" s="41">
        <v>1</v>
      </c>
      <c r="AE33" s="161" t="s">
        <v>2</v>
      </c>
      <c r="AF33" s="161"/>
      <c r="AG33" s="51">
        <f>COUNTIFS(JulBangunPagi,SudahTerbiasa,JulPL,Perempuan)</f>
        <v>0</v>
      </c>
      <c r="AH33" s="52" t="str">
        <f>IFERROR(IF($AF$18=0,"",COUNTIFS(JulBangunPagi,SudahTerbiasa,JulPL,Perempuan)/COUNTIFS(JulPL,Perempuan)),)</f>
        <v/>
      </c>
      <c r="AI33" s="53">
        <f>COUNTIFS(JulBangunPagi,BelumTerbiasa,JulPL,Perempuan)</f>
        <v>0</v>
      </c>
      <c r="AJ33" s="54" t="str">
        <f>IFERROR(IF($AF$18=0,"",COUNTIFS(JulBangunPagi,BelumTerbiasa,JulPL,Perempuan)/COUNTIF(JulPL,Perempuan)),)</f>
        <v/>
      </c>
      <c r="AK33" s="55">
        <f>COUNTIFS(JulBangunPagi,SudahTerbiasa,JulPL,Laki_Laki)</f>
        <v>0</v>
      </c>
      <c r="AL33" s="56" t="str">
        <f>IFERROR(IF($AF$18=0,"",COUNTIFS(JulBangunPagi,SudahTerbiasa,JulPL,Laki_Laki)/COUNTIFS(JulPL,Laki_Laki)),)</f>
        <v/>
      </c>
      <c r="AM33" s="57">
        <f>COUNTIFS(JulBangunPagi,BelumTerbiasa,JulPL,Laki_Laki)</f>
        <v>0</v>
      </c>
      <c r="AN33" s="58" t="str">
        <f>IFERROR(IF($AF$18=0,"",COUNTIFS(JulBangunPagi,BelumTerbiasa,JulPL,Laki_Laki)/COUNTIFS(JulPL,Laki_Laki)),)</f>
        <v/>
      </c>
      <c r="AO33" s="13"/>
      <c r="AP33" s="13"/>
      <c r="AQ33" s="13"/>
    </row>
    <row r="34" spans="2:43" hidden="1" x14ac:dyDescent="0.3">
      <c r="B34" s="4" t="str">
        <f>IF(ROW(A22)&lt;=profilKelas!$F$14,ROW(A22),"")</f>
        <v/>
      </c>
      <c r="C34" s="94" t="str">
        <f>IF(ISBLANK(identitasMurid!C27),"",identitasMurid!C27)</f>
        <v/>
      </c>
      <c r="D34" s="6" t="str">
        <f>IF(ISBLANK(identitasMurid!D27),"",identitasMurid!D27)</f>
        <v/>
      </c>
      <c r="E34" s="95"/>
      <c r="F34" s="95"/>
      <c r="G34" s="95"/>
      <c r="H34" s="95"/>
      <c r="I34" s="95"/>
      <c r="J34" s="95"/>
      <c r="K34" s="95"/>
      <c r="L34" s="95"/>
      <c r="M34" s="95"/>
      <c r="Q34" s="5" t="str">
        <f>IF(ROW(A22)&lt;=profilKelas!$F$14,ROW(A22),"")</f>
        <v/>
      </c>
      <c r="R34" s="12" t="str">
        <f t="shared" si="0"/>
        <v/>
      </c>
      <c r="S34" s="108" t="str">
        <f t="shared" si="4"/>
        <v/>
      </c>
      <c r="T34" s="108" t="str">
        <f t="shared" si="2"/>
        <v/>
      </c>
      <c r="U34" s="108" t="str">
        <f t="shared" si="6"/>
        <v/>
      </c>
      <c r="V34" s="108" t="str">
        <f t="shared" si="6"/>
        <v/>
      </c>
      <c r="W34" s="108" t="str">
        <f t="shared" si="6"/>
        <v/>
      </c>
      <c r="X34" s="108" t="str">
        <f t="shared" si="6"/>
        <v/>
      </c>
      <c r="Y34" s="108" t="str">
        <f t="shared" si="6"/>
        <v/>
      </c>
      <c r="Z34" s="108" t="str">
        <f t="shared" si="6"/>
        <v/>
      </c>
      <c r="AA34" s="108" t="str">
        <f t="shared" si="6"/>
        <v/>
      </c>
      <c r="AB34" s="108" t="str" cm="1">
        <f t="array" ref="AB34">IF(LEN($B34)=0,"",IF(LEN(C34)=0,"Nama Siswa Kosong",IF($E34="","Status Siswa Kosong",IF(S34&lt;&gt;"Aktif","Siswa Tidak Aktif",
IF(OR(U34:AA34="Belum mengisi"),"Belum mengisi",IF(AND(U34:AA34="Sudah terbiasa"),"Sudah terbiasa","Belum terbiasa"))))))</f>
        <v/>
      </c>
      <c r="AD34" s="41">
        <v>2</v>
      </c>
      <c r="AE34" s="161" t="s">
        <v>3</v>
      </c>
      <c r="AF34" s="161"/>
      <c r="AG34" s="51">
        <f>COUNTIFS(JulTaatBeribadah,SudahTerbiasa,JulPL,Perempuan)</f>
        <v>0</v>
      </c>
      <c r="AH34" s="52" t="str">
        <f>IFERROR(IF($AF$18=0,"",COUNTIFS(JulTaatBeribadah,SudahTerbiasa,JulPL,Perempuan)/COUNTIFS(JulPL,Perempuan)),)</f>
        <v/>
      </c>
      <c r="AI34" s="53">
        <f>COUNTIFS(JulTaatBeribadah,BelumTerbiasa,JulPL,Perempuan)</f>
        <v>0</v>
      </c>
      <c r="AJ34" s="59" t="str">
        <f>IFERROR(IF($AF$18=0,"",COUNTIFS(JulTaatBeribadah,BelumTerbiasa,JulPL,Perempuan)/COUNTIFS(JulPL,Perempuan)),)</f>
        <v/>
      </c>
      <c r="AK34" s="55">
        <f>COUNTIFS(JulTaatBeribadah,SudahTerbiasa,JulPL,Laki_Laki)</f>
        <v>0</v>
      </c>
      <c r="AL34" s="56" t="str">
        <f>IFERROR(IF($AF$18=0,"",COUNTIFS(JulTaatBeribadah,SudahTerbiasa,JulPL,Laki_Laki)/COUNTIFS(JulPL,Laki_Laki)),)</f>
        <v/>
      </c>
      <c r="AM34" s="57">
        <f>COUNTIFS(JulTaatBeribadah,BelumTerbiasa,JulPL,Laki_Laki)</f>
        <v>0</v>
      </c>
      <c r="AN34" s="58" t="str">
        <f>IFERROR(IF($AF$18=0,"",COUNTIFS(JulTaatBeribadah,BelumTerbiasa,JulPL,Laki_Laki)/COUNTIFS(JulPL,Laki_Laki)),)</f>
        <v/>
      </c>
      <c r="AO34" s="13"/>
      <c r="AP34" s="13"/>
      <c r="AQ34" s="13"/>
    </row>
    <row r="35" spans="2:43" hidden="1" x14ac:dyDescent="0.3">
      <c r="B35" s="4" t="str">
        <f>IF(ROW(A23)&lt;=profilKelas!$F$14,ROW(A23),"")</f>
        <v/>
      </c>
      <c r="C35" s="94" t="str">
        <f>IF(ISBLANK(identitasMurid!C28),"",identitasMurid!C28)</f>
        <v/>
      </c>
      <c r="D35" s="6" t="str">
        <f>IF(ISBLANK(identitasMurid!D28),"",identitasMurid!D28)</f>
        <v/>
      </c>
      <c r="E35" s="95"/>
      <c r="F35" s="95"/>
      <c r="G35" s="95"/>
      <c r="H35" s="95"/>
      <c r="I35" s="95"/>
      <c r="J35" s="95"/>
      <c r="K35" s="95"/>
      <c r="L35" s="95"/>
      <c r="M35" s="95"/>
      <c r="Q35" s="5" t="str">
        <f>IF(ROW(A23)&lt;=profilKelas!$F$14,ROW(A23),"")</f>
        <v/>
      </c>
      <c r="R35" s="12" t="str">
        <f t="shared" si="0"/>
        <v/>
      </c>
      <c r="S35" s="108" t="str">
        <f t="shared" si="4"/>
        <v/>
      </c>
      <c r="T35" s="108" t="str">
        <f t="shared" si="2"/>
        <v/>
      </c>
      <c r="U35" s="108" t="str">
        <f t="shared" si="6"/>
        <v/>
      </c>
      <c r="V35" s="108" t="str">
        <f t="shared" si="6"/>
        <v/>
      </c>
      <c r="W35" s="108" t="str">
        <f t="shared" si="6"/>
        <v/>
      </c>
      <c r="X35" s="108" t="str">
        <f t="shared" si="6"/>
        <v/>
      </c>
      <c r="Y35" s="108" t="str">
        <f t="shared" si="6"/>
        <v/>
      </c>
      <c r="Z35" s="108" t="str">
        <f t="shared" si="6"/>
        <v/>
      </c>
      <c r="AA35" s="108" t="str">
        <f t="shared" si="6"/>
        <v/>
      </c>
      <c r="AB35" s="108" t="str" cm="1">
        <f t="array" ref="AB35">IF(LEN($B35)=0,"",IF(LEN(C35)=0,"Nama Siswa Kosong",IF($E35="","Status Siswa Kosong",IF(S35&lt;&gt;"Aktif","Siswa Tidak Aktif",
IF(OR(U35:AA35="Belum mengisi"),"Belum mengisi",IF(AND(U35:AA35="Sudah terbiasa"),"Sudah terbiasa","Belum terbiasa"))))))</f>
        <v/>
      </c>
      <c r="AD35" s="41">
        <v>3</v>
      </c>
      <c r="AE35" s="161" t="s">
        <v>4</v>
      </c>
      <c r="AF35" s="161"/>
      <c r="AG35" s="51">
        <f>COUNTIFS(JulBerolahraga,SudahTerbiasa,JulPL,Perempuan)</f>
        <v>0</v>
      </c>
      <c r="AH35" s="52" t="str">
        <f>IFERROR(IF($AF$18=0,"",COUNTIFS(JulBerolahraga,SudahTerbiasa,JulPL,Perempuan)/COUNTIFS(JulPL,Perempuan)),)</f>
        <v/>
      </c>
      <c r="AI35" s="53">
        <f>COUNTIFS(JulBerolahraga,BelumTerbiasa,JulPL,Perempuan)</f>
        <v>0</v>
      </c>
      <c r="AJ35" s="59" t="str">
        <f>IFERROR(IF($AF$18=0,"",COUNTIFS(JulBerolahraga,BelumTerbiasa,JulPL,Perempuan)/COUNTIFS(JulPL,Perempuan)),)</f>
        <v/>
      </c>
      <c r="AK35" s="55">
        <f>COUNTIFS(JulBerolahraga,SudahTerbiasa,JulPL,Laki_Laki)</f>
        <v>0</v>
      </c>
      <c r="AL35" s="56" t="str">
        <f>IFERROR(IF($AF$18=0,"",COUNTIFS(JulBerolahraga,SudahTerbiasa,JulPL,Laki_Laki)/COUNTIFS(JulPL,Laki_Laki)),)</f>
        <v/>
      </c>
      <c r="AM35" s="57">
        <f>COUNTIFS(JulBerolahraga,BelumTerbiasa,JulPL,Laki_Laki)</f>
        <v>0</v>
      </c>
      <c r="AN35" s="58" t="str">
        <f>IFERROR(IF($AF$18=0,"",COUNTIFS(JulBerolahraga,BelumTerbiasa,JulPL,Laki_Laki)/COUNTIFS(JulPL,Laki_Laki)),)</f>
        <v/>
      </c>
      <c r="AO35" s="13"/>
      <c r="AP35" s="13"/>
      <c r="AQ35" s="13"/>
    </row>
    <row r="36" spans="2:43" hidden="1" x14ac:dyDescent="0.3">
      <c r="B36" s="4" t="str">
        <f>IF(ROW(A24)&lt;=profilKelas!$F$14,ROW(A24),"")</f>
        <v/>
      </c>
      <c r="C36" s="94" t="str">
        <f>IF(ISBLANK(identitasMurid!C29),"",identitasMurid!C29)</f>
        <v/>
      </c>
      <c r="D36" s="6" t="str">
        <f>IF(ISBLANK(identitasMurid!D29),"",identitasMurid!D29)</f>
        <v/>
      </c>
      <c r="E36" s="95"/>
      <c r="F36" s="95"/>
      <c r="G36" s="95"/>
      <c r="H36" s="95"/>
      <c r="I36" s="95"/>
      <c r="J36" s="95"/>
      <c r="K36" s="95"/>
      <c r="L36" s="95"/>
      <c r="M36" s="95"/>
      <c r="Q36" s="5" t="str">
        <f>IF(ROW(A24)&lt;=profilKelas!$F$14,ROW(A24),"")</f>
        <v/>
      </c>
      <c r="R36" s="12" t="str">
        <f t="shared" si="0"/>
        <v/>
      </c>
      <c r="S36" s="108" t="str">
        <f t="shared" si="4"/>
        <v/>
      </c>
      <c r="T36" s="108" t="str">
        <f t="shared" si="2"/>
        <v/>
      </c>
      <c r="U36" s="108" t="str">
        <f t="shared" si="6"/>
        <v/>
      </c>
      <c r="V36" s="108" t="str">
        <f t="shared" si="6"/>
        <v/>
      </c>
      <c r="W36" s="108" t="str">
        <f t="shared" si="6"/>
        <v/>
      </c>
      <c r="X36" s="108" t="str">
        <f t="shared" si="6"/>
        <v/>
      </c>
      <c r="Y36" s="108" t="str">
        <f t="shared" si="6"/>
        <v/>
      </c>
      <c r="Z36" s="108" t="str">
        <f t="shared" si="6"/>
        <v/>
      </c>
      <c r="AA36" s="108" t="str">
        <f t="shared" si="6"/>
        <v/>
      </c>
      <c r="AB36" s="108" t="str" cm="1">
        <f t="array" ref="AB36">IF(LEN($B36)=0,"",IF(LEN(C36)=0,"Nama Siswa Kosong",IF($E36="","Status Siswa Kosong",IF(S36&lt;&gt;"Aktif","Siswa Tidak Aktif",
IF(OR(U36:AA36="Belum mengisi"),"Belum mengisi",IF(AND(U36:AA36="Sudah terbiasa"),"Sudah terbiasa","Belum terbiasa"))))))</f>
        <v/>
      </c>
      <c r="AD36" s="41">
        <v>4</v>
      </c>
      <c r="AE36" s="161" t="s">
        <v>5</v>
      </c>
      <c r="AF36" s="161"/>
      <c r="AG36" s="51">
        <f>COUNTIFS(JulMakanSehatBergizi,SudahTerbiasa,JulPL,Perempuan)</f>
        <v>0</v>
      </c>
      <c r="AH36" s="52" t="str">
        <f>IFERROR(IF($AF$18=0,"",COUNTIFS(JulMakanSehatBergizi,SudahTerbiasa,JulPL,Perempuan)/COUNTIFS(JulPL,Perempuan)),)</f>
        <v/>
      </c>
      <c r="AI36" s="53">
        <f>COUNTIFS(JulMakanSehatBergizi,BelumTerbiasa,JulPL,Perempuan)</f>
        <v>0</v>
      </c>
      <c r="AJ36" s="59" t="str">
        <f>IFERROR(IF($AF$18=0,"",COUNTIFS(JulMakanSehatBergizi,BelumTerbiasa,JulPL,Perempuan)/COUNTIFS(JulPL,Perempuan)),)</f>
        <v/>
      </c>
      <c r="AK36" s="55">
        <f>COUNTIFS(JulMakanSehatBergizi,SudahTerbiasa,JulPL,Laki_Laki)</f>
        <v>0</v>
      </c>
      <c r="AL36" s="56" t="str">
        <f>IFERROR(IF($AF$18=0,"",COUNTIFS(JulMakanSehatBergizi,SudahTerbiasa,JulPL,Laki_Laki)/COUNTIFS(JulPL,Laki_Laki)),)</f>
        <v/>
      </c>
      <c r="AM36" s="57">
        <f>COUNTIFS(JulMakanSehatBergizi,BelumTerbiasa,JulPL,Laki_Laki)</f>
        <v>0</v>
      </c>
      <c r="AN36" s="58" t="str">
        <f>IFERROR(IF($AF$18=0,"",COUNTIFS(JulMakanSehatBergizi,BelumTerbiasa,JulPL,Laki_Laki)/COUNTIFS(JulPL,Laki_Laki)),)</f>
        <v/>
      </c>
      <c r="AO36" s="13"/>
      <c r="AP36" s="13"/>
      <c r="AQ36" s="13"/>
    </row>
    <row r="37" spans="2:43" hidden="1" x14ac:dyDescent="0.3">
      <c r="B37" s="4" t="str">
        <f>IF(ROW(A25)&lt;=profilKelas!$F$14,ROW(A25),"")</f>
        <v/>
      </c>
      <c r="C37" s="94" t="str">
        <f>IF(ISBLANK(identitasMurid!C30),"",identitasMurid!C30)</f>
        <v/>
      </c>
      <c r="D37" s="6" t="str">
        <f>IF(ISBLANK(identitasMurid!D30),"",identitasMurid!D30)</f>
        <v/>
      </c>
      <c r="E37" s="95"/>
      <c r="F37" s="95"/>
      <c r="G37" s="95"/>
      <c r="H37" s="95"/>
      <c r="I37" s="95"/>
      <c r="J37" s="95"/>
      <c r="K37" s="95"/>
      <c r="L37" s="95"/>
      <c r="M37" s="95"/>
      <c r="Q37" s="5" t="str">
        <f>IF(ROW(A25)&lt;=profilKelas!$F$14,ROW(A25),"")</f>
        <v/>
      </c>
      <c r="R37" s="12" t="str">
        <f t="shared" si="0"/>
        <v/>
      </c>
      <c r="S37" s="108" t="str">
        <f t="shared" si="4"/>
        <v/>
      </c>
      <c r="T37" s="108" t="str">
        <f t="shared" si="2"/>
        <v/>
      </c>
      <c r="U37" s="108" t="str">
        <f t="shared" si="6"/>
        <v/>
      </c>
      <c r="V37" s="108" t="str">
        <f t="shared" si="6"/>
        <v/>
      </c>
      <c r="W37" s="108" t="str">
        <f t="shared" si="6"/>
        <v/>
      </c>
      <c r="X37" s="108" t="str">
        <f t="shared" si="6"/>
        <v/>
      </c>
      <c r="Y37" s="108" t="str">
        <f t="shared" si="6"/>
        <v/>
      </c>
      <c r="Z37" s="108" t="str">
        <f t="shared" si="6"/>
        <v/>
      </c>
      <c r="AA37" s="108" t="str">
        <f t="shared" si="6"/>
        <v/>
      </c>
      <c r="AB37" s="108" t="str" cm="1">
        <f t="array" ref="AB37">IF(LEN($B37)=0,"",IF(LEN(C37)=0,"Nama Siswa Kosong",IF($E37="","Status Siswa Kosong",IF(S37&lt;&gt;"Aktif","Siswa Tidak Aktif",
IF(OR(U37:AA37="Belum mengisi"),"Belum mengisi",IF(AND(U37:AA37="Sudah terbiasa"),"Sudah terbiasa","Belum terbiasa"))))))</f>
        <v/>
      </c>
      <c r="AD37" s="41">
        <v>5</v>
      </c>
      <c r="AE37" s="161" t="s">
        <v>6</v>
      </c>
      <c r="AF37" s="161"/>
      <c r="AG37" s="51">
        <f>COUNTIFS(JulGemarBelajar,SudahTerbiasa,JulPL,Perempuan)</f>
        <v>0</v>
      </c>
      <c r="AH37" s="52" t="str">
        <f>IFERROR(IF($AF$18=0,"",COUNTIFS(JulGemarBelajar,SudahTerbiasa,JulPL,Perempuan)/COUNTIFS(JulPL,Perempuan)),)</f>
        <v/>
      </c>
      <c r="AI37" s="53">
        <f>COUNTIFS(JulGemarBelajar,BelumTerbiasa,JulPL,Perempuan)</f>
        <v>0</v>
      </c>
      <c r="AJ37" s="59" t="str">
        <f>IFERROR(IF($AF$18=0,"",COUNTIFS(JulGemarBelajar,BelumTerbiasa,JulPL,Perempuan)/COUNTIFS(JulPL,Perempuan)),)</f>
        <v/>
      </c>
      <c r="AK37" s="55">
        <f>COUNTIFS(JulGemarBelajar,SudahTerbiasa,JulPL,Laki_Laki)</f>
        <v>0</v>
      </c>
      <c r="AL37" s="56" t="str">
        <f>IFERROR(IF($AF$18=0,"",COUNTIFS(JulGemarBelajar,SudahTerbiasa,JulPL,Laki_Laki)/COUNTIFS(JulPL,Laki_Laki)),)</f>
        <v/>
      </c>
      <c r="AM37" s="57">
        <f>COUNTIFS(JulGemarBelajar,BelumTerbiasa,JulPL,Laki_Laki)</f>
        <v>0</v>
      </c>
      <c r="AN37" s="58" t="str">
        <f>IFERROR(IF($AF$18=0,"",COUNTIFS(JulGemarBelajar,BelumTerbiasa,JulPL,Laki_Laki)/COUNTIFS(JulPL,Laki_Laki)),)</f>
        <v/>
      </c>
      <c r="AO37" s="13"/>
      <c r="AP37" s="13"/>
      <c r="AQ37" s="13"/>
    </row>
    <row r="38" spans="2:43" hidden="1" x14ac:dyDescent="0.3">
      <c r="B38" s="4" t="str">
        <f>IF(ROW(A26)&lt;=profilKelas!$F$14,ROW(A26),"")</f>
        <v/>
      </c>
      <c r="C38" s="94" t="str">
        <f>IF(ISBLANK(identitasMurid!C31),"",identitasMurid!C31)</f>
        <v/>
      </c>
      <c r="D38" s="6" t="str">
        <f>IF(ISBLANK(identitasMurid!D31),"",identitasMurid!D31)</f>
        <v/>
      </c>
      <c r="E38" s="95"/>
      <c r="F38" s="95"/>
      <c r="G38" s="95"/>
      <c r="H38" s="95"/>
      <c r="I38" s="95"/>
      <c r="J38" s="95"/>
      <c r="K38" s="95"/>
      <c r="L38" s="95"/>
      <c r="M38" s="95"/>
      <c r="Q38" s="5" t="str">
        <f>IF(ROW(A26)&lt;=profilKelas!$F$14,ROW(A26),"")</f>
        <v/>
      </c>
      <c r="R38" s="12" t="str">
        <f t="shared" si="0"/>
        <v/>
      </c>
      <c r="S38" s="108" t="str">
        <f t="shared" si="4"/>
        <v/>
      </c>
      <c r="T38" s="108" t="str">
        <f t="shared" si="2"/>
        <v/>
      </c>
      <c r="U38" s="108" t="str">
        <f t="shared" si="6"/>
        <v/>
      </c>
      <c r="V38" s="108" t="str">
        <f t="shared" si="6"/>
        <v/>
      </c>
      <c r="W38" s="108" t="str">
        <f t="shared" si="6"/>
        <v/>
      </c>
      <c r="X38" s="108" t="str">
        <f t="shared" si="6"/>
        <v/>
      </c>
      <c r="Y38" s="108" t="str">
        <f t="shared" si="6"/>
        <v/>
      </c>
      <c r="Z38" s="108" t="str">
        <f t="shared" si="6"/>
        <v/>
      </c>
      <c r="AA38" s="108" t="str">
        <f t="shared" si="6"/>
        <v/>
      </c>
      <c r="AB38" s="108" t="str" cm="1">
        <f t="array" ref="AB38">IF(LEN($B38)=0,"",IF(LEN(C38)=0,"Nama Siswa Kosong",IF($E38="","Status Siswa Kosong",IF(S38&lt;&gt;"Aktif","Siswa Tidak Aktif",
IF(OR(U38:AA38="Belum mengisi"),"Belum mengisi",IF(AND(U38:AA38="Sudah terbiasa"),"Sudah terbiasa","Belum terbiasa"))))))</f>
        <v/>
      </c>
      <c r="AD38" s="41">
        <v>6</v>
      </c>
      <c r="AE38" s="161" t="s">
        <v>7</v>
      </c>
      <c r="AF38" s="161"/>
      <c r="AG38" s="51">
        <f>COUNTIFS(JulAktifBermasyarakat,SudahTerbiasa,JulPL,Perempuan)</f>
        <v>0</v>
      </c>
      <c r="AH38" s="52" t="str">
        <f>IFERROR(IF($AF$18=0,"",COUNTIFS(JulAktifBermasyarakat,SudahTerbiasa,JulPL,Perempuan)/COUNTIFS(JulPL,Perempuan)),)</f>
        <v/>
      </c>
      <c r="AI38" s="53">
        <f>COUNTIFS(JulAktifBermasyarakat,BelumTerbiasa,JulPL,Perempuan)</f>
        <v>0</v>
      </c>
      <c r="AJ38" s="59" t="str">
        <f>IFERROR(IF($AF$18=0,"",COUNTIFS(JulAktifBermasyarakat,BelumTerbiasa,JulPL,Perempuan)/COUNTIFS(JulPL,Perempuan)),)</f>
        <v/>
      </c>
      <c r="AK38" s="55">
        <f>COUNTIFS(JulAktifBermasyarakat,SudahTerbiasa,JulPL,Laki_Laki)</f>
        <v>0</v>
      </c>
      <c r="AL38" s="56" t="str">
        <f>IFERROR(IF($AF$18=0,"",COUNTIFS(JulAktifBermasyarakat,SudahTerbiasa,JulPL,Laki_Laki)/COUNTIFS(JulPL,Laki_Laki)),)</f>
        <v/>
      </c>
      <c r="AM38" s="57">
        <f>COUNTIFS(JulAktifBermasyarakat,BelumTerbiasa,JulPL,Laki_Laki)</f>
        <v>0</v>
      </c>
      <c r="AN38" s="58" t="str">
        <f>IFERROR(IF($AF$18=0,"",COUNTIFS(JulAktifBermasyarakat,BelumTerbiasa,JulPL,Laki_Laki)/COUNTIFS(JulPL,Laki_Laki)),)</f>
        <v/>
      </c>
      <c r="AO38" s="13"/>
      <c r="AP38" s="13"/>
      <c r="AQ38" s="13"/>
    </row>
    <row r="39" spans="2:43" hidden="1" x14ac:dyDescent="0.3">
      <c r="B39" s="4" t="str">
        <f>IF(ROW(A27)&lt;=profilKelas!$F$14,ROW(A27),"")</f>
        <v/>
      </c>
      <c r="C39" s="94" t="str">
        <f>IF(ISBLANK(identitasMurid!C32),"",identitasMurid!C32)</f>
        <v/>
      </c>
      <c r="D39" s="6" t="str">
        <f>IF(ISBLANK(identitasMurid!D32),"",identitasMurid!D32)</f>
        <v/>
      </c>
      <c r="E39" s="95"/>
      <c r="F39" s="95"/>
      <c r="G39" s="95"/>
      <c r="H39" s="95"/>
      <c r="I39" s="95"/>
      <c r="J39" s="95"/>
      <c r="K39" s="95"/>
      <c r="L39" s="95"/>
      <c r="M39" s="95"/>
      <c r="Q39" s="5" t="str">
        <f>IF(ROW(A27)&lt;=profilKelas!$F$14,ROW(A27),"")</f>
        <v/>
      </c>
      <c r="R39" s="12" t="str">
        <f t="shared" si="0"/>
        <v/>
      </c>
      <c r="S39" s="108" t="str">
        <f t="shared" si="4"/>
        <v/>
      </c>
      <c r="T39" s="108" t="str">
        <f t="shared" si="2"/>
        <v/>
      </c>
      <c r="U39" s="108" t="str">
        <f t="shared" si="6"/>
        <v/>
      </c>
      <c r="V39" s="108" t="str">
        <f t="shared" si="6"/>
        <v/>
      </c>
      <c r="W39" s="108" t="str">
        <f t="shared" si="6"/>
        <v/>
      </c>
      <c r="X39" s="108" t="str">
        <f t="shared" si="6"/>
        <v/>
      </c>
      <c r="Y39" s="108" t="str">
        <f t="shared" si="6"/>
        <v/>
      </c>
      <c r="Z39" s="108" t="str">
        <f t="shared" si="6"/>
        <v/>
      </c>
      <c r="AA39" s="108" t="str">
        <f t="shared" si="6"/>
        <v/>
      </c>
      <c r="AB39" s="108" t="str" cm="1">
        <f t="array" ref="AB39">IF(LEN($B39)=0,"",IF(LEN(C39)=0,"Nama Siswa Kosong",IF($E39="","Status Siswa Kosong",IF(S39&lt;&gt;"Aktif","Siswa Tidak Aktif",
IF(OR(U39:AA39="Belum mengisi"),"Belum mengisi",IF(AND(U39:AA39="Sudah terbiasa"),"Sudah terbiasa","Belum terbiasa"))))))</f>
        <v/>
      </c>
      <c r="AD39" s="41">
        <v>7</v>
      </c>
      <c r="AE39" s="161" t="s">
        <v>8</v>
      </c>
      <c r="AF39" s="161"/>
      <c r="AG39" s="51">
        <f>COUNTIFS(JulTidurCepat,SudahTerbiasa,JulPL,Perempuan)</f>
        <v>0</v>
      </c>
      <c r="AH39" s="52" t="str">
        <f>IFERROR(IF($AF$18=0,"",COUNTIFS(JulTidurCepat,SudahTerbiasa,JulPL,Perempuan)/COUNTIFS(JulPL,Perempuan)),)</f>
        <v/>
      </c>
      <c r="AI39" s="53">
        <f>COUNTIFS(JulTidurCepat,BelumTerbiasa,JulPL,Perempuan)</f>
        <v>0</v>
      </c>
      <c r="AJ39" s="59" t="str">
        <f>IFERROR(IF($AF$18=0,"",COUNTIFS(JulTidurCepat,BelumTerbiasa,JulPL,Perempuan)/COUNTIFS(JulPL,Perempuan)),)</f>
        <v/>
      </c>
      <c r="AK39" s="55">
        <f>COUNTIFS(JulTidurCepat,SudahTerbiasa,JulPL,Laki_Laki)</f>
        <v>0</v>
      </c>
      <c r="AL39" s="56" t="str">
        <f>IFERROR(IF($AF$18=0,"",COUNTIFS(JulTidurCepat,SudahTerbiasa,JulPL,Laki_Laki)/COUNTIFS(JulPL,Laki_Laki)),)</f>
        <v/>
      </c>
      <c r="AM39" s="57">
        <f>COUNTIFS(JulTidurCepat,BelumTerbiasa,JulPL,Laki_Laki)</f>
        <v>0</v>
      </c>
      <c r="AN39" s="58" t="str">
        <f>IFERROR(IF($AF$18=0,"",COUNTIFS(JulTidurCepat,BelumTerbiasa,JulPL,Laki_Laki)/COUNTIFS(JulPL,Laki_Laki)),)</f>
        <v/>
      </c>
      <c r="AO39" s="13"/>
      <c r="AP39" s="13"/>
      <c r="AQ39" s="13"/>
    </row>
    <row r="40" spans="2:43" hidden="1" x14ac:dyDescent="0.3">
      <c r="B40" s="4" t="str">
        <f>IF(ROW(A28)&lt;=profilKelas!$F$14,ROW(A28),"")</f>
        <v/>
      </c>
      <c r="C40" s="94" t="str">
        <f>IF(ISBLANK(identitasMurid!C33),"",identitasMurid!C33)</f>
        <v/>
      </c>
      <c r="D40" s="6" t="str">
        <f>IF(ISBLANK(identitasMurid!D33),"",identitasMurid!D33)</f>
        <v/>
      </c>
      <c r="E40" s="95"/>
      <c r="F40" s="95"/>
      <c r="G40" s="95"/>
      <c r="H40" s="95"/>
      <c r="I40" s="95"/>
      <c r="J40" s="95"/>
      <c r="K40" s="95"/>
      <c r="L40" s="95"/>
      <c r="M40" s="95"/>
      <c r="Q40" s="5" t="str">
        <f>IF(ROW(A28)&lt;=profilKelas!$F$14,ROW(A28),"")</f>
        <v/>
      </c>
      <c r="R40" s="12" t="str">
        <f t="shared" si="0"/>
        <v/>
      </c>
      <c r="S40" s="108" t="str">
        <f t="shared" si="4"/>
        <v/>
      </c>
      <c r="T40" s="108" t="str">
        <f t="shared" si="2"/>
        <v/>
      </c>
      <c r="U40" s="108" t="str">
        <f t="shared" si="6"/>
        <v/>
      </c>
      <c r="V40" s="108" t="str">
        <f t="shared" si="6"/>
        <v/>
      </c>
      <c r="W40" s="108" t="str">
        <f t="shared" si="6"/>
        <v/>
      </c>
      <c r="X40" s="108" t="str">
        <f t="shared" si="6"/>
        <v/>
      </c>
      <c r="Y40" s="108" t="str">
        <f t="shared" si="6"/>
        <v/>
      </c>
      <c r="Z40" s="108" t="str">
        <f t="shared" si="6"/>
        <v/>
      </c>
      <c r="AA40" s="108" t="str">
        <f t="shared" si="6"/>
        <v/>
      </c>
      <c r="AB40" s="108" t="str" cm="1">
        <f t="array" ref="AB40">IF(LEN($B40)=0,"",IF(LEN(C40)=0,"Nama Siswa Kosong",IF($E40="","Status Siswa Kosong",IF(S40&lt;&gt;"Aktif","Siswa Tidak Aktif",
IF(OR(U40:AA40="Belum mengisi"),"Belum mengisi",IF(AND(U40:AA40="Sudah terbiasa"),"Sudah terbiasa","Belum terbiasa"))))))</f>
        <v/>
      </c>
    </row>
    <row r="41" spans="2:43" hidden="1" x14ac:dyDescent="0.3">
      <c r="B41" s="4" t="str">
        <f>IF(ROW(A29)&lt;=profilKelas!$F$14,ROW(A29),"")</f>
        <v/>
      </c>
      <c r="C41" s="94" t="str">
        <f>IF(ISBLANK(identitasMurid!C34),"",identitasMurid!C34)</f>
        <v/>
      </c>
      <c r="D41" s="6" t="str">
        <f>IF(ISBLANK(identitasMurid!D34),"",identitasMurid!D34)</f>
        <v/>
      </c>
      <c r="E41" s="95"/>
      <c r="F41" s="95"/>
      <c r="G41" s="95"/>
      <c r="H41" s="95"/>
      <c r="I41" s="95"/>
      <c r="J41" s="95"/>
      <c r="K41" s="95"/>
      <c r="L41" s="95"/>
      <c r="M41" s="95"/>
      <c r="Q41" s="5" t="str">
        <f>IF(ROW(A29)&lt;=profilKelas!$F$14,ROW(A29),"")</f>
        <v/>
      </c>
      <c r="R41" s="12" t="str">
        <f t="shared" si="0"/>
        <v/>
      </c>
      <c r="S41" s="108" t="str">
        <f t="shared" si="4"/>
        <v/>
      </c>
      <c r="T41" s="108" t="str">
        <f t="shared" si="2"/>
        <v/>
      </c>
      <c r="U41" s="108" t="str">
        <f t="shared" si="6"/>
        <v/>
      </c>
      <c r="V41" s="108" t="str">
        <f t="shared" si="6"/>
        <v/>
      </c>
      <c r="W41" s="108" t="str">
        <f t="shared" si="6"/>
        <v/>
      </c>
      <c r="X41" s="108" t="str">
        <f t="shared" si="6"/>
        <v/>
      </c>
      <c r="Y41" s="108" t="str">
        <f t="shared" si="6"/>
        <v/>
      </c>
      <c r="Z41" s="108" t="str">
        <f t="shared" si="6"/>
        <v/>
      </c>
      <c r="AA41" s="108" t="str">
        <f t="shared" si="6"/>
        <v/>
      </c>
      <c r="AB41" s="108" t="str" cm="1">
        <f t="array" ref="AB41">IF(LEN($B41)=0,"",IF(LEN(C41)=0,"Nama Siswa Kosong",IF($E41="","Status Siswa Kosong",IF(S41&lt;&gt;"Aktif","Siswa Tidak Aktif",
IF(OR(U41:AA41="Belum mengisi"),"Belum mengisi",IF(AND(U41:AA41="Sudah terbiasa"),"Sudah terbiasa","Belum terbiasa"))))))</f>
        <v/>
      </c>
    </row>
    <row r="42" spans="2:43" hidden="1" x14ac:dyDescent="0.3">
      <c r="B42" s="4" t="str">
        <f>IF(ROW(A30)&lt;=profilKelas!$F$14,ROW(A30),"")</f>
        <v/>
      </c>
      <c r="C42" s="94" t="str">
        <f>IF(ISBLANK(identitasMurid!C35),"",identitasMurid!C35)</f>
        <v/>
      </c>
      <c r="D42" s="6" t="str">
        <f>IF(ISBLANK(identitasMurid!D35),"",identitasMurid!D35)</f>
        <v/>
      </c>
      <c r="E42" s="95"/>
      <c r="F42" s="95"/>
      <c r="G42" s="95"/>
      <c r="H42" s="95"/>
      <c r="I42" s="95"/>
      <c r="J42" s="95"/>
      <c r="K42" s="95"/>
      <c r="L42" s="95"/>
      <c r="M42" s="95"/>
      <c r="Q42" s="5" t="str">
        <f>IF(ROW(A30)&lt;=profilKelas!$F$14,ROW(A30),"")</f>
        <v/>
      </c>
      <c r="R42" s="12" t="str">
        <f t="shared" si="0"/>
        <v/>
      </c>
      <c r="S42" s="108" t="str">
        <f t="shared" si="4"/>
        <v/>
      </c>
      <c r="T42" s="108" t="str">
        <f t="shared" si="2"/>
        <v/>
      </c>
      <c r="U42" s="108" t="str">
        <f t="shared" si="6"/>
        <v/>
      </c>
      <c r="V42" s="108" t="str">
        <f t="shared" si="6"/>
        <v/>
      </c>
      <c r="W42" s="108" t="str">
        <f t="shared" si="6"/>
        <v/>
      </c>
      <c r="X42" s="108" t="str">
        <f t="shared" si="6"/>
        <v/>
      </c>
      <c r="Y42" s="108" t="str">
        <f t="shared" si="6"/>
        <v/>
      </c>
      <c r="Z42" s="108" t="str">
        <f t="shared" si="6"/>
        <v/>
      </c>
      <c r="AA42" s="108" t="str">
        <f t="shared" si="6"/>
        <v/>
      </c>
      <c r="AB42" s="108" t="str" cm="1">
        <f t="array" ref="AB42">IF(LEN($B42)=0,"",IF(LEN(C42)=0,"Nama Siswa Kosong",IF($E42="","Status Siswa Kosong",IF(S42&lt;&gt;"Aktif","Siswa Tidak Aktif",
IF(OR(U42:AA42="Belum mengisi"),"Belum mengisi",IF(AND(U42:AA42="Sudah terbiasa"),"Sudah terbiasa","Belum terbiasa"))))))</f>
        <v/>
      </c>
    </row>
    <row r="43" spans="2:43" hidden="1" x14ac:dyDescent="0.3">
      <c r="B43" s="4" t="str">
        <f>IF(ROW(A31)&lt;=profilKelas!$F$14,ROW(A31),"")</f>
        <v/>
      </c>
      <c r="C43" s="94" t="str">
        <f>IF(ISBLANK(identitasMurid!C36),"",identitasMurid!C36)</f>
        <v/>
      </c>
      <c r="D43" s="6" t="str">
        <f>IF(ISBLANK(identitasMurid!D36),"",identitasMurid!D36)</f>
        <v/>
      </c>
      <c r="E43" s="95"/>
      <c r="F43" s="95"/>
      <c r="G43" s="95"/>
      <c r="H43" s="95"/>
      <c r="I43" s="95"/>
      <c r="J43" s="95"/>
      <c r="K43" s="95"/>
      <c r="L43" s="95"/>
      <c r="M43" s="95"/>
      <c r="Q43" s="5" t="str">
        <f>IF(ROW(A31)&lt;=profilKelas!$F$14,ROW(A31),"")</f>
        <v/>
      </c>
      <c r="R43" s="12" t="str">
        <f t="shared" si="0"/>
        <v/>
      </c>
      <c r="S43" s="108" t="str">
        <f t="shared" si="4"/>
        <v/>
      </c>
      <c r="T43" s="108" t="str">
        <f t="shared" si="2"/>
        <v/>
      </c>
      <c r="U43" s="108" t="str">
        <f t="shared" si="6"/>
        <v/>
      </c>
      <c r="V43" s="108" t="str">
        <f t="shared" si="6"/>
        <v/>
      </c>
      <c r="W43" s="108" t="str">
        <f t="shared" si="6"/>
        <v/>
      </c>
      <c r="X43" s="108" t="str">
        <f t="shared" si="6"/>
        <v/>
      </c>
      <c r="Y43" s="108" t="str">
        <f t="shared" si="6"/>
        <v/>
      </c>
      <c r="Z43" s="108" t="str">
        <f t="shared" si="6"/>
        <v/>
      </c>
      <c r="AA43" s="108" t="str">
        <f t="shared" si="6"/>
        <v/>
      </c>
      <c r="AB43" s="108" t="str" cm="1">
        <f t="array" ref="AB43">IF(LEN($B43)=0,"",IF(LEN(C43)=0,"Nama Siswa Kosong",IF($E43="","Status Siswa Kosong",IF(S43&lt;&gt;"Aktif","Siswa Tidak Aktif",
IF(OR(U43:AA43="Belum mengisi"),"Belum mengisi",IF(AND(U43:AA43="Sudah terbiasa"),"Sudah terbiasa","Belum terbiasa"))))))</f>
        <v/>
      </c>
    </row>
    <row r="44" spans="2:43" hidden="1" x14ac:dyDescent="0.3">
      <c r="B44" s="4" t="str">
        <f>IF(ROW(A32)&lt;=profilKelas!$F$14,ROW(A32),"")</f>
        <v/>
      </c>
      <c r="C44" s="94" t="str">
        <f>IF(ISBLANK(identitasMurid!C37),"",identitasMurid!C37)</f>
        <v/>
      </c>
      <c r="D44" s="6" t="str">
        <f>IF(ISBLANK(identitasMurid!D37),"",identitasMurid!D37)</f>
        <v/>
      </c>
      <c r="E44" s="95"/>
      <c r="F44" s="95"/>
      <c r="G44" s="95"/>
      <c r="H44" s="95"/>
      <c r="I44" s="95"/>
      <c r="J44" s="95"/>
      <c r="K44" s="95"/>
      <c r="L44" s="95"/>
      <c r="M44" s="95"/>
      <c r="Q44" s="5" t="str">
        <f>IF(ROW(A32)&lt;=profilKelas!$F$14,ROW(A32),"")</f>
        <v/>
      </c>
      <c r="R44" s="12" t="str">
        <f t="shared" si="0"/>
        <v/>
      </c>
      <c r="S44" s="108" t="str">
        <f t="shared" si="4"/>
        <v/>
      </c>
      <c r="T44" s="108" t="str">
        <f t="shared" si="2"/>
        <v/>
      </c>
      <c r="U44" s="108" t="str">
        <f t="shared" si="6"/>
        <v/>
      </c>
      <c r="V44" s="108" t="str">
        <f t="shared" si="6"/>
        <v/>
      </c>
      <c r="W44" s="108" t="str">
        <f t="shared" si="6"/>
        <v/>
      </c>
      <c r="X44" s="108" t="str">
        <f t="shared" si="6"/>
        <v/>
      </c>
      <c r="Y44" s="108" t="str">
        <f t="shared" si="6"/>
        <v/>
      </c>
      <c r="Z44" s="108" t="str">
        <f t="shared" si="6"/>
        <v/>
      </c>
      <c r="AA44" s="108" t="str">
        <f t="shared" si="6"/>
        <v/>
      </c>
      <c r="AB44" s="108" t="str" cm="1">
        <f t="array" ref="AB44">IF(LEN($B44)=0,"",IF(LEN(C44)=0,"Nama Siswa Kosong",IF($E44="","Status Siswa Kosong",IF(S44&lt;&gt;"Aktif","Siswa Tidak Aktif",
IF(OR(U44:AA44="Belum mengisi"),"Belum mengisi",IF(AND(U44:AA44="Sudah terbiasa"),"Sudah terbiasa","Belum terbiasa"))))))</f>
        <v/>
      </c>
    </row>
    <row r="45" spans="2:43" hidden="1" x14ac:dyDescent="0.3">
      <c r="B45" s="4" t="str">
        <f>IF(ROW(A33)&lt;=profilKelas!$F$14,ROW(A33),"")</f>
        <v/>
      </c>
      <c r="C45" s="94" t="str">
        <f>IF(ISBLANK(identitasMurid!C38),"",identitasMurid!C38)</f>
        <v/>
      </c>
      <c r="D45" s="6" t="str">
        <f>IF(ISBLANK(identitasMurid!D38),"",identitasMurid!D38)</f>
        <v/>
      </c>
      <c r="E45" s="95"/>
      <c r="F45" s="95"/>
      <c r="G45" s="95"/>
      <c r="H45" s="95"/>
      <c r="I45" s="95"/>
      <c r="J45" s="95"/>
      <c r="K45" s="95"/>
      <c r="L45" s="95"/>
      <c r="M45" s="95"/>
      <c r="Q45" s="5" t="str">
        <f>IF(ROW(A33)&lt;=profilKelas!$F$14,ROW(A33),"")</f>
        <v/>
      </c>
      <c r="R45" s="12" t="str">
        <f t="shared" si="0"/>
        <v/>
      </c>
      <c r="S45" s="108" t="str">
        <f t="shared" si="4"/>
        <v/>
      </c>
      <c r="T45" s="108" t="str">
        <f t="shared" si="2"/>
        <v/>
      </c>
      <c r="U45" s="108" t="str">
        <f t="shared" si="6"/>
        <v/>
      </c>
      <c r="V45" s="108" t="str">
        <f t="shared" si="6"/>
        <v/>
      </c>
      <c r="W45" s="108" t="str">
        <f t="shared" si="6"/>
        <v/>
      </c>
      <c r="X45" s="108" t="str">
        <f t="shared" si="6"/>
        <v/>
      </c>
      <c r="Y45" s="108" t="str">
        <f t="shared" si="6"/>
        <v/>
      </c>
      <c r="Z45" s="108" t="str">
        <f t="shared" si="6"/>
        <v/>
      </c>
      <c r="AA45" s="108" t="str">
        <f t="shared" si="6"/>
        <v/>
      </c>
      <c r="AB45" s="108" t="str" cm="1">
        <f t="array" ref="AB45">IF(LEN($B45)=0,"",IF(LEN(C45)=0,"Nama Siswa Kosong",IF($E45="","Status Siswa Kosong",IF(S45&lt;&gt;"Aktif","Siswa Tidak Aktif",
IF(OR(U45:AA45="Belum mengisi"),"Belum mengisi",IF(AND(U45:AA45="Sudah terbiasa"),"Sudah terbiasa","Belum terbiasa"))))))</f>
        <v/>
      </c>
    </row>
    <row r="46" spans="2:43" hidden="1" x14ac:dyDescent="0.3">
      <c r="B46" s="4" t="str">
        <f>IF(ROW(A34)&lt;=profilKelas!$F$14,ROW(A34),"")</f>
        <v/>
      </c>
      <c r="C46" s="94" t="str">
        <f>IF(ISBLANK(identitasMurid!C39),"",identitasMurid!C39)</f>
        <v/>
      </c>
      <c r="D46" s="6" t="str">
        <f>IF(ISBLANK(identitasMurid!D39),"",identitasMurid!D39)</f>
        <v/>
      </c>
      <c r="E46" s="95"/>
      <c r="F46" s="95"/>
      <c r="G46" s="95"/>
      <c r="H46" s="95"/>
      <c r="I46" s="95"/>
      <c r="J46" s="95"/>
      <c r="K46" s="95"/>
      <c r="L46" s="95"/>
      <c r="M46" s="95"/>
      <c r="Q46" s="5" t="str">
        <f>IF(ROW(A34)&lt;=profilKelas!$F$14,ROW(A34),"")</f>
        <v/>
      </c>
      <c r="R46" s="12" t="str">
        <f t="shared" si="0"/>
        <v/>
      </c>
      <c r="S46" s="108" t="str">
        <f t="shared" si="4"/>
        <v/>
      </c>
      <c r="T46" s="108" t="str">
        <f t="shared" si="2"/>
        <v/>
      </c>
      <c r="U46" s="108" t="str">
        <f t="shared" si="6"/>
        <v/>
      </c>
      <c r="V46" s="108" t="str">
        <f t="shared" si="6"/>
        <v/>
      </c>
      <c r="W46" s="108" t="str">
        <f t="shared" si="6"/>
        <v/>
      </c>
      <c r="X46" s="108" t="str">
        <f t="shared" si="6"/>
        <v/>
      </c>
      <c r="Y46" s="108" t="str">
        <f t="shared" si="6"/>
        <v/>
      </c>
      <c r="Z46" s="108" t="str">
        <f t="shared" si="6"/>
        <v/>
      </c>
      <c r="AA46" s="108" t="str">
        <f t="shared" si="6"/>
        <v/>
      </c>
      <c r="AB46" s="108" t="str" cm="1">
        <f t="array" ref="AB46">IF(LEN($B46)=0,"",IF(LEN(C46)=0,"Nama Siswa Kosong",IF($E46="","Status Siswa Kosong",IF(S46&lt;&gt;"Aktif","Siswa Tidak Aktif",
IF(OR(U46:AA46="Belum mengisi"),"Belum mengisi",IF(AND(U46:AA46="Sudah terbiasa"),"Sudah terbiasa","Belum terbiasa"))))))</f>
        <v/>
      </c>
    </row>
    <row r="47" spans="2:43" hidden="1" x14ac:dyDescent="0.3">
      <c r="B47" s="4" t="str">
        <f>IF(ROW(A35)&lt;=profilKelas!$F$14,ROW(A35),"")</f>
        <v/>
      </c>
      <c r="C47" s="94" t="str">
        <f>IF(ISBLANK(identitasMurid!C40),"",identitasMurid!C40)</f>
        <v/>
      </c>
      <c r="D47" s="6" t="str">
        <f>IF(ISBLANK(identitasMurid!D40),"",identitasMurid!D40)</f>
        <v/>
      </c>
      <c r="E47" s="95"/>
      <c r="F47" s="95"/>
      <c r="G47" s="95"/>
      <c r="H47" s="95"/>
      <c r="I47" s="95"/>
      <c r="J47" s="95"/>
      <c r="K47" s="95"/>
      <c r="L47" s="95"/>
      <c r="M47" s="95"/>
      <c r="Q47" s="5" t="str">
        <f>IF(ROW(A35)&lt;=profilKelas!$F$14,ROW(A35),"")</f>
        <v/>
      </c>
      <c r="R47" s="12" t="str">
        <f t="shared" si="0"/>
        <v/>
      </c>
      <c r="S47" s="108" t="str">
        <f t="shared" si="4"/>
        <v/>
      </c>
      <c r="T47" s="108" t="str">
        <f t="shared" si="2"/>
        <v/>
      </c>
      <c r="U47" s="108" t="str">
        <f t="shared" si="6"/>
        <v/>
      </c>
      <c r="V47" s="108" t="str">
        <f t="shared" si="6"/>
        <v/>
      </c>
      <c r="W47" s="108" t="str">
        <f t="shared" si="6"/>
        <v/>
      </c>
      <c r="X47" s="108" t="str">
        <f t="shared" si="6"/>
        <v/>
      </c>
      <c r="Y47" s="108" t="str">
        <f t="shared" si="6"/>
        <v/>
      </c>
      <c r="Z47" s="108" t="str">
        <f t="shared" si="6"/>
        <v/>
      </c>
      <c r="AA47" s="108" t="str">
        <f t="shared" si="6"/>
        <v/>
      </c>
      <c r="AB47" s="108" t="str" cm="1">
        <f t="array" ref="AB47">IF(LEN($B47)=0,"",IF(LEN(C47)=0,"Nama Siswa Kosong",IF($E47="","Status Siswa Kosong",IF(S47&lt;&gt;"Aktif","Siswa Tidak Aktif",
IF(OR(U47:AA47="Belum mengisi"),"Belum mengisi",IF(AND(U47:AA47="Sudah terbiasa"),"Sudah terbiasa","Belum terbiasa"))))))</f>
        <v/>
      </c>
    </row>
    <row r="48" spans="2:43" hidden="1" x14ac:dyDescent="0.3">
      <c r="B48" s="4" t="str">
        <f>IF(ROW(A36)&lt;=profilKelas!$F$14,ROW(A36),"")</f>
        <v/>
      </c>
      <c r="C48" s="94" t="str">
        <f>IF(ISBLANK(identitasMurid!C41),"",identitasMurid!C41)</f>
        <v/>
      </c>
      <c r="D48" s="6" t="str">
        <f>IF(ISBLANK(identitasMurid!D41),"",identitasMurid!D41)</f>
        <v/>
      </c>
      <c r="E48" s="95"/>
      <c r="F48" s="95"/>
      <c r="G48" s="95"/>
      <c r="H48" s="95"/>
      <c r="I48" s="95"/>
      <c r="J48" s="95"/>
      <c r="K48" s="95"/>
      <c r="L48" s="95"/>
      <c r="M48" s="30"/>
      <c r="Q48" s="5" t="str">
        <f>IF(ROW(A36)&lt;=profilKelas!$F$14,ROW(A36),"")</f>
        <v/>
      </c>
      <c r="R48" s="12" t="str">
        <f t="shared" si="0"/>
        <v/>
      </c>
      <c r="S48" s="108" t="str">
        <f t="shared" si="4"/>
        <v/>
      </c>
      <c r="T48" s="108" t="str">
        <f t="shared" si="2"/>
        <v/>
      </c>
      <c r="U48" s="108" t="str">
        <f t="shared" si="6"/>
        <v/>
      </c>
      <c r="V48" s="108" t="str">
        <f t="shared" si="6"/>
        <v/>
      </c>
      <c r="W48" s="108" t="str">
        <f t="shared" si="6"/>
        <v/>
      </c>
      <c r="X48" s="108" t="str">
        <f t="shared" si="6"/>
        <v/>
      </c>
      <c r="Y48" s="108" t="str">
        <f t="shared" si="6"/>
        <v/>
      </c>
      <c r="Z48" s="108" t="str">
        <f t="shared" si="6"/>
        <v/>
      </c>
      <c r="AA48" s="108" t="str">
        <f t="shared" si="6"/>
        <v/>
      </c>
      <c r="AB48" s="108" t="str" cm="1">
        <f t="array" ref="AB48">IF(LEN($B48)=0,"",IF(LEN(C48)=0,"Nama Siswa Kosong",IF($E48="","Status Siswa Kosong",IF(S48&lt;&gt;"Aktif","Siswa Tidak Aktif",
IF(OR(U48:AA48="Belum mengisi"),"Belum mengisi",IF(AND(U48:AA48="Sudah terbiasa"),"Sudah terbiasa","Belum terbiasa"))))))</f>
        <v/>
      </c>
    </row>
    <row r="49" spans="2:28" hidden="1" x14ac:dyDescent="0.3">
      <c r="B49" s="4" t="str">
        <f>IF(ROW(A37)&lt;=profilKelas!$F$14,ROW(A37),"")</f>
        <v/>
      </c>
      <c r="C49" s="94" t="str">
        <f>IF(ISBLANK(identitasMurid!C42),"",identitasMurid!C42)</f>
        <v/>
      </c>
      <c r="D49" s="6" t="str">
        <f>IF(ISBLANK(identitasMurid!D42),"",identitasMurid!D42)</f>
        <v/>
      </c>
      <c r="E49" s="95"/>
      <c r="F49" s="95"/>
      <c r="G49" s="95"/>
      <c r="H49" s="95"/>
      <c r="I49" s="95"/>
      <c r="J49" s="95"/>
      <c r="K49" s="95"/>
      <c r="L49" s="95"/>
      <c r="M49" s="30"/>
      <c r="Q49" s="5" t="str">
        <f>IF(ROW(A37)&lt;=profilKelas!$F$14,ROW(A37),"")</f>
        <v/>
      </c>
      <c r="R49" s="12" t="str">
        <f t="shared" si="0"/>
        <v/>
      </c>
      <c r="S49" s="108" t="str">
        <f t="shared" si="4"/>
        <v/>
      </c>
      <c r="T49" s="108" t="str">
        <f t="shared" si="2"/>
        <v/>
      </c>
      <c r="U49" s="108" t="str">
        <f t="shared" si="6"/>
        <v/>
      </c>
      <c r="V49" s="108" t="str">
        <f t="shared" si="6"/>
        <v/>
      </c>
      <c r="W49" s="108" t="str">
        <f t="shared" si="6"/>
        <v/>
      </c>
      <c r="X49" s="108" t="str">
        <f t="shared" si="6"/>
        <v/>
      </c>
      <c r="Y49" s="108" t="str">
        <f t="shared" si="6"/>
        <v/>
      </c>
      <c r="Z49" s="108" t="str">
        <f t="shared" si="6"/>
        <v/>
      </c>
      <c r="AA49" s="108" t="str">
        <f t="shared" si="6"/>
        <v/>
      </c>
      <c r="AB49" s="108" t="str" cm="1">
        <f t="array" ref="AB49">IF(LEN($B49)=0,"",IF(LEN(C49)=0,"Nama Siswa Kosong",IF($E49="","Status Siswa Kosong",IF(S49&lt;&gt;"Aktif","Siswa Tidak Aktif",
IF(OR(U49:AA49="Belum mengisi"),"Belum mengisi",IF(AND(U49:AA49="Sudah terbiasa"),"Sudah terbiasa","Belum terbiasa"))))))</f>
        <v/>
      </c>
    </row>
    <row r="50" spans="2:28" hidden="1" x14ac:dyDescent="0.3">
      <c r="B50" s="4" t="str">
        <f>IF(ROW(A38)&lt;=profilKelas!$F$14,ROW(A38),"")</f>
        <v/>
      </c>
      <c r="C50" s="94" t="str">
        <f>IF(ISBLANK(identitasMurid!C43),"",identitasMurid!C43)</f>
        <v/>
      </c>
      <c r="D50" s="6" t="str">
        <f>IF(ISBLANK(identitasMurid!D43),"",identitasMurid!D43)</f>
        <v/>
      </c>
      <c r="E50" s="95"/>
      <c r="F50" s="95"/>
      <c r="G50" s="95"/>
      <c r="H50" s="95"/>
      <c r="I50" s="95"/>
      <c r="J50" s="95"/>
      <c r="K50" s="95"/>
      <c r="L50" s="95"/>
      <c r="M50" s="30"/>
      <c r="Q50" s="5" t="str">
        <f>IF(ROW(A38)&lt;=profilKelas!$F$14,ROW(A38),"")</f>
        <v/>
      </c>
      <c r="R50" s="12" t="str">
        <f t="shared" si="0"/>
        <v/>
      </c>
      <c r="S50" s="108" t="str">
        <f t="shared" si="4"/>
        <v/>
      </c>
      <c r="T50" s="108" t="str">
        <f t="shared" si="2"/>
        <v/>
      </c>
      <c r="U50" s="108" t="str">
        <f t="shared" si="6"/>
        <v/>
      </c>
      <c r="V50" s="108" t="str">
        <f t="shared" si="6"/>
        <v/>
      </c>
      <c r="W50" s="108" t="str">
        <f t="shared" si="6"/>
        <v/>
      </c>
      <c r="X50" s="108" t="str">
        <f t="shared" si="6"/>
        <v/>
      </c>
      <c r="Y50" s="108" t="str">
        <f t="shared" si="6"/>
        <v/>
      </c>
      <c r="Z50" s="108" t="str">
        <f t="shared" si="6"/>
        <v/>
      </c>
      <c r="AA50" s="108" t="str">
        <f t="shared" si="6"/>
        <v/>
      </c>
      <c r="AB50" s="108" t="str" cm="1">
        <f t="array" ref="AB50">IF(LEN($B50)=0,"",IF(LEN(C50)=0,"Nama Siswa Kosong",IF($E50="","Status Siswa Kosong",IF(S50&lt;&gt;"Aktif","Siswa Tidak Aktif",
IF(OR(U50:AA50="Belum mengisi"),"Belum mengisi",IF(AND(U50:AA50="Sudah terbiasa"),"Sudah terbiasa","Belum terbiasa"))))))</f>
        <v/>
      </c>
    </row>
    <row r="51" spans="2:28" hidden="1" x14ac:dyDescent="0.3">
      <c r="B51" s="4" t="str">
        <f>IF(ROW(A39)&lt;=profilKelas!$F$14,ROW(A39),"")</f>
        <v/>
      </c>
      <c r="C51" s="94" t="str">
        <f>IF(ISBLANK(identitasMurid!C44),"",identitasMurid!C44)</f>
        <v/>
      </c>
      <c r="D51" s="6" t="str">
        <f>IF(ISBLANK(identitasMurid!D44),"",identitasMurid!D44)</f>
        <v/>
      </c>
      <c r="E51" s="95"/>
      <c r="F51" s="95"/>
      <c r="G51" s="95"/>
      <c r="H51" s="95"/>
      <c r="I51" s="95"/>
      <c r="J51" s="95"/>
      <c r="K51" s="95"/>
      <c r="L51" s="95"/>
      <c r="M51" s="30"/>
      <c r="Q51" s="5" t="str">
        <f>IF(ROW(A39)&lt;=profilKelas!$F$14,ROW(A39),"")</f>
        <v/>
      </c>
      <c r="R51" s="12" t="str">
        <f t="shared" si="0"/>
        <v/>
      </c>
      <c r="S51" s="108" t="str">
        <f t="shared" si="4"/>
        <v/>
      </c>
      <c r="T51" s="108" t="str">
        <f t="shared" si="2"/>
        <v/>
      </c>
      <c r="U51" s="108" t="str">
        <f t="shared" si="6"/>
        <v/>
      </c>
      <c r="V51" s="108" t="str">
        <f t="shared" si="6"/>
        <v/>
      </c>
      <c r="W51" s="108" t="str">
        <f t="shared" si="6"/>
        <v/>
      </c>
      <c r="X51" s="108" t="str">
        <f t="shared" si="6"/>
        <v/>
      </c>
      <c r="Y51" s="108" t="str">
        <f t="shared" si="6"/>
        <v/>
      </c>
      <c r="Z51" s="108" t="str">
        <f t="shared" si="6"/>
        <v/>
      </c>
      <c r="AA51" s="108" t="str">
        <f t="shared" si="6"/>
        <v/>
      </c>
      <c r="AB51" s="108" t="str" cm="1">
        <f t="array" ref="AB51">IF(LEN($B51)=0,"",IF(LEN(C51)=0,"Nama Siswa Kosong",IF($E51="","Status Siswa Kosong",IF(S51&lt;&gt;"Aktif","Siswa Tidak Aktif",
IF(OR(U51:AA51="Belum mengisi"),"Belum mengisi",IF(AND(U51:AA51="Sudah terbiasa"),"Sudah terbiasa","Belum terbiasa"))))))</f>
        <v/>
      </c>
    </row>
    <row r="52" spans="2:28" hidden="1" x14ac:dyDescent="0.3">
      <c r="B52" s="4" t="str">
        <f>IF(ROW(A40)&lt;=profilKelas!$F$14,ROW(A40),"")</f>
        <v/>
      </c>
      <c r="C52" s="94" t="str">
        <f>IF(ISBLANK(identitasMurid!C45),"",identitasMurid!C45)</f>
        <v/>
      </c>
      <c r="D52" s="6" t="str">
        <f>IF(ISBLANK(identitasMurid!D45),"",identitasMurid!D45)</f>
        <v/>
      </c>
      <c r="E52" s="95"/>
      <c r="F52" s="95"/>
      <c r="G52" s="95"/>
      <c r="H52" s="95"/>
      <c r="I52" s="95"/>
      <c r="J52" s="95"/>
      <c r="K52" s="95"/>
      <c r="L52" s="95"/>
      <c r="M52" s="30"/>
      <c r="Q52" s="5" t="str">
        <f>IF(ROW(A40)&lt;=profilKelas!$F$14,ROW(A40),"")</f>
        <v/>
      </c>
      <c r="R52" s="12" t="str">
        <f t="shared" si="0"/>
        <v/>
      </c>
      <c r="S52" s="108" t="str">
        <f t="shared" si="4"/>
        <v/>
      </c>
      <c r="T52" s="108" t="str">
        <f t="shared" si="2"/>
        <v/>
      </c>
      <c r="U52" s="108" t="str">
        <f t="shared" si="6"/>
        <v/>
      </c>
      <c r="V52" s="108" t="str">
        <f t="shared" si="6"/>
        <v/>
      </c>
      <c r="W52" s="108" t="str">
        <f t="shared" si="6"/>
        <v/>
      </c>
      <c r="X52" s="108" t="str">
        <f t="shared" si="6"/>
        <v/>
      </c>
      <c r="Y52" s="108" t="str">
        <f t="shared" si="6"/>
        <v/>
      </c>
      <c r="Z52" s="108" t="str">
        <f t="shared" si="6"/>
        <v/>
      </c>
      <c r="AA52" s="108" t="str">
        <f t="shared" si="6"/>
        <v/>
      </c>
      <c r="AB52" s="108" t="str" cm="1">
        <f t="array" ref="AB52">IF(LEN($B52)=0,"",IF(LEN(C52)=0,"Nama Siswa Kosong",IF($E52="","Status Siswa Kosong",IF(S52&lt;&gt;"Aktif","Siswa Tidak Aktif",
IF(OR(U52:AA52="Belum mengisi"),"Belum mengisi",IF(AND(U52:AA52="Sudah terbiasa"),"Sudah terbiasa","Belum terbiasa"))))))</f>
        <v/>
      </c>
    </row>
    <row r="53" spans="2:28" hidden="1" x14ac:dyDescent="0.3">
      <c r="B53" s="4" t="str">
        <f>IF(ROW(A41)&lt;=profilKelas!$F$14,ROW(A41),"")</f>
        <v/>
      </c>
      <c r="C53" s="94" t="str">
        <f>IF(ISBLANK(identitasMurid!C46),"",identitasMurid!C46)</f>
        <v/>
      </c>
      <c r="D53" s="6" t="str">
        <f>IF(ISBLANK(identitasMurid!D46),"",identitasMurid!D46)</f>
        <v/>
      </c>
      <c r="E53" s="95"/>
      <c r="F53" s="95"/>
      <c r="G53" s="95"/>
      <c r="H53" s="95"/>
      <c r="I53" s="95"/>
      <c r="J53" s="95"/>
      <c r="K53" s="95"/>
      <c r="L53" s="95"/>
      <c r="M53" s="30"/>
      <c r="Q53" s="5" t="str">
        <f>IF(ROW(A41)&lt;=profilKelas!$F$14,ROW(A41),"")</f>
        <v/>
      </c>
      <c r="R53" s="12" t="str">
        <f t="shared" si="0"/>
        <v/>
      </c>
      <c r="S53" s="108" t="str">
        <f t="shared" si="4"/>
        <v/>
      </c>
      <c r="T53" s="108" t="str">
        <f t="shared" si="2"/>
        <v/>
      </c>
      <c r="U53" s="108" t="str">
        <f t="shared" si="6"/>
        <v/>
      </c>
      <c r="V53" s="108" t="str">
        <f t="shared" si="6"/>
        <v/>
      </c>
      <c r="W53" s="108" t="str">
        <f t="shared" si="6"/>
        <v/>
      </c>
      <c r="X53" s="108" t="str">
        <f t="shared" si="6"/>
        <v/>
      </c>
      <c r="Y53" s="108" t="str">
        <f t="shared" si="6"/>
        <v/>
      </c>
      <c r="Z53" s="108" t="str">
        <f t="shared" si="6"/>
        <v/>
      </c>
      <c r="AA53" s="108" t="str">
        <f t="shared" si="6"/>
        <v/>
      </c>
      <c r="AB53" s="108" t="str" cm="1">
        <f t="array" ref="AB53">IF(LEN($B53)=0,"",IF(LEN(C53)=0,"Nama Siswa Kosong",IF($E53="","Status Siswa Kosong",IF(S53&lt;&gt;"Aktif","Siswa Tidak Aktif",
IF(OR(U53:AA53="Belum mengisi"),"Belum mengisi",IF(AND(U53:AA53="Sudah terbiasa"),"Sudah terbiasa","Belum terbiasa"))))))</f>
        <v/>
      </c>
    </row>
    <row r="54" spans="2:28" hidden="1" x14ac:dyDescent="0.3">
      <c r="B54" s="4" t="str">
        <f>IF(ROW(A42)&lt;=profilKelas!$F$14,ROW(A42),"")</f>
        <v/>
      </c>
      <c r="C54" s="94" t="str">
        <f>IF(ISBLANK(identitasMurid!C47),"",identitasMurid!C47)</f>
        <v/>
      </c>
      <c r="D54" s="6" t="str">
        <f>IF(ISBLANK(identitasMurid!D47),"",identitasMurid!D47)</f>
        <v/>
      </c>
      <c r="E54" s="95"/>
      <c r="F54" s="95"/>
      <c r="G54" s="95"/>
      <c r="H54" s="95"/>
      <c r="I54" s="95"/>
      <c r="J54" s="95"/>
      <c r="K54" s="95"/>
      <c r="L54" s="95"/>
      <c r="M54" s="30"/>
      <c r="Q54" s="5" t="str">
        <f>IF(ROW(A42)&lt;=profilKelas!$F$14,ROW(A42),"")</f>
        <v/>
      </c>
      <c r="R54" s="12" t="str">
        <f t="shared" si="0"/>
        <v/>
      </c>
      <c r="S54" s="108" t="str">
        <f t="shared" si="4"/>
        <v/>
      </c>
      <c r="T54" s="108" t="str">
        <f t="shared" si="2"/>
        <v/>
      </c>
      <c r="U54" s="108" t="str">
        <f t="shared" si="6"/>
        <v/>
      </c>
      <c r="V54" s="108" t="str">
        <f t="shared" si="6"/>
        <v/>
      </c>
      <c r="W54" s="108" t="str">
        <f t="shared" si="6"/>
        <v/>
      </c>
      <c r="X54" s="108" t="str">
        <f t="shared" si="6"/>
        <v/>
      </c>
      <c r="Y54" s="108" t="str">
        <f t="shared" si="6"/>
        <v/>
      </c>
      <c r="Z54" s="108" t="str">
        <f t="shared" si="6"/>
        <v/>
      </c>
      <c r="AA54" s="108" t="str">
        <f t="shared" si="6"/>
        <v/>
      </c>
      <c r="AB54" s="108" t="str" cm="1">
        <f t="array" ref="AB54">IF(LEN($B54)=0,"",IF(LEN(C54)=0,"Nama Siswa Kosong",IF($E54="","Status Siswa Kosong",IF(S54&lt;&gt;"Aktif","Siswa Tidak Aktif",
IF(OR(U54:AA54="Belum mengisi"),"Belum mengisi",IF(AND(U54:AA54="Sudah terbiasa"),"Sudah terbiasa","Belum terbiasa"))))))</f>
        <v/>
      </c>
    </row>
    <row r="55" spans="2:28" hidden="1" x14ac:dyDescent="0.3">
      <c r="B55" s="4" t="str">
        <f>IF(ROW(A43)&lt;=profilKelas!$F$14,ROW(A43),"")</f>
        <v/>
      </c>
      <c r="C55" s="94" t="str">
        <f>IF(ISBLANK(identitasMurid!C48),"",identitasMurid!C48)</f>
        <v/>
      </c>
      <c r="D55" s="6" t="str">
        <f>IF(ISBLANK(identitasMurid!D48),"",identitasMurid!D48)</f>
        <v/>
      </c>
      <c r="E55" s="95"/>
      <c r="F55" s="95"/>
      <c r="G55" s="95"/>
      <c r="H55" s="95"/>
      <c r="I55" s="95"/>
      <c r="J55" s="95"/>
      <c r="K55" s="95"/>
      <c r="L55" s="95"/>
      <c r="M55" s="30"/>
      <c r="Q55" s="5" t="str">
        <f>IF(ROW(A43)&lt;=profilKelas!$F$14,ROW(A43),"")</f>
        <v/>
      </c>
      <c r="R55" s="12" t="str">
        <f t="shared" si="0"/>
        <v/>
      </c>
      <c r="S55" s="108" t="str">
        <f t="shared" si="4"/>
        <v/>
      </c>
      <c r="T55" s="108" t="str">
        <f t="shared" si="2"/>
        <v/>
      </c>
      <c r="U55" s="108" t="str">
        <f t="shared" si="6"/>
        <v/>
      </c>
      <c r="V55" s="108" t="str">
        <f t="shared" si="6"/>
        <v/>
      </c>
      <c r="W55" s="108" t="str">
        <f t="shared" si="6"/>
        <v/>
      </c>
      <c r="X55" s="108" t="str">
        <f t="shared" si="6"/>
        <v/>
      </c>
      <c r="Y55" s="108" t="str">
        <f t="shared" si="6"/>
        <v/>
      </c>
      <c r="Z55" s="108" t="str">
        <f t="shared" si="6"/>
        <v/>
      </c>
      <c r="AA55" s="108" t="str">
        <f t="shared" si="6"/>
        <v/>
      </c>
      <c r="AB55" s="108" t="str" cm="1">
        <f t="array" ref="AB55">IF(LEN($B55)=0,"",IF(LEN(C55)=0,"Nama Siswa Kosong",IF($E55="","Status Siswa Kosong",IF(S55&lt;&gt;"Aktif","Siswa Tidak Aktif",
IF(OR(U55:AA55="Belum mengisi"),"Belum mengisi",IF(AND(U55:AA55="Sudah terbiasa"),"Sudah terbiasa","Belum terbiasa"))))))</f>
        <v/>
      </c>
    </row>
    <row r="56" spans="2:28" hidden="1" x14ac:dyDescent="0.3">
      <c r="B56" s="4" t="str">
        <f>IF(ROW(A44)&lt;=profilKelas!$F$14,ROW(A44),"")</f>
        <v/>
      </c>
      <c r="C56" s="94" t="str">
        <f>IF(ISBLANK(identitasMurid!C49),"",identitasMurid!C49)</f>
        <v/>
      </c>
      <c r="D56" s="6" t="str">
        <f>IF(ISBLANK(identitasMurid!D49),"",identitasMurid!D49)</f>
        <v/>
      </c>
      <c r="E56" s="95"/>
      <c r="F56" s="95"/>
      <c r="G56" s="95"/>
      <c r="H56" s="95"/>
      <c r="I56" s="95"/>
      <c r="J56" s="95"/>
      <c r="K56" s="95"/>
      <c r="L56" s="95"/>
      <c r="M56" s="30"/>
      <c r="Q56" s="5" t="str">
        <f>IF(ROW(A44)&lt;=profilKelas!$F$14,ROW(A44),"")</f>
        <v/>
      </c>
      <c r="R56" s="12" t="str">
        <f t="shared" si="0"/>
        <v/>
      </c>
      <c r="S56" s="108" t="str">
        <f t="shared" si="4"/>
        <v/>
      </c>
      <c r="T56" s="108" t="str">
        <f t="shared" si="2"/>
        <v/>
      </c>
      <c r="U56" s="108" t="str">
        <f t="shared" si="6"/>
        <v/>
      </c>
      <c r="V56" s="108" t="str">
        <f t="shared" si="6"/>
        <v/>
      </c>
      <c r="W56" s="108" t="str">
        <f t="shared" si="6"/>
        <v/>
      </c>
      <c r="X56" s="108" t="str">
        <f t="shared" si="6"/>
        <v/>
      </c>
      <c r="Y56" s="108" t="str">
        <f t="shared" si="6"/>
        <v/>
      </c>
      <c r="Z56" s="108" t="str">
        <f t="shared" si="6"/>
        <v/>
      </c>
      <c r="AA56" s="108" t="str">
        <f t="shared" si="6"/>
        <v/>
      </c>
      <c r="AB56" s="108" t="str" cm="1">
        <f t="array" ref="AB56">IF(LEN($B56)=0,"",IF(LEN(C56)=0,"Nama Siswa Kosong",IF($E56="","Status Siswa Kosong",IF(S56&lt;&gt;"Aktif","Siswa Tidak Aktif",
IF(OR(U56:AA56="Belum mengisi"),"Belum mengisi",IF(AND(U56:AA56="Sudah terbiasa"),"Sudah terbiasa","Belum terbiasa"))))))</f>
        <v/>
      </c>
    </row>
    <row r="57" spans="2:28" hidden="1" x14ac:dyDescent="0.3">
      <c r="B57" s="4" t="str">
        <f>IF(ROW(A45)&lt;=profilKelas!$F$14,ROW(A45),"")</f>
        <v/>
      </c>
      <c r="C57" s="94" t="str">
        <f>IF(ISBLANK(identitasMurid!C50),"",identitasMurid!C50)</f>
        <v/>
      </c>
      <c r="D57" s="6" t="str">
        <f>IF(ISBLANK(identitasMurid!D50),"",identitasMurid!D50)</f>
        <v/>
      </c>
      <c r="E57" s="95"/>
      <c r="F57" s="95"/>
      <c r="G57" s="95"/>
      <c r="H57" s="95"/>
      <c r="I57" s="95"/>
      <c r="J57" s="95"/>
      <c r="K57" s="95"/>
      <c r="L57" s="95"/>
      <c r="M57" s="30"/>
      <c r="Q57" s="5" t="str">
        <f>IF(ROW(A45)&lt;=profilKelas!$F$14,ROW(A45),"")</f>
        <v/>
      </c>
      <c r="R57" s="12" t="str">
        <f t="shared" si="0"/>
        <v/>
      </c>
      <c r="S57" s="108" t="str">
        <f t="shared" si="4"/>
        <v/>
      </c>
      <c r="T57" s="108" t="str">
        <f t="shared" si="2"/>
        <v/>
      </c>
      <c r="U57" s="108" t="str">
        <f t="shared" si="6"/>
        <v/>
      </c>
      <c r="V57" s="108" t="str">
        <f t="shared" si="6"/>
        <v/>
      </c>
      <c r="W57" s="108" t="str">
        <f t="shared" si="6"/>
        <v/>
      </c>
      <c r="X57" s="108" t="str">
        <f t="shared" si="6"/>
        <v/>
      </c>
      <c r="Y57" s="108" t="str">
        <f t="shared" si="6"/>
        <v/>
      </c>
      <c r="Z57" s="108" t="str">
        <f t="shared" si="6"/>
        <v/>
      </c>
      <c r="AA57" s="108" t="str">
        <f t="shared" si="6"/>
        <v/>
      </c>
      <c r="AB57" s="108" t="str" cm="1">
        <f t="array" ref="AB57">IF(LEN($B57)=0,"",IF(LEN(C57)=0,"Nama Siswa Kosong",IF($E57="","Status Siswa Kosong",IF(S57&lt;&gt;"Aktif","Siswa Tidak Aktif",
IF(OR(U57:AA57="Belum mengisi"),"Belum mengisi",IF(AND(U57:AA57="Sudah terbiasa"),"Sudah terbiasa","Belum terbiasa"))))))</f>
        <v/>
      </c>
    </row>
    <row r="58" spans="2:28" x14ac:dyDescent="0.3"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</row>
    <row r="59" spans="2:28" ht="16.2" x14ac:dyDescent="0.35">
      <c r="B59" s="13"/>
      <c r="C59" s="71"/>
      <c r="D59" s="71" t="s">
        <v>15</v>
      </c>
      <c r="E59" s="13"/>
      <c r="F59" s="13"/>
      <c r="G59" s="13"/>
      <c r="H59" s="13"/>
      <c r="I59" s="13"/>
      <c r="J59" s="13"/>
      <c r="K59" s="13" t="str">
        <f>profilKelas!F9&amp;", "&amp;O60</f>
        <v>, 31 Oktober 2025</v>
      </c>
      <c r="L59" s="13"/>
      <c r="M59" s="13"/>
      <c r="O59" s="31" t="s">
        <v>860</v>
      </c>
      <c r="Q59" s="13"/>
      <c r="R59" s="13"/>
      <c r="S59" s="13" t="s">
        <v>15</v>
      </c>
      <c r="T59" s="13"/>
      <c r="U59" s="13"/>
      <c r="V59" s="13"/>
      <c r="W59" s="13"/>
      <c r="X59" s="13"/>
      <c r="Y59" s="13"/>
      <c r="Z59" s="13" t="str">
        <f>profilKelas!F9&amp;", "&amp;O60</f>
        <v>, 31 Oktober 2025</v>
      </c>
      <c r="AA59" s="13"/>
      <c r="AB59" s="13"/>
    </row>
    <row r="60" spans="2:28" x14ac:dyDescent="0.3">
      <c r="B60" s="13"/>
      <c r="C60" s="71"/>
      <c r="D60" s="71" t="str">
        <f>IF(ISBLANK(profilKelas!B10),"",SUBSTITUTE(profilKelas!B10,"Nama ",""))</f>
        <v>Kepala Sekolah</v>
      </c>
      <c r="E60" s="13"/>
      <c r="F60" s="13"/>
      <c r="G60" s="13"/>
      <c r="H60" s="13"/>
      <c r="I60" s="13"/>
      <c r="J60" s="13"/>
      <c r="K60" s="13" t="str">
        <f>SUBSTITUTE(profilKelas!B15,"Nama ","")&amp;","</f>
        <v>Guru Wali Kelas,</v>
      </c>
      <c r="L60" s="13"/>
      <c r="M60" s="13"/>
      <c r="O60" s="100" t="s">
        <v>910</v>
      </c>
      <c r="Q60" s="13"/>
      <c r="R60" s="13"/>
      <c r="S60" s="13" t="str">
        <f>IF(ISBLANK(profilKelas!B10),"",profilKelas!B10)</f>
        <v>Nama Kepala Sekolah</v>
      </c>
      <c r="T60" s="13"/>
      <c r="U60" s="13"/>
      <c r="V60" s="13"/>
      <c r="W60" s="13"/>
      <c r="X60" s="13"/>
      <c r="Y60" s="13"/>
      <c r="Z60" s="13" t="str">
        <f>SUBSTITUTE(profilKelas!B15,"Nama ","")&amp;","</f>
        <v>Guru Wali Kelas,</v>
      </c>
      <c r="AA60" s="13"/>
      <c r="AB60" s="13"/>
    </row>
    <row r="61" spans="2:28" x14ac:dyDescent="0.3"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</row>
    <row r="62" spans="2:28" x14ac:dyDescent="0.3"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</row>
    <row r="63" spans="2:28" x14ac:dyDescent="0.3"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</row>
    <row r="64" spans="2:28" x14ac:dyDescent="0.3">
      <c r="B64" s="13"/>
      <c r="C64" s="13"/>
      <c r="D64" s="101" t="str">
        <f>IF(ISBLANK(profilKelas!F10),"",profilKelas!F10)</f>
        <v/>
      </c>
      <c r="E64" s="13"/>
      <c r="F64" s="13"/>
      <c r="G64" s="13"/>
      <c r="H64" s="13"/>
      <c r="I64" s="13"/>
      <c r="J64" s="13"/>
      <c r="K64" s="101" t="str">
        <f>IF(LEN(profilKelas!F15)=0,"",profilKelas!F15)</f>
        <v/>
      </c>
      <c r="L64" s="13"/>
      <c r="M64" s="13"/>
      <c r="Q64" s="13"/>
      <c r="R64" s="13"/>
      <c r="S64" s="101" t="str">
        <f>IF(ISBLANK(profilKelas!F10),"",profilKelas!F10)</f>
        <v/>
      </c>
      <c r="T64" s="13"/>
      <c r="U64" s="13"/>
      <c r="V64" s="13"/>
      <c r="W64" s="13"/>
      <c r="X64" s="13"/>
      <c r="Y64" s="13"/>
      <c r="Z64" s="101">
        <f>profilKelas!F15</f>
        <v>0</v>
      </c>
      <c r="AA64" s="13"/>
      <c r="AB64" s="13"/>
    </row>
    <row r="65" spans="2:28" x14ac:dyDescent="0.3">
      <c r="B65" s="13"/>
      <c r="C65" s="13"/>
      <c r="D65" s="13" t="str">
        <f>"NIP. "&amp;profilKelas!F11</f>
        <v xml:space="preserve">NIP. </v>
      </c>
      <c r="E65" s="13"/>
      <c r="F65" s="13"/>
      <c r="G65" s="13"/>
      <c r="H65" s="13"/>
      <c r="I65" s="13"/>
      <c r="J65" s="13"/>
      <c r="K65" s="13" t="str">
        <f>"NIP. "&amp;profilKelas!F16</f>
        <v xml:space="preserve">NIP. </v>
      </c>
      <c r="L65" s="13"/>
      <c r="M65" s="13"/>
      <c r="Q65" s="13"/>
      <c r="R65" s="13"/>
      <c r="S65" s="13" t="str">
        <f>"NIP. "&amp;profilKelas!F11</f>
        <v xml:space="preserve">NIP. </v>
      </c>
      <c r="T65" s="13"/>
      <c r="U65" s="13"/>
      <c r="V65" s="13"/>
      <c r="W65" s="13"/>
      <c r="X65" s="13"/>
      <c r="Y65" s="13"/>
      <c r="Z65" s="13" t="str">
        <f>"NIP. "&amp;profilKelas!F16</f>
        <v xml:space="preserve">NIP. </v>
      </c>
      <c r="AA65" s="13"/>
      <c r="AB65" s="13"/>
    </row>
    <row r="66" spans="2:28" x14ac:dyDescent="0.3"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</row>
    <row r="67" spans="2:28" x14ac:dyDescent="0.3">
      <c r="B67" s="13"/>
      <c r="C67" s="102" t="s">
        <v>10</v>
      </c>
      <c r="D67" s="71" t="s">
        <v>609</v>
      </c>
      <c r="E67" s="13"/>
      <c r="F67" s="13"/>
      <c r="G67" s="13"/>
      <c r="H67" s="13"/>
      <c r="I67" s="13"/>
      <c r="J67" s="13"/>
      <c r="K67" s="13"/>
      <c r="L67" s="13"/>
      <c r="M67" s="13"/>
      <c r="Q67" s="13"/>
      <c r="R67" s="102" t="s">
        <v>10</v>
      </c>
      <c r="S67" s="71" t="s">
        <v>609</v>
      </c>
      <c r="T67" s="13"/>
      <c r="U67" s="13"/>
      <c r="V67" s="13"/>
      <c r="W67" s="13"/>
      <c r="X67" s="13"/>
      <c r="Y67" s="13"/>
      <c r="Z67" s="13"/>
      <c r="AA67" s="13"/>
      <c r="AB67" s="13"/>
    </row>
    <row r="68" spans="2:28" ht="15.6" customHeight="1" x14ac:dyDescent="0.3"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63">
        <f>SUBTOTAL(109,N69)</f>
        <v>0</v>
      </c>
      <c r="O68" s="63" t="str">
        <f>IF(N68=0,"ATUR HALAMAN","TAMPILAN NORMAL")</f>
        <v>ATUR HALAMAN</v>
      </c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</row>
    <row r="69" spans="2:28" hidden="1" x14ac:dyDescent="0.3">
      <c r="N69" s="7">
        <v>1</v>
      </c>
    </row>
  </sheetData>
  <sheetProtection algorithmName="SHA-512" hashValue="2ocs2btB4hrRQEwOdI+K3W9cFQTqC9Faqf7J8jlkvM8/iXtE7ugZkkl9Uu+nxF3HiWviROYExhUUvSXxoI0N5Q==" saltValue="gTzVqhoPdG3hB0KwIq7j0g==" spinCount="100000" sheet="1" objects="1" scenarios="1" formatCells="0" formatColumns="0" formatRows="0" insertColumns="0" insertRows="0" insertHyperlinks="0" deleteColumns="0" deleteRows="0" autoFilter="0"/>
  <mergeCells count="41">
    <mergeCell ref="AL14:AQ18"/>
    <mergeCell ref="AG15:AH15"/>
    <mergeCell ref="AI15:AJ15"/>
    <mergeCell ref="AD18:AE18"/>
    <mergeCell ref="B6:M6"/>
    <mergeCell ref="Q6:AB6"/>
    <mergeCell ref="AD6:AQ7"/>
    <mergeCell ref="B10:B12"/>
    <mergeCell ref="C10:C12"/>
    <mergeCell ref="D10:D12"/>
    <mergeCell ref="E10:E12"/>
    <mergeCell ref="M10:M12"/>
    <mergeCell ref="AE24:AF24"/>
    <mergeCell ref="AD14:AD15"/>
    <mergeCell ref="AE14:AE15"/>
    <mergeCell ref="AF14:AF15"/>
    <mergeCell ref="AG14:AJ14"/>
    <mergeCell ref="AG21:AJ21"/>
    <mergeCell ref="AE22:AF22"/>
    <mergeCell ref="AG22:AH22"/>
    <mergeCell ref="AI22:AJ22"/>
    <mergeCell ref="AE23:AF23"/>
    <mergeCell ref="AE25:AF25"/>
    <mergeCell ref="AE26:AF26"/>
    <mergeCell ref="AE27:AF27"/>
    <mergeCell ref="AE28:AF28"/>
    <mergeCell ref="AE29:AF29"/>
    <mergeCell ref="AK31:AN31"/>
    <mergeCell ref="AE32:AF32"/>
    <mergeCell ref="AG32:AH32"/>
    <mergeCell ref="AI32:AJ32"/>
    <mergeCell ref="AK32:AL32"/>
    <mergeCell ref="AM32:AN32"/>
    <mergeCell ref="AG31:AJ31"/>
    <mergeCell ref="AE39:AF39"/>
    <mergeCell ref="AE33:AF33"/>
    <mergeCell ref="AE34:AF34"/>
    <mergeCell ref="AE35:AF35"/>
    <mergeCell ref="AE36:AF36"/>
    <mergeCell ref="AE37:AF37"/>
    <mergeCell ref="AE38:AF38"/>
  </mergeCells>
  <conditionalFormatting sqref="F17:F57">
    <cfRule type="expression" dxfId="125" priority="15">
      <formula>AND($C17="",$F17="")</formula>
    </cfRule>
  </conditionalFormatting>
  <conditionalFormatting sqref="B13:C57 E17:M57 M13:M16">
    <cfRule type="expression" dxfId="124" priority="14">
      <formula>$B13&lt;&gt;""</formula>
    </cfRule>
  </conditionalFormatting>
  <conditionalFormatting sqref="D13:D57">
    <cfRule type="expression" dxfId="123" priority="13">
      <formula>$B13&lt;&gt;""</formula>
    </cfRule>
  </conditionalFormatting>
  <conditionalFormatting sqref="R13:T57">
    <cfRule type="expression" dxfId="122" priority="12">
      <formula>$Q13&lt;&gt;""</formula>
    </cfRule>
  </conditionalFormatting>
  <conditionalFormatting sqref="Q13">
    <cfRule type="expression" dxfId="121" priority="11">
      <formula>$B13&lt;&gt;""</formula>
    </cfRule>
  </conditionalFormatting>
  <conditionalFormatting sqref="U13:AA57">
    <cfRule type="containsText" dxfId="120" priority="8" operator="containsText" text="Belum terbiasa">
      <formula>NOT(ISERROR(SEARCH("Belum terbiasa",U13)))</formula>
    </cfRule>
    <cfRule type="containsText" dxfId="119" priority="9" operator="containsText" text="Sudah terbiasa">
      <formula>NOT(ISERROR(SEARCH("Sudah terbiasa",U13)))</formula>
    </cfRule>
    <cfRule type="containsText" dxfId="118" priority="10" operator="containsText" text="Belum mengisi">
      <formula>NOT(ISERROR(SEARCH("Belum mengisi",U13)))</formula>
    </cfRule>
  </conditionalFormatting>
  <conditionalFormatting sqref="AB13:AB57">
    <cfRule type="containsText" dxfId="117" priority="5" operator="containsText" text="mengisi">
      <formula>NOT(ISERROR(SEARCH("mengisi",AB13)))</formula>
    </cfRule>
    <cfRule type="containsText" dxfId="116" priority="6" operator="containsText" text="Belum terbiasa">
      <formula>NOT(ISERROR(SEARCH("Belum terbiasa",AB13)))</formula>
    </cfRule>
    <cfRule type="containsText" dxfId="115" priority="7" operator="containsText" text="Sudah terbiasa">
      <formula>NOT(ISERROR(SEARCH("Sudah terbiasa",AB13)))</formula>
    </cfRule>
  </conditionalFormatting>
  <conditionalFormatting sqref="Q14:Q57">
    <cfRule type="expression" dxfId="114" priority="4">
      <formula>$B14&lt;&gt;""</formula>
    </cfRule>
  </conditionalFormatting>
  <conditionalFormatting sqref="F13:L16">
    <cfRule type="expression" dxfId="113" priority="2">
      <formula>AND($C13="",$F13="")</formula>
    </cfRule>
  </conditionalFormatting>
  <conditionalFormatting sqref="E13:L16">
    <cfRule type="expression" dxfId="112" priority="1">
      <formula>$B13&lt;&gt;""</formula>
    </cfRule>
  </conditionalFormatting>
  <dataValidations disablePrompts="1" count="2">
    <dataValidation allowBlank="1" showInputMessage="1" showErrorMessage="1" promptTitle="Tanggal pengesahan" prompt="Contoh penulisan_x000a_31 Juli 2025" sqref="O60:P60" xr:uid="{00000000-0002-0000-1100-000000000000}"/>
    <dataValidation type="whole" allowBlank="1" showInputMessage="1" showErrorMessage="1" errorTitle="Angka" error="Isian hanya berupa angka 0 s.d. 31." promptTitle="Angka" prompt="Inputan angka dari 0 s.d. 31 sesuai bulan berjalan." sqref="F13:L57" xr:uid="{00000000-0002-0000-1100-000001000000}">
      <formula1>0</formula1>
      <formula2>31</formula2>
    </dataValidation>
  </dataValidations>
  <pageMargins left="0.19685039370078741" right="0.19685039370078741" top="0.74803149606299213" bottom="0.74803149606299213" header="0.31496062992125984" footer="0.31496062992125984"/>
  <pageSetup paperSize="9" scale="59" fitToHeight="0" orientation="landscape" r:id="rId1"/>
  <headerFooter>
    <oddHeader>&amp;C&amp;G</oddHeader>
  </headerFooter>
  <drawing r:id="rId2"/>
  <legacyDrawingHF r:id="rId3"/>
  <picture r:id="rId4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Catatan" error="Harap dipilih." promptTitle="Catatan" prompt="Pilih keterangan siswa_x000a_aktif: aktif pada bulan berjalan_x000a_pindah: pada bulan berjalan sudah pindah_x000a_berhenti: pada bulan berjalan berhenti _x000a_meninggal: pada bulan berjalan meninggal_x000a__x000a_Jika terdapat penambahan siswa, keterangan bulan sebelumnya dipilih tidak." xr:uid="{00000000-0002-0000-1100-000002000000}">
          <x14:formula1>
            <xm:f>info!$AD$2:$AD$6</xm:f>
          </x14:formula1>
          <xm:sqref>E13:E57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mmNov"/>
  <dimension ref="A1:AQ69"/>
  <sheetViews>
    <sheetView showGridLines="0" showRowColHeaders="0" zoomScaleNormal="100" zoomScaleSheetLayoutView="100" zoomScalePageLayoutView="47" workbookViewId="0">
      <pane xSplit="1" ySplit="12" topLeftCell="B13" activePane="bottomRight" state="frozen"/>
      <selection pane="topRight" activeCell="B1" sqref="B1"/>
      <selection pane="bottomLeft" activeCell="A13" sqref="A13"/>
      <selection pane="bottomRight" activeCell="B6" sqref="B6:M6"/>
    </sheetView>
  </sheetViews>
  <sheetFormatPr defaultColWidth="0" defaultRowHeight="15.6" customHeight="1" zeroHeight="1" x14ac:dyDescent="0.3"/>
  <cols>
    <col min="1" max="1" width="9.109375" style="7" customWidth="1"/>
    <col min="2" max="2" width="3.5546875" style="7" bestFit="1" customWidth="1"/>
    <col min="3" max="3" width="31.5546875" style="7" customWidth="1"/>
    <col min="4" max="4" width="10" style="7" customWidth="1"/>
    <col min="5" max="5" width="11.5546875" style="7" customWidth="1"/>
    <col min="6" max="12" width="24" style="7" customWidth="1"/>
    <col min="13" max="13" width="18.33203125" style="7" customWidth="1"/>
    <col min="14" max="14" width="2.109375" style="7" customWidth="1"/>
    <col min="15" max="15" width="25.109375" style="7" bestFit="1" customWidth="1"/>
    <col min="16" max="16" width="9.109375" style="7" customWidth="1"/>
    <col min="17" max="17" width="3.5546875" style="7" hidden="1" customWidth="1"/>
    <col min="18" max="18" width="27.88671875" style="7" hidden="1" customWidth="1"/>
    <col min="19" max="19" width="8.6640625" style="7" hidden="1" customWidth="1"/>
    <col min="20" max="20" width="5.6640625" style="7" hidden="1" customWidth="1"/>
    <col min="21" max="28" width="21.33203125" style="7" hidden="1" customWidth="1"/>
    <col min="29" max="29" width="9.109375" style="7" hidden="1" customWidth="1"/>
    <col min="30" max="30" width="3.5546875" style="7" hidden="1" customWidth="1"/>
    <col min="31" max="31" width="20" style="7" hidden="1" customWidth="1"/>
    <col min="32" max="32" width="6.5546875" style="7" hidden="1" customWidth="1"/>
    <col min="33" max="36" width="9.6640625" style="7" hidden="1" customWidth="1"/>
    <col min="37" max="43" width="0" style="7" hidden="1" customWidth="1"/>
    <col min="44" max="16384" width="8.88671875" style="7" hidden="1"/>
  </cols>
  <sheetData>
    <row r="1" spans="1:43" x14ac:dyDescent="0.3">
      <c r="A1" s="63">
        <f>profilKelas!F14</f>
        <v>1</v>
      </c>
      <c r="D1" s="64" t="s">
        <v>890</v>
      </c>
      <c r="E1" s="65"/>
      <c r="F1" s="65"/>
      <c r="G1" s="65"/>
      <c r="H1" s="65"/>
      <c r="Q1" s="66" t="s">
        <v>859</v>
      </c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D1" s="66" t="s">
        <v>859</v>
      </c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</row>
    <row r="2" spans="1:43" x14ac:dyDescent="0.3">
      <c r="D2" s="67"/>
      <c r="E2" s="67"/>
      <c r="F2" s="67"/>
      <c r="G2" s="67"/>
      <c r="H2" s="67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</row>
    <row r="3" spans="1:43" ht="15.6" customHeight="1" x14ac:dyDescent="0.3"/>
    <row r="4" spans="1:43" ht="15.6" customHeight="1" x14ac:dyDescent="0.3"/>
    <row r="5" spans="1:43" x14ac:dyDescent="0.3">
      <c r="Q5" s="68"/>
      <c r="S5" s="69"/>
      <c r="T5" s="69"/>
      <c r="V5" s="69"/>
      <c r="X5" s="69"/>
      <c r="Z5" s="69"/>
      <c r="AL5" s="70"/>
    </row>
    <row r="6" spans="1:43" ht="15.6" customHeight="1" x14ac:dyDescent="0.3">
      <c r="B6" s="168" t="s">
        <v>882</v>
      </c>
      <c r="C6" s="168"/>
      <c r="D6" s="168"/>
      <c r="E6" s="168"/>
      <c r="F6" s="168"/>
      <c r="G6" s="168"/>
      <c r="H6" s="168"/>
      <c r="I6" s="168"/>
      <c r="J6" s="168"/>
      <c r="K6" s="168"/>
      <c r="L6" s="168"/>
      <c r="M6" s="168"/>
      <c r="Q6" s="168"/>
      <c r="R6" s="168"/>
      <c r="S6" s="168"/>
      <c r="T6" s="168"/>
      <c r="U6" s="168"/>
      <c r="V6" s="168"/>
      <c r="W6" s="168"/>
      <c r="X6" s="168"/>
      <c r="Y6" s="168"/>
      <c r="Z6" s="168"/>
      <c r="AA6" s="168"/>
      <c r="AB6" s="168"/>
      <c r="AD6" s="159" t="str">
        <f>"REKAPITULASI CATATAN HARIAN KELAS (RCHS) "&amp;CHAR(10)&amp;"SEMESTER "&amp;MID(J7,3,1)&amp;" BULAN"&amp;UPPER(MID(J7,SEARCH("/",J7)+1,99))&amp;" TAHUN "&amp;IF(ISBLANK(O11),profilKelas!F12,O11)</f>
        <v xml:space="preserve">REKAPITULASI CATATAN HARIAN KELAS (RCHS) 
SEMESTER I BULAN NOVEMBER TAHUN </v>
      </c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</row>
    <row r="7" spans="1:43" x14ac:dyDescent="0.3">
      <c r="B7" s="13"/>
      <c r="C7" s="13" t="s">
        <v>862</v>
      </c>
      <c r="D7" s="13" t="str">
        <f>": "&amp;IF(ISBLANK(profilKelas!F5),"",profilKelas!F5&amp;" ("&amp;profilKelas!F6&amp;")")</f>
        <v xml:space="preserve">: </v>
      </c>
      <c r="E7" s="13"/>
      <c r="F7" s="13"/>
      <c r="G7" s="13"/>
      <c r="H7" s="13"/>
      <c r="I7" s="13" t="s">
        <v>885</v>
      </c>
      <c r="J7" s="13" t="str">
        <f>": "&amp;IF(ISBLANK(O8),"I / November",O8&amp;" / November")</f>
        <v>: I / November</v>
      </c>
      <c r="K7" s="13"/>
      <c r="L7" s="13"/>
      <c r="M7" s="71"/>
      <c r="O7"/>
      <c r="Q7" s="13"/>
      <c r="R7" s="13" t="s">
        <v>862</v>
      </c>
      <c r="S7" s="13" t="str">
        <f>": "&amp;IF(ISBLANK(profilKelas!F5),"",profilKelas!F5&amp;" ("&amp;profilKelas!F6&amp;")")</f>
        <v xml:space="preserve">: </v>
      </c>
      <c r="T7" s="13"/>
      <c r="U7" s="13"/>
      <c r="V7" s="13"/>
      <c r="W7" s="13"/>
      <c r="X7" s="13"/>
      <c r="Y7" s="13" t="s">
        <v>840</v>
      </c>
      <c r="Z7" s="13" t="str">
        <f>J7</f>
        <v>: I / November</v>
      </c>
      <c r="AA7" s="71"/>
      <c r="AB7" s="13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</row>
    <row r="8" spans="1:43" x14ac:dyDescent="0.3">
      <c r="B8" s="13"/>
      <c r="C8" s="13" t="s">
        <v>842</v>
      </c>
      <c r="D8" s="13" t="str">
        <f ca="1">": "&amp;IF(ISBLANK(profilKelas!H13),"",profilKelas!H13)</f>
        <v>: Pilih Kelas dan Rombel</v>
      </c>
      <c r="E8" s="13"/>
      <c r="F8" s="13"/>
      <c r="G8" s="13"/>
      <c r="H8" s="13"/>
      <c r="I8" s="13" t="s">
        <v>880</v>
      </c>
      <c r="J8" s="13" t="str">
        <f>": "&amp;IF(ISBLANK(profilKelas!F12),"Ketik Tahun Ajaran pada Profil Kelas",profilKelas!F12)</f>
        <v>: Ketik Tahun Ajaran pada Profil Kelas</v>
      </c>
      <c r="K8" s="13"/>
      <c r="L8" s="13"/>
      <c r="M8" s="71"/>
      <c r="O8"/>
      <c r="Q8" s="13"/>
      <c r="R8" s="13" t="s">
        <v>842</v>
      </c>
      <c r="S8" s="13" t="str">
        <f ca="1">": "&amp;IF(ISBLANK(profilKelas!H13),"",profilKelas!H13)</f>
        <v>: Pilih Kelas dan Rombel</v>
      </c>
      <c r="T8" s="13"/>
      <c r="U8" s="13"/>
      <c r="V8" s="13"/>
      <c r="W8" s="13"/>
      <c r="X8" s="13"/>
      <c r="Y8" s="13" t="s">
        <v>841</v>
      </c>
      <c r="Z8" s="13" t="str">
        <f>": "&amp;IF(ISBLANK(profilKelas!F12),"Ketik Tahun Ajaran pada Profil Kelas",IF(ISBLANK(O11),profilKelas!F12,O11))</f>
        <v>: Ketik Tahun Ajaran pada Profil Kelas</v>
      </c>
      <c r="AA8" s="71"/>
      <c r="AB8" s="13"/>
      <c r="AD8" s="72"/>
      <c r="AE8" s="72"/>
      <c r="AF8" s="72"/>
      <c r="AG8" s="72"/>
      <c r="AH8" s="72"/>
      <c r="AI8" s="72"/>
      <c r="AJ8" s="72"/>
      <c r="AK8" s="72"/>
      <c r="AL8" s="72"/>
      <c r="AM8" s="72"/>
      <c r="AN8" s="72"/>
      <c r="AO8" s="13"/>
      <c r="AP8" s="13"/>
      <c r="AQ8" s="13"/>
    </row>
    <row r="9" spans="1:43" x14ac:dyDescent="0.3"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71"/>
      <c r="Q9" s="13"/>
      <c r="R9" s="13"/>
      <c r="S9" s="13"/>
      <c r="T9" s="13"/>
      <c r="U9" s="13"/>
      <c r="V9" s="13"/>
      <c r="W9" s="13"/>
      <c r="X9" s="13"/>
      <c r="Y9" s="13"/>
      <c r="Z9" s="13"/>
      <c r="AA9" s="71"/>
      <c r="AB9" s="13"/>
      <c r="AD9" s="13" t="s">
        <v>862</v>
      </c>
      <c r="AE9" s="13"/>
      <c r="AF9" s="13" t="str">
        <f>UPPER(": "&amp;profilKelas!F5&amp;" ("&amp;profilKelas!F6&amp;")")</f>
        <v>:  ()</v>
      </c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</row>
    <row r="10" spans="1:43" x14ac:dyDescent="0.3">
      <c r="B10" s="162" t="s">
        <v>0</v>
      </c>
      <c r="C10" s="162" t="s">
        <v>858</v>
      </c>
      <c r="D10" s="164" t="s">
        <v>831</v>
      </c>
      <c r="E10" s="164" t="s">
        <v>987</v>
      </c>
      <c r="F10" s="44" t="s">
        <v>19</v>
      </c>
      <c r="G10" s="45"/>
      <c r="H10" s="45"/>
      <c r="I10" s="45"/>
      <c r="J10" s="45"/>
      <c r="K10" s="45"/>
      <c r="L10" s="46"/>
      <c r="M10" s="162" t="s">
        <v>9</v>
      </c>
      <c r="O10"/>
      <c r="Q10" s="73"/>
      <c r="R10" s="74"/>
      <c r="S10" s="74"/>
      <c r="T10" s="75"/>
      <c r="U10" s="76" t="s">
        <v>19</v>
      </c>
      <c r="V10" s="77"/>
      <c r="W10" s="77"/>
      <c r="X10" s="77"/>
      <c r="Y10" s="77"/>
      <c r="Z10" s="77"/>
      <c r="AA10" s="78"/>
      <c r="AB10" s="36"/>
      <c r="AD10" s="13" t="s">
        <v>863</v>
      </c>
      <c r="AE10" s="13"/>
      <c r="AF10" s="13" t="str">
        <f>UPPER(": "&amp;profilKelas!F9&amp;", Provinsi "&amp;profilKelas!F8)</f>
        <v xml:space="preserve">: , PROVINSI </v>
      </c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</row>
    <row r="11" spans="1:43" x14ac:dyDescent="0.3">
      <c r="B11" s="169"/>
      <c r="C11" s="169"/>
      <c r="D11" s="170"/>
      <c r="E11" s="170"/>
      <c r="F11" s="80" t="s">
        <v>2</v>
      </c>
      <c r="G11" s="80" t="s">
        <v>3</v>
      </c>
      <c r="H11" s="80" t="s">
        <v>4</v>
      </c>
      <c r="I11" s="81" t="s">
        <v>606</v>
      </c>
      <c r="J11" s="81" t="s">
        <v>6</v>
      </c>
      <c r="K11" s="81" t="s">
        <v>7</v>
      </c>
      <c r="L11" s="81" t="s">
        <v>8</v>
      </c>
      <c r="M11" s="169"/>
      <c r="O11"/>
      <c r="Q11" s="82"/>
      <c r="R11" s="83"/>
      <c r="S11" s="83"/>
      <c r="T11" s="84"/>
      <c r="U11" s="85" t="s">
        <v>14</v>
      </c>
      <c r="V11" s="86"/>
      <c r="W11" s="86"/>
      <c r="X11" s="86"/>
      <c r="Y11" s="86"/>
      <c r="Z11" s="86"/>
      <c r="AA11" s="87"/>
      <c r="AB11" s="79"/>
      <c r="AD11" s="13" t="str">
        <f>profilKelas!B10</f>
        <v>Nama Kepala Sekolah</v>
      </c>
      <c r="AE11" s="13"/>
      <c r="AF11" s="13" t="str">
        <f>UPPER(": "&amp;profilKelas!F10&amp;" (NIP."&amp;profilKelas!F11&amp;")")</f>
        <v>:  (NIP.)</v>
      </c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</row>
    <row r="12" spans="1:43" ht="16.2" x14ac:dyDescent="0.3">
      <c r="B12" s="163"/>
      <c r="C12" s="163"/>
      <c r="D12" s="165"/>
      <c r="E12" s="165"/>
      <c r="F12" s="88" t="s">
        <v>881</v>
      </c>
      <c r="G12" s="89"/>
      <c r="H12" s="89"/>
      <c r="I12" s="89"/>
      <c r="J12" s="89"/>
      <c r="K12" s="89"/>
      <c r="L12" s="90"/>
      <c r="M12" s="163"/>
      <c r="Q12" s="91" t="s">
        <v>0</v>
      </c>
      <c r="R12" s="92" t="s">
        <v>1</v>
      </c>
      <c r="S12" s="35" t="s">
        <v>596</v>
      </c>
      <c r="T12" s="35" t="s">
        <v>605</v>
      </c>
      <c r="U12" s="80" t="s">
        <v>599</v>
      </c>
      <c r="V12" s="80" t="s">
        <v>600</v>
      </c>
      <c r="W12" s="80" t="s">
        <v>4</v>
      </c>
      <c r="X12" s="81" t="s">
        <v>601</v>
      </c>
      <c r="Y12" s="81" t="s">
        <v>602</v>
      </c>
      <c r="Z12" s="81" t="s">
        <v>603</v>
      </c>
      <c r="AA12" s="93" t="s">
        <v>604</v>
      </c>
      <c r="AB12" s="36" t="s">
        <v>11</v>
      </c>
      <c r="AD12" s="34" t="str">
        <f ca="1">SUBSTITUTE(profilKelas!B15,"Nama ","")&amp;" "&amp;IF(ISBLANK(profilKelas!H13),"",profilKelas!H13)</f>
        <v>Guru Wali Kelas Pilih Kelas dan Rombel</v>
      </c>
      <c r="AE12" s="34"/>
      <c r="AF12" s="34" t="str">
        <f>UPPER(": "&amp;profilKelas!F15)</f>
        <v xml:space="preserve">: </v>
      </c>
      <c r="AG12" s="34"/>
      <c r="AH12" s="34"/>
      <c r="AI12" s="34"/>
      <c r="AJ12" s="34"/>
      <c r="AK12" s="34"/>
      <c r="AL12" s="34"/>
      <c r="AM12" s="34"/>
      <c r="AN12" s="34"/>
      <c r="AO12" s="34"/>
      <c r="AP12" s="13"/>
      <c r="AQ12" s="13"/>
    </row>
    <row r="13" spans="1:43" x14ac:dyDescent="0.3">
      <c r="B13" s="4">
        <f>IF(ROW(A1)&lt;=profilKelas!$F$14,ROW(A1),"")</f>
        <v>1</v>
      </c>
      <c r="C13" s="94" t="str">
        <f>IF(ISBLANK(identitasMurid!C6),"",identitasMurid!C6)</f>
        <v/>
      </c>
      <c r="D13" s="6" t="str">
        <f>IF(ISBLANK(identitasMurid!D6),"",identitasMurid!D6)</f>
        <v/>
      </c>
      <c r="E13" s="95"/>
      <c r="F13" s="95"/>
      <c r="G13" s="95"/>
      <c r="H13" s="95"/>
      <c r="I13" s="95"/>
      <c r="J13" s="95"/>
      <c r="K13" s="95"/>
      <c r="L13" s="95"/>
      <c r="M13" s="95"/>
      <c r="Q13" s="5">
        <f>IF(ROW(A1)&lt;=profilKelas!$F$14,ROW(A1),"")</f>
        <v>1</v>
      </c>
      <c r="R13" s="12" t="str">
        <f t="shared" ref="R13:R57" si="0">C13</f>
        <v/>
      </c>
      <c r="S13" s="108" t="str">
        <f t="shared" ref="S13:S19" si="1">IF(LEN(B13)=0,"",IF(ISBLANK(E13),"Status Siswa Kosong",E13))</f>
        <v>Status Siswa Kosong</v>
      </c>
      <c r="T13" s="108" t="str">
        <f t="shared" ref="T13:T57" si="2">IF(ISBLANK(D13),"",D13)</f>
        <v/>
      </c>
      <c r="U13" s="108" t="str">
        <f t="shared" ref="U13:AA28" si="3">IF(LEN($B13)=0,"",IF(LEN($C13)=0,"Nama Siswa Kosong",IF($E13="","Status Siswa Kosong",IF($E13&lt;&gt;"Aktif","Siswa Tidak Aktif",
IF(ISBLANK(F13),"Belum mengisi",IF(F13&gt;=20,"Sudah terbiasa","Belum terbiasa"))))))</f>
        <v>Nama Siswa Kosong</v>
      </c>
      <c r="V13" s="108" t="str">
        <f t="shared" si="3"/>
        <v>Nama Siswa Kosong</v>
      </c>
      <c r="W13" s="108" t="str">
        <f t="shared" si="3"/>
        <v>Nama Siswa Kosong</v>
      </c>
      <c r="X13" s="108" t="str">
        <f t="shared" si="3"/>
        <v>Nama Siswa Kosong</v>
      </c>
      <c r="Y13" s="108" t="str">
        <f t="shared" si="3"/>
        <v>Nama Siswa Kosong</v>
      </c>
      <c r="Z13" s="108" t="str">
        <f t="shared" si="3"/>
        <v>Nama Siswa Kosong</v>
      </c>
      <c r="AA13" s="108" t="str">
        <f t="shared" si="3"/>
        <v>Nama Siswa Kosong</v>
      </c>
      <c r="AB13" s="108" t="str" cm="1">
        <f t="array" ref="AB13">IF(LEN($B13)=0,"",IF(LEN(C13)=0,"Nama Siswa Kosong",IF($E13="","Status Siswa Kosong",IF(S13&lt;&gt;"Aktif","Siswa Tidak Aktif",
IF(OR(U13:AA13="Belum mengisi"),"Belum mengisi",IF(AND(U13:AA13="Sudah terbiasa"),"Sudah terbiasa","Belum terbiasa"))))))</f>
        <v>Nama Siswa Kosong</v>
      </c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</row>
    <row r="14" spans="1:43" ht="15.6" hidden="1" customHeight="1" x14ac:dyDescent="0.3">
      <c r="B14" s="4" t="str">
        <f>IF(ROW(A2)&lt;=profilKelas!$F$14,ROW(A2),"")</f>
        <v/>
      </c>
      <c r="C14" s="94" t="str">
        <f>IF(ISBLANK(identitasMurid!C7),"",identitasMurid!C7)</f>
        <v/>
      </c>
      <c r="D14" s="6" t="str">
        <f>IF(ISBLANK(identitasMurid!D7),"",identitasMurid!D7)</f>
        <v/>
      </c>
      <c r="E14" s="95"/>
      <c r="F14" s="95"/>
      <c r="G14" s="95"/>
      <c r="H14" s="95"/>
      <c r="I14" s="95"/>
      <c r="J14" s="95"/>
      <c r="K14" s="95"/>
      <c r="L14" s="95"/>
      <c r="M14" s="95"/>
      <c r="Q14" s="5" t="str">
        <f>IF(ROW(A2)&lt;=profilKelas!$F$14,ROW(A2),"")</f>
        <v/>
      </c>
      <c r="R14" s="12" t="str">
        <f t="shared" si="0"/>
        <v/>
      </c>
      <c r="S14" s="108" t="str">
        <f t="shared" si="1"/>
        <v/>
      </c>
      <c r="T14" s="108" t="str">
        <f t="shared" si="2"/>
        <v/>
      </c>
      <c r="U14" s="108" t="str">
        <f t="shared" si="3"/>
        <v/>
      </c>
      <c r="V14" s="108" t="str">
        <f t="shared" si="3"/>
        <v/>
      </c>
      <c r="W14" s="108" t="str">
        <f t="shared" si="3"/>
        <v/>
      </c>
      <c r="X14" s="108" t="str">
        <f t="shared" si="3"/>
        <v/>
      </c>
      <c r="Y14" s="108" t="str">
        <f t="shared" si="3"/>
        <v/>
      </c>
      <c r="Z14" s="108" t="str">
        <f t="shared" si="3"/>
        <v/>
      </c>
      <c r="AA14" s="108" t="str">
        <f t="shared" si="3"/>
        <v/>
      </c>
      <c r="AB14" s="108" t="str" cm="1">
        <f t="array" ref="AB14">IF(LEN($B14)=0,"",IF(LEN(C14)=0,"Nama Siswa Kosong",IF($E14="","Status Siswa Kosong",IF(S14&lt;&gt;"Aktif","Siswa Tidak Aktif",
IF(OR(U14:AA14="Belum mengisi"),"Belum mengisi",IF(AND(U14:AA14="Sudah terbiasa"),"Sudah terbiasa","Belum terbiasa"))))))</f>
        <v/>
      </c>
      <c r="AD14" s="162" t="s">
        <v>0</v>
      </c>
      <c r="AE14" s="162" t="s">
        <v>831</v>
      </c>
      <c r="AF14" s="164" t="s">
        <v>833</v>
      </c>
      <c r="AG14" s="173" t="s">
        <v>596</v>
      </c>
      <c r="AH14" s="174"/>
      <c r="AI14" s="174"/>
      <c r="AJ14" s="175"/>
      <c r="AK14" s="13"/>
      <c r="AL14" s="158"/>
      <c r="AM14" s="158"/>
      <c r="AN14" s="158"/>
      <c r="AO14" s="158"/>
      <c r="AP14" s="158"/>
      <c r="AQ14" s="158"/>
    </row>
    <row r="15" spans="1:43" ht="15.6" hidden="1" customHeight="1" x14ac:dyDescent="0.3">
      <c r="B15" s="4" t="str">
        <f>IF(ROW(A3)&lt;=profilKelas!$F$14,ROW(A3),"")</f>
        <v/>
      </c>
      <c r="C15" s="94" t="str">
        <f>IF(ISBLANK(identitasMurid!C8),"",identitasMurid!C8)</f>
        <v/>
      </c>
      <c r="D15" s="6" t="str">
        <f>IF(ISBLANK(identitasMurid!D8),"",identitasMurid!D8)</f>
        <v/>
      </c>
      <c r="E15" s="95"/>
      <c r="F15" s="95"/>
      <c r="G15" s="95"/>
      <c r="H15" s="95"/>
      <c r="I15" s="95"/>
      <c r="J15" s="95"/>
      <c r="K15" s="95"/>
      <c r="L15" s="95"/>
      <c r="M15" s="95"/>
      <c r="Q15" s="5" t="str">
        <f>IF(ROW(A3)&lt;=profilKelas!$F$14,ROW(A3),"")</f>
        <v/>
      </c>
      <c r="R15" s="12" t="str">
        <f t="shared" si="0"/>
        <v/>
      </c>
      <c r="S15" s="108" t="str">
        <f t="shared" si="1"/>
        <v/>
      </c>
      <c r="T15" s="108" t="str">
        <f t="shared" si="2"/>
        <v/>
      </c>
      <c r="U15" s="108" t="str">
        <f t="shared" si="3"/>
        <v/>
      </c>
      <c r="V15" s="108" t="str">
        <f t="shared" si="3"/>
        <v/>
      </c>
      <c r="W15" s="108" t="str">
        <f t="shared" si="3"/>
        <v/>
      </c>
      <c r="X15" s="108" t="str">
        <f t="shared" si="3"/>
        <v/>
      </c>
      <c r="Y15" s="108" t="str">
        <f t="shared" si="3"/>
        <v/>
      </c>
      <c r="Z15" s="108" t="str">
        <f t="shared" si="3"/>
        <v/>
      </c>
      <c r="AA15" s="108" t="str">
        <f t="shared" si="3"/>
        <v/>
      </c>
      <c r="AB15" s="108" t="str" cm="1">
        <f t="array" ref="AB15">IF(LEN($B15)=0,"",IF(LEN(C15)=0,"Nama Siswa Kosong",IF($E15="","Status Siswa Kosong",IF(S15&lt;&gt;"Aktif","Siswa Tidak Aktif",
IF(OR(U15:AA15="Belum mengisi"),"Belum mengisi",IF(AND(U15:AA15="Sudah terbiasa"),"Sudah terbiasa","Belum terbiasa"))))))</f>
        <v/>
      </c>
      <c r="AD15" s="163"/>
      <c r="AE15" s="163"/>
      <c r="AF15" s="165"/>
      <c r="AG15" s="148" t="s">
        <v>597</v>
      </c>
      <c r="AH15" s="148"/>
      <c r="AI15" s="148" t="s">
        <v>598</v>
      </c>
      <c r="AJ15" s="148"/>
      <c r="AK15" s="13"/>
      <c r="AL15" s="158"/>
      <c r="AM15" s="158"/>
      <c r="AN15" s="158"/>
      <c r="AO15" s="158"/>
      <c r="AP15" s="158"/>
      <c r="AQ15" s="158"/>
    </row>
    <row r="16" spans="1:43" hidden="1" x14ac:dyDescent="0.3">
      <c r="B16" s="4" t="str">
        <f>IF(ROW(A4)&lt;=profilKelas!$F$14,ROW(A4),"")</f>
        <v/>
      </c>
      <c r="C16" s="94" t="str">
        <f>IF(ISBLANK(identitasMurid!C9),"",identitasMurid!C9)</f>
        <v/>
      </c>
      <c r="D16" s="6" t="str">
        <f>IF(ISBLANK(identitasMurid!D9),"",identitasMurid!D9)</f>
        <v/>
      </c>
      <c r="E16" s="95"/>
      <c r="F16" s="95"/>
      <c r="G16" s="95"/>
      <c r="H16" s="95"/>
      <c r="I16" s="95"/>
      <c r="J16" s="95"/>
      <c r="K16" s="95"/>
      <c r="L16" s="95"/>
      <c r="M16" s="95"/>
      <c r="Q16" s="5" t="str">
        <f>IF(ROW(A4)&lt;=profilKelas!$F$14,ROW(A4),"")</f>
        <v/>
      </c>
      <c r="R16" s="12" t="str">
        <f t="shared" si="0"/>
        <v/>
      </c>
      <c r="S16" s="108" t="str">
        <f t="shared" si="1"/>
        <v/>
      </c>
      <c r="T16" s="108" t="str">
        <f t="shared" si="2"/>
        <v/>
      </c>
      <c r="U16" s="108" t="str">
        <f t="shared" si="3"/>
        <v/>
      </c>
      <c r="V16" s="108" t="str">
        <f t="shared" si="3"/>
        <v/>
      </c>
      <c r="W16" s="108" t="str">
        <f t="shared" si="3"/>
        <v/>
      </c>
      <c r="X16" s="108" t="str">
        <f t="shared" si="3"/>
        <v/>
      </c>
      <c r="Y16" s="108" t="str">
        <f t="shared" si="3"/>
        <v/>
      </c>
      <c r="Z16" s="108" t="str">
        <f t="shared" si="3"/>
        <v/>
      </c>
      <c r="AA16" s="108" t="str">
        <f t="shared" si="3"/>
        <v/>
      </c>
      <c r="AB16" s="108" t="str" cm="1">
        <f t="array" ref="AB16">IF(LEN($B16)=0,"",IF(LEN(C16)=0,"Nama Siswa Kosong",IF($E16="","Status Siswa Kosong",IF(S16&lt;&gt;"Aktif","Siswa Tidak Aktif",
IF(OR(U16:AA16="Belum mengisi"),"Belum mengisi",IF(AND(U16:AA16="Sudah terbiasa"),"Sudah terbiasa","Belum terbiasa"))))))</f>
        <v/>
      </c>
      <c r="AD16" s="41">
        <v>1</v>
      </c>
      <c r="AE16" s="41" t="s">
        <v>607</v>
      </c>
      <c r="AF16" s="10">
        <f>COUNTIF(JulPL,Perempuan)</f>
        <v>0</v>
      </c>
      <c r="AG16" s="96">
        <f>COUNTIFS(JulKategoriAkhir,SudahTerbiasa,JulPL,Perempuan)</f>
        <v>0</v>
      </c>
      <c r="AH16" s="96"/>
      <c r="AI16" s="96">
        <f>COUNTIFS(JulKategoriAkhir,BelumTerbiasa,JulPL,Perempuan)</f>
        <v>0</v>
      </c>
      <c r="AJ16" s="96"/>
      <c r="AK16" s="13"/>
      <c r="AL16" s="158"/>
      <c r="AM16" s="158"/>
      <c r="AN16" s="158"/>
      <c r="AO16" s="158"/>
      <c r="AP16" s="158"/>
      <c r="AQ16" s="158"/>
    </row>
    <row r="17" spans="2:43" hidden="1" x14ac:dyDescent="0.3">
      <c r="B17" s="4" t="str">
        <f>IF(ROW(A5)&lt;=profilKelas!$F$14,ROW(A5),"")</f>
        <v/>
      </c>
      <c r="C17" s="94" t="str">
        <f>IF(ISBLANK(identitasMurid!C10),"",identitasMurid!C10)</f>
        <v/>
      </c>
      <c r="D17" s="6" t="str">
        <f>IF(ISBLANK(identitasMurid!D10),"",identitasMurid!D10)</f>
        <v/>
      </c>
      <c r="E17" s="95"/>
      <c r="F17" s="95"/>
      <c r="G17" s="95"/>
      <c r="H17" s="95"/>
      <c r="I17" s="95"/>
      <c r="J17" s="95"/>
      <c r="K17" s="95"/>
      <c r="L17" s="95"/>
      <c r="M17" s="95"/>
      <c r="Q17" s="5" t="str">
        <f>IF(ROW(A5)&lt;=profilKelas!$F$14,ROW(A5),"")</f>
        <v/>
      </c>
      <c r="R17" s="12" t="str">
        <f t="shared" si="0"/>
        <v/>
      </c>
      <c r="S17" s="108" t="str">
        <f t="shared" si="1"/>
        <v/>
      </c>
      <c r="T17" s="108" t="str">
        <f t="shared" si="2"/>
        <v/>
      </c>
      <c r="U17" s="108" t="str">
        <f t="shared" si="3"/>
        <v/>
      </c>
      <c r="V17" s="108" t="str">
        <f t="shared" si="3"/>
        <v/>
      </c>
      <c r="W17" s="108" t="str">
        <f t="shared" si="3"/>
        <v/>
      </c>
      <c r="X17" s="108" t="str">
        <f t="shared" si="3"/>
        <v/>
      </c>
      <c r="Y17" s="108" t="str">
        <f t="shared" si="3"/>
        <v/>
      </c>
      <c r="Z17" s="108" t="str">
        <f t="shared" si="3"/>
        <v/>
      </c>
      <c r="AA17" s="108" t="str">
        <f t="shared" si="3"/>
        <v/>
      </c>
      <c r="AB17" s="108" t="str" cm="1">
        <f t="array" ref="AB17">IF(LEN($B17)=0,"",IF(LEN(C17)=0,"Nama Siswa Kosong",IF($E17="","Status Siswa Kosong",IF(S17&lt;&gt;"Aktif","Siswa Tidak Aktif",
IF(OR(U17:AA17="Belum mengisi"),"Belum mengisi",IF(AND(U17:AA17="Sudah terbiasa"),"Sudah terbiasa","Belum terbiasa"))))))</f>
        <v/>
      </c>
      <c r="AD17" s="41">
        <v>2</v>
      </c>
      <c r="AE17" s="41" t="s">
        <v>608</v>
      </c>
      <c r="AF17" s="97">
        <f>COUNTIF(JulPL,Laki_Laki)</f>
        <v>0</v>
      </c>
      <c r="AG17" s="96">
        <f>COUNTIFS(JulKategoriAkhir,SudahTerbiasa,JulPL,Laki_Laki)</f>
        <v>0</v>
      </c>
      <c r="AH17" s="96"/>
      <c r="AI17" s="96">
        <f>COUNTIFS(JulKategoriAkhir,BelumTerbiasa,JulPL,Laki_Laki)</f>
        <v>0</v>
      </c>
      <c r="AJ17" s="96"/>
      <c r="AK17" s="13"/>
      <c r="AL17" s="158"/>
      <c r="AM17" s="158"/>
      <c r="AN17" s="158"/>
      <c r="AO17" s="158"/>
      <c r="AP17" s="158"/>
      <c r="AQ17" s="158"/>
    </row>
    <row r="18" spans="2:43" hidden="1" x14ac:dyDescent="0.3">
      <c r="B18" s="4" t="str">
        <f>IF(ROW(A6)&lt;=profilKelas!$F$14,ROW(A6),"")</f>
        <v/>
      </c>
      <c r="C18" s="94" t="str">
        <f>IF(ISBLANK(identitasMurid!C11),"",identitasMurid!C11)</f>
        <v/>
      </c>
      <c r="D18" s="6" t="str">
        <f>IF(ISBLANK(identitasMurid!D11),"",identitasMurid!D11)</f>
        <v/>
      </c>
      <c r="E18" s="95"/>
      <c r="F18" s="95"/>
      <c r="G18" s="95"/>
      <c r="H18" s="95"/>
      <c r="I18" s="95"/>
      <c r="J18" s="95"/>
      <c r="K18" s="95"/>
      <c r="L18" s="95"/>
      <c r="M18" s="95"/>
      <c r="Q18" s="5" t="str">
        <f>IF(ROW(A6)&lt;=profilKelas!$F$14,ROW(A6),"")</f>
        <v/>
      </c>
      <c r="R18" s="12" t="str">
        <f t="shared" si="0"/>
        <v/>
      </c>
      <c r="S18" s="108" t="str">
        <f t="shared" si="1"/>
        <v/>
      </c>
      <c r="T18" s="108" t="str">
        <f t="shared" si="2"/>
        <v/>
      </c>
      <c r="U18" s="108" t="str">
        <f t="shared" si="3"/>
        <v/>
      </c>
      <c r="V18" s="108" t="str">
        <f t="shared" si="3"/>
        <v/>
      </c>
      <c r="W18" s="108" t="str">
        <f t="shared" si="3"/>
        <v/>
      </c>
      <c r="X18" s="108" t="str">
        <f t="shared" si="3"/>
        <v/>
      </c>
      <c r="Y18" s="108" t="str">
        <f t="shared" si="3"/>
        <v/>
      </c>
      <c r="Z18" s="108" t="str">
        <f t="shared" si="3"/>
        <v/>
      </c>
      <c r="AA18" s="108" t="str">
        <f t="shared" si="3"/>
        <v/>
      </c>
      <c r="AB18" s="108" t="str" cm="1">
        <f t="array" ref="AB18">IF(LEN($B18)=0,"",IF(LEN(C18)=0,"Nama Siswa Kosong",IF($E18="","Status Siswa Kosong",IF(S18&lt;&gt;"Aktif","Siswa Tidak Aktif",
IF(OR(U18:AA18="Belum mengisi"),"Belum mengisi",IF(AND(U18:AA18="Sudah terbiasa"),"Sudah terbiasa","Belum terbiasa"))))))</f>
        <v/>
      </c>
      <c r="AD18" s="160" t="s">
        <v>832</v>
      </c>
      <c r="AE18" s="160"/>
      <c r="AF18" s="3">
        <f>SUM(AF16:AF17)</f>
        <v>0</v>
      </c>
      <c r="AG18" s="96">
        <f>SUM(AG16:AG17)</f>
        <v>0</v>
      </c>
      <c r="AH18" s="96"/>
      <c r="AI18" s="96">
        <f>SUM(AI16:AI17)</f>
        <v>0</v>
      </c>
      <c r="AJ18" s="96"/>
      <c r="AK18" s="13"/>
      <c r="AL18" s="158"/>
      <c r="AM18" s="158"/>
      <c r="AN18" s="158"/>
      <c r="AO18" s="158"/>
      <c r="AP18" s="158"/>
      <c r="AQ18" s="158"/>
    </row>
    <row r="19" spans="2:43" hidden="1" x14ac:dyDescent="0.3">
      <c r="B19" s="4" t="str">
        <f>IF(ROW(A7)&lt;=profilKelas!$F$14,ROW(A7),"")</f>
        <v/>
      </c>
      <c r="C19" s="94" t="str">
        <f>IF(ISBLANK(identitasMurid!C12),"",identitasMurid!C12)</f>
        <v/>
      </c>
      <c r="D19" s="6" t="str">
        <f>IF(ISBLANK(identitasMurid!D12),"",identitasMurid!D12)</f>
        <v/>
      </c>
      <c r="E19" s="95"/>
      <c r="F19" s="95"/>
      <c r="G19" s="95"/>
      <c r="H19" s="95"/>
      <c r="I19" s="95"/>
      <c r="J19" s="95"/>
      <c r="K19" s="95"/>
      <c r="L19" s="95"/>
      <c r="M19" s="95"/>
      <c r="Q19" s="5" t="str">
        <f>IF(ROW(A7)&lt;=profilKelas!$F$14,ROW(A7),"")</f>
        <v/>
      </c>
      <c r="R19" s="12" t="str">
        <f t="shared" si="0"/>
        <v/>
      </c>
      <c r="S19" s="108" t="str">
        <f t="shared" si="1"/>
        <v/>
      </c>
      <c r="T19" s="108" t="str">
        <f t="shared" si="2"/>
        <v/>
      </c>
      <c r="U19" s="108" t="str">
        <f t="shared" si="3"/>
        <v/>
      </c>
      <c r="V19" s="108" t="str">
        <f t="shared" si="3"/>
        <v/>
      </c>
      <c r="W19" s="108" t="str">
        <f t="shared" si="3"/>
        <v/>
      </c>
      <c r="X19" s="108" t="str">
        <f t="shared" si="3"/>
        <v/>
      </c>
      <c r="Y19" s="108" t="str">
        <f t="shared" si="3"/>
        <v/>
      </c>
      <c r="Z19" s="108" t="str">
        <f t="shared" si="3"/>
        <v/>
      </c>
      <c r="AA19" s="108" t="str">
        <f t="shared" si="3"/>
        <v/>
      </c>
      <c r="AB19" s="108" t="str" cm="1">
        <f t="array" ref="AB19">IF(LEN($B19)=0,"",IF(LEN(C19)=0,"Nama Siswa Kosong",IF($E19="","Status Siswa Kosong",IF(S19&lt;&gt;"Aktif","Siswa Tidak Aktif",
IF(OR(U19:AA19="Belum mengisi"),"Belum mengisi",IF(AND(U19:AA19="Sudah terbiasa"),"Sudah terbiasa","Belum terbiasa"))))))</f>
        <v/>
      </c>
      <c r="AD19" s="13"/>
      <c r="AE19" s="13"/>
      <c r="AF19" s="13"/>
      <c r="AG19" s="13"/>
      <c r="AH19" s="13"/>
      <c r="AI19" s="13"/>
      <c r="AJ19" s="13"/>
      <c r="AK19" s="13"/>
      <c r="AL19" s="43"/>
      <c r="AM19" s="43"/>
      <c r="AN19" s="43"/>
      <c r="AO19" s="43"/>
      <c r="AP19" s="43"/>
      <c r="AQ19" s="43"/>
    </row>
    <row r="20" spans="2:43" hidden="1" x14ac:dyDescent="0.3">
      <c r="B20" s="4" t="str">
        <f>IF(ROW(A8)&lt;=profilKelas!$F$14,ROW(A8),"")</f>
        <v/>
      </c>
      <c r="C20" s="94" t="str">
        <f>IF(ISBLANK(identitasMurid!C13),"",identitasMurid!C13)</f>
        <v/>
      </c>
      <c r="D20" s="6" t="str">
        <f>IF(ISBLANK(identitasMurid!D13),"",identitasMurid!D13)</f>
        <v/>
      </c>
      <c r="E20" s="95"/>
      <c r="F20" s="95"/>
      <c r="G20" s="95"/>
      <c r="H20" s="95"/>
      <c r="I20" s="95"/>
      <c r="J20" s="95"/>
      <c r="K20" s="95"/>
      <c r="L20" s="95"/>
      <c r="M20" s="95"/>
      <c r="Q20" s="5" t="str">
        <f>IF(ROW(A8)&lt;=profilKelas!$F$14,ROW(A8),"")</f>
        <v/>
      </c>
      <c r="R20" s="12" t="str">
        <f t="shared" si="0"/>
        <v/>
      </c>
      <c r="S20" s="108" t="str">
        <f>IF(LEN(B20)=0,"",IF(ISBLANK(E20),"Status Siswa Kosong",E20))</f>
        <v/>
      </c>
      <c r="T20" s="108" t="str">
        <f t="shared" si="2"/>
        <v/>
      </c>
      <c r="U20" s="108" t="str">
        <f t="shared" si="3"/>
        <v/>
      </c>
      <c r="V20" s="108" t="str">
        <f t="shared" si="3"/>
        <v/>
      </c>
      <c r="W20" s="108" t="str">
        <f t="shared" si="3"/>
        <v/>
      </c>
      <c r="X20" s="108" t="str">
        <f t="shared" si="3"/>
        <v/>
      </c>
      <c r="Y20" s="108" t="str">
        <f t="shared" si="3"/>
        <v/>
      </c>
      <c r="Z20" s="108" t="str">
        <f t="shared" si="3"/>
        <v/>
      </c>
      <c r="AA20" s="108" t="str">
        <f t="shared" si="3"/>
        <v/>
      </c>
      <c r="AB20" s="108" t="str" cm="1">
        <f t="array" ref="AB20">IF(LEN($B20)=0,"",IF(LEN(C20)=0,"Nama Siswa Kosong",IF($E20="","Status Siswa Kosong",IF(S20&lt;&gt;"Aktif","Siswa Tidak Aktif",
IF(OR(U20:AA20="Belum mengisi"),"Belum mengisi",IF(AND(U20:AA20="Sudah terbiasa"),"Sudah terbiasa","Belum terbiasa"))))))</f>
        <v/>
      </c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</row>
    <row r="21" spans="2:43" ht="15.75" hidden="1" customHeight="1" x14ac:dyDescent="0.3">
      <c r="B21" s="4" t="str">
        <f>IF(ROW(A9)&lt;=profilKelas!$F$14,ROW(A9),"")</f>
        <v/>
      </c>
      <c r="C21" s="94" t="str">
        <f>IF(ISBLANK(identitasMurid!C14),"",identitasMurid!C14)</f>
        <v/>
      </c>
      <c r="D21" s="6" t="str">
        <f>IF(ISBLANK(identitasMurid!D14),"",identitasMurid!D14)</f>
        <v/>
      </c>
      <c r="E21" s="95"/>
      <c r="F21" s="95"/>
      <c r="G21" s="95"/>
      <c r="H21" s="95"/>
      <c r="I21" s="95"/>
      <c r="J21" s="95"/>
      <c r="K21" s="95"/>
      <c r="L21" s="95"/>
      <c r="M21" s="95"/>
      <c r="Q21" s="5" t="str">
        <f>IF(ROW(A9)&lt;=profilKelas!$F$14,ROW(A9),"")</f>
        <v/>
      </c>
      <c r="R21" s="12" t="str">
        <f t="shared" si="0"/>
        <v/>
      </c>
      <c r="S21" s="108" t="str">
        <f t="shared" ref="S21:S57" si="4">IF(LEN(B21)=0,"",IF(ISBLANK(E21),"Status Siswa Kosong",E21))</f>
        <v/>
      </c>
      <c r="T21" s="108" t="str">
        <f t="shared" si="2"/>
        <v/>
      </c>
      <c r="U21" s="108" t="str">
        <f t="shared" si="3"/>
        <v/>
      </c>
      <c r="V21" s="108" t="str">
        <f t="shared" si="3"/>
        <v/>
      </c>
      <c r="W21" s="108" t="str">
        <f t="shared" si="3"/>
        <v/>
      </c>
      <c r="X21" s="108" t="str">
        <f t="shared" si="3"/>
        <v/>
      </c>
      <c r="Y21" s="108" t="str">
        <f t="shared" si="3"/>
        <v/>
      </c>
      <c r="Z21" s="108" t="str">
        <f t="shared" si="3"/>
        <v/>
      </c>
      <c r="AA21" s="108" t="str">
        <f t="shared" si="3"/>
        <v/>
      </c>
      <c r="AB21" s="108" t="str" cm="1">
        <f t="array" ref="AB21">IF(LEN($B21)=0,"",IF(LEN(C21)=0,"Nama Siswa Kosong",IF($E21="","Status Siswa Kosong",IF(S21&lt;&gt;"Aktif","Siswa Tidak Aktif",
IF(OR(U21:AA21="Belum mengisi"),"Belum mengisi",IF(AND(U21:AA21="Sudah terbiasa"),"Sudah terbiasa","Belum terbiasa"))))))</f>
        <v/>
      </c>
      <c r="AD21" s="13"/>
      <c r="AE21" s="13"/>
      <c r="AF21" s="13"/>
      <c r="AG21" s="173" t="s">
        <v>596</v>
      </c>
      <c r="AH21" s="174"/>
      <c r="AI21" s="174"/>
      <c r="AJ21" s="175"/>
      <c r="AK21" s="13"/>
      <c r="AL21" s="13"/>
      <c r="AM21" s="13"/>
      <c r="AN21" s="13"/>
      <c r="AO21" s="13"/>
      <c r="AP21" s="13"/>
      <c r="AQ21" s="13"/>
    </row>
    <row r="22" spans="2:43" hidden="1" x14ac:dyDescent="0.3">
      <c r="B22" s="4" t="str">
        <f>IF(ROW(A10)&lt;=profilKelas!$F$14,ROW(A10),"")</f>
        <v/>
      </c>
      <c r="C22" s="94" t="str">
        <f>IF(ISBLANK(identitasMurid!C15),"",identitasMurid!C15)</f>
        <v/>
      </c>
      <c r="D22" s="6" t="str">
        <f>IF(ISBLANK(identitasMurid!D15),"",identitasMurid!D15)</f>
        <v/>
      </c>
      <c r="E22" s="95"/>
      <c r="F22" s="95"/>
      <c r="G22" s="95"/>
      <c r="H22" s="95"/>
      <c r="I22" s="95"/>
      <c r="J22" s="95"/>
      <c r="K22" s="95"/>
      <c r="L22" s="95"/>
      <c r="M22" s="95"/>
      <c r="Q22" s="5" t="str">
        <f>IF(ROW(A10)&lt;=profilKelas!$F$14,ROW(A10),"")</f>
        <v/>
      </c>
      <c r="R22" s="12" t="str">
        <f t="shared" si="0"/>
        <v/>
      </c>
      <c r="S22" s="108" t="str">
        <f t="shared" si="4"/>
        <v/>
      </c>
      <c r="T22" s="108" t="str">
        <f t="shared" si="2"/>
        <v/>
      </c>
      <c r="U22" s="108" t="str">
        <f t="shared" si="3"/>
        <v/>
      </c>
      <c r="V22" s="108" t="str">
        <f t="shared" si="3"/>
        <v/>
      </c>
      <c r="W22" s="108" t="str">
        <f t="shared" si="3"/>
        <v/>
      </c>
      <c r="X22" s="108" t="str">
        <f t="shared" si="3"/>
        <v/>
      </c>
      <c r="Y22" s="108" t="str">
        <f t="shared" si="3"/>
        <v/>
      </c>
      <c r="Z22" s="108" t="str">
        <f t="shared" si="3"/>
        <v/>
      </c>
      <c r="AA22" s="108" t="str">
        <f t="shared" si="3"/>
        <v/>
      </c>
      <c r="AB22" s="108" t="str" cm="1">
        <f t="array" ref="AB22">IF(LEN($B22)=0,"",IF(LEN(C22)=0,"Nama Siswa Kosong",IF($E22="","Status Siswa Kosong",IF(S22&lt;&gt;"Aktif","Siswa Tidak Aktif",
IF(OR(U22:AA22="Belum mengisi"),"Belum mengisi",IF(AND(U22:AA22="Sudah terbiasa"),"Sudah terbiasa","Belum terbiasa"))))))</f>
        <v/>
      </c>
      <c r="AD22" s="98" t="s">
        <v>0</v>
      </c>
      <c r="AE22" s="148" t="s">
        <v>18</v>
      </c>
      <c r="AF22" s="148"/>
      <c r="AG22" s="148" t="s">
        <v>597</v>
      </c>
      <c r="AH22" s="148"/>
      <c r="AI22" s="171" t="s">
        <v>598</v>
      </c>
      <c r="AJ22" s="172"/>
      <c r="AK22" s="13"/>
      <c r="AL22" s="13"/>
      <c r="AM22" s="13"/>
      <c r="AN22" s="13"/>
      <c r="AO22" s="13"/>
      <c r="AP22" s="13"/>
      <c r="AQ22" s="13"/>
    </row>
    <row r="23" spans="2:43" hidden="1" x14ac:dyDescent="0.3">
      <c r="B23" s="4" t="str">
        <f>IF(ROW(A11)&lt;=profilKelas!$F$14,ROW(A11),"")</f>
        <v/>
      </c>
      <c r="C23" s="94" t="str">
        <f>IF(ISBLANK(identitasMurid!C16),"",identitasMurid!C16)</f>
        <v/>
      </c>
      <c r="D23" s="6" t="str">
        <f>IF(ISBLANK(identitasMurid!D16),"",identitasMurid!D16)</f>
        <v/>
      </c>
      <c r="E23" s="95"/>
      <c r="F23" s="95"/>
      <c r="G23" s="95"/>
      <c r="H23" s="95"/>
      <c r="I23" s="95"/>
      <c r="J23" s="95"/>
      <c r="K23" s="95"/>
      <c r="L23" s="95"/>
      <c r="M23" s="95"/>
      <c r="Q23" s="5" t="str">
        <f>IF(ROW(A11)&lt;=profilKelas!$F$14,ROW(A11),"")</f>
        <v/>
      </c>
      <c r="R23" s="12" t="str">
        <f t="shared" si="0"/>
        <v/>
      </c>
      <c r="S23" s="108" t="str">
        <f t="shared" si="4"/>
        <v/>
      </c>
      <c r="T23" s="108" t="str">
        <f t="shared" si="2"/>
        <v/>
      </c>
      <c r="U23" s="108" t="str">
        <f t="shared" si="3"/>
        <v/>
      </c>
      <c r="V23" s="108" t="str">
        <f t="shared" si="3"/>
        <v/>
      </c>
      <c r="W23" s="108" t="str">
        <f t="shared" si="3"/>
        <v/>
      </c>
      <c r="X23" s="108" t="str">
        <f t="shared" si="3"/>
        <v/>
      </c>
      <c r="Y23" s="108" t="str">
        <f t="shared" si="3"/>
        <v/>
      </c>
      <c r="Z23" s="108" t="str">
        <f t="shared" si="3"/>
        <v/>
      </c>
      <c r="AA23" s="108" t="str">
        <f t="shared" si="3"/>
        <v/>
      </c>
      <c r="AB23" s="108" t="str" cm="1">
        <f t="array" ref="AB23">IF(LEN($B23)=0,"",IF(LEN(C23)=0,"Nama Siswa Kosong",IF($E23="","Status Siswa Kosong",IF(S23&lt;&gt;"Aktif","Siswa Tidak Aktif",
IF(OR(U23:AA23="Belum mengisi"),"Belum mengisi",IF(AND(U23:AA23="Sudah terbiasa"),"Sudah terbiasa","Belum terbiasa"))))))</f>
        <v/>
      </c>
      <c r="AC23" s="99">
        <f t="shared" ref="AC23:AC29" si="5">RANK(AG23,$AG$23:$AG$29)</f>
        <v>1</v>
      </c>
      <c r="AD23" s="41">
        <v>1</v>
      </c>
      <c r="AE23" s="161" t="s">
        <v>2</v>
      </c>
      <c r="AF23" s="161"/>
      <c r="AG23" s="10">
        <f>COUNTIF(JulBangunPagi,SudahTerbiasa)</f>
        <v>0</v>
      </c>
      <c r="AH23" s="50">
        <f>IF(LEN(profilKelas!$F$14)=0,"",COUNTIF(JulBangunPagi,SudahTerbiasa)/profilKelas!$F$14)</f>
        <v>0</v>
      </c>
      <c r="AI23" s="10">
        <f>COUNTIF(JulBangunPagi,BelumTerbiasa)</f>
        <v>0</v>
      </c>
      <c r="AJ23" s="50">
        <f>IF(LEN(profilKelas!$F$14)=0,"",AI23/profilKelas!$F$14)</f>
        <v>0</v>
      </c>
      <c r="AK23" s="13"/>
      <c r="AL23" s="13"/>
      <c r="AM23" s="13"/>
      <c r="AN23" s="13"/>
      <c r="AO23" s="13"/>
      <c r="AP23" s="13"/>
      <c r="AQ23" s="13"/>
    </row>
    <row r="24" spans="2:43" hidden="1" x14ac:dyDescent="0.3">
      <c r="B24" s="4" t="str">
        <f>IF(ROW(A12)&lt;=profilKelas!$F$14,ROW(A12),"")</f>
        <v/>
      </c>
      <c r="C24" s="94" t="str">
        <f>IF(ISBLANK(identitasMurid!C17),"",identitasMurid!C17)</f>
        <v/>
      </c>
      <c r="D24" s="6" t="str">
        <f>IF(ISBLANK(identitasMurid!D17),"",identitasMurid!D17)</f>
        <v/>
      </c>
      <c r="E24" s="95"/>
      <c r="F24" s="95"/>
      <c r="G24" s="95"/>
      <c r="H24" s="95"/>
      <c r="I24" s="95"/>
      <c r="J24" s="95"/>
      <c r="K24" s="95"/>
      <c r="L24" s="95"/>
      <c r="M24" s="95"/>
      <c r="Q24" s="5" t="str">
        <f>IF(ROW(A12)&lt;=profilKelas!$F$14,ROW(A12),"")</f>
        <v/>
      </c>
      <c r="R24" s="12" t="str">
        <f t="shared" si="0"/>
        <v/>
      </c>
      <c r="S24" s="108" t="str">
        <f t="shared" si="4"/>
        <v/>
      </c>
      <c r="T24" s="108" t="str">
        <f t="shared" si="2"/>
        <v/>
      </c>
      <c r="U24" s="108" t="str">
        <f t="shared" si="3"/>
        <v/>
      </c>
      <c r="V24" s="108" t="str">
        <f t="shared" si="3"/>
        <v/>
      </c>
      <c r="W24" s="108" t="str">
        <f t="shared" si="3"/>
        <v/>
      </c>
      <c r="X24" s="108" t="str">
        <f t="shared" si="3"/>
        <v/>
      </c>
      <c r="Y24" s="108" t="str">
        <f t="shared" si="3"/>
        <v/>
      </c>
      <c r="Z24" s="108" t="str">
        <f t="shared" si="3"/>
        <v/>
      </c>
      <c r="AA24" s="108" t="str">
        <f t="shared" si="3"/>
        <v/>
      </c>
      <c r="AB24" s="108" t="str" cm="1">
        <f t="array" ref="AB24">IF(LEN($B24)=0,"",IF(LEN(C24)=0,"Nama Siswa Kosong",IF($E24="","Status Siswa Kosong",IF(S24&lt;&gt;"Aktif","Siswa Tidak Aktif",
IF(OR(U24:AA24="Belum mengisi"),"Belum mengisi",IF(AND(U24:AA24="Sudah terbiasa"),"Sudah terbiasa","Belum terbiasa"))))))</f>
        <v/>
      </c>
      <c r="AC24" s="99">
        <f t="shared" si="5"/>
        <v>1</v>
      </c>
      <c r="AD24" s="41">
        <v>2</v>
      </c>
      <c r="AE24" s="161" t="s">
        <v>3</v>
      </c>
      <c r="AF24" s="161"/>
      <c r="AG24" s="10">
        <f>COUNTIF(JulTaatBeribadah,SudahTerbiasa)</f>
        <v>0</v>
      </c>
      <c r="AH24" s="50">
        <f>IF(LEN(profilKelas!$F$14)=0,"",AG24/profilKelas!$F$14)</f>
        <v>0</v>
      </c>
      <c r="AI24" s="10">
        <f>COUNTIF(JulTaatBeribadah,BelumTerbiasa)</f>
        <v>0</v>
      </c>
      <c r="AJ24" s="50">
        <f>IF(LEN(profilKelas!$F$14)=0,"",AI24/profilKelas!$F$14)</f>
        <v>0</v>
      </c>
      <c r="AK24" s="13"/>
      <c r="AL24" s="13"/>
      <c r="AM24" s="13"/>
      <c r="AN24" s="13"/>
      <c r="AO24" s="13"/>
      <c r="AP24" s="13"/>
      <c r="AQ24" s="13"/>
    </row>
    <row r="25" spans="2:43" hidden="1" x14ac:dyDescent="0.3">
      <c r="B25" s="4" t="str">
        <f>IF(ROW(A13)&lt;=profilKelas!$F$14,ROW(A13),"")</f>
        <v/>
      </c>
      <c r="C25" s="94" t="str">
        <f>IF(ISBLANK(identitasMurid!C18),"",identitasMurid!C18)</f>
        <v/>
      </c>
      <c r="D25" s="6" t="str">
        <f>IF(ISBLANK(identitasMurid!D18),"",identitasMurid!D18)</f>
        <v/>
      </c>
      <c r="E25" s="95"/>
      <c r="F25" s="95"/>
      <c r="G25" s="95"/>
      <c r="H25" s="95"/>
      <c r="I25" s="95"/>
      <c r="J25" s="95"/>
      <c r="K25" s="95"/>
      <c r="L25" s="95"/>
      <c r="M25" s="95"/>
      <c r="Q25" s="5" t="str">
        <f>IF(ROW(A13)&lt;=profilKelas!$F$14,ROW(A13),"")</f>
        <v/>
      </c>
      <c r="R25" s="12" t="str">
        <f t="shared" si="0"/>
        <v/>
      </c>
      <c r="S25" s="108" t="str">
        <f t="shared" si="4"/>
        <v/>
      </c>
      <c r="T25" s="108" t="str">
        <f t="shared" si="2"/>
        <v/>
      </c>
      <c r="U25" s="108" t="str">
        <f t="shared" si="3"/>
        <v/>
      </c>
      <c r="V25" s="108" t="str">
        <f t="shared" si="3"/>
        <v/>
      </c>
      <c r="W25" s="108" t="str">
        <f t="shared" si="3"/>
        <v/>
      </c>
      <c r="X25" s="108" t="str">
        <f t="shared" si="3"/>
        <v/>
      </c>
      <c r="Y25" s="108" t="str">
        <f t="shared" si="3"/>
        <v/>
      </c>
      <c r="Z25" s="108" t="str">
        <f t="shared" si="3"/>
        <v/>
      </c>
      <c r="AA25" s="108" t="str">
        <f t="shared" si="3"/>
        <v/>
      </c>
      <c r="AB25" s="108" t="str" cm="1">
        <f t="array" ref="AB25">IF(LEN($B25)=0,"",IF(LEN(C25)=0,"Nama Siswa Kosong",IF($E25="","Status Siswa Kosong",IF(S25&lt;&gt;"Aktif","Siswa Tidak Aktif",
IF(OR(U25:AA25="Belum mengisi"),"Belum mengisi",IF(AND(U25:AA25="Sudah terbiasa"),"Sudah terbiasa","Belum terbiasa"))))))</f>
        <v/>
      </c>
      <c r="AC25" s="99">
        <f t="shared" si="5"/>
        <v>1</v>
      </c>
      <c r="AD25" s="41">
        <v>3</v>
      </c>
      <c r="AE25" s="161" t="s">
        <v>4</v>
      </c>
      <c r="AF25" s="161"/>
      <c r="AG25" s="10">
        <f>COUNTIF(JulBerolahraga,SudahTerbiasa)</f>
        <v>0</v>
      </c>
      <c r="AH25" s="50">
        <f>IF(LEN(profilKelas!$F$14)=0,"",AG25/profilKelas!$F$14)</f>
        <v>0</v>
      </c>
      <c r="AI25" s="10">
        <f>COUNTIF(JulBerolahraga,BelumTerbiasa)</f>
        <v>0</v>
      </c>
      <c r="AJ25" s="50">
        <f>IF(LEN(profilKelas!$F$14)=0,"",AI25/profilKelas!$F$14)</f>
        <v>0</v>
      </c>
      <c r="AK25" s="13"/>
      <c r="AL25" s="13"/>
      <c r="AM25" s="13"/>
      <c r="AN25" s="13"/>
      <c r="AO25" s="13"/>
      <c r="AP25" s="13"/>
      <c r="AQ25" s="13"/>
    </row>
    <row r="26" spans="2:43" hidden="1" x14ac:dyDescent="0.3">
      <c r="B26" s="4" t="str">
        <f>IF(ROW(A14)&lt;=profilKelas!$F$14,ROW(A14),"")</f>
        <v/>
      </c>
      <c r="C26" s="94" t="str">
        <f>IF(ISBLANK(identitasMurid!C19),"",identitasMurid!C19)</f>
        <v/>
      </c>
      <c r="D26" s="6" t="str">
        <f>IF(ISBLANK(identitasMurid!D19),"",identitasMurid!D19)</f>
        <v/>
      </c>
      <c r="E26" s="95"/>
      <c r="F26" s="95"/>
      <c r="G26" s="95"/>
      <c r="H26" s="95"/>
      <c r="I26" s="95"/>
      <c r="J26" s="95"/>
      <c r="K26" s="95"/>
      <c r="L26" s="95"/>
      <c r="M26" s="95"/>
      <c r="Q26" s="5" t="str">
        <f>IF(ROW(A14)&lt;=profilKelas!$F$14,ROW(A14),"")</f>
        <v/>
      </c>
      <c r="R26" s="12" t="str">
        <f t="shared" si="0"/>
        <v/>
      </c>
      <c r="S26" s="108" t="str">
        <f t="shared" si="4"/>
        <v/>
      </c>
      <c r="T26" s="108" t="str">
        <f t="shared" si="2"/>
        <v/>
      </c>
      <c r="U26" s="108" t="str">
        <f t="shared" si="3"/>
        <v/>
      </c>
      <c r="V26" s="108" t="str">
        <f t="shared" si="3"/>
        <v/>
      </c>
      <c r="W26" s="108" t="str">
        <f t="shared" si="3"/>
        <v/>
      </c>
      <c r="X26" s="108" t="str">
        <f t="shared" si="3"/>
        <v/>
      </c>
      <c r="Y26" s="108" t="str">
        <f t="shared" si="3"/>
        <v/>
      </c>
      <c r="Z26" s="108" t="str">
        <f t="shared" si="3"/>
        <v/>
      </c>
      <c r="AA26" s="108" t="str">
        <f t="shared" si="3"/>
        <v/>
      </c>
      <c r="AB26" s="108" t="str" cm="1">
        <f t="array" ref="AB26">IF(LEN($B26)=0,"",IF(LEN(C26)=0,"Nama Siswa Kosong",IF($E26="","Status Siswa Kosong",IF(S26&lt;&gt;"Aktif","Siswa Tidak Aktif",
IF(OR(U26:AA26="Belum mengisi"),"Belum mengisi",IF(AND(U26:AA26="Sudah terbiasa"),"Sudah terbiasa","Belum terbiasa"))))))</f>
        <v/>
      </c>
      <c r="AC26" s="99">
        <f t="shared" si="5"/>
        <v>1</v>
      </c>
      <c r="AD26" s="41">
        <v>4</v>
      </c>
      <c r="AE26" s="161" t="s">
        <v>5</v>
      </c>
      <c r="AF26" s="161"/>
      <c r="AG26" s="10">
        <f>COUNTIF(JulMakanSehatBergizi,SudahTerbiasa)</f>
        <v>0</v>
      </c>
      <c r="AH26" s="50">
        <f>IF(LEN(profilKelas!$F$14)=0,"",AG26/profilKelas!$F$14)</f>
        <v>0</v>
      </c>
      <c r="AI26" s="10">
        <f>COUNTIF(JulMakanSehatBergizi,BelumTerbiasa)</f>
        <v>0</v>
      </c>
      <c r="AJ26" s="50">
        <f>IF(LEN(profilKelas!$F$14)=0,"",AI26/profilKelas!$F$14)</f>
        <v>0</v>
      </c>
      <c r="AK26" s="13"/>
      <c r="AL26" s="13"/>
      <c r="AM26" s="13"/>
      <c r="AN26" s="13"/>
      <c r="AO26" s="13"/>
      <c r="AP26" s="13"/>
      <c r="AQ26" s="13"/>
    </row>
    <row r="27" spans="2:43" hidden="1" x14ac:dyDescent="0.3">
      <c r="B27" s="4" t="str">
        <f>IF(ROW(A15)&lt;=profilKelas!$F$14,ROW(A15),"")</f>
        <v/>
      </c>
      <c r="C27" s="94" t="str">
        <f>IF(ISBLANK(identitasMurid!C20),"",identitasMurid!C20)</f>
        <v/>
      </c>
      <c r="D27" s="6" t="str">
        <f>IF(ISBLANK(identitasMurid!D20),"",identitasMurid!D20)</f>
        <v/>
      </c>
      <c r="E27" s="95"/>
      <c r="F27" s="95"/>
      <c r="G27" s="95"/>
      <c r="H27" s="95"/>
      <c r="I27" s="95"/>
      <c r="J27" s="95"/>
      <c r="K27" s="95"/>
      <c r="L27" s="95"/>
      <c r="M27" s="95"/>
      <c r="Q27" s="5" t="str">
        <f>IF(ROW(A15)&lt;=profilKelas!$F$14,ROW(A15),"")</f>
        <v/>
      </c>
      <c r="R27" s="12" t="str">
        <f t="shared" si="0"/>
        <v/>
      </c>
      <c r="S27" s="108" t="str">
        <f t="shared" si="4"/>
        <v/>
      </c>
      <c r="T27" s="108" t="str">
        <f t="shared" si="2"/>
        <v/>
      </c>
      <c r="U27" s="108" t="str">
        <f t="shared" si="3"/>
        <v/>
      </c>
      <c r="V27" s="108" t="str">
        <f t="shared" si="3"/>
        <v/>
      </c>
      <c r="W27" s="108" t="str">
        <f t="shared" si="3"/>
        <v/>
      </c>
      <c r="X27" s="108" t="str">
        <f t="shared" si="3"/>
        <v/>
      </c>
      <c r="Y27" s="108" t="str">
        <f t="shared" si="3"/>
        <v/>
      </c>
      <c r="Z27" s="108" t="str">
        <f t="shared" si="3"/>
        <v/>
      </c>
      <c r="AA27" s="108" t="str">
        <f t="shared" si="3"/>
        <v/>
      </c>
      <c r="AB27" s="108" t="str" cm="1">
        <f t="array" ref="AB27">IF(LEN($B27)=0,"",IF(LEN(C27)=0,"Nama Siswa Kosong",IF($E27="","Status Siswa Kosong",IF(S27&lt;&gt;"Aktif","Siswa Tidak Aktif",
IF(OR(U27:AA27="Belum mengisi"),"Belum mengisi",IF(AND(U27:AA27="Sudah terbiasa"),"Sudah terbiasa","Belum terbiasa"))))))</f>
        <v/>
      </c>
      <c r="AC27" s="99">
        <f t="shared" si="5"/>
        <v>1</v>
      </c>
      <c r="AD27" s="41">
        <v>5</v>
      </c>
      <c r="AE27" s="161" t="s">
        <v>6</v>
      </c>
      <c r="AF27" s="161"/>
      <c r="AG27" s="10">
        <f>COUNTIF(JulGemarBelajar,SudahTerbiasa)</f>
        <v>0</v>
      </c>
      <c r="AH27" s="50">
        <f>IF(LEN(profilKelas!$F$14)=0,"",AG27/profilKelas!$F$14)</f>
        <v>0</v>
      </c>
      <c r="AI27" s="10">
        <f>COUNTIF(JulGemarBelajar,BelumTerbiasa)</f>
        <v>0</v>
      </c>
      <c r="AJ27" s="50">
        <f>IF(LEN(profilKelas!$F$14)=0,"",AI27/profilKelas!$F$14)</f>
        <v>0</v>
      </c>
      <c r="AK27" s="13"/>
      <c r="AL27" s="13"/>
      <c r="AM27" s="13"/>
      <c r="AN27" s="13"/>
      <c r="AO27" s="13"/>
      <c r="AP27" s="13"/>
      <c r="AQ27" s="13"/>
    </row>
    <row r="28" spans="2:43" hidden="1" x14ac:dyDescent="0.3">
      <c r="B28" s="4" t="str">
        <f>IF(ROW(A16)&lt;=profilKelas!$F$14,ROW(A16),"")</f>
        <v/>
      </c>
      <c r="C28" s="94" t="str">
        <f>IF(ISBLANK(identitasMurid!C21),"",identitasMurid!C21)</f>
        <v/>
      </c>
      <c r="D28" s="6" t="str">
        <f>IF(ISBLANK(identitasMurid!D21),"",identitasMurid!D21)</f>
        <v/>
      </c>
      <c r="E28" s="95"/>
      <c r="F28" s="95"/>
      <c r="G28" s="95"/>
      <c r="H28" s="95"/>
      <c r="I28" s="95"/>
      <c r="J28" s="95"/>
      <c r="K28" s="95"/>
      <c r="L28" s="95"/>
      <c r="M28" s="95"/>
      <c r="Q28" s="5" t="str">
        <f>IF(ROW(A16)&lt;=profilKelas!$F$14,ROW(A16),"")</f>
        <v/>
      </c>
      <c r="R28" s="12" t="str">
        <f t="shared" si="0"/>
        <v/>
      </c>
      <c r="S28" s="108" t="str">
        <f t="shared" si="4"/>
        <v/>
      </c>
      <c r="T28" s="108" t="str">
        <f t="shared" si="2"/>
        <v/>
      </c>
      <c r="U28" s="108" t="str">
        <f t="shared" si="3"/>
        <v/>
      </c>
      <c r="V28" s="108" t="str">
        <f t="shared" si="3"/>
        <v/>
      </c>
      <c r="W28" s="108" t="str">
        <f t="shared" si="3"/>
        <v/>
      </c>
      <c r="X28" s="108" t="str">
        <f t="shared" si="3"/>
        <v/>
      </c>
      <c r="Y28" s="108" t="str">
        <f t="shared" si="3"/>
        <v/>
      </c>
      <c r="Z28" s="108" t="str">
        <f t="shared" si="3"/>
        <v/>
      </c>
      <c r="AA28" s="108" t="str">
        <f t="shared" si="3"/>
        <v/>
      </c>
      <c r="AB28" s="108" t="str" cm="1">
        <f t="array" ref="AB28">IF(LEN($B28)=0,"",IF(LEN(C28)=0,"Nama Siswa Kosong",IF($E28="","Status Siswa Kosong",IF(S28&lt;&gt;"Aktif","Siswa Tidak Aktif",
IF(OR(U28:AA28="Belum mengisi"),"Belum mengisi",IF(AND(U28:AA28="Sudah terbiasa"),"Sudah terbiasa","Belum terbiasa"))))))</f>
        <v/>
      </c>
      <c r="AC28" s="99">
        <f t="shared" si="5"/>
        <v>1</v>
      </c>
      <c r="AD28" s="41">
        <v>6</v>
      </c>
      <c r="AE28" s="161" t="s">
        <v>7</v>
      </c>
      <c r="AF28" s="161"/>
      <c r="AG28" s="10">
        <f>COUNTIF(JulAktifBermasyarakat,SudahTerbiasa)</f>
        <v>0</v>
      </c>
      <c r="AH28" s="50">
        <f>IF(LEN(profilKelas!$F$14)=0,"",AG28/profilKelas!$F$14)</f>
        <v>0</v>
      </c>
      <c r="AI28" s="10">
        <f>COUNTIF(JulAktifBermasyarakat,BelumTerbiasa)</f>
        <v>0</v>
      </c>
      <c r="AJ28" s="50">
        <f>IF(LEN(profilKelas!$F$14)=0,"",AI28/profilKelas!$F$14)</f>
        <v>0</v>
      </c>
      <c r="AK28" s="13"/>
      <c r="AL28" s="43"/>
      <c r="AM28" s="43"/>
      <c r="AN28" s="43"/>
      <c r="AO28" s="43"/>
      <c r="AP28" s="43"/>
      <c r="AQ28" s="43"/>
    </row>
    <row r="29" spans="2:43" hidden="1" x14ac:dyDescent="0.3">
      <c r="B29" s="4" t="str">
        <f>IF(ROW(A17)&lt;=profilKelas!$F$14,ROW(A17),"")</f>
        <v/>
      </c>
      <c r="C29" s="94" t="str">
        <f>IF(ISBLANK(identitasMurid!C22),"",identitasMurid!C22)</f>
        <v/>
      </c>
      <c r="D29" s="6" t="str">
        <f>IF(ISBLANK(identitasMurid!D22),"",identitasMurid!D22)</f>
        <v/>
      </c>
      <c r="E29" s="95"/>
      <c r="F29" s="95"/>
      <c r="G29" s="95"/>
      <c r="H29" s="95"/>
      <c r="I29" s="95"/>
      <c r="J29" s="95"/>
      <c r="K29" s="95"/>
      <c r="L29" s="95"/>
      <c r="M29" s="95"/>
      <c r="Q29" s="5" t="str">
        <f>IF(ROW(A17)&lt;=profilKelas!$F$14,ROW(A17),"")</f>
        <v/>
      </c>
      <c r="R29" s="12" t="str">
        <f t="shared" si="0"/>
        <v/>
      </c>
      <c r="S29" s="108" t="str">
        <f t="shared" si="4"/>
        <v/>
      </c>
      <c r="T29" s="108" t="str">
        <f t="shared" si="2"/>
        <v/>
      </c>
      <c r="U29" s="108" t="str">
        <f t="shared" ref="U29:AA57" si="6">IF(LEN($B29)=0,"",IF(LEN($C29)=0,"Nama Siswa Kosong",IF($E29="","Status Siswa Kosong",IF($E29&lt;&gt;"Aktif","Siswa Tidak Aktif",
IF(ISBLANK(F29),"Belum mengisi",IF(F29&gt;=20,"Sudah terbiasa","Belum terbiasa"))))))</f>
        <v/>
      </c>
      <c r="V29" s="108" t="str">
        <f t="shared" si="6"/>
        <v/>
      </c>
      <c r="W29" s="108" t="str">
        <f t="shared" si="6"/>
        <v/>
      </c>
      <c r="X29" s="108" t="str">
        <f t="shared" si="6"/>
        <v/>
      </c>
      <c r="Y29" s="108" t="str">
        <f t="shared" si="6"/>
        <v/>
      </c>
      <c r="Z29" s="108" t="str">
        <f t="shared" si="6"/>
        <v/>
      </c>
      <c r="AA29" s="108" t="str">
        <f t="shared" si="6"/>
        <v/>
      </c>
      <c r="AB29" s="108" t="str" cm="1">
        <f t="array" ref="AB29">IF(LEN($B29)=0,"",IF(LEN(C29)=0,"Nama Siswa Kosong",IF($E29="","Status Siswa Kosong",IF(S29&lt;&gt;"Aktif","Siswa Tidak Aktif",
IF(OR(U29:AA29="Belum mengisi"),"Belum mengisi",IF(AND(U29:AA29="Sudah terbiasa"),"Sudah terbiasa","Belum terbiasa"))))))</f>
        <v/>
      </c>
      <c r="AC29" s="99">
        <f t="shared" si="5"/>
        <v>1</v>
      </c>
      <c r="AD29" s="41">
        <v>7</v>
      </c>
      <c r="AE29" s="161" t="s">
        <v>8</v>
      </c>
      <c r="AF29" s="161"/>
      <c r="AG29" s="10">
        <f>COUNTIF(JulTidurCepat,SudahTerbiasa)</f>
        <v>0</v>
      </c>
      <c r="AH29" s="50">
        <f>IF(LEN(profilKelas!$F$14)=0,"",AG29/profilKelas!$F$14)</f>
        <v>0</v>
      </c>
      <c r="AI29" s="10">
        <f>COUNTIF(JulTidurCepat,BelumTerbiasa)</f>
        <v>0</v>
      </c>
      <c r="AJ29" s="50">
        <f>IF(LEN(profilKelas!$F$14)=0,"",AI29/profilKelas!$F$14)</f>
        <v>0</v>
      </c>
      <c r="AK29" s="13"/>
      <c r="AL29" s="43"/>
      <c r="AM29" s="43"/>
      <c r="AN29" s="43"/>
      <c r="AO29" s="43"/>
      <c r="AP29" s="43"/>
      <c r="AQ29" s="43"/>
    </row>
    <row r="30" spans="2:43" hidden="1" x14ac:dyDescent="0.3">
      <c r="B30" s="4" t="str">
        <f>IF(ROW(A18)&lt;=profilKelas!$F$14,ROW(A18),"")</f>
        <v/>
      </c>
      <c r="C30" s="94" t="str">
        <f>IF(ISBLANK(identitasMurid!C23),"",identitasMurid!C23)</f>
        <v/>
      </c>
      <c r="D30" s="6" t="str">
        <f>IF(ISBLANK(identitasMurid!D23),"",identitasMurid!D23)</f>
        <v/>
      </c>
      <c r="E30" s="95"/>
      <c r="F30" s="95"/>
      <c r="G30" s="95"/>
      <c r="H30" s="95"/>
      <c r="I30" s="95"/>
      <c r="J30" s="95"/>
      <c r="K30" s="95"/>
      <c r="L30" s="95"/>
      <c r="M30" s="95"/>
      <c r="Q30" s="5" t="str">
        <f>IF(ROW(A18)&lt;=profilKelas!$F$14,ROW(A18),"")</f>
        <v/>
      </c>
      <c r="R30" s="12" t="str">
        <f t="shared" si="0"/>
        <v/>
      </c>
      <c r="S30" s="108" t="str">
        <f t="shared" si="4"/>
        <v/>
      </c>
      <c r="T30" s="108" t="str">
        <f t="shared" si="2"/>
        <v/>
      </c>
      <c r="U30" s="108" t="str">
        <f t="shared" si="6"/>
        <v/>
      </c>
      <c r="V30" s="108" t="str">
        <f t="shared" si="6"/>
        <v/>
      </c>
      <c r="W30" s="108" t="str">
        <f t="shared" si="6"/>
        <v/>
      </c>
      <c r="X30" s="108" t="str">
        <f t="shared" si="6"/>
        <v/>
      </c>
      <c r="Y30" s="108" t="str">
        <f t="shared" si="6"/>
        <v/>
      </c>
      <c r="Z30" s="108" t="str">
        <f t="shared" si="6"/>
        <v/>
      </c>
      <c r="AA30" s="108" t="str">
        <f t="shared" si="6"/>
        <v/>
      </c>
      <c r="AB30" s="108" t="str" cm="1">
        <f t="array" ref="AB30">IF(LEN($B30)=0,"",IF(LEN(C30)=0,"Nama Siswa Kosong",IF($E30="","Status Siswa Kosong",IF(S30&lt;&gt;"Aktif","Siswa Tidak Aktif",
IF(OR(U30:AA30="Belum mengisi"),"Belum mengisi",IF(AND(U30:AA30="Sudah terbiasa"),"Sudah terbiasa","Belum terbiasa"))))))</f>
        <v/>
      </c>
      <c r="AD30" s="13"/>
      <c r="AE30" s="13"/>
      <c r="AF30" s="13"/>
      <c r="AG30" s="13"/>
      <c r="AH30" s="13"/>
      <c r="AI30" s="13"/>
      <c r="AJ30" s="13"/>
      <c r="AK30" s="13"/>
      <c r="AL30" s="43"/>
      <c r="AM30" s="43"/>
      <c r="AN30" s="43"/>
      <c r="AO30" s="43"/>
      <c r="AP30" s="43"/>
      <c r="AQ30" s="43"/>
    </row>
    <row r="31" spans="2:43" hidden="1" x14ac:dyDescent="0.3">
      <c r="B31" s="4" t="str">
        <f>IF(ROW(A19)&lt;=profilKelas!$F$14,ROW(A19),"")</f>
        <v/>
      </c>
      <c r="C31" s="94" t="str">
        <f>IF(ISBLANK(identitasMurid!C24),"",identitasMurid!C24)</f>
        <v/>
      </c>
      <c r="D31" s="6" t="str">
        <f>IF(ISBLANK(identitasMurid!D24),"",identitasMurid!D24)</f>
        <v/>
      </c>
      <c r="E31" s="95"/>
      <c r="F31" s="95"/>
      <c r="G31" s="95"/>
      <c r="H31" s="95"/>
      <c r="I31" s="95"/>
      <c r="J31" s="95"/>
      <c r="K31" s="95"/>
      <c r="L31" s="95"/>
      <c r="M31" s="95"/>
      <c r="Q31" s="5" t="str">
        <f>IF(ROW(A19)&lt;=profilKelas!$F$14,ROW(A19),"")</f>
        <v/>
      </c>
      <c r="R31" s="12" t="str">
        <f t="shared" si="0"/>
        <v/>
      </c>
      <c r="S31" s="108" t="str">
        <f t="shared" si="4"/>
        <v/>
      </c>
      <c r="T31" s="108" t="str">
        <f t="shared" si="2"/>
        <v/>
      </c>
      <c r="U31" s="108" t="str">
        <f t="shared" si="6"/>
        <v/>
      </c>
      <c r="V31" s="108" t="str">
        <f t="shared" si="6"/>
        <v/>
      </c>
      <c r="W31" s="108" t="str">
        <f t="shared" si="6"/>
        <v/>
      </c>
      <c r="X31" s="108" t="str">
        <f t="shared" si="6"/>
        <v/>
      </c>
      <c r="Y31" s="108" t="str">
        <f t="shared" si="6"/>
        <v/>
      </c>
      <c r="Z31" s="108" t="str">
        <f t="shared" si="6"/>
        <v/>
      </c>
      <c r="AA31" s="108" t="str">
        <f t="shared" si="6"/>
        <v/>
      </c>
      <c r="AB31" s="108" t="str" cm="1">
        <f t="array" ref="AB31">IF(LEN($B31)=0,"",IF(LEN(C31)=0,"Nama Siswa Kosong",IF($E31="","Status Siswa Kosong",IF(S31&lt;&gt;"Aktif","Siswa Tidak Aktif",
IF(OR(U31:AA31="Belum mengisi"),"Belum mengisi",IF(AND(U31:AA31="Sudah terbiasa"),"Sudah terbiasa","Belum terbiasa"))))))</f>
        <v/>
      </c>
      <c r="AD31" s="13"/>
      <c r="AE31" s="13"/>
      <c r="AF31" s="13"/>
      <c r="AG31" s="148" t="s">
        <v>607</v>
      </c>
      <c r="AH31" s="148"/>
      <c r="AI31" s="148"/>
      <c r="AJ31" s="148"/>
      <c r="AK31" s="148" t="s">
        <v>608</v>
      </c>
      <c r="AL31" s="148"/>
      <c r="AM31" s="148"/>
      <c r="AN31" s="148"/>
      <c r="AO31" s="13"/>
      <c r="AP31" s="13"/>
      <c r="AQ31" s="13"/>
    </row>
    <row r="32" spans="2:43" hidden="1" x14ac:dyDescent="0.3">
      <c r="B32" s="4" t="str">
        <f>IF(ROW(A20)&lt;=profilKelas!$F$14,ROW(A20),"")</f>
        <v/>
      </c>
      <c r="C32" s="94" t="str">
        <f>IF(ISBLANK(identitasMurid!C25),"",identitasMurid!C25)</f>
        <v/>
      </c>
      <c r="D32" s="6" t="str">
        <f>IF(ISBLANK(identitasMurid!D25),"",identitasMurid!D25)</f>
        <v/>
      </c>
      <c r="E32" s="95"/>
      <c r="F32" s="95"/>
      <c r="G32" s="95"/>
      <c r="H32" s="95"/>
      <c r="I32" s="95"/>
      <c r="J32" s="95"/>
      <c r="K32" s="95"/>
      <c r="L32" s="95"/>
      <c r="M32" s="95"/>
      <c r="Q32" s="5" t="str">
        <f>IF(ROW(A20)&lt;=profilKelas!$F$14,ROW(A20),"")</f>
        <v/>
      </c>
      <c r="R32" s="12" t="str">
        <f t="shared" si="0"/>
        <v/>
      </c>
      <c r="S32" s="108" t="str">
        <f t="shared" si="4"/>
        <v/>
      </c>
      <c r="T32" s="108" t="str">
        <f t="shared" si="2"/>
        <v/>
      </c>
      <c r="U32" s="108" t="str">
        <f t="shared" si="6"/>
        <v/>
      </c>
      <c r="V32" s="108" t="str">
        <f t="shared" si="6"/>
        <v/>
      </c>
      <c r="W32" s="108" t="str">
        <f t="shared" si="6"/>
        <v/>
      </c>
      <c r="X32" s="108" t="str">
        <f t="shared" si="6"/>
        <v/>
      </c>
      <c r="Y32" s="108" t="str">
        <f t="shared" si="6"/>
        <v/>
      </c>
      <c r="Z32" s="108" t="str">
        <f t="shared" si="6"/>
        <v/>
      </c>
      <c r="AA32" s="108" t="str">
        <f t="shared" si="6"/>
        <v/>
      </c>
      <c r="AB32" s="108" t="str" cm="1">
        <f t="array" ref="AB32">IF(LEN($B32)=0,"",IF(LEN(C32)=0,"Nama Siswa Kosong",IF($E32="","Status Siswa Kosong",IF(S32&lt;&gt;"Aktif","Siswa Tidak Aktif",
IF(OR(U32:AA32="Belum mengisi"),"Belum mengisi",IF(AND(U32:AA32="Sudah terbiasa"),"Sudah terbiasa","Belum terbiasa"))))))</f>
        <v/>
      </c>
      <c r="AD32" s="98" t="s">
        <v>0</v>
      </c>
      <c r="AE32" s="148" t="s">
        <v>18</v>
      </c>
      <c r="AF32" s="148"/>
      <c r="AG32" s="148" t="s">
        <v>597</v>
      </c>
      <c r="AH32" s="148"/>
      <c r="AI32" s="148" t="s">
        <v>598</v>
      </c>
      <c r="AJ32" s="148"/>
      <c r="AK32" s="148" t="s">
        <v>597</v>
      </c>
      <c r="AL32" s="148"/>
      <c r="AM32" s="148" t="s">
        <v>598</v>
      </c>
      <c r="AN32" s="148"/>
      <c r="AO32" s="13"/>
      <c r="AP32" s="13"/>
      <c r="AQ32" s="13"/>
    </row>
    <row r="33" spans="2:43" hidden="1" x14ac:dyDescent="0.3">
      <c r="B33" s="4" t="str">
        <f>IF(ROW(A21)&lt;=profilKelas!$F$14,ROW(A21),"")</f>
        <v/>
      </c>
      <c r="C33" s="94" t="str">
        <f>IF(ISBLANK(identitasMurid!C26),"",identitasMurid!C26)</f>
        <v/>
      </c>
      <c r="D33" s="6" t="str">
        <f>IF(ISBLANK(identitasMurid!D26),"",identitasMurid!D26)</f>
        <v/>
      </c>
      <c r="E33" s="95"/>
      <c r="F33" s="95"/>
      <c r="G33" s="95"/>
      <c r="H33" s="95"/>
      <c r="I33" s="95"/>
      <c r="J33" s="95"/>
      <c r="K33" s="95"/>
      <c r="L33" s="95"/>
      <c r="M33" s="95"/>
      <c r="Q33" s="5" t="str">
        <f>IF(ROW(A21)&lt;=profilKelas!$F$14,ROW(A21),"")</f>
        <v/>
      </c>
      <c r="R33" s="12" t="str">
        <f t="shared" si="0"/>
        <v/>
      </c>
      <c r="S33" s="108" t="str">
        <f t="shared" si="4"/>
        <v/>
      </c>
      <c r="T33" s="108" t="str">
        <f t="shared" si="2"/>
        <v/>
      </c>
      <c r="U33" s="108" t="str">
        <f t="shared" si="6"/>
        <v/>
      </c>
      <c r="V33" s="108" t="str">
        <f t="shared" si="6"/>
        <v/>
      </c>
      <c r="W33" s="108" t="str">
        <f t="shared" si="6"/>
        <v/>
      </c>
      <c r="X33" s="108" t="str">
        <f t="shared" si="6"/>
        <v/>
      </c>
      <c r="Y33" s="108" t="str">
        <f t="shared" si="6"/>
        <v/>
      </c>
      <c r="Z33" s="108" t="str">
        <f t="shared" si="6"/>
        <v/>
      </c>
      <c r="AA33" s="108" t="str">
        <f t="shared" si="6"/>
        <v/>
      </c>
      <c r="AB33" s="108" t="str" cm="1">
        <f t="array" ref="AB33">IF(LEN($B33)=0,"",IF(LEN(C33)=0,"Nama Siswa Kosong",IF($E33="","Status Siswa Kosong",IF(S33&lt;&gt;"Aktif","Siswa Tidak Aktif",
IF(OR(U33:AA33="Belum mengisi"),"Belum mengisi",IF(AND(U33:AA33="Sudah terbiasa"),"Sudah terbiasa","Belum terbiasa"))))))</f>
        <v/>
      </c>
      <c r="AD33" s="41">
        <v>1</v>
      </c>
      <c r="AE33" s="161" t="s">
        <v>2</v>
      </c>
      <c r="AF33" s="161"/>
      <c r="AG33" s="51">
        <f>COUNTIFS(JulBangunPagi,SudahTerbiasa,JulPL,Perempuan)</f>
        <v>0</v>
      </c>
      <c r="AH33" s="52" t="str">
        <f>IFERROR(IF($AF$18=0,"",COUNTIFS(JulBangunPagi,SudahTerbiasa,JulPL,Perempuan)/COUNTIFS(JulPL,Perempuan)),)</f>
        <v/>
      </c>
      <c r="AI33" s="53">
        <f>COUNTIFS(JulBangunPagi,BelumTerbiasa,JulPL,Perempuan)</f>
        <v>0</v>
      </c>
      <c r="AJ33" s="54" t="str">
        <f>IFERROR(IF($AF$18=0,"",COUNTIFS(JulBangunPagi,BelumTerbiasa,JulPL,Perempuan)/COUNTIF(JulPL,Perempuan)),)</f>
        <v/>
      </c>
      <c r="AK33" s="55">
        <f>COUNTIFS(JulBangunPagi,SudahTerbiasa,JulPL,Laki_Laki)</f>
        <v>0</v>
      </c>
      <c r="AL33" s="56" t="str">
        <f>IFERROR(IF($AF$18=0,"",COUNTIFS(JulBangunPagi,SudahTerbiasa,JulPL,Laki_Laki)/COUNTIFS(JulPL,Laki_Laki)),)</f>
        <v/>
      </c>
      <c r="AM33" s="57">
        <f>COUNTIFS(JulBangunPagi,BelumTerbiasa,JulPL,Laki_Laki)</f>
        <v>0</v>
      </c>
      <c r="AN33" s="58" t="str">
        <f>IFERROR(IF($AF$18=0,"",COUNTIFS(JulBangunPagi,BelumTerbiasa,JulPL,Laki_Laki)/COUNTIFS(JulPL,Laki_Laki)),)</f>
        <v/>
      </c>
      <c r="AO33" s="13"/>
      <c r="AP33" s="13"/>
      <c r="AQ33" s="13"/>
    </row>
    <row r="34" spans="2:43" hidden="1" x14ac:dyDescent="0.3">
      <c r="B34" s="4" t="str">
        <f>IF(ROW(A22)&lt;=profilKelas!$F$14,ROW(A22),"")</f>
        <v/>
      </c>
      <c r="C34" s="94" t="str">
        <f>IF(ISBLANK(identitasMurid!C27),"",identitasMurid!C27)</f>
        <v/>
      </c>
      <c r="D34" s="6" t="str">
        <f>IF(ISBLANK(identitasMurid!D27),"",identitasMurid!D27)</f>
        <v/>
      </c>
      <c r="E34" s="95"/>
      <c r="F34" s="95"/>
      <c r="G34" s="95"/>
      <c r="H34" s="95"/>
      <c r="I34" s="95"/>
      <c r="J34" s="95"/>
      <c r="K34" s="95"/>
      <c r="L34" s="95"/>
      <c r="M34" s="95"/>
      <c r="Q34" s="5" t="str">
        <f>IF(ROW(A22)&lt;=profilKelas!$F$14,ROW(A22),"")</f>
        <v/>
      </c>
      <c r="R34" s="12" t="str">
        <f t="shared" si="0"/>
        <v/>
      </c>
      <c r="S34" s="108" t="str">
        <f t="shared" si="4"/>
        <v/>
      </c>
      <c r="T34" s="108" t="str">
        <f t="shared" si="2"/>
        <v/>
      </c>
      <c r="U34" s="108" t="str">
        <f t="shared" si="6"/>
        <v/>
      </c>
      <c r="V34" s="108" t="str">
        <f t="shared" si="6"/>
        <v/>
      </c>
      <c r="W34" s="108" t="str">
        <f t="shared" si="6"/>
        <v/>
      </c>
      <c r="X34" s="108" t="str">
        <f t="shared" si="6"/>
        <v/>
      </c>
      <c r="Y34" s="108" t="str">
        <f t="shared" si="6"/>
        <v/>
      </c>
      <c r="Z34" s="108" t="str">
        <f t="shared" si="6"/>
        <v/>
      </c>
      <c r="AA34" s="108" t="str">
        <f t="shared" si="6"/>
        <v/>
      </c>
      <c r="AB34" s="108" t="str" cm="1">
        <f t="array" ref="AB34">IF(LEN($B34)=0,"",IF(LEN(C34)=0,"Nama Siswa Kosong",IF($E34="","Status Siswa Kosong",IF(S34&lt;&gt;"Aktif","Siswa Tidak Aktif",
IF(OR(U34:AA34="Belum mengisi"),"Belum mengisi",IF(AND(U34:AA34="Sudah terbiasa"),"Sudah terbiasa","Belum terbiasa"))))))</f>
        <v/>
      </c>
      <c r="AD34" s="41">
        <v>2</v>
      </c>
      <c r="AE34" s="161" t="s">
        <v>3</v>
      </c>
      <c r="AF34" s="161"/>
      <c r="AG34" s="51">
        <f>COUNTIFS(JulTaatBeribadah,SudahTerbiasa,JulPL,Perempuan)</f>
        <v>0</v>
      </c>
      <c r="AH34" s="52" t="str">
        <f>IFERROR(IF($AF$18=0,"",COUNTIFS(JulTaatBeribadah,SudahTerbiasa,JulPL,Perempuan)/COUNTIFS(JulPL,Perempuan)),)</f>
        <v/>
      </c>
      <c r="AI34" s="53">
        <f>COUNTIFS(JulTaatBeribadah,BelumTerbiasa,JulPL,Perempuan)</f>
        <v>0</v>
      </c>
      <c r="AJ34" s="59" t="str">
        <f>IFERROR(IF($AF$18=0,"",COUNTIFS(JulTaatBeribadah,BelumTerbiasa,JulPL,Perempuan)/COUNTIFS(JulPL,Perempuan)),)</f>
        <v/>
      </c>
      <c r="AK34" s="55">
        <f>COUNTIFS(JulTaatBeribadah,SudahTerbiasa,JulPL,Laki_Laki)</f>
        <v>0</v>
      </c>
      <c r="AL34" s="56" t="str">
        <f>IFERROR(IF($AF$18=0,"",COUNTIFS(JulTaatBeribadah,SudahTerbiasa,JulPL,Laki_Laki)/COUNTIFS(JulPL,Laki_Laki)),)</f>
        <v/>
      </c>
      <c r="AM34" s="57">
        <f>COUNTIFS(JulTaatBeribadah,BelumTerbiasa,JulPL,Laki_Laki)</f>
        <v>0</v>
      </c>
      <c r="AN34" s="58" t="str">
        <f>IFERROR(IF($AF$18=0,"",COUNTIFS(JulTaatBeribadah,BelumTerbiasa,JulPL,Laki_Laki)/COUNTIFS(JulPL,Laki_Laki)),)</f>
        <v/>
      </c>
      <c r="AO34" s="13"/>
      <c r="AP34" s="13"/>
      <c r="AQ34" s="13"/>
    </row>
    <row r="35" spans="2:43" hidden="1" x14ac:dyDescent="0.3">
      <c r="B35" s="4" t="str">
        <f>IF(ROW(A23)&lt;=profilKelas!$F$14,ROW(A23),"")</f>
        <v/>
      </c>
      <c r="C35" s="94" t="str">
        <f>IF(ISBLANK(identitasMurid!C28),"",identitasMurid!C28)</f>
        <v/>
      </c>
      <c r="D35" s="6" t="str">
        <f>IF(ISBLANK(identitasMurid!D28),"",identitasMurid!D28)</f>
        <v/>
      </c>
      <c r="E35" s="95"/>
      <c r="F35" s="95"/>
      <c r="G35" s="95"/>
      <c r="H35" s="95"/>
      <c r="I35" s="95"/>
      <c r="J35" s="95"/>
      <c r="K35" s="95"/>
      <c r="L35" s="95"/>
      <c r="M35" s="95"/>
      <c r="Q35" s="5" t="str">
        <f>IF(ROW(A23)&lt;=profilKelas!$F$14,ROW(A23),"")</f>
        <v/>
      </c>
      <c r="R35" s="12" t="str">
        <f t="shared" si="0"/>
        <v/>
      </c>
      <c r="S35" s="108" t="str">
        <f t="shared" si="4"/>
        <v/>
      </c>
      <c r="T35" s="108" t="str">
        <f t="shared" si="2"/>
        <v/>
      </c>
      <c r="U35" s="108" t="str">
        <f t="shared" si="6"/>
        <v/>
      </c>
      <c r="V35" s="108" t="str">
        <f t="shared" si="6"/>
        <v/>
      </c>
      <c r="W35" s="108" t="str">
        <f t="shared" si="6"/>
        <v/>
      </c>
      <c r="X35" s="108" t="str">
        <f t="shared" si="6"/>
        <v/>
      </c>
      <c r="Y35" s="108" t="str">
        <f t="shared" si="6"/>
        <v/>
      </c>
      <c r="Z35" s="108" t="str">
        <f t="shared" si="6"/>
        <v/>
      </c>
      <c r="AA35" s="108" t="str">
        <f t="shared" si="6"/>
        <v/>
      </c>
      <c r="AB35" s="108" t="str" cm="1">
        <f t="array" ref="AB35">IF(LEN($B35)=0,"",IF(LEN(C35)=0,"Nama Siswa Kosong",IF($E35="","Status Siswa Kosong",IF(S35&lt;&gt;"Aktif","Siswa Tidak Aktif",
IF(OR(U35:AA35="Belum mengisi"),"Belum mengisi",IF(AND(U35:AA35="Sudah terbiasa"),"Sudah terbiasa","Belum terbiasa"))))))</f>
        <v/>
      </c>
      <c r="AD35" s="41">
        <v>3</v>
      </c>
      <c r="AE35" s="161" t="s">
        <v>4</v>
      </c>
      <c r="AF35" s="161"/>
      <c r="AG35" s="51">
        <f>COUNTIFS(JulBerolahraga,SudahTerbiasa,JulPL,Perempuan)</f>
        <v>0</v>
      </c>
      <c r="AH35" s="52" t="str">
        <f>IFERROR(IF($AF$18=0,"",COUNTIFS(JulBerolahraga,SudahTerbiasa,JulPL,Perempuan)/COUNTIFS(JulPL,Perempuan)),)</f>
        <v/>
      </c>
      <c r="AI35" s="53">
        <f>COUNTIFS(JulBerolahraga,BelumTerbiasa,JulPL,Perempuan)</f>
        <v>0</v>
      </c>
      <c r="AJ35" s="59" t="str">
        <f>IFERROR(IF($AF$18=0,"",COUNTIFS(JulBerolahraga,BelumTerbiasa,JulPL,Perempuan)/COUNTIFS(JulPL,Perempuan)),)</f>
        <v/>
      </c>
      <c r="AK35" s="55">
        <f>COUNTIFS(JulBerolahraga,SudahTerbiasa,JulPL,Laki_Laki)</f>
        <v>0</v>
      </c>
      <c r="AL35" s="56" t="str">
        <f>IFERROR(IF($AF$18=0,"",COUNTIFS(JulBerolahraga,SudahTerbiasa,JulPL,Laki_Laki)/COUNTIFS(JulPL,Laki_Laki)),)</f>
        <v/>
      </c>
      <c r="AM35" s="57">
        <f>COUNTIFS(JulBerolahraga,BelumTerbiasa,JulPL,Laki_Laki)</f>
        <v>0</v>
      </c>
      <c r="AN35" s="58" t="str">
        <f>IFERROR(IF($AF$18=0,"",COUNTIFS(JulBerolahraga,BelumTerbiasa,JulPL,Laki_Laki)/COUNTIFS(JulPL,Laki_Laki)),)</f>
        <v/>
      </c>
      <c r="AO35" s="13"/>
      <c r="AP35" s="13"/>
      <c r="AQ35" s="13"/>
    </row>
    <row r="36" spans="2:43" hidden="1" x14ac:dyDescent="0.3">
      <c r="B36" s="4" t="str">
        <f>IF(ROW(A24)&lt;=profilKelas!$F$14,ROW(A24),"")</f>
        <v/>
      </c>
      <c r="C36" s="94" t="str">
        <f>IF(ISBLANK(identitasMurid!C29),"",identitasMurid!C29)</f>
        <v/>
      </c>
      <c r="D36" s="6" t="str">
        <f>IF(ISBLANK(identitasMurid!D29),"",identitasMurid!D29)</f>
        <v/>
      </c>
      <c r="E36" s="95"/>
      <c r="F36" s="95"/>
      <c r="G36" s="95"/>
      <c r="H36" s="95"/>
      <c r="I36" s="95"/>
      <c r="J36" s="95"/>
      <c r="K36" s="95"/>
      <c r="L36" s="95"/>
      <c r="M36" s="95"/>
      <c r="Q36" s="5" t="str">
        <f>IF(ROW(A24)&lt;=profilKelas!$F$14,ROW(A24),"")</f>
        <v/>
      </c>
      <c r="R36" s="12" t="str">
        <f t="shared" si="0"/>
        <v/>
      </c>
      <c r="S36" s="108" t="str">
        <f t="shared" si="4"/>
        <v/>
      </c>
      <c r="T36" s="108" t="str">
        <f t="shared" si="2"/>
        <v/>
      </c>
      <c r="U36" s="108" t="str">
        <f t="shared" si="6"/>
        <v/>
      </c>
      <c r="V36" s="108" t="str">
        <f t="shared" si="6"/>
        <v/>
      </c>
      <c r="W36" s="108" t="str">
        <f t="shared" si="6"/>
        <v/>
      </c>
      <c r="X36" s="108" t="str">
        <f t="shared" si="6"/>
        <v/>
      </c>
      <c r="Y36" s="108" t="str">
        <f t="shared" si="6"/>
        <v/>
      </c>
      <c r="Z36" s="108" t="str">
        <f t="shared" si="6"/>
        <v/>
      </c>
      <c r="AA36" s="108" t="str">
        <f t="shared" si="6"/>
        <v/>
      </c>
      <c r="AB36" s="108" t="str" cm="1">
        <f t="array" ref="AB36">IF(LEN($B36)=0,"",IF(LEN(C36)=0,"Nama Siswa Kosong",IF($E36="","Status Siswa Kosong",IF(S36&lt;&gt;"Aktif","Siswa Tidak Aktif",
IF(OR(U36:AA36="Belum mengisi"),"Belum mengisi",IF(AND(U36:AA36="Sudah terbiasa"),"Sudah terbiasa","Belum terbiasa"))))))</f>
        <v/>
      </c>
      <c r="AD36" s="41">
        <v>4</v>
      </c>
      <c r="AE36" s="161" t="s">
        <v>5</v>
      </c>
      <c r="AF36" s="161"/>
      <c r="AG36" s="51">
        <f>COUNTIFS(JulMakanSehatBergizi,SudahTerbiasa,JulPL,Perempuan)</f>
        <v>0</v>
      </c>
      <c r="AH36" s="52" t="str">
        <f>IFERROR(IF($AF$18=0,"",COUNTIFS(JulMakanSehatBergizi,SudahTerbiasa,JulPL,Perempuan)/COUNTIFS(JulPL,Perempuan)),)</f>
        <v/>
      </c>
      <c r="AI36" s="53">
        <f>COUNTIFS(JulMakanSehatBergizi,BelumTerbiasa,JulPL,Perempuan)</f>
        <v>0</v>
      </c>
      <c r="AJ36" s="59" t="str">
        <f>IFERROR(IF($AF$18=0,"",COUNTIFS(JulMakanSehatBergizi,BelumTerbiasa,JulPL,Perempuan)/COUNTIFS(JulPL,Perempuan)),)</f>
        <v/>
      </c>
      <c r="AK36" s="55">
        <f>COUNTIFS(JulMakanSehatBergizi,SudahTerbiasa,JulPL,Laki_Laki)</f>
        <v>0</v>
      </c>
      <c r="AL36" s="56" t="str">
        <f>IFERROR(IF($AF$18=0,"",COUNTIFS(JulMakanSehatBergizi,SudahTerbiasa,JulPL,Laki_Laki)/COUNTIFS(JulPL,Laki_Laki)),)</f>
        <v/>
      </c>
      <c r="AM36" s="57">
        <f>COUNTIFS(JulMakanSehatBergizi,BelumTerbiasa,JulPL,Laki_Laki)</f>
        <v>0</v>
      </c>
      <c r="AN36" s="58" t="str">
        <f>IFERROR(IF($AF$18=0,"",COUNTIFS(JulMakanSehatBergizi,BelumTerbiasa,JulPL,Laki_Laki)/COUNTIFS(JulPL,Laki_Laki)),)</f>
        <v/>
      </c>
      <c r="AO36" s="13"/>
      <c r="AP36" s="13"/>
      <c r="AQ36" s="13"/>
    </row>
    <row r="37" spans="2:43" hidden="1" x14ac:dyDescent="0.3">
      <c r="B37" s="4" t="str">
        <f>IF(ROW(A25)&lt;=profilKelas!$F$14,ROW(A25),"")</f>
        <v/>
      </c>
      <c r="C37" s="94" t="str">
        <f>IF(ISBLANK(identitasMurid!C30),"",identitasMurid!C30)</f>
        <v/>
      </c>
      <c r="D37" s="6" t="str">
        <f>IF(ISBLANK(identitasMurid!D30),"",identitasMurid!D30)</f>
        <v/>
      </c>
      <c r="E37" s="95"/>
      <c r="F37" s="95"/>
      <c r="G37" s="95"/>
      <c r="H37" s="95"/>
      <c r="I37" s="95"/>
      <c r="J37" s="95"/>
      <c r="K37" s="95"/>
      <c r="L37" s="95"/>
      <c r="M37" s="95"/>
      <c r="Q37" s="5" t="str">
        <f>IF(ROW(A25)&lt;=profilKelas!$F$14,ROW(A25),"")</f>
        <v/>
      </c>
      <c r="R37" s="12" t="str">
        <f t="shared" si="0"/>
        <v/>
      </c>
      <c r="S37" s="108" t="str">
        <f t="shared" si="4"/>
        <v/>
      </c>
      <c r="T37" s="108" t="str">
        <f t="shared" si="2"/>
        <v/>
      </c>
      <c r="U37" s="108" t="str">
        <f t="shared" si="6"/>
        <v/>
      </c>
      <c r="V37" s="108" t="str">
        <f t="shared" si="6"/>
        <v/>
      </c>
      <c r="W37" s="108" t="str">
        <f t="shared" si="6"/>
        <v/>
      </c>
      <c r="X37" s="108" t="str">
        <f t="shared" si="6"/>
        <v/>
      </c>
      <c r="Y37" s="108" t="str">
        <f t="shared" si="6"/>
        <v/>
      </c>
      <c r="Z37" s="108" t="str">
        <f t="shared" si="6"/>
        <v/>
      </c>
      <c r="AA37" s="108" t="str">
        <f t="shared" si="6"/>
        <v/>
      </c>
      <c r="AB37" s="108" t="str" cm="1">
        <f t="array" ref="AB37">IF(LEN($B37)=0,"",IF(LEN(C37)=0,"Nama Siswa Kosong",IF($E37="","Status Siswa Kosong",IF(S37&lt;&gt;"Aktif","Siswa Tidak Aktif",
IF(OR(U37:AA37="Belum mengisi"),"Belum mengisi",IF(AND(U37:AA37="Sudah terbiasa"),"Sudah terbiasa","Belum terbiasa"))))))</f>
        <v/>
      </c>
      <c r="AD37" s="41">
        <v>5</v>
      </c>
      <c r="AE37" s="161" t="s">
        <v>6</v>
      </c>
      <c r="AF37" s="161"/>
      <c r="AG37" s="51">
        <f>COUNTIFS(JulGemarBelajar,SudahTerbiasa,JulPL,Perempuan)</f>
        <v>0</v>
      </c>
      <c r="AH37" s="52" t="str">
        <f>IFERROR(IF($AF$18=0,"",COUNTIFS(JulGemarBelajar,SudahTerbiasa,JulPL,Perempuan)/COUNTIFS(JulPL,Perempuan)),)</f>
        <v/>
      </c>
      <c r="AI37" s="53">
        <f>COUNTIFS(JulGemarBelajar,BelumTerbiasa,JulPL,Perempuan)</f>
        <v>0</v>
      </c>
      <c r="AJ37" s="59" t="str">
        <f>IFERROR(IF($AF$18=0,"",COUNTIFS(JulGemarBelajar,BelumTerbiasa,JulPL,Perempuan)/COUNTIFS(JulPL,Perempuan)),)</f>
        <v/>
      </c>
      <c r="AK37" s="55">
        <f>COUNTIFS(JulGemarBelajar,SudahTerbiasa,JulPL,Laki_Laki)</f>
        <v>0</v>
      </c>
      <c r="AL37" s="56" t="str">
        <f>IFERROR(IF($AF$18=0,"",COUNTIFS(JulGemarBelajar,SudahTerbiasa,JulPL,Laki_Laki)/COUNTIFS(JulPL,Laki_Laki)),)</f>
        <v/>
      </c>
      <c r="AM37" s="57">
        <f>COUNTIFS(JulGemarBelajar,BelumTerbiasa,JulPL,Laki_Laki)</f>
        <v>0</v>
      </c>
      <c r="AN37" s="58" t="str">
        <f>IFERROR(IF($AF$18=0,"",COUNTIFS(JulGemarBelajar,BelumTerbiasa,JulPL,Laki_Laki)/COUNTIFS(JulPL,Laki_Laki)),)</f>
        <v/>
      </c>
      <c r="AO37" s="13"/>
      <c r="AP37" s="13"/>
      <c r="AQ37" s="13"/>
    </row>
    <row r="38" spans="2:43" hidden="1" x14ac:dyDescent="0.3">
      <c r="B38" s="4" t="str">
        <f>IF(ROW(A26)&lt;=profilKelas!$F$14,ROW(A26),"")</f>
        <v/>
      </c>
      <c r="C38" s="94" t="str">
        <f>IF(ISBLANK(identitasMurid!C31),"",identitasMurid!C31)</f>
        <v/>
      </c>
      <c r="D38" s="6" t="str">
        <f>IF(ISBLANK(identitasMurid!D31),"",identitasMurid!D31)</f>
        <v/>
      </c>
      <c r="E38" s="95"/>
      <c r="F38" s="95"/>
      <c r="G38" s="95"/>
      <c r="H38" s="95"/>
      <c r="I38" s="95"/>
      <c r="J38" s="95"/>
      <c r="K38" s="95"/>
      <c r="L38" s="95"/>
      <c r="M38" s="95"/>
      <c r="Q38" s="5" t="str">
        <f>IF(ROW(A26)&lt;=profilKelas!$F$14,ROW(A26),"")</f>
        <v/>
      </c>
      <c r="R38" s="12" t="str">
        <f t="shared" si="0"/>
        <v/>
      </c>
      <c r="S38" s="108" t="str">
        <f t="shared" si="4"/>
        <v/>
      </c>
      <c r="T38" s="108" t="str">
        <f t="shared" si="2"/>
        <v/>
      </c>
      <c r="U38" s="108" t="str">
        <f t="shared" si="6"/>
        <v/>
      </c>
      <c r="V38" s="108" t="str">
        <f t="shared" si="6"/>
        <v/>
      </c>
      <c r="W38" s="108" t="str">
        <f t="shared" si="6"/>
        <v/>
      </c>
      <c r="X38" s="108" t="str">
        <f t="shared" si="6"/>
        <v/>
      </c>
      <c r="Y38" s="108" t="str">
        <f t="shared" si="6"/>
        <v/>
      </c>
      <c r="Z38" s="108" t="str">
        <f t="shared" si="6"/>
        <v/>
      </c>
      <c r="AA38" s="108" t="str">
        <f t="shared" si="6"/>
        <v/>
      </c>
      <c r="AB38" s="108" t="str" cm="1">
        <f t="array" ref="AB38">IF(LEN($B38)=0,"",IF(LEN(C38)=0,"Nama Siswa Kosong",IF($E38="","Status Siswa Kosong",IF(S38&lt;&gt;"Aktif","Siswa Tidak Aktif",
IF(OR(U38:AA38="Belum mengisi"),"Belum mengisi",IF(AND(U38:AA38="Sudah terbiasa"),"Sudah terbiasa","Belum terbiasa"))))))</f>
        <v/>
      </c>
      <c r="AD38" s="41">
        <v>6</v>
      </c>
      <c r="AE38" s="161" t="s">
        <v>7</v>
      </c>
      <c r="AF38" s="161"/>
      <c r="AG38" s="51">
        <f>COUNTIFS(JulAktifBermasyarakat,SudahTerbiasa,JulPL,Perempuan)</f>
        <v>0</v>
      </c>
      <c r="AH38" s="52" t="str">
        <f>IFERROR(IF($AF$18=0,"",COUNTIFS(JulAktifBermasyarakat,SudahTerbiasa,JulPL,Perempuan)/COUNTIFS(JulPL,Perempuan)),)</f>
        <v/>
      </c>
      <c r="AI38" s="53">
        <f>COUNTIFS(JulAktifBermasyarakat,BelumTerbiasa,JulPL,Perempuan)</f>
        <v>0</v>
      </c>
      <c r="AJ38" s="59" t="str">
        <f>IFERROR(IF($AF$18=0,"",COUNTIFS(JulAktifBermasyarakat,BelumTerbiasa,JulPL,Perempuan)/COUNTIFS(JulPL,Perempuan)),)</f>
        <v/>
      </c>
      <c r="AK38" s="55">
        <f>COUNTIFS(JulAktifBermasyarakat,SudahTerbiasa,JulPL,Laki_Laki)</f>
        <v>0</v>
      </c>
      <c r="AL38" s="56" t="str">
        <f>IFERROR(IF($AF$18=0,"",COUNTIFS(JulAktifBermasyarakat,SudahTerbiasa,JulPL,Laki_Laki)/COUNTIFS(JulPL,Laki_Laki)),)</f>
        <v/>
      </c>
      <c r="AM38" s="57">
        <f>COUNTIFS(JulAktifBermasyarakat,BelumTerbiasa,JulPL,Laki_Laki)</f>
        <v>0</v>
      </c>
      <c r="AN38" s="58" t="str">
        <f>IFERROR(IF($AF$18=0,"",COUNTIFS(JulAktifBermasyarakat,BelumTerbiasa,JulPL,Laki_Laki)/COUNTIFS(JulPL,Laki_Laki)),)</f>
        <v/>
      </c>
      <c r="AO38" s="13"/>
      <c r="AP38" s="13"/>
      <c r="AQ38" s="13"/>
    </row>
    <row r="39" spans="2:43" hidden="1" x14ac:dyDescent="0.3">
      <c r="B39" s="4" t="str">
        <f>IF(ROW(A27)&lt;=profilKelas!$F$14,ROW(A27),"")</f>
        <v/>
      </c>
      <c r="C39" s="94" t="str">
        <f>IF(ISBLANK(identitasMurid!C32),"",identitasMurid!C32)</f>
        <v/>
      </c>
      <c r="D39" s="6" t="str">
        <f>IF(ISBLANK(identitasMurid!D32),"",identitasMurid!D32)</f>
        <v/>
      </c>
      <c r="E39" s="95"/>
      <c r="F39" s="95"/>
      <c r="G39" s="95"/>
      <c r="H39" s="95"/>
      <c r="I39" s="95"/>
      <c r="J39" s="95"/>
      <c r="K39" s="95"/>
      <c r="L39" s="95"/>
      <c r="M39" s="95"/>
      <c r="Q39" s="5" t="str">
        <f>IF(ROW(A27)&lt;=profilKelas!$F$14,ROW(A27),"")</f>
        <v/>
      </c>
      <c r="R39" s="12" t="str">
        <f t="shared" si="0"/>
        <v/>
      </c>
      <c r="S39" s="108" t="str">
        <f t="shared" si="4"/>
        <v/>
      </c>
      <c r="T39" s="108" t="str">
        <f t="shared" si="2"/>
        <v/>
      </c>
      <c r="U39" s="108" t="str">
        <f t="shared" si="6"/>
        <v/>
      </c>
      <c r="V39" s="108" t="str">
        <f t="shared" si="6"/>
        <v/>
      </c>
      <c r="W39" s="108" t="str">
        <f t="shared" si="6"/>
        <v/>
      </c>
      <c r="X39" s="108" t="str">
        <f t="shared" si="6"/>
        <v/>
      </c>
      <c r="Y39" s="108" t="str">
        <f t="shared" si="6"/>
        <v/>
      </c>
      <c r="Z39" s="108" t="str">
        <f t="shared" si="6"/>
        <v/>
      </c>
      <c r="AA39" s="108" t="str">
        <f t="shared" si="6"/>
        <v/>
      </c>
      <c r="AB39" s="108" t="str" cm="1">
        <f t="array" ref="AB39">IF(LEN($B39)=0,"",IF(LEN(C39)=0,"Nama Siswa Kosong",IF($E39="","Status Siswa Kosong",IF(S39&lt;&gt;"Aktif","Siswa Tidak Aktif",
IF(OR(U39:AA39="Belum mengisi"),"Belum mengisi",IF(AND(U39:AA39="Sudah terbiasa"),"Sudah terbiasa","Belum terbiasa"))))))</f>
        <v/>
      </c>
      <c r="AD39" s="41">
        <v>7</v>
      </c>
      <c r="AE39" s="161" t="s">
        <v>8</v>
      </c>
      <c r="AF39" s="161"/>
      <c r="AG39" s="51">
        <f>COUNTIFS(JulTidurCepat,SudahTerbiasa,JulPL,Perempuan)</f>
        <v>0</v>
      </c>
      <c r="AH39" s="52" t="str">
        <f>IFERROR(IF($AF$18=0,"",COUNTIFS(JulTidurCepat,SudahTerbiasa,JulPL,Perempuan)/COUNTIFS(JulPL,Perempuan)),)</f>
        <v/>
      </c>
      <c r="AI39" s="53">
        <f>COUNTIFS(JulTidurCepat,BelumTerbiasa,JulPL,Perempuan)</f>
        <v>0</v>
      </c>
      <c r="AJ39" s="59" t="str">
        <f>IFERROR(IF($AF$18=0,"",COUNTIFS(JulTidurCepat,BelumTerbiasa,JulPL,Perempuan)/COUNTIFS(JulPL,Perempuan)),)</f>
        <v/>
      </c>
      <c r="AK39" s="55">
        <f>COUNTIFS(JulTidurCepat,SudahTerbiasa,JulPL,Laki_Laki)</f>
        <v>0</v>
      </c>
      <c r="AL39" s="56" t="str">
        <f>IFERROR(IF($AF$18=0,"",COUNTIFS(JulTidurCepat,SudahTerbiasa,JulPL,Laki_Laki)/COUNTIFS(JulPL,Laki_Laki)),)</f>
        <v/>
      </c>
      <c r="AM39" s="57">
        <f>COUNTIFS(JulTidurCepat,BelumTerbiasa,JulPL,Laki_Laki)</f>
        <v>0</v>
      </c>
      <c r="AN39" s="58" t="str">
        <f>IFERROR(IF($AF$18=0,"",COUNTIFS(JulTidurCepat,BelumTerbiasa,JulPL,Laki_Laki)/COUNTIFS(JulPL,Laki_Laki)),)</f>
        <v/>
      </c>
      <c r="AO39" s="13"/>
      <c r="AP39" s="13"/>
      <c r="AQ39" s="13"/>
    </row>
    <row r="40" spans="2:43" hidden="1" x14ac:dyDescent="0.3">
      <c r="B40" s="4" t="str">
        <f>IF(ROW(A28)&lt;=profilKelas!$F$14,ROW(A28),"")</f>
        <v/>
      </c>
      <c r="C40" s="94" t="str">
        <f>IF(ISBLANK(identitasMurid!C33),"",identitasMurid!C33)</f>
        <v/>
      </c>
      <c r="D40" s="6" t="str">
        <f>IF(ISBLANK(identitasMurid!D33),"",identitasMurid!D33)</f>
        <v/>
      </c>
      <c r="E40" s="95"/>
      <c r="F40" s="95"/>
      <c r="G40" s="95"/>
      <c r="H40" s="95"/>
      <c r="I40" s="95"/>
      <c r="J40" s="95"/>
      <c r="K40" s="95"/>
      <c r="L40" s="95"/>
      <c r="M40" s="95"/>
      <c r="Q40" s="5" t="str">
        <f>IF(ROW(A28)&lt;=profilKelas!$F$14,ROW(A28),"")</f>
        <v/>
      </c>
      <c r="R40" s="12" t="str">
        <f t="shared" si="0"/>
        <v/>
      </c>
      <c r="S40" s="108" t="str">
        <f t="shared" si="4"/>
        <v/>
      </c>
      <c r="T40" s="108" t="str">
        <f t="shared" si="2"/>
        <v/>
      </c>
      <c r="U40" s="108" t="str">
        <f t="shared" si="6"/>
        <v/>
      </c>
      <c r="V40" s="108" t="str">
        <f t="shared" si="6"/>
        <v/>
      </c>
      <c r="W40" s="108" t="str">
        <f t="shared" si="6"/>
        <v/>
      </c>
      <c r="X40" s="108" t="str">
        <f t="shared" si="6"/>
        <v/>
      </c>
      <c r="Y40" s="108" t="str">
        <f t="shared" si="6"/>
        <v/>
      </c>
      <c r="Z40" s="108" t="str">
        <f t="shared" si="6"/>
        <v/>
      </c>
      <c r="AA40" s="108" t="str">
        <f t="shared" si="6"/>
        <v/>
      </c>
      <c r="AB40" s="108" t="str" cm="1">
        <f t="array" ref="AB40">IF(LEN($B40)=0,"",IF(LEN(C40)=0,"Nama Siswa Kosong",IF($E40="","Status Siswa Kosong",IF(S40&lt;&gt;"Aktif","Siswa Tidak Aktif",
IF(OR(U40:AA40="Belum mengisi"),"Belum mengisi",IF(AND(U40:AA40="Sudah terbiasa"),"Sudah terbiasa","Belum terbiasa"))))))</f>
        <v/>
      </c>
    </row>
    <row r="41" spans="2:43" hidden="1" x14ac:dyDescent="0.3">
      <c r="B41" s="4" t="str">
        <f>IF(ROW(A29)&lt;=profilKelas!$F$14,ROW(A29),"")</f>
        <v/>
      </c>
      <c r="C41" s="94" t="str">
        <f>IF(ISBLANK(identitasMurid!C34),"",identitasMurid!C34)</f>
        <v/>
      </c>
      <c r="D41" s="6" t="str">
        <f>IF(ISBLANK(identitasMurid!D34),"",identitasMurid!D34)</f>
        <v/>
      </c>
      <c r="E41" s="95"/>
      <c r="F41" s="95"/>
      <c r="G41" s="95"/>
      <c r="H41" s="95"/>
      <c r="I41" s="95"/>
      <c r="J41" s="95"/>
      <c r="K41" s="95"/>
      <c r="L41" s="95"/>
      <c r="M41" s="95"/>
      <c r="Q41" s="5" t="str">
        <f>IF(ROW(A29)&lt;=profilKelas!$F$14,ROW(A29),"")</f>
        <v/>
      </c>
      <c r="R41" s="12" t="str">
        <f t="shared" si="0"/>
        <v/>
      </c>
      <c r="S41" s="108" t="str">
        <f t="shared" si="4"/>
        <v/>
      </c>
      <c r="T41" s="108" t="str">
        <f t="shared" si="2"/>
        <v/>
      </c>
      <c r="U41" s="108" t="str">
        <f t="shared" si="6"/>
        <v/>
      </c>
      <c r="V41" s="108" t="str">
        <f t="shared" si="6"/>
        <v/>
      </c>
      <c r="W41" s="108" t="str">
        <f t="shared" si="6"/>
        <v/>
      </c>
      <c r="X41" s="108" t="str">
        <f t="shared" si="6"/>
        <v/>
      </c>
      <c r="Y41" s="108" t="str">
        <f t="shared" si="6"/>
        <v/>
      </c>
      <c r="Z41" s="108" t="str">
        <f t="shared" si="6"/>
        <v/>
      </c>
      <c r="AA41" s="108" t="str">
        <f t="shared" si="6"/>
        <v/>
      </c>
      <c r="AB41" s="108" t="str" cm="1">
        <f t="array" ref="AB41">IF(LEN($B41)=0,"",IF(LEN(C41)=0,"Nama Siswa Kosong",IF($E41="","Status Siswa Kosong",IF(S41&lt;&gt;"Aktif","Siswa Tidak Aktif",
IF(OR(U41:AA41="Belum mengisi"),"Belum mengisi",IF(AND(U41:AA41="Sudah terbiasa"),"Sudah terbiasa","Belum terbiasa"))))))</f>
        <v/>
      </c>
    </row>
    <row r="42" spans="2:43" hidden="1" x14ac:dyDescent="0.3">
      <c r="B42" s="4" t="str">
        <f>IF(ROW(A30)&lt;=profilKelas!$F$14,ROW(A30),"")</f>
        <v/>
      </c>
      <c r="C42" s="94" t="str">
        <f>IF(ISBLANK(identitasMurid!C35),"",identitasMurid!C35)</f>
        <v/>
      </c>
      <c r="D42" s="6" t="str">
        <f>IF(ISBLANK(identitasMurid!D35),"",identitasMurid!D35)</f>
        <v/>
      </c>
      <c r="E42" s="95"/>
      <c r="F42" s="95"/>
      <c r="G42" s="95"/>
      <c r="H42" s="95"/>
      <c r="I42" s="95"/>
      <c r="J42" s="95"/>
      <c r="K42" s="95"/>
      <c r="L42" s="95"/>
      <c r="M42" s="95"/>
      <c r="Q42" s="5" t="str">
        <f>IF(ROW(A30)&lt;=profilKelas!$F$14,ROW(A30),"")</f>
        <v/>
      </c>
      <c r="R42" s="12" t="str">
        <f t="shared" si="0"/>
        <v/>
      </c>
      <c r="S42" s="108" t="str">
        <f t="shared" si="4"/>
        <v/>
      </c>
      <c r="T42" s="108" t="str">
        <f t="shared" si="2"/>
        <v/>
      </c>
      <c r="U42" s="108" t="str">
        <f t="shared" si="6"/>
        <v/>
      </c>
      <c r="V42" s="108" t="str">
        <f t="shared" si="6"/>
        <v/>
      </c>
      <c r="W42" s="108" t="str">
        <f t="shared" si="6"/>
        <v/>
      </c>
      <c r="X42" s="108" t="str">
        <f t="shared" si="6"/>
        <v/>
      </c>
      <c r="Y42" s="108" t="str">
        <f t="shared" si="6"/>
        <v/>
      </c>
      <c r="Z42" s="108" t="str">
        <f t="shared" si="6"/>
        <v/>
      </c>
      <c r="AA42" s="108" t="str">
        <f t="shared" si="6"/>
        <v/>
      </c>
      <c r="AB42" s="108" t="str" cm="1">
        <f t="array" ref="AB42">IF(LEN($B42)=0,"",IF(LEN(C42)=0,"Nama Siswa Kosong",IF($E42="","Status Siswa Kosong",IF(S42&lt;&gt;"Aktif","Siswa Tidak Aktif",
IF(OR(U42:AA42="Belum mengisi"),"Belum mengisi",IF(AND(U42:AA42="Sudah terbiasa"),"Sudah terbiasa","Belum terbiasa"))))))</f>
        <v/>
      </c>
    </row>
    <row r="43" spans="2:43" hidden="1" x14ac:dyDescent="0.3">
      <c r="B43" s="4" t="str">
        <f>IF(ROW(A31)&lt;=profilKelas!$F$14,ROW(A31),"")</f>
        <v/>
      </c>
      <c r="C43" s="94" t="str">
        <f>IF(ISBLANK(identitasMurid!C36),"",identitasMurid!C36)</f>
        <v/>
      </c>
      <c r="D43" s="6" t="str">
        <f>IF(ISBLANK(identitasMurid!D36),"",identitasMurid!D36)</f>
        <v/>
      </c>
      <c r="E43" s="95"/>
      <c r="F43" s="95"/>
      <c r="G43" s="95"/>
      <c r="H43" s="95"/>
      <c r="I43" s="95"/>
      <c r="J43" s="95"/>
      <c r="K43" s="95"/>
      <c r="L43" s="95"/>
      <c r="M43" s="95"/>
      <c r="Q43" s="5" t="str">
        <f>IF(ROW(A31)&lt;=profilKelas!$F$14,ROW(A31),"")</f>
        <v/>
      </c>
      <c r="R43" s="12" t="str">
        <f t="shared" si="0"/>
        <v/>
      </c>
      <c r="S43" s="108" t="str">
        <f t="shared" si="4"/>
        <v/>
      </c>
      <c r="T43" s="108" t="str">
        <f t="shared" si="2"/>
        <v/>
      </c>
      <c r="U43" s="108" t="str">
        <f t="shared" si="6"/>
        <v/>
      </c>
      <c r="V43" s="108" t="str">
        <f t="shared" si="6"/>
        <v/>
      </c>
      <c r="W43" s="108" t="str">
        <f t="shared" si="6"/>
        <v/>
      </c>
      <c r="X43" s="108" t="str">
        <f t="shared" si="6"/>
        <v/>
      </c>
      <c r="Y43" s="108" t="str">
        <f t="shared" si="6"/>
        <v/>
      </c>
      <c r="Z43" s="108" t="str">
        <f t="shared" si="6"/>
        <v/>
      </c>
      <c r="AA43" s="108" t="str">
        <f t="shared" si="6"/>
        <v/>
      </c>
      <c r="AB43" s="108" t="str" cm="1">
        <f t="array" ref="AB43">IF(LEN($B43)=0,"",IF(LEN(C43)=0,"Nama Siswa Kosong",IF($E43="","Status Siswa Kosong",IF(S43&lt;&gt;"Aktif","Siswa Tidak Aktif",
IF(OR(U43:AA43="Belum mengisi"),"Belum mengisi",IF(AND(U43:AA43="Sudah terbiasa"),"Sudah terbiasa","Belum terbiasa"))))))</f>
        <v/>
      </c>
    </row>
    <row r="44" spans="2:43" hidden="1" x14ac:dyDescent="0.3">
      <c r="B44" s="4" t="str">
        <f>IF(ROW(A32)&lt;=profilKelas!$F$14,ROW(A32),"")</f>
        <v/>
      </c>
      <c r="C44" s="94" t="str">
        <f>IF(ISBLANK(identitasMurid!C37),"",identitasMurid!C37)</f>
        <v/>
      </c>
      <c r="D44" s="6" t="str">
        <f>IF(ISBLANK(identitasMurid!D37),"",identitasMurid!D37)</f>
        <v/>
      </c>
      <c r="E44" s="95"/>
      <c r="F44" s="95"/>
      <c r="G44" s="95"/>
      <c r="H44" s="95"/>
      <c r="I44" s="95"/>
      <c r="J44" s="95"/>
      <c r="K44" s="95"/>
      <c r="L44" s="95"/>
      <c r="M44" s="95"/>
      <c r="Q44" s="5" t="str">
        <f>IF(ROW(A32)&lt;=profilKelas!$F$14,ROW(A32),"")</f>
        <v/>
      </c>
      <c r="R44" s="12" t="str">
        <f t="shared" si="0"/>
        <v/>
      </c>
      <c r="S44" s="108" t="str">
        <f t="shared" si="4"/>
        <v/>
      </c>
      <c r="T44" s="108" t="str">
        <f t="shared" si="2"/>
        <v/>
      </c>
      <c r="U44" s="108" t="str">
        <f t="shared" si="6"/>
        <v/>
      </c>
      <c r="V44" s="108" t="str">
        <f t="shared" si="6"/>
        <v/>
      </c>
      <c r="W44" s="108" t="str">
        <f t="shared" si="6"/>
        <v/>
      </c>
      <c r="X44" s="108" t="str">
        <f t="shared" si="6"/>
        <v/>
      </c>
      <c r="Y44" s="108" t="str">
        <f t="shared" si="6"/>
        <v/>
      </c>
      <c r="Z44" s="108" t="str">
        <f t="shared" si="6"/>
        <v/>
      </c>
      <c r="AA44" s="108" t="str">
        <f t="shared" si="6"/>
        <v/>
      </c>
      <c r="AB44" s="108" t="str" cm="1">
        <f t="array" ref="AB44">IF(LEN($B44)=0,"",IF(LEN(C44)=0,"Nama Siswa Kosong",IF($E44="","Status Siswa Kosong",IF(S44&lt;&gt;"Aktif","Siswa Tidak Aktif",
IF(OR(U44:AA44="Belum mengisi"),"Belum mengisi",IF(AND(U44:AA44="Sudah terbiasa"),"Sudah terbiasa","Belum terbiasa"))))))</f>
        <v/>
      </c>
    </row>
    <row r="45" spans="2:43" hidden="1" x14ac:dyDescent="0.3">
      <c r="B45" s="4" t="str">
        <f>IF(ROW(A33)&lt;=profilKelas!$F$14,ROW(A33),"")</f>
        <v/>
      </c>
      <c r="C45" s="94" t="str">
        <f>IF(ISBLANK(identitasMurid!C38),"",identitasMurid!C38)</f>
        <v/>
      </c>
      <c r="D45" s="6" t="str">
        <f>IF(ISBLANK(identitasMurid!D38),"",identitasMurid!D38)</f>
        <v/>
      </c>
      <c r="E45" s="95"/>
      <c r="F45" s="95"/>
      <c r="G45" s="95"/>
      <c r="H45" s="95"/>
      <c r="I45" s="95"/>
      <c r="J45" s="95"/>
      <c r="K45" s="95"/>
      <c r="L45" s="95"/>
      <c r="M45" s="95"/>
      <c r="Q45" s="5" t="str">
        <f>IF(ROW(A33)&lt;=profilKelas!$F$14,ROW(A33),"")</f>
        <v/>
      </c>
      <c r="R45" s="12" t="str">
        <f t="shared" si="0"/>
        <v/>
      </c>
      <c r="S45" s="108" t="str">
        <f t="shared" si="4"/>
        <v/>
      </c>
      <c r="T45" s="108" t="str">
        <f t="shared" si="2"/>
        <v/>
      </c>
      <c r="U45" s="108" t="str">
        <f t="shared" si="6"/>
        <v/>
      </c>
      <c r="V45" s="108" t="str">
        <f t="shared" si="6"/>
        <v/>
      </c>
      <c r="W45" s="108" t="str">
        <f t="shared" si="6"/>
        <v/>
      </c>
      <c r="X45" s="108" t="str">
        <f t="shared" si="6"/>
        <v/>
      </c>
      <c r="Y45" s="108" t="str">
        <f t="shared" si="6"/>
        <v/>
      </c>
      <c r="Z45" s="108" t="str">
        <f t="shared" si="6"/>
        <v/>
      </c>
      <c r="AA45" s="108" t="str">
        <f t="shared" si="6"/>
        <v/>
      </c>
      <c r="AB45" s="108" t="str" cm="1">
        <f t="array" ref="AB45">IF(LEN($B45)=0,"",IF(LEN(C45)=0,"Nama Siswa Kosong",IF($E45="","Status Siswa Kosong",IF(S45&lt;&gt;"Aktif","Siswa Tidak Aktif",
IF(OR(U45:AA45="Belum mengisi"),"Belum mengisi",IF(AND(U45:AA45="Sudah terbiasa"),"Sudah terbiasa","Belum terbiasa"))))))</f>
        <v/>
      </c>
    </row>
    <row r="46" spans="2:43" hidden="1" x14ac:dyDescent="0.3">
      <c r="B46" s="4" t="str">
        <f>IF(ROW(A34)&lt;=profilKelas!$F$14,ROW(A34),"")</f>
        <v/>
      </c>
      <c r="C46" s="94" t="str">
        <f>IF(ISBLANK(identitasMurid!C39),"",identitasMurid!C39)</f>
        <v/>
      </c>
      <c r="D46" s="6" t="str">
        <f>IF(ISBLANK(identitasMurid!D39),"",identitasMurid!D39)</f>
        <v/>
      </c>
      <c r="E46" s="95"/>
      <c r="F46" s="95"/>
      <c r="G46" s="95"/>
      <c r="H46" s="95"/>
      <c r="I46" s="95"/>
      <c r="J46" s="95"/>
      <c r="K46" s="95"/>
      <c r="L46" s="95"/>
      <c r="M46" s="95"/>
      <c r="Q46" s="5" t="str">
        <f>IF(ROW(A34)&lt;=profilKelas!$F$14,ROW(A34),"")</f>
        <v/>
      </c>
      <c r="R46" s="12" t="str">
        <f t="shared" si="0"/>
        <v/>
      </c>
      <c r="S46" s="108" t="str">
        <f t="shared" si="4"/>
        <v/>
      </c>
      <c r="T46" s="108" t="str">
        <f t="shared" si="2"/>
        <v/>
      </c>
      <c r="U46" s="108" t="str">
        <f t="shared" si="6"/>
        <v/>
      </c>
      <c r="V46" s="108" t="str">
        <f t="shared" si="6"/>
        <v/>
      </c>
      <c r="W46" s="108" t="str">
        <f t="shared" si="6"/>
        <v/>
      </c>
      <c r="X46" s="108" t="str">
        <f t="shared" si="6"/>
        <v/>
      </c>
      <c r="Y46" s="108" t="str">
        <f t="shared" si="6"/>
        <v/>
      </c>
      <c r="Z46" s="108" t="str">
        <f t="shared" si="6"/>
        <v/>
      </c>
      <c r="AA46" s="108" t="str">
        <f t="shared" si="6"/>
        <v/>
      </c>
      <c r="AB46" s="108" t="str" cm="1">
        <f t="array" ref="AB46">IF(LEN($B46)=0,"",IF(LEN(C46)=0,"Nama Siswa Kosong",IF($E46="","Status Siswa Kosong",IF(S46&lt;&gt;"Aktif","Siswa Tidak Aktif",
IF(OR(U46:AA46="Belum mengisi"),"Belum mengisi",IF(AND(U46:AA46="Sudah terbiasa"),"Sudah terbiasa","Belum terbiasa"))))))</f>
        <v/>
      </c>
    </row>
    <row r="47" spans="2:43" hidden="1" x14ac:dyDescent="0.3">
      <c r="B47" s="4" t="str">
        <f>IF(ROW(A35)&lt;=profilKelas!$F$14,ROW(A35),"")</f>
        <v/>
      </c>
      <c r="C47" s="94" t="str">
        <f>IF(ISBLANK(identitasMurid!C40),"",identitasMurid!C40)</f>
        <v/>
      </c>
      <c r="D47" s="6" t="str">
        <f>IF(ISBLANK(identitasMurid!D40),"",identitasMurid!D40)</f>
        <v/>
      </c>
      <c r="E47" s="95"/>
      <c r="F47" s="95"/>
      <c r="G47" s="95"/>
      <c r="H47" s="95"/>
      <c r="I47" s="95"/>
      <c r="J47" s="95"/>
      <c r="K47" s="95"/>
      <c r="L47" s="95"/>
      <c r="M47" s="95"/>
      <c r="Q47" s="5" t="str">
        <f>IF(ROW(A35)&lt;=profilKelas!$F$14,ROW(A35),"")</f>
        <v/>
      </c>
      <c r="R47" s="12" t="str">
        <f t="shared" si="0"/>
        <v/>
      </c>
      <c r="S47" s="108" t="str">
        <f t="shared" si="4"/>
        <v/>
      </c>
      <c r="T47" s="108" t="str">
        <f t="shared" si="2"/>
        <v/>
      </c>
      <c r="U47" s="108" t="str">
        <f t="shared" si="6"/>
        <v/>
      </c>
      <c r="V47" s="108" t="str">
        <f t="shared" si="6"/>
        <v/>
      </c>
      <c r="W47" s="108" t="str">
        <f t="shared" si="6"/>
        <v/>
      </c>
      <c r="X47" s="108" t="str">
        <f t="shared" si="6"/>
        <v/>
      </c>
      <c r="Y47" s="108" t="str">
        <f t="shared" si="6"/>
        <v/>
      </c>
      <c r="Z47" s="108" t="str">
        <f t="shared" si="6"/>
        <v/>
      </c>
      <c r="AA47" s="108" t="str">
        <f t="shared" si="6"/>
        <v/>
      </c>
      <c r="AB47" s="108" t="str" cm="1">
        <f t="array" ref="AB47">IF(LEN($B47)=0,"",IF(LEN(C47)=0,"Nama Siswa Kosong",IF($E47="","Status Siswa Kosong",IF(S47&lt;&gt;"Aktif","Siswa Tidak Aktif",
IF(OR(U47:AA47="Belum mengisi"),"Belum mengisi",IF(AND(U47:AA47="Sudah terbiasa"),"Sudah terbiasa","Belum terbiasa"))))))</f>
        <v/>
      </c>
    </row>
    <row r="48" spans="2:43" hidden="1" x14ac:dyDescent="0.3">
      <c r="B48" s="4" t="str">
        <f>IF(ROW(A36)&lt;=profilKelas!$F$14,ROW(A36),"")</f>
        <v/>
      </c>
      <c r="C48" s="94" t="str">
        <f>IF(ISBLANK(identitasMurid!C41),"",identitasMurid!C41)</f>
        <v/>
      </c>
      <c r="D48" s="6" t="str">
        <f>IF(ISBLANK(identitasMurid!D41),"",identitasMurid!D41)</f>
        <v/>
      </c>
      <c r="E48" s="95"/>
      <c r="F48" s="95"/>
      <c r="G48" s="95"/>
      <c r="H48" s="95"/>
      <c r="I48" s="95"/>
      <c r="J48" s="95"/>
      <c r="K48" s="95"/>
      <c r="L48" s="95"/>
      <c r="M48" s="30"/>
      <c r="Q48" s="5" t="str">
        <f>IF(ROW(A36)&lt;=profilKelas!$F$14,ROW(A36),"")</f>
        <v/>
      </c>
      <c r="R48" s="12" t="str">
        <f t="shared" si="0"/>
        <v/>
      </c>
      <c r="S48" s="108" t="str">
        <f t="shared" si="4"/>
        <v/>
      </c>
      <c r="T48" s="108" t="str">
        <f t="shared" si="2"/>
        <v/>
      </c>
      <c r="U48" s="108" t="str">
        <f t="shared" si="6"/>
        <v/>
      </c>
      <c r="V48" s="108" t="str">
        <f t="shared" si="6"/>
        <v/>
      </c>
      <c r="W48" s="108" t="str">
        <f t="shared" si="6"/>
        <v/>
      </c>
      <c r="X48" s="108" t="str">
        <f t="shared" si="6"/>
        <v/>
      </c>
      <c r="Y48" s="108" t="str">
        <f t="shared" si="6"/>
        <v/>
      </c>
      <c r="Z48" s="108" t="str">
        <f t="shared" si="6"/>
        <v/>
      </c>
      <c r="AA48" s="108" t="str">
        <f t="shared" si="6"/>
        <v/>
      </c>
      <c r="AB48" s="108" t="str" cm="1">
        <f t="array" ref="AB48">IF(LEN($B48)=0,"",IF(LEN(C48)=0,"Nama Siswa Kosong",IF($E48="","Status Siswa Kosong",IF(S48&lt;&gt;"Aktif","Siswa Tidak Aktif",
IF(OR(U48:AA48="Belum mengisi"),"Belum mengisi",IF(AND(U48:AA48="Sudah terbiasa"),"Sudah terbiasa","Belum terbiasa"))))))</f>
        <v/>
      </c>
    </row>
    <row r="49" spans="2:28" hidden="1" x14ac:dyDescent="0.3">
      <c r="B49" s="4" t="str">
        <f>IF(ROW(A37)&lt;=profilKelas!$F$14,ROW(A37),"")</f>
        <v/>
      </c>
      <c r="C49" s="94" t="str">
        <f>IF(ISBLANK(identitasMurid!C42),"",identitasMurid!C42)</f>
        <v/>
      </c>
      <c r="D49" s="6" t="str">
        <f>IF(ISBLANK(identitasMurid!D42),"",identitasMurid!D42)</f>
        <v/>
      </c>
      <c r="E49" s="95"/>
      <c r="F49" s="95"/>
      <c r="G49" s="95"/>
      <c r="H49" s="95"/>
      <c r="I49" s="95"/>
      <c r="J49" s="95"/>
      <c r="K49" s="95"/>
      <c r="L49" s="95"/>
      <c r="M49" s="30"/>
      <c r="Q49" s="5" t="str">
        <f>IF(ROW(A37)&lt;=profilKelas!$F$14,ROW(A37),"")</f>
        <v/>
      </c>
      <c r="R49" s="12" t="str">
        <f t="shared" si="0"/>
        <v/>
      </c>
      <c r="S49" s="108" t="str">
        <f t="shared" si="4"/>
        <v/>
      </c>
      <c r="T49" s="108" t="str">
        <f t="shared" si="2"/>
        <v/>
      </c>
      <c r="U49" s="108" t="str">
        <f t="shared" si="6"/>
        <v/>
      </c>
      <c r="V49" s="108" t="str">
        <f t="shared" si="6"/>
        <v/>
      </c>
      <c r="W49" s="108" t="str">
        <f t="shared" si="6"/>
        <v/>
      </c>
      <c r="X49" s="108" t="str">
        <f t="shared" si="6"/>
        <v/>
      </c>
      <c r="Y49" s="108" t="str">
        <f t="shared" si="6"/>
        <v/>
      </c>
      <c r="Z49" s="108" t="str">
        <f t="shared" si="6"/>
        <v/>
      </c>
      <c r="AA49" s="108" t="str">
        <f t="shared" si="6"/>
        <v/>
      </c>
      <c r="AB49" s="108" t="str" cm="1">
        <f t="array" ref="AB49">IF(LEN($B49)=0,"",IF(LEN(C49)=0,"Nama Siswa Kosong",IF($E49="","Status Siswa Kosong",IF(S49&lt;&gt;"Aktif","Siswa Tidak Aktif",
IF(OR(U49:AA49="Belum mengisi"),"Belum mengisi",IF(AND(U49:AA49="Sudah terbiasa"),"Sudah terbiasa","Belum terbiasa"))))))</f>
        <v/>
      </c>
    </row>
    <row r="50" spans="2:28" hidden="1" x14ac:dyDescent="0.3">
      <c r="B50" s="4" t="str">
        <f>IF(ROW(A38)&lt;=profilKelas!$F$14,ROW(A38),"")</f>
        <v/>
      </c>
      <c r="C50" s="94" t="str">
        <f>IF(ISBLANK(identitasMurid!C43),"",identitasMurid!C43)</f>
        <v/>
      </c>
      <c r="D50" s="6" t="str">
        <f>IF(ISBLANK(identitasMurid!D43),"",identitasMurid!D43)</f>
        <v/>
      </c>
      <c r="E50" s="95"/>
      <c r="F50" s="95"/>
      <c r="G50" s="95"/>
      <c r="H50" s="95"/>
      <c r="I50" s="95"/>
      <c r="J50" s="95"/>
      <c r="K50" s="95"/>
      <c r="L50" s="95"/>
      <c r="M50" s="30"/>
      <c r="Q50" s="5" t="str">
        <f>IF(ROW(A38)&lt;=profilKelas!$F$14,ROW(A38),"")</f>
        <v/>
      </c>
      <c r="R50" s="12" t="str">
        <f t="shared" si="0"/>
        <v/>
      </c>
      <c r="S50" s="108" t="str">
        <f t="shared" si="4"/>
        <v/>
      </c>
      <c r="T50" s="108" t="str">
        <f t="shared" si="2"/>
        <v/>
      </c>
      <c r="U50" s="108" t="str">
        <f t="shared" si="6"/>
        <v/>
      </c>
      <c r="V50" s="108" t="str">
        <f t="shared" si="6"/>
        <v/>
      </c>
      <c r="W50" s="108" t="str">
        <f t="shared" si="6"/>
        <v/>
      </c>
      <c r="X50" s="108" t="str">
        <f t="shared" si="6"/>
        <v/>
      </c>
      <c r="Y50" s="108" t="str">
        <f t="shared" si="6"/>
        <v/>
      </c>
      <c r="Z50" s="108" t="str">
        <f t="shared" si="6"/>
        <v/>
      </c>
      <c r="AA50" s="108" t="str">
        <f t="shared" si="6"/>
        <v/>
      </c>
      <c r="AB50" s="108" t="str" cm="1">
        <f t="array" ref="AB50">IF(LEN($B50)=0,"",IF(LEN(C50)=0,"Nama Siswa Kosong",IF($E50="","Status Siswa Kosong",IF(S50&lt;&gt;"Aktif","Siswa Tidak Aktif",
IF(OR(U50:AA50="Belum mengisi"),"Belum mengisi",IF(AND(U50:AA50="Sudah terbiasa"),"Sudah terbiasa","Belum terbiasa"))))))</f>
        <v/>
      </c>
    </row>
    <row r="51" spans="2:28" hidden="1" x14ac:dyDescent="0.3">
      <c r="B51" s="4" t="str">
        <f>IF(ROW(A39)&lt;=profilKelas!$F$14,ROW(A39),"")</f>
        <v/>
      </c>
      <c r="C51" s="94" t="str">
        <f>IF(ISBLANK(identitasMurid!C44),"",identitasMurid!C44)</f>
        <v/>
      </c>
      <c r="D51" s="6" t="str">
        <f>IF(ISBLANK(identitasMurid!D44),"",identitasMurid!D44)</f>
        <v/>
      </c>
      <c r="E51" s="95"/>
      <c r="F51" s="95"/>
      <c r="G51" s="95"/>
      <c r="H51" s="95"/>
      <c r="I51" s="95"/>
      <c r="J51" s="95"/>
      <c r="K51" s="95"/>
      <c r="L51" s="95"/>
      <c r="M51" s="30"/>
      <c r="Q51" s="5" t="str">
        <f>IF(ROW(A39)&lt;=profilKelas!$F$14,ROW(A39),"")</f>
        <v/>
      </c>
      <c r="R51" s="12" t="str">
        <f t="shared" si="0"/>
        <v/>
      </c>
      <c r="S51" s="108" t="str">
        <f t="shared" si="4"/>
        <v/>
      </c>
      <c r="T51" s="108" t="str">
        <f t="shared" si="2"/>
        <v/>
      </c>
      <c r="U51" s="108" t="str">
        <f t="shared" si="6"/>
        <v/>
      </c>
      <c r="V51" s="108" t="str">
        <f t="shared" si="6"/>
        <v/>
      </c>
      <c r="W51" s="108" t="str">
        <f t="shared" si="6"/>
        <v/>
      </c>
      <c r="X51" s="108" t="str">
        <f t="shared" si="6"/>
        <v/>
      </c>
      <c r="Y51" s="108" t="str">
        <f t="shared" si="6"/>
        <v/>
      </c>
      <c r="Z51" s="108" t="str">
        <f t="shared" si="6"/>
        <v/>
      </c>
      <c r="AA51" s="108" t="str">
        <f t="shared" si="6"/>
        <v/>
      </c>
      <c r="AB51" s="108" t="str" cm="1">
        <f t="array" ref="AB51">IF(LEN($B51)=0,"",IF(LEN(C51)=0,"Nama Siswa Kosong",IF($E51="","Status Siswa Kosong",IF(S51&lt;&gt;"Aktif","Siswa Tidak Aktif",
IF(OR(U51:AA51="Belum mengisi"),"Belum mengisi",IF(AND(U51:AA51="Sudah terbiasa"),"Sudah terbiasa","Belum terbiasa"))))))</f>
        <v/>
      </c>
    </row>
    <row r="52" spans="2:28" hidden="1" x14ac:dyDescent="0.3">
      <c r="B52" s="4" t="str">
        <f>IF(ROW(A40)&lt;=profilKelas!$F$14,ROW(A40),"")</f>
        <v/>
      </c>
      <c r="C52" s="94" t="str">
        <f>IF(ISBLANK(identitasMurid!C45),"",identitasMurid!C45)</f>
        <v/>
      </c>
      <c r="D52" s="6" t="str">
        <f>IF(ISBLANK(identitasMurid!D45),"",identitasMurid!D45)</f>
        <v/>
      </c>
      <c r="E52" s="95"/>
      <c r="F52" s="95"/>
      <c r="G52" s="95"/>
      <c r="H52" s="95"/>
      <c r="I52" s="95"/>
      <c r="J52" s="95"/>
      <c r="K52" s="95"/>
      <c r="L52" s="95"/>
      <c r="M52" s="30"/>
      <c r="Q52" s="5" t="str">
        <f>IF(ROW(A40)&lt;=profilKelas!$F$14,ROW(A40),"")</f>
        <v/>
      </c>
      <c r="R52" s="12" t="str">
        <f t="shared" si="0"/>
        <v/>
      </c>
      <c r="S52" s="108" t="str">
        <f t="shared" si="4"/>
        <v/>
      </c>
      <c r="T52" s="108" t="str">
        <f t="shared" si="2"/>
        <v/>
      </c>
      <c r="U52" s="108" t="str">
        <f t="shared" si="6"/>
        <v/>
      </c>
      <c r="V52" s="108" t="str">
        <f t="shared" si="6"/>
        <v/>
      </c>
      <c r="W52" s="108" t="str">
        <f t="shared" si="6"/>
        <v/>
      </c>
      <c r="X52" s="108" t="str">
        <f t="shared" si="6"/>
        <v/>
      </c>
      <c r="Y52" s="108" t="str">
        <f t="shared" si="6"/>
        <v/>
      </c>
      <c r="Z52" s="108" t="str">
        <f t="shared" si="6"/>
        <v/>
      </c>
      <c r="AA52" s="108" t="str">
        <f t="shared" si="6"/>
        <v/>
      </c>
      <c r="AB52" s="108" t="str" cm="1">
        <f t="array" ref="AB52">IF(LEN($B52)=0,"",IF(LEN(C52)=0,"Nama Siswa Kosong",IF($E52="","Status Siswa Kosong",IF(S52&lt;&gt;"Aktif","Siswa Tidak Aktif",
IF(OR(U52:AA52="Belum mengisi"),"Belum mengisi",IF(AND(U52:AA52="Sudah terbiasa"),"Sudah terbiasa","Belum terbiasa"))))))</f>
        <v/>
      </c>
    </row>
    <row r="53" spans="2:28" hidden="1" x14ac:dyDescent="0.3">
      <c r="B53" s="4" t="str">
        <f>IF(ROW(A41)&lt;=profilKelas!$F$14,ROW(A41),"")</f>
        <v/>
      </c>
      <c r="C53" s="94" t="str">
        <f>IF(ISBLANK(identitasMurid!C46),"",identitasMurid!C46)</f>
        <v/>
      </c>
      <c r="D53" s="6" t="str">
        <f>IF(ISBLANK(identitasMurid!D46),"",identitasMurid!D46)</f>
        <v/>
      </c>
      <c r="E53" s="95"/>
      <c r="F53" s="95"/>
      <c r="G53" s="95"/>
      <c r="H53" s="95"/>
      <c r="I53" s="95"/>
      <c r="J53" s="95"/>
      <c r="K53" s="95"/>
      <c r="L53" s="95"/>
      <c r="M53" s="30"/>
      <c r="Q53" s="5" t="str">
        <f>IF(ROW(A41)&lt;=profilKelas!$F$14,ROW(A41),"")</f>
        <v/>
      </c>
      <c r="R53" s="12" t="str">
        <f t="shared" si="0"/>
        <v/>
      </c>
      <c r="S53" s="108" t="str">
        <f t="shared" si="4"/>
        <v/>
      </c>
      <c r="T53" s="108" t="str">
        <f t="shared" si="2"/>
        <v/>
      </c>
      <c r="U53" s="108" t="str">
        <f t="shared" si="6"/>
        <v/>
      </c>
      <c r="V53" s="108" t="str">
        <f t="shared" si="6"/>
        <v/>
      </c>
      <c r="W53" s="108" t="str">
        <f t="shared" si="6"/>
        <v/>
      </c>
      <c r="X53" s="108" t="str">
        <f t="shared" si="6"/>
        <v/>
      </c>
      <c r="Y53" s="108" t="str">
        <f t="shared" si="6"/>
        <v/>
      </c>
      <c r="Z53" s="108" t="str">
        <f t="shared" si="6"/>
        <v/>
      </c>
      <c r="AA53" s="108" t="str">
        <f t="shared" si="6"/>
        <v/>
      </c>
      <c r="AB53" s="108" t="str" cm="1">
        <f t="array" ref="AB53">IF(LEN($B53)=0,"",IF(LEN(C53)=0,"Nama Siswa Kosong",IF($E53="","Status Siswa Kosong",IF(S53&lt;&gt;"Aktif","Siswa Tidak Aktif",
IF(OR(U53:AA53="Belum mengisi"),"Belum mengisi",IF(AND(U53:AA53="Sudah terbiasa"),"Sudah terbiasa","Belum terbiasa"))))))</f>
        <v/>
      </c>
    </row>
    <row r="54" spans="2:28" hidden="1" x14ac:dyDescent="0.3">
      <c r="B54" s="4" t="str">
        <f>IF(ROW(A42)&lt;=profilKelas!$F$14,ROW(A42),"")</f>
        <v/>
      </c>
      <c r="C54" s="94" t="str">
        <f>IF(ISBLANK(identitasMurid!C47),"",identitasMurid!C47)</f>
        <v/>
      </c>
      <c r="D54" s="6" t="str">
        <f>IF(ISBLANK(identitasMurid!D47),"",identitasMurid!D47)</f>
        <v/>
      </c>
      <c r="E54" s="95"/>
      <c r="F54" s="95"/>
      <c r="G54" s="95"/>
      <c r="H54" s="95"/>
      <c r="I54" s="95"/>
      <c r="J54" s="95"/>
      <c r="K54" s="95"/>
      <c r="L54" s="95"/>
      <c r="M54" s="30"/>
      <c r="Q54" s="5" t="str">
        <f>IF(ROW(A42)&lt;=profilKelas!$F$14,ROW(A42),"")</f>
        <v/>
      </c>
      <c r="R54" s="12" t="str">
        <f t="shared" si="0"/>
        <v/>
      </c>
      <c r="S54" s="108" t="str">
        <f t="shared" si="4"/>
        <v/>
      </c>
      <c r="T54" s="108" t="str">
        <f t="shared" si="2"/>
        <v/>
      </c>
      <c r="U54" s="108" t="str">
        <f t="shared" si="6"/>
        <v/>
      </c>
      <c r="V54" s="108" t="str">
        <f t="shared" si="6"/>
        <v/>
      </c>
      <c r="W54" s="108" t="str">
        <f t="shared" si="6"/>
        <v/>
      </c>
      <c r="X54" s="108" t="str">
        <f t="shared" si="6"/>
        <v/>
      </c>
      <c r="Y54" s="108" t="str">
        <f t="shared" si="6"/>
        <v/>
      </c>
      <c r="Z54" s="108" t="str">
        <f t="shared" si="6"/>
        <v/>
      </c>
      <c r="AA54" s="108" t="str">
        <f t="shared" si="6"/>
        <v/>
      </c>
      <c r="AB54" s="108" t="str" cm="1">
        <f t="array" ref="AB54">IF(LEN($B54)=0,"",IF(LEN(C54)=0,"Nama Siswa Kosong",IF($E54="","Status Siswa Kosong",IF(S54&lt;&gt;"Aktif","Siswa Tidak Aktif",
IF(OR(U54:AA54="Belum mengisi"),"Belum mengisi",IF(AND(U54:AA54="Sudah terbiasa"),"Sudah terbiasa","Belum terbiasa"))))))</f>
        <v/>
      </c>
    </row>
    <row r="55" spans="2:28" hidden="1" x14ac:dyDescent="0.3">
      <c r="B55" s="4" t="str">
        <f>IF(ROW(A43)&lt;=profilKelas!$F$14,ROW(A43),"")</f>
        <v/>
      </c>
      <c r="C55" s="94" t="str">
        <f>IF(ISBLANK(identitasMurid!C48),"",identitasMurid!C48)</f>
        <v/>
      </c>
      <c r="D55" s="6" t="str">
        <f>IF(ISBLANK(identitasMurid!D48),"",identitasMurid!D48)</f>
        <v/>
      </c>
      <c r="E55" s="95"/>
      <c r="F55" s="95"/>
      <c r="G55" s="95"/>
      <c r="H55" s="95"/>
      <c r="I55" s="95"/>
      <c r="J55" s="95"/>
      <c r="K55" s="95"/>
      <c r="L55" s="95"/>
      <c r="M55" s="30"/>
      <c r="Q55" s="5" t="str">
        <f>IF(ROW(A43)&lt;=profilKelas!$F$14,ROW(A43),"")</f>
        <v/>
      </c>
      <c r="R55" s="12" t="str">
        <f t="shared" si="0"/>
        <v/>
      </c>
      <c r="S55" s="108" t="str">
        <f t="shared" si="4"/>
        <v/>
      </c>
      <c r="T55" s="108" t="str">
        <f t="shared" si="2"/>
        <v/>
      </c>
      <c r="U55" s="108" t="str">
        <f t="shared" si="6"/>
        <v/>
      </c>
      <c r="V55" s="108" t="str">
        <f t="shared" si="6"/>
        <v/>
      </c>
      <c r="W55" s="108" t="str">
        <f t="shared" si="6"/>
        <v/>
      </c>
      <c r="X55" s="108" t="str">
        <f t="shared" si="6"/>
        <v/>
      </c>
      <c r="Y55" s="108" t="str">
        <f t="shared" si="6"/>
        <v/>
      </c>
      <c r="Z55" s="108" t="str">
        <f t="shared" si="6"/>
        <v/>
      </c>
      <c r="AA55" s="108" t="str">
        <f t="shared" si="6"/>
        <v/>
      </c>
      <c r="AB55" s="108" t="str" cm="1">
        <f t="array" ref="AB55">IF(LEN($B55)=0,"",IF(LEN(C55)=0,"Nama Siswa Kosong",IF($E55="","Status Siswa Kosong",IF(S55&lt;&gt;"Aktif","Siswa Tidak Aktif",
IF(OR(U55:AA55="Belum mengisi"),"Belum mengisi",IF(AND(U55:AA55="Sudah terbiasa"),"Sudah terbiasa","Belum terbiasa"))))))</f>
        <v/>
      </c>
    </row>
    <row r="56" spans="2:28" hidden="1" x14ac:dyDescent="0.3">
      <c r="B56" s="4" t="str">
        <f>IF(ROW(A44)&lt;=profilKelas!$F$14,ROW(A44),"")</f>
        <v/>
      </c>
      <c r="C56" s="94" t="str">
        <f>IF(ISBLANK(identitasMurid!C49),"",identitasMurid!C49)</f>
        <v/>
      </c>
      <c r="D56" s="6" t="str">
        <f>IF(ISBLANK(identitasMurid!D49),"",identitasMurid!D49)</f>
        <v/>
      </c>
      <c r="E56" s="95"/>
      <c r="F56" s="95"/>
      <c r="G56" s="95"/>
      <c r="H56" s="95"/>
      <c r="I56" s="95"/>
      <c r="J56" s="95"/>
      <c r="K56" s="95"/>
      <c r="L56" s="95"/>
      <c r="M56" s="30"/>
      <c r="Q56" s="5" t="str">
        <f>IF(ROW(A44)&lt;=profilKelas!$F$14,ROW(A44),"")</f>
        <v/>
      </c>
      <c r="R56" s="12" t="str">
        <f t="shared" si="0"/>
        <v/>
      </c>
      <c r="S56" s="108" t="str">
        <f t="shared" si="4"/>
        <v/>
      </c>
      <c r="T56" s="108" t="str">
        <f t="shared" si="2"/>
        <v/>
      </c>
      <c r="U56" s="108" t="str">
        <f t="shared" si="6"/>
        <v/>
      </c>
      <c r="V56" s="108" t="str">
        <f t="shared" si="6"/>
        <v/>
      </c>
      <c r="W56" s="108" t="str">
        <f t="shared" si="6"/>
        <v/>
      </c>
      <c r="X56" s="108" t="str">
        <f t="shared" si="6"/>
        <v/>
      </c>
      <c r="Y56" s="108" t="str">
        <f t="shared" si="6"/>
        <v/>
      </c>
      <c r="Z56" s="108" t="str">
        <f t="shared" si="6"/>
        <v/>
      </c>
      <c r="AA56" s="108" t="str">
        <f t="shared" si="6"/>
        <v/>
      </c>
      <c r="AB56" s="108" t="str" cm="1">
        <f t="array" ref="AB56">IF(LEN($B56)=0,"",IF(LEN(C56)=0,"Nama Siswa Kosong",IF($E56="","Status Siswa Kosong",IF(S56&lt;&gt;"Aktif","Siswa Tidak Aktif",
IF(OR(U56:AA56="Belum mengisi"),"Belum mengisi",IF(AND(U56:AA56="Sudah terbiasa"),"Sudah terbiasa","Belum terbiasa"))))))</f>
        <v/>
      </c>
    </row>
    <row r="57" spans="2:28" hidden="1" x14ac:dyDescent="0.3">
      <c r="B57" s="4" t="str">
        <f>IF(ROW(A45)&lt;=profilKelas!$F$14,ROW(A45),"")</f>
        <v/>
      </c>
      <c r="C57" s="94" t="str">
        <f>IF(ISBLANK(identitasMurid!C50),"",identitasMurid!C50)</f>
        <v/>
      </c>
      <c r="D57" s="6" t="str">
        <f>IF(ISBLANK(identitasMurid!D50),"",identitasMurid!D50)</f>
        <v/>
      </c>
      <c r="E57" s="95"/>
      <c r="F57" s="95"/>
      <c r="G57" s="95"/>
      <c r="H57" s="95"/>
      <c r="I57" s="95"/>
      <c r="J57" s="95"/>
      <c r="K57" s="95"/>
      <c r="L57" s="95"/>
      <c r="M57" s="30"/>
      <c r="Q57" s="5" t="str">
        <f>IF(ROW(A45)&lt;=profilKelas!$F$14,ROW(A45),"")</f>
        <v/>
      </c>
      <c r="R57" s="12" t="str">
        <f t="shared" si="0"/>
        <v/>
      </c>
      <c r="S57" s="108" t="str">
        <f t="shared" si="4"/>
        <v/>
      </c>
      <c r="T57" s="108" t="str">
        <f t="shared" si="2"/>
        <v/>
      </c>
      <c r="U57" s="108" t="str">
        <f t="shared" si="6"/>
        <v/>
      </c>
      <c r="V57" s="108" t="str">
        <f t="shared" si="6"/>
        <v/>
      </c>
      <c r="W57" s="108" t="str">
        <f t="shared" si="6"/>
        <v/>
      </c>
      <c r="X57" s="108" t="str">
        <f t="shared" si="6"/>
        <v/>
      </c>
      <c r="Y57" s="108" t="str">
        <f t="shared" si="6"/>
        <v/>
      </c>
      <c r="Z57" s="108" t="str">
        <f t="shared" si="6"/>
        <v/>
      </c>
      <c r="AA57" s="108" t="str">
        <f t="shared" si="6"/>
        <v/>
      </c>
      <c r="AB57" s="108" t="str" cm="1">
        <f t="array" ref="AB57">IF(LEN($B57)=0,"",IF(LEN(C57)=0,"Nama Siswa Kosong",IF($E57="","Status Siswa Kosong",IF(S57&lt;&gt;"Aktif","Siswa Tidak Aktif",
IF(OR(U57:AA57="Belum mengisi"),"Belum mengisi",IF(AND(U57:AA57="Sudah terbiasa"),"Sudah terbiasa","Belum terbiasa"))))))</f>
        <v/>
      </c>
    </row>
    <row r="58" spans="2:28" x14ac:dyDescent="0.3"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</row>
    <row r="59" spans="2:28" ht="16.2" x14ac:dyDescent="0.35">
      <c r="B59" s="13"/>
      <c r="C59" s="71"/>
      <c r="D59" s="71" t="s">
        <v>15</v>
      </c>
      <c r="E59" s="13"/>
      <c r="F59" s="13"/>
      <c r="G59" s="13"/>
      <c r="H59" s="13"/>
      <c r="I59" s="13"/>
      <c r="J59" s="13"/>
      <c r="K59" s="13" t="str">
        <f>profilKelas!F9&amp;", "&amp;O60</f>
        <v>, 30 November 2025</v>
      </c>
      <c r="L59" s="13"/>
      <c r="M59" s="13"/>
      <c r="O59" s="31" t="s">
        <v>860</v>
      </c>
      <c r="Q59" s="13"/>
      <c r="R59" s="13"/>
      <c r="S59" s="13" t="s">
        <v>15</v>
      </c>
      <c r="T59" s="13"/>
      <c r="U59" s="13"/>
      <c r="V59" s="13"/>
      <c r="W59" s="13"/>
      <c r="X59" s="13"/>
      <c r="Y59" s="13"/>
      <c r="Z59" s="13" t="str">
        <f>profilKelas!F9&amp;", "&amp;O60</f>
        <v>, 30 November 2025</v>
      </c>
      <c r="AA59" s="13"/>
      <c r="AB59" s="13"/>
    </row>
    <row r="60" spans="2:28" x14ac:dyDescent="0.3">
      <c r="B60" s="13"/>
      <c r="C60" s="71"/>
      <c r="D60" s="71" t="str">
        <f>IF(ISBLANK(profilKelas!B10),"",SUBSTITUTE(profilKelas!B10,"Nama ",""))</f>
        <v>Kepala Sekolah</v>
      </c>
      <c r="E60" s="13"/>
      <c r="F60" s="13"/>
      <c r="G60" s="13"/>
      <c r="H60" s="13"/>
      <c r="I60" s="13"/>
      <c r="J60" s="13"/>
      <c r="K60" s="13" t="str">
        <f>SUBSTITUTE(profilKelas!B15,"Nama ","")&amp;","</f>
        <v>Guru Wali Kelas,</v>
      </c>
      <c r="L60" s="13"/>
      <c r="M60" s="13"/>
      <c r="O60" s="100" t="s">
        <v>909</v>
      </c>
      <c r="Q60" s="13"/>
      <c r="R60" s="13"/>
      <c r="S60" s="13" t="str">
        <f>IF(ISBLANK(profilKelas!B10),"",profilKelas!B10)</f>
        <v>Nama Kepala Sekolah</v>
      </c>
      <c r="T60" s="13"/>
      <c r="U60" s="13"/>
      <c r="V60" s="13"/>
      <c r="W60" s="13"/>
      <c r="X60" s="13"/>
      <c r="Y60" s="13"/>
      <c r="Z60" s="13" t="str">
        <f>SUBSTITUTE(profilKelas!B15,"Nama ","")&amp;","</f>
        <v>Guru Wali Kelas,</v>
      </c>
      <c r="AA60" s="13"/>
      <c r="AB60" s="13"/>
    </row>
    <row r="61" spans="2:28" x14ac:dyDescent="0.3"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</row>
    <row r="62" spans="2:28" x14ac:dyDescent="0.3"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</row>
    <row r="63" spans="2:28" x14ac:dyDescent="0.3"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</row>
    <row r="64" spans="2:28" x14ac:dyDescent="0.3">
      <c r="B64" s="13"/>
      <c r="C64" s="13"/>
      <c r="D64" s="101" t="str">
        <f>IF(ISBLANK(profilKelas!F10),"",profilKelas!F10)</f>
        <v/>
      </c>
      <c r="E64" s="13"/>
      <c r="F64" s="13"/>
      <c r="G64" s="13"/>
      <c r="H64" s="13"/>
      <c r="I64" s="13"/>
      <c r="J64" s="13"/>
      <c r="K64" s="101" t="str">
        <f>IF(LEN(profilKelas!F15)=0,"",profilKelas!F15)</f>
        <v/>
      </c>
      <c r="L64" s="13"/>
      <c r="M64" s="13"/>
      <c r="Q64" s="13"/>
      <c r="R64" s="13"/>
      <c r="S64" s="101" t="str">
        <f>IF(ISBLANK(profilKelas!F10),"",profilKelas!F10)</f>
        <v/>
      </c>
      <c r="T64" s="13"/>
      <c r="U64" s="13"/>
      <c r="V64" s="13"/>
      <c r="W64" s="13"/>
      <c r="X64" s="13"/>
      <c r="Y64" s="13"/>
      <c r="Z64" s="101">
        <f>profilKelas!F15</f>
        <v>0</v>
      </c>
      <c r="AA64" s="13"/>
      <c r="AB64" s="13"/>
    </row>
    <row r="65" spans="2:28" x14ac:dyDescent="0.3">
      <c r="B65" s="13"/>
      <c r="C65" s="13"/>
      <c r="D65" s="13" t="str">
        <f>"NIP. "&amp;profilKelas!F11</f>
        <v xml:space="preserve">NIP. </v>
      </c>
      <c r="E65" s="13"/>
      <c r="F65" s="13"/>
      <c r="G65" s="13"/>
      <c r="H65" s="13"/>
      <c r="I65" s="13"/>
      <c r="J65" s="13"/>
      <c r="K65" s="13" t="str">
        <f>"NIP. "&amp;profilKelas!F16</f>
        <v xml:space="preserve">NIP. </v>
      </c>
      <c r="L65" s="13"/>
      <c r="M65" s="13"/>
      <c r="Q65" s="13"/>
      <c r="R65" s="13"/>
      <c r="S65" s="13" t="str">
        <f>"NIP. "&amp;profilKelas!F11</f>
        <v xml:space="preserve">NIP. </v>
      </c>
      <c r="T65" s="13"/>
      <c r="U65" s="13"/>
      <c r="V65" s="13"/>
      <c r="W65" s="13"/>
      <c r="X65" s="13"/>
      <c r="Y65" s="13"/>
      <c r="Z65" s="13" t="str">
        <f>"NIP. "&amp;profilKelas!F16</f>
        <v xml:space="preserve">NIP. </v>
      </c>
      <c r="AA65" s="13"/>
      <c r="AB65" s="13"/>
    </row>
    <row r="66" spans="2:28" x14ac:dyDescent="0.3"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</row>
    <row r="67" spans="2:28" x14ac:dyDescent="0.3">
      <c r="B67" s="13"/>
      <c r="C67" s="102" t="s">
        <v>10</v>
      </c>
      <c r="D67" s="71" t="s">
        <v>609</v>
      </c>
      <c r="E67" s="13"/>
      <c r="F67" s="13"/>
      <c r="G67" s="13"/>
      <c r="H67" s="13"/>
      <c r="I67" s="13"/>
      <c r="J67" s="13"/>
      <c r="K67" s="13"/>
      <c r="L67" s="13"/>
      <c r="M67" s="13"/>
      <c r="Q67" s="13"/>
      <c r="R67" s="102" t="s">
        <v>10</v>
      </c>
      <c r="S67" s="71" t="s">
        <v>609</v>
      </c>
      <c r="T67" s="13"/>
      <c r="U67" s="13"/>
      <c r="V67" s="13"/>
      <c r="W67" s="13"/>
      <c r="X67" s="13"/>
      <c r="Y67" s="13"/>
      <c r="Z67" s="13"/>
      <c r="AA67" s="13"/>
      <c r="AB67" s="13"/>
    </row>
    <row r="68" spans="2:28" ht="15.6" customHeight="1" x14ac:dyDescent="0.3"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63">
        <f>SUBTOTAL(109,N69)</f>
        <v>0</v>
      </c>
      <c r="O68" s="63" t="str">
        <f>IF(N68=0,"ATUR HALAMAN","TAMPILAN NORMAL")</f>
        <v>ATUR HALAMAN</v>
      </c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</row>
    <row r="69" spans="2:28" hidden="1" x14ac:dyDescent="0.3">
      <c r="N69" s="7">
        <v>1</v>
      </c>
    </row>
  </sheetData>
  <sheetProtection algorithmName="SHA-512" hashValue="HRUNXs9IjWGurUHWxluMhGKfb/XgnA9T1nixKD5vIr7rJJ50hEDra4Op/yqBcPtPN3cqp2aLQCRm9wK1GcgJSg==" saltValue="NX1EW4f4say9fqDZgt1Dpw==" spinCount="100000" sheet="1" objects="1" scenarios="1" formatCells="0" formatColumns="0" formatRows="0" insertColumns="0" insertRows="0" insertHyperlinks="0" deleteColumns="0" deleteRows="0" autoFilter="0"/>
  <mergeCells count="41">
    <mergeCell ref="AL14:AQ18"/>
    <mergeCell ref="AG15:AH15"/>
    <mergeCell ref="AI15:AJ15"/>
    <mergeCell ref="AD18:AE18"/>
    <mergeCell ref="B6:M6"/>
    <mergeCell ref="Q6:AB6"/>
    <mergeCell ref="AD6:AQ7"/>
    <mergeCell ref="B10:B12"/>
    <mergeCell ref="C10:C12"/>
    <mergeCell ref="D10:D12"/>
    <mergeCell ref="E10:E12"/>
    <mergeCell ref="M10:M12"/>
    <mergeCell ref="AE24:AF24"/>
    <mergeCell ref="AD14:AD15"/>
    <mergeCell ref="AE14:AE15"/>
    <mergeCell ref="AF14:AF15"/>
    <mergeCell ref="AG14:AJ14"/>
    <mergeCell ref="AG21:AJ21"/>
    <mergeCell ref="AE22:AF22"/>
    <mergeCell ref="AG22:AH22"/>
    <mergeCell ref="AI22:AJ22"/>
    <mergeCell ref="AE23:AF23"/>
    <mergeCell ref="AE25:AF25"/>
    <mergeCell ref="AE26:AF26"/>
    <mergeCell ref="AE27:AF27"/>
    <mergeCell ref="AE28:AF28"/>
    <mergeCell ref="AE29:AF29"/>
    <mergeCell ref="AK31:AN31"/>
    <mergeCell ref="AE32:AF32"/>
    <mergeCell ref="AG32:AH32"/>
    <mergeCell ref="AI32:AJ32"/>
    <mergeCell ref="AK32:AL32"/>
    <mergeCell ref="AM32:AN32"/>
    <mergeCell ref="AG31:AJ31"/>
    <mergeCell ref="AE39:AF39"/>
    <mergeCell ref="AE33:AF33"/>
    <mergeCell ref="AE34:AF34"/>
    <mergeCell ref="AE35:AF35"/>
    <mergeCell ref="AE36:AF36"/>
    <mergeCell ref="AE37:AF37"/>
    <mergeCell ref="AE38:AF38"/>
  </mergeCells>
  <conditionalFormatting sqref="F17:F57">
    <cfRule type="expression" dxfId="111" priority="17">
      <formula>AND($C17="",$F17="")</formula>
    </cfRule>
  </conditionalFormatting>
  <conditionalFormatting sqref="E17:M57 B13:C57 M13:M16">
    <cfRule type="expression" dxfId="110" priority="16">
      <formula>$B13&lt;&gt;""</formula>
    </cfRule>
  </conditionalFormatting>
  <conditionalFormatting sqref="D13:D57">
    <cfRule type="expression" dxfId="109" priority="15">
      <formula>$B13&lt;&gt;""</formula>
    </cfRule>
  </conditionalFormatting>
  <conditionalFormatting sqref="R13:T57">
    <cfRule type="expression" dxfId="108" priority="14">
      <formula>$Q13&lt;&gt;""</formula>
    </cfRule>
  </conditionalFormatting>
  <conditionalFormatting sqref="Q13">
    <cfRule type="expression" dxfId="107" priority="13">
      <formula>$B13&lt;&gt;""</formula>
    </cfRule>
  </conditionalFormatting>
  <conditionalFormatting sqref="U13:AA57">
    <cfRule type="containsText" dxfId="106" priority="10" operator="containsText" text="Belum terbiasa">
      <formula>NOT(ISERROR(SEARCH("Belum terbiasa",U13)))</formula>
    </cfRule>
    <cfRule type="containsText" dxfId="105" priority="11" operator="containsText" text="Sudah terbiasa">
      <formula>NOT(ISERROR(SEARCH("Sudah terbiasa",U13)))</formula>
    </cfRule>
    <cfRule type="containsText" dxfId="104" priority="12" operator="containsText" text="Belum mengisi">
      <formula>NOT(ISERROR(SEARCH("Belum mengisi",U13)))</formula>
    </cfRule>
  </conditionalFormatting>
  <conditionalFormatting sqref="AB13:AB57">
    <cfRule type="containsText" dxfId="103" priority="7" operator="containsText" text="mengisi">
      <formula>NOT(ISERROR(SEARCH("mengisi",AB13)))</formula>
    </cfRule>
    <cfRule type="containsText" dxfId="102" priority="8" operator="containsText" text="Belum terbiasa">
      <formula>NOT(ISERROR(SEARCH("Belum terbiasa",AB13)))</formula>
    </cfRule>
    <cfRule type="containsText" dxfId="101" priority="9" operator="containsText" text="Sudah terbiasa">
      <formula>NOT(ISERROR(SEARCH("Sudah terbiasa",AB13)))</formula>
    </cfRule>
  </conditionalFormatting>
  <conditionalFormatting sqref="Q14:Q57">
    <cfRule type="expression" dxfId="100" priority="6">
      <formula>$B14&lt;&gt;""</formula>
    </cfRule>
  </conditionalFormatting>
  <conditionalFormatting sqref="F13:L16">
    <cfRule type="expression" dxfId="99" priority="2">
      <formula>AND($C13="",$F13="")</formula>
    </cfRule>
  </conditionalFormatting>
  <conditionalFormatting sqref="E13:L16">
    <cfRule type="expression" dxfId="98" priority="1">
      <formula>$B13&lt;&gt;""</formula>
    </cfRule>
  </conditionalFormatting>
  <dataValidations count="3">
    <dataValidation allowBlank="1" showInputMessage="1" showErrorMessage="1" promptTitle="Tanggal pengesahan" prompt="Contoh penulisan_x000a_31 Juli 2025" sqref="O60:P60" xr:uid="{00000000-0002-0000-1200-000000000000}"/>
    <dataValidation type="whole" allowBlank="1" showInputMessage="1" showErrorMessage="1" errorTitle="Angka" error="Isian hanya berupa angka 0 s.d. 30." promptTitle="Angka" prompt="Inputan angka dari 0 s.d. 30 sesuai bulan berjalan." sqref="F14:L57" xr:uid="{00000000-0002-0000-1200-000001000000}">
      <formula1>0</formula1>
      <formula2>30</formula2>
    </dataValidation>
    <dataValidation type="whole" allowBlank="1" showInputMessage="1" showErrorMessage="1" errorTitle="Angka" error="Isian hanya berupa angka 0 s.d. 31." promptTitle="Angka" prompt="Inputan angka dari 0 s.d. 31 sesuai bulan berjalan." sqref="F13:L13" xr:uid="{00000000-0002-0000-1200-000002000000}">
      <formula1>0</formula1>
      <formula2>31</formula2>
    </dataValidation>
  </dataValidations>
  <pageMargins left="0.19685039370078741" right="0.19685039370078741" top="0.74803149606299213" bottom="0.74803149606299213" header="0.31496062992125984" footer="0.31496062992125984"/>
  <pageSetup paperSize="9" scale="59" fitToHeight="0" orientation="landscape" r:id="rId1"/>
  <headerFooter>
    <oddHeader>&amp;C&amp;G</oddHeader>
  </headerFooter>
  <drawing r:id="rId2"/>
  <legacyDrawingHF r:id="rId3"/>
  <picture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Catatan" error="Harap dipilih." promptTitle="Catatan" prompt="Pilih keterangan siswa_x000a_aktif: aktif pada bulan berjalan_x000a_pindah: pada bulan berjalan sudah pindah_x000a_berhenti: pada bulan berjalan berhenti _x000a_meninggal: pada bulan berjalan meninggal_x000a__x000a_Jika terdapat penambahan siswa, keterangan bulan sebelumnya dipilih tidak." xr:uid="{00000000-0002-0000-1200-000003000000}">
          <x14:formula1>
            <xm:f>info!$AD$2:$AD$6</xm:f>
          </x14:formula1>
          <xm:sqref>E13:E57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mmDes"/>
  <dimension ref="A1:AQ69"/>
  <sheetViews>
    <sheetView showGridLines="0" showRowColHeaders="0" zoomScaleNormal="100" zoomScaleSheetLayoutView="100" zoomScalePageLayoutView="47" workbookViewId="0">
      <pane xSplit="1" ySplit="12" topLeftCell="B13" activePane="bottomRight" state="frozen"/>
      <selection pane="topRight" activeCell="B1" sqref="B1"/>
      <selection pane="bottomLeft" activeCell="A13" sqref="A13"/>
      <selection pane="bottomRight" activeCell="B6" sqref="B6:M6"/>
    </sheetView>
  </sheetViews>
  <sheetFormatPr defaultColWidth="0" defaultRowHeight="15.6" customHeight="1" zeroHeight="1" x14ac:dyDescent="0.3"/>
  <cols>
    <col min="1" max="1" width="9.109375" style="7" customWidth="1"/>
    <col min="2" max="2" width="3.5546875" style="7" bestFit="1" customWidth="1"/>
    <col min="3" max="3" width="31.5546875" style="7" customWidth="1"/>
    <col min="4" max="4" width="10" style="7" customWidth="1"/>
    <col min="5" max="5" width="11.5546875" style="7" customWidth="1"/>
    <col min="6" max="12" width="24" style="7" customWidth="1"/>
    <col min="13" max="13" width="18.33203125" style="7" customWidth="1"/>
    <col min="14" max="14" width="2.109375" style="7" customWidth="1"/>
    <col min="15" max="15" width="25.109375" style="7" bestFit="1" customWidth="1"/>
    <col min="16" max="16" width="9.109375" style="7" customWidth="1"/>
    <col min="17" max="17" width="3.5546875" style="7" hidden="1" customWidth="1"/>
    <col min="18" max="18" width="27.88671875" style="7" hidden="1" customWidth="1"/>
    <col min="19" max="19" width="8.6640625" style="7" hidden="1" customWidth="1"/>
    <col min="20" max="20" width="5.6640625" style="7" hidden="1" customWidth="1"/>
    <col min="21" max="28" width="21.33203125" style="7" hidden="1" customWidth="1"/>
    <col min="29" max="29" width="9.109375" style="7" hidden="1" customWidth="1"/>
    <col min="30" max="30" width="3.5546875" style="7" hidden="1" customWidth="1"/>
    <col min="31" max="31" width="20" style="7" hidden="1" customWidth="1"/>
    <col min="32" max="32" width="6.5546875" style="7" hidden="1" customWidth="1"/>
    <col min="33" max="36" width="9.6640625" style="7" hidden="1" customWidth="1"/>
    <col min="37" max="43" width="0" style="7" hidden="1" customWidth="1"/>
    <col min="44" max="16384" width="8.88671875" style="7" hidden="1"/>
  </cols>
  <sheetData>
    <row r="1" spans="1:43" x14ac:dyDescent="0.3">
      <c r="A1" s="63">
        <f>profilKelas!F14</f>
        <v>1</v>
      </c>
      <c r="D1" s="64" t="s">
        <v>890</v>
      </c>
      <c r="E1" s="65"/>
      <c r="F1" s="65"/>
      <c r="G1" s="65"/>
      <c r="H1" s="65"/>
      <c r="Q1" s="66" t="s">
        <v>859</v>
      </c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D1" s="66" t="s">
        <v>859</v>
      </c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</row>
    <row r="2" spans="1:43" x14ac:dyDescent="0.3">
      <c r="D2" s="67"/>
      <c r="E2" s="67"/>
      <c r="F2" s="67"/>
      <c r="G2" s="67"/>
      <c r="H2" s="67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</row>
    <row r="3" spans="1:43" ht="15.6" customHeight="1" x14ac:dyDescent="0.3"/>
    <row r="4" spans="1:43" ht="15.6" customHeight="1" x14ac:dyDescent="0.3"/>
    <row r="5" spans="1:43" x14ac:dyDescent="0.3">
      <c r="Q5" s="68"/>
      <c r="S5" s="69"/>
      <c r="T5" s="69"/>
      <c r="V5" s="69"/>
      <c r="X5" s="69"/>
      <c r="Z5" s="69"/>
      <c r="AL5" s="70"/>
    </row>
    <row r="6" spans="1:43" ht="15.6" customHeight="1" x14ac:dyDescent="0.3">
      <c r="B6" s="168" t="s">
        <v>882</v>
      </c>
      <c r="C6" s="168"/>
      <c r="D6" s="168"/>
      <c r="E6" s="168"/>
      <c r="F6" s="168"/>
      <c r="G6" s="168"/>
      <c r="H6" s="168"/>
      <c r="I6" s="168"/>
      <c r="J6" s="168"/>
      <c r="K6" s="168"/>
      <c r="L6" s="168"/>
      <c r="M6" s="168"/>
      <c r="Q6" s="168"/>
      <c r="R6" s="168"/>
      <c r="S6" s="168"/>
      <c r="T6" s="168"/>
      <c r="U6" s="168"/>
      <c r="V6" s="168"/>
      <c r="W6" s="168"/>
      <c r="X6" s="168"/>
      <c r="Y6" s="168"/>
      <c r="Z6" s="168"/>
      <c r="AA6" s="168"/>
      <c r="AB6" s="168"/>
      <c r="AD6" s="159" t="str">
        <f>"REKAPITULASI CATATAN HARIAN KELAS (RCHS) "&amp;CHAR(10)&amp;"SEMESTER "&amp;MID(J7,3,1)&amp;" BULAN"&amp;UPPER(MID(J7,SEARCH("/",J7)+1,99))&amp;" TAHUN "&amp;IF(ISBLANK(O11),profilKelas!F12,O11)</f>
        <v xml:space="preserve">REKAPITULASI CATATAN HARIAN KELAS (RCHS) 
SEMESTER I BULAN DESEMBER TAHUN </v>
      </c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</row>
    <row r="7" spans="1:43" x14ac:dyDescent="0.3">
      <c r="B7" s="13"/>
      <c r="C7" s="13" t="s">
        <v>862</v>
      </c>
      <c r="D7" s="13" t="str">
        <f>": "&amp;IF(ISBLANK(profilKelas!F5),"",profilKelas!F5&amp;" ("&amp;profilKelas!F6&amp;")")</f>
        <v xml:space="preserve">: </v>
      </c>
      <c r="E7" s="13"/>
      <c r="F7" s="13"/>
      <c r="G7" s="13"/>
      <c r="H7" s="13"/>
      <c r="I7" s="13" t="s">
        <v>885</v>
      </c>
      <c r="J7" s="13" t="str">
        <f>": I / Desember"</f>
        <v>: I / Desember</v>
      </c>
      <c r="K7" s="13"/>
      <c r="L7" s="13"/>
      <c r="M7" s="71"/>
      <c r="O7"/>
      <c r="Q7" s="13"/>
      <c r="R7" s="13" t="s">
        <v>862</v>
      </c>
      <c r="S7" s="13" t="str">
        <f>": "&amp;IF(ISBLANK(profilKelas!F5),"",profilKelas!F5&amp;" ("&amp;profilKelas!F6&amp;")")</f>
        <v xml:space="preserve">: </v>
      </c>
      <c r="T7" s="13"/>
      <c r="U7" s="13"/>
      <c r="V7" s="13"/>
      <c r="W7" s="13"/>
      <c r="X7" s="13"/>
      <c r="Y7" s="13" t="s">
        <v>840</v>
      </c>
      <c r="Z7" s="13" t="str">
        <f>J7</f>
        <v>: I / Desember</v>
      </c>
      <c r="AA7" s="71"/>
      <c r="AB7" s="13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</row>
    <row r="8" spans="1:43" x14ac:dyDescent="0.3">
      <c r="B8" s="13"/>
      <c r="C8" s="13" t="s">
        <v>842</v>
      </c>
      <c r="D8" s="13" t="str">
        <f ca="1">": "&amp;IF(ISBLANK(profilKelas!H13),"",profilKelas!H13)</f>
        <v>: Pilih Kelas dan Rombel</v>
      </c>
      <c r="E8" s="13"/>
      <c r="F8" s="13"/>
      <c r="G8" s="13"/>
      <c r="H8" s="13"/>
      <c r="I8" s="13" t="s">
        <v>880</v>
      </c>
      <c r="J8" s="13" t="str">
        <f>": "&amp;IF(ISBLANK(profilKelas!F12),"Ketik Tahun Ajaran pada Profil Kelas",profilKelas!F12)</f>
        <v>: Ketik Tahun Ajaran pada Profil Kelas</v>
      </c>
      <c r="K8" s="13"/>
      <c r="L8" s="13"/>
      <c r="M8" s="71"/>
      <c r="O8"/>
      <c r="Q8" s="13"/>
      <c r="R8" s="13" t="s">
        <v>842</v>
      </c>
      <c r="S8" s="13" t="str">
        <f ca="1">": "&amp;IF(ISBLANK(profilKelas!H13),"",profilKelas!H13)</f>
        <v>: Pilih Kelas dan Rombel</v>
      </c>
      <c r="T8" s="13"/>
      <c r="U8" s="13"/>
      <c r="V8" s="13"/>
      <c r="W8" s="13"/>
      <c r="X8" s="13"/>
      <c r="Y8" s="13" t="s">
        <v>841</v>
      </c>
      <c r="Z8" s="13" t="str">
        <f>": "&amp;IF(ISBLANK(profilKelas!F12),"Ketik Tahun Ajaran pada Profil Kelas",IF(ISBLANK(O11),profilKelas!F12,O11))</f>
        <v>: Ketik Tahun Ajaran pada Profil Kelas</v>
      </c>
      <c r="AA8" s="71"/>
      <c r="AB8" s="13"/>
      <c r="AD8" s="72"/>
      <c r="AE8" s="72"/>
      <c r="AF8" s="72"/>
      <c r="AG8" s="72"/>
      <c r="AH8" s="72"/>
      <c r="AI8" s="72"/>
      <c r="AJ8" s="72"/>
      <c r="AK8" s="72"/>
      <c r="AL8" s="72"/>
      <c r="AM8" s="72"/>
      <c r="AN8" s="72"/>
      <c r="AO8" s="13"/>
      <c r="AP8" s="13"/>
      <c r="AQ8" s="13"/>
    </row>
    <row r="9" spans="1:43" x14ac:dyDescent="0.3"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71"/>
      <c r="Q9" s="13"/>
      <c r="R9" s="13"/>
      <c r="S9" s="13"/>
      <c r="T9" s="13"/>
      <c r="U9" s="13"/>
      <c r="V9" s="13"/>
      <c r="W9" s="13"/>
      <c r="X9" s="13"/>
      <c r="Y9" s="13"/>
      <c r="Z9" s="13"/>
      <c r="AA9" s="71"/>
      <c r="AB9" s="13"/>
      <c r="AD9" s="13" t="s">
        <v>862</v>
      </c>
      <c r="AE9" s="13"/>
      <c r="AF9" s="13" t="str">
        <f>UPPER(": "&amp;profilKelas!F5&amp;" ("&amp;profilKelas!F6&amp;")")</f>
        <v>:  ()</v>
      </c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</row>
    <row r="10" spans="1:43" x14ac:dyDescent="0.3">
      <c r="B10" s="162" t="s">
        <v>0</v>
      </c>
      <c r="C10" s="162" t="s">
        <v>858</v>
      </c>
      <c r="D10" s="164" t="s">
        <v>831</v>
      </c>
      <c r="E10" s="164" t="s">
        <v>987</v>
      </c>
      <c r="F10" s="44" t="s">
        <v>19</v>
      </c>
      <c r="G10" s="45"/>
      <c r="H10" s="45"/>
      <c r="I10" s="45"/>
      <c r="J10" s="45"/>
      <c r="K10" s="45"/>
      <c r="L10" s="46"/>
      <c r="M10" s="162" t="s">
        <v>9</v>
      </c>
      <c r="O10"/>
      <c r="Q10" s="73"/>
      <c r="R10" s="74"/>
      <c r="S10" s="74"/>
      <c r="T10" s="75"/>
      <c r="U10" s="76" t="s">
        <v>19</v>
      </c>
      <c r="V10" s="77"/>
      <c r="W10" s="77"/>
      <c r="X10" s="77"/>
      <c r="Y10" s="77"/>
      <c r="Z10" s="77"/>
      <c r="AA10" s="78"/>
      <c r="AB10" s="36"/>
      <c r="AD10" s="13" t="s">
        <v>863</v>
      </c>
      <c r="AE10" s="13"/>
      <c r="AF10" s="13" t="str">
        <f>UPPER(": "&amp;profilKelas!F9&amp;", Provinsi "&amp;profilKelas!F8)</f>
        <v xml:space="preserve">: , PROVINSI </v>
      </c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</row>
    <row r="11" spans="1:43" x14ac:dyDescent="0.3">
      <c r="B11" s="169"/>
      <c r="C11" s="169"/>
      <c r="D11" s="170"/>
      <c r="E11" s="170"/>
      <c r="F11" s="80" t="s">
        <v>2</v>
      </c>
      <c r="G11" s="80" t="s">
        <v>3</v>
      </c>
      <c r="H11" s="80" t="s">
        <v>4</v>
      </c>
      <c r="I11" s="81" t="s">
        <v>606</v>
      </c>
      <c r="J11" s="81" t="s">
        <v>6</v>
      </c>
      <c r="K11" s="81" t="s">
        <v>7</v>
      </c>
      <c r="L11" s="81" t="s">
        <v>8</v>
      </c>
      <c r="M11" s="169"/>
      <c r="O11"/>
      <c r="Q11" s="82"/>
      <c r="R11" s="83"/>
      <c r="S11" s="83"/>
      <c r="T11" s="84"/>
      <c r="U11" s="85" t="s">
        <v>14</v>
      </c>
      <c r="V11" s="86"/>
      <c r="W11" s="86"/>
      <c r="X11" s="86"/>
      <c r="Y11" s="86"/>
      <c r="Z11" s="86"/>
      <c r="AA11" s="87"/>
      <c r="AB11" s="79"/>
      <c r="AD11" s="13" t="str">
        <f>profilKelas!B10</f>
        <v>Nama Kepala Sekolah</v>
      </c>
      <c r="AE11" s="13"/>
      <c r="AF11" s="13" t="str">
        <f>UPPER(": "&amp;profilKelas!F10&amp;" (NIP."&amp;profilKelas!F11&amp;")")</f>
        <v>:  (NIP.)</v>
      </c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</row>
    <row r="12" spans="1:43" ht="16.2" x14ac:dyDescent="0.3">
      <c r="B12" s="163"/>
      <c r="C12" s="163"/>
      <c r="D12" s="165"/>
      <c r="E12" s="165"/>
      <c r="F12" s="88" t="s">
        <v>881</v>
      </c>
      <c r="G12" s="89"/>
      <c r="H12" s="89"/>
      <c r="I12" s="89"/>
      <c r="J12" s="89"/>
      <c r="K12" s="89"/>
      <c r="L12" s="90"/>
      <c r="M12" s="163"/>
      <c r="Q12" s="91" t="s">
        <v>0</v>
      </c>
      <c r="R12" s="92" t="s">
        <v>1</v>
      </c>
      <c r="S12" s="35" t="s">
        <v>596</v>
      </c>
      <c r="T12" s="35" t="s">
        <v>605</v>
      </c>
      <c r="U12" s="80" t="s">
        <v>599</v>
      </c>
      <c r="V12" s="80" t="s">
        <v>600</v>
      </c>
      <c r="W12" s="80" t="s">
        <v>4</v>
      </c>
      <c r="X12" s="81" t="s">
        <v>601</v>
      </c>
      <c r="Y12" s="81" t="s">
        <v>602</v>
      </c>
      <c r="Z12" s="81" t="s">
        <v>603</v>
      </c>
      <c r="AA12" s="93" t="s">
        <v>604</v>
      </c>
      <c r="AB12" s="36" t="s">
        <v>11</v>
      </c>
      <c r="AD12" s="34" t="str">
        <f ca="1">SUBSTITUTE(profilKelas!B15,"Nama ","")&amp;" "&amp;IF(ISBLANK(profilKelas!H13),"",profilKelas!H13)</f>
        <v>Guru Wali Kelas Pilih Kelas dan Rombel</v>
      </c>
      <c r="AE12" s="34"/>
      <c r="AF12" s="34" t="str">
        <f>UPPER(": "&amp;profilKelas!F15)</f>
        <v xml:space="preserve">: </v>
      </c>
      <c r="AG12" s="34"/>
      <c r="AH12" s="34"/>
      <c r="AI12" s="34"/>
      <c r="AJ12" s="34"/>
      <c r="AK12" s="34"/>
      <c r="AL12" s="34"/>
      <c r="AM12" s="34"/>
      <c r="AN12" s="34"/>
      <c r="AO12" s="34"/>
      <c r="AP12" s="13"/>
      <c r="AQ12" s="13"/>
    </row>
    <row r="13" spans="1:43" x14ac:dyDescent="0.3">
      <c r="B13" s="4">
        <f>IF(ROW(A1)&lt;=profilKelas!$F$14,ROW(A1),"")</f>
        <v>1</v>
      </c>
      <c r="C13" s="94" t="str">
        <f>IF(ISBLANK(identitasMurid!C6),"",identitasMurid!C6)</f>
        <v/>
      </c>
      <c r="D13" s="6" t="str">
        <f>IF(ISBLANK(identitasMurid!D6),"",identitasMurid!D6)</f>
        <v/>
      </c>
      <c r="E13" s="95"/>
      <c r="F13" s="95"/>
      <c r="G13" s="95"/>
      <c r="H13" s="95"/>
      <c r="I13" s="95"/>
      <c r="J13" s="95"/>
      <c r="K13" s="95"/>
      <c r="L13" s="95"/>
      <c r="M13" s="95"/>
      <c r="Q13" s="5">
        <f>IF(ROW(A1)&lt;=profilKelas!$F$14,ROW(A1),"")</f>
        <v>1</v>
      </c>
      <c r="R13" s="12" t="str">
        <f t="shared" ref="R13:R57" si="0">C13</f>
        <v/>
      </c>
      <c r="S13" s="108" t="str">
        <f t="shared" ref="S13:S19" si="1">IF(LEN(B13)=0,"",IF(ISBLANK(E13),"Status Siswa Kosong",E13))</f>
        <v>Status Siswa Kosong</v>
      </c>
      <c r="T13" s="108" t="str">
        <f t="shared" ref="T13:T57" si="2">IF(ISBLANK(D13),"",D13)</f>
        <v/>
      </c>
      <c r="U13" s="108" t="str">
        <f t="shared" ref="U13:AA28" si="3">IF(LEN($B13)=0,"",IF(LEN($C13)=0,"Nama Siswa Kosong",IF($E13="","Status Siswa Kosong",IF($E13&lt;&gt;"Aktif","Siswa Tidak Aktif",
IF(ISBLANK(F13),"Belum mengisi",IF(F13&gt;=20,"Sudah terbiasa","Belum terbiasa"))))))</f>
        <v>Nama Siswa Kosong</v>
      </c>
      <c r="V13" s="108" t="str">
        <f t="shared" si="3"/>
        <v>Nama Siswa Kosong</v>
      </c>
      <c r="W13" s="108" t="str">
        <f t="shared" si="3"/>
        <v>Nama Siswa Kosong</v>
      </c>
      <c r="X13" s="108" t="str">
        <f t="shared" si="3"/>
        <v>Nama Siswa Kosong</v>
      </c>
      <c r="Y13" s="108" t="str">
        <f t="shared" si="3"/>
        <v>Nama Siswa Kosong</v>
      </c>
      <c r="Z13" s="108" t="str">
        <f t="shared" si="3"/>
        <v>Nama Siswa Kosong</v>
      </c>
      <c r="AA13" s="108" t="str">
        <f t="shared" si="3"/>
        <v>Nama Siswa Kosong</v>
      </c>
      <c r="AB13" s="108" t="str" cm="1">
        <f t="array" ref="AB13">IF(LEN($B13)=0,"",IF(LEN(C13)=0,"Nama Siswa Kosong",IF($E13="","Status Siswa Kosong",IF(S13&lt;&gt;"Aktif","Siswa Tidak Aktif",
IF(OR(U13:AA13="Belum mengisi"),"Belum mengisi",IF(AND(U13:AA13="Sudah terbiasa"),"Sudah terbiasa","Belum terbiasa"))))))</f>
        <v>Nama Siswa Kosong</v>
      </c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</row>
    <row r="14" spans="1:43" ht="15.6" hidden="1" customHeight="1" x14ac:dyDescent="0.3">
      <c r="B14" s="4" t="str">
        <f>IF(ROW(A2)&lt;=profilKelas!$F$14,ROW(A2),"")</f>
        <v/>
      </c>
      <c r="C14" s="94" t="str">
        <f>IF(ISBLANK(identitasMurid!C7),"",identitasMurid!C7)</f>
        <v/>
      </c>
      <c r="D14" s="6" t="str">
        <f>IF(ISBLANK(identitasMurid!D7),"",identitasMurid!D7)</f>
        <v/>
      </c>
      <c r="E14" s="95"/>
      <c r="F14" s="95"/>
      <c r="G14" s="95"/>
      <c r="H14" s="95"/>
      <c r="I14" s="95"/>
      <c r="J14" s="95"/>
      <c r="K14" s="95"/>
      <c r="L14" s="95"/>
      <c r="M14" s="95"/>
      <c r="Q14" s="5" t="str">
        <f>IF(ROW(A2)&lt;=profilKelas!$F$14,ROW(A2),"")</f>
        <v/>
      </c>
      <c r="R14" s="12" t="str">
        <f t="shared" si="0"/>
        <v/>
      </c>
      <c r="S14" s="108" t="str">
        <f t="shared" si="1"/>
        <v/>
      </c>
      <c r="T14" s="108" t="str">
        <f t="shared" si="2"/>
        <v/>
      </c>
      <c r="U14" s="108" t="str">
        <f t="shared" si="3"/>
        <v/>
      </c>
      <c r="V14" s="108" t="str">
        <f t="shared" si="3"/>
        <v/>
      </c>
      <c r="W14" s="108" t="str">
        <f t="shared" si="3"/>
        <v/>
      </c>
      <c r="X14" s="108" t="str">
        <f t="shared" si="3"/>
        <v/>
      </c>
      <c r="Y14" s="108" t="str">
        <f t="shared" si="3"/>
        <v/>
      </c>
      <c r="Z14" s="108" t="str">
        <f t="shared" si="3"/>
        <v/>
      </c>
      <c r="AA14" s="108" t="str">
        <f t="shared" si="3"/>
        <v/>
      </c>
      <c r="AB14" s="108" t="str" cm="1">
        <f t="array" ref="AB14">IF(LEN($B14)=0,"",IF(LEN(C14)=0,"Nama Siswa Kosong",IF($E14="","Status Siswa Kosong",IF(S14&lt;&gt;"Aktif","Siswa Tidak Aktif",
IF(OR(U14:AA14="Belum mengisi"),"Belum mengisi",IF(AND(U14:AA14="Sudah terbiasa"),"Sudah terbiasa","Belum terbiasa"))))))</f>
        <v/>
      </c>
      <c r="AD14" s="162" t="s">
        <v>0</v>
      </c>
      <c r="AE14" s="162" t="s">
        <v>831</v>
      </c>
      <c r="AF14" s="164" t="s">
        <v>833</v>
      </c>
      <c r="AG14" s="173" t="s">
        <v>596</v>
      </c>
      <c r="AH14" s="174"/>
      <c r="AI14" s="174"/>
      <c r="AJ14" s="175"/>
      <c r="AK14" s="13"/>
      <c r="AL14" s="158"/>
      <c r="AM14" s="158"/>
      <c r="AN14" s="158"/>
      <c r="AO14" s="158"/>
      <c r="AP14" s="158"/>
      <c r="AQ14" s="158"/>
    </row>
    <row r="15" spans="1:43" ht="15.6" hidden="1" customHeight="1" x14ac:dyDescent="0.3">
      <c r="B15" s="4" t="str">
        <f>IF(ROW(A3)&lt;=profilKelas!$F$14,ROW(A3),"")</f>
        <v/>
      </c>
      <c r="C15" s="94" t="str">
        <f>IF(ISBLANK(identitasMurid!C8),"",identitasMurid!C8)</f>
        <v/>
      </c>
      <c r="D15" s="6" t="str">
        <f>IF(ISBLANK(identitasMurid!D8),"",identitasMurid!D8)</f>
        <v/>
      </c>
      <c r="E15" s="95"/>
      <c r="F15" s="95"/>
      <c r="G15" s="95"/>
      <c r="H15" s="95"/>
      <c r="I15" s="95"/>
      <c r="J15" s="95"/>
      <c r="K15" s="95"/>
      <c r="L15" s="95"/>
      <c r="M15" s="95"/>
      <c r="Q15" s="5" t="str">
        <f>IF(ROW(A3)&lt;=profilKelas!$F$14,ROW(A3),"")</f>
        <v/>
      </c>
      <c r="R15" s="12" t="str">
        <f t="shared" si="0"/>
        <v/>
      </c>
      <c r="S15" s="108" t="str">
        <f t="shared" si="1"/>
        <v/>
      </c>
      <c r="T15" s="108" t="str">
        <f t="shared" si="2"/>
        <v/>
      </c>
      <c r="U15" s="108" t="str">
        <f t="shared" si="3"/>
        <v/>
      </c>
      <c r="V15" s="108" t="str">
        <f t="shared" si="3"/>
        <v/>
      </c>
      <c r="W15" s="108" t="str">
        <f t="shared" si="3"/>
        <v/>
      </c>
      <c r="X15" s="108" t="str">
        <f t="shared" si="3"/>
        <v/>
      </c>
      <c r="Y15" s="108" t="str">
        <f t="shared" si="3"/>
        <v/>
      </c>
      <c r="Z15" s="108" t="str">
        <f t="shared" si="3"/>
        <v/>
      </c>
      <c r="AA15" s="108" t="str">
        <f t="shared" si="3"/>
        <v/>
      </c>
      <c r="AB15" s="108" t="str" cm="1">
        <f t="array" ref="AB15">IF(LEN($B15)=0,"",IF(LEN(C15)=0,"Nama Siswa Kosong",IF($E15="","Status Siswa Kosong",IF(S15&lt;&gt;"Aktif","Siswa Tidak Aktif",
IF(OR(U15:AA15="Belum mengisi"),"Belum mengisi",IF(AND(U15:AA15="Sudah terbiasa"),"Sudah terbiasa","Belum terbiasa"))))))</f>
        <v/>
      </c>
      <c r="AD15" s="163"/>
      <c r="AE15" s="163"/>
      <c r="AF15" s="165"/>
      <c r="AG15" s="148" t="s">
        <v>597</v>
      </c>
      <c r="AH15" s="148"/>
      <c r="AI15" s="148" t="s">
        <v>598</v>
      </c>
      <c r="AJ15" s="148"/>
      <c r="AK15" s="13"/>
      <c r="AL15" s="158"/>
      <c r="AM15" s="158"/>
      <c r="AN15" s="158"/>
      <c r="AO15" s="158"/>
      <c r="AP15" s="158"/>
      <c r="AQ15" s="158"/>
    </row>
    <row r="16" spans="1:43" hidden="1" x14ac:dyDescent="0.3">
      <c r="B16" s="4" t="str">
        <f>IF(ROW(A4)&lt;=profilKelas!$F$14,ROW(A4),"")</f>
        <v/>
      </c>
      <c r="C16" s="94" t="str">
        <f>IF(ISBLANK(identitasMurid!C9),"",identitasMurid!C9)</f>
        <v/>
      </c>
      <c r="D16" s="6" t="str">
        <f>IF(ISBLANK(identitasMurid!D9),"",identitasMurid!D9)</f>
        <v/>
      </c>
      <c r="E16" s="95"/>
      <c r="F16" s="95"/>
      <c r="G16" s="95"/>
      <c r="H16" s="95"/>
      <c r="I16" s="95"/>
      <c r="J16" s="95"/>
      <c r="K16" s="95"/>
      <c r="L16" s="95"/>
      <c r="M16" s="95"/>
      <c r="Q16" s="5" t="str">
        <f>IF(ROW(A4)&lt;=profilKelas!$F$14,ROW(A4),"")</f>
        <v/>
      </c>
      <c r="R16" s="12" t="str">
        <f t="shared" si="0"/>
        <v/>
      </c>
      <c r="S16" s="108" t="str">
        <f t="shared" si="1"/>
        <v/>
      </c>
      <c r="T16" s="108" t="str">
        <f t="shared" si="2"/>
        <v/>
      </c>
      <c r="U16" s="108" t="str">
        <f t="shared" si="3"/>
        <v/>
      </c>
      <c r="V16" s="108" t="str">
        <f t="shared" si="3"/>
        <v/>
      </c>
      <c r="W16" s="108" t="str">
        <f t="shared" si="3"/>
        <v/>
      </c>
      <c r="X16" s="108" t="str">
        <f t="shared" si="3"/>
        <v/>
      </c>
      <c r="Y16" s="108" t="str">
        <f t="shared" si="3"/>
        <v/>
      </c>
      <c r="Z16" s="108" t="str">
        <f t="shared" si="3"/>
        <v/>
      </c>
      <c r="AA16" s="108" t="str">
        <f t="shared" si="3"/>
        <v/>
      </c>
      <c r="AB16" s="108" t="str" cm="1">
        <f t="array" ref="AB16">IF(LEN($B16)=0,"",IF(LEN(C16)=0,"Nama Siswa Kosong",IF($E16="","Status Siswa Kosong",IF(S16&lt;&gt;"Aktif","Siswa Tidak Aktif",
IF(OR(U16:AA16="Belum mengisi"),"Belum mengisi",IF(AND(U16:AA16="Sudah terbiasa"),"Sudah terbiasa","Belum terbiasa"))))))</f>
        <v/>
      </c>
      <c r="AD16" s="41">
        <v>1</v>
      </c>
      <c r="AE16" s="41" t="s">
        <v>607</v>
      </c>
      <c r="AF16" s="10">
        <f>COUNTIF(JulPL,Perempuan)</f>
        <v>0</v>
      </c>
      <c r="AG16" s="96">
        <f>COUNTIFS(JulKategoriAkhir,SudahTerbiasa,JulPL,Perempuan)</f>
        <v>0</v>
      </c>
      <c r="AH16" s="96"/>
      <c r="AI16" s="96">
        <f>COUNTIFS(JulKategoriAkhir,BelumTerbiasa,JulPL,Perempuan)</f>
        <v>0</v>
      </c>
      <c r="AJ16" s="96"/>
      <c r="AK16" s="13"/>
      <c r="AL16" s="158"/>
      <c r="AM16" s="158"/>
      <c r="AN16" s="158"/>
      <c r="AO16" s="158"/>
      <c r="AP16" s="158"/>
      <c r="AQ16" s="158"/>
    </row>
    <row r="17" spans="2:43" hidden="1" x14ac:dyDescent="0.3">
      <c r="B17" s="4" t="str">
        <f>IF(ROW(A5)&lt;=profilKelas!$F$14,ROW(A5),"")</f>
        <v/>
      </c>
      <c r="C17" s="94" t="str">
        <f>IF(ISBLANK(identitasMurid!C10),"",identitasMurid!C10)</f>
        <v/>
      </c>
      <c r="D17" s="6" t="str">
        <f>IF(ISBLANK(identitasMurid!D10),"",identitasMurid!D10)</f>
        <v/>
      </c>
      <c r="E17" s="95"/>
      <c r="F17" s="95"/>
      <c r="G17" s="95"/>
      <c r="H17" s="95"/>
      <c r="I17" s="95"/>
      <c r="J17" s="95"/>
      <c r="K17" s="95"/>
      <c r="L17" s="95"/>
      <c r="M17" s="95"/>
      <c r="Q17" s="5" t="str">
        <f>IF(ROW(A5)&lt;=profilKelas!$F$14,ROW(A5),"")</f>
        <v/>
      </c>
      <c r="R17" s="12" t="str">
        <f t="shared" si="0"/>
        <v/>
      </c>
      <c r="S17" s="108" t="str">
        <f t="shared" si="1"/>
        <v/>
      </c>
      <c r="T17" s="108" t="str">
        <f t="shared" si="2"/>
        <v/>
      </c>
      <c r="U17" s="108" t="str">
        <f t="shared" si="3"/>
        <v/>
      </c>
      <c r="V17" s="108" t="str">
        <f t="shared" si="3"/>
        <v/>
      </c>
      <c r="W17" s="108" t="str">
        <f t="shared" si="3"/>
        <v/>
      </c>
      <c r="X17" s="108" t="str">
        <f t="shared" si="3"/>
        <v/>
      </c>
      <c r="Y17" s="108" t="str">
        <f t="shared" si="3"/>
        <v/>
      </c>
      <c r="Z17" s="108" t="str">
        <f t="shared" si="3"/>
        <v/>
      </c>
      <c r="AA17" s="108" t="str">
        <f t="shared" si="3"/>
        <v/>
      </c>
      <c r="AB17" s="108" t="str" cm="1">
        <f t="array" ref="AB17">IF(LEN($B17)=0,"",IF(LEN(C17)=0,"Nama Siswa Kosong",IF($E17="","Status Siswa Kosong",IF(S17&lt;&gt;"Aktif","Siswa Tidak Aktif",
IF(OR(U17:AA17="Belum mengisi"),"Belum mengisi",IF(AND(U17:AA17="Sudah terbiasa"),"Sudah terbiasa","Belum terbiasa"))))))</f>
        <v/>
      </c>
      <c r="AD17" s="41">
        <v>2</v>
      </c>
      <c r="AE17" s="41" t="s">
        <v>608</v>
      </c>
      <c r="AF17" s="97">
        <f>COUNTIF(JulPL,Laki_Laki)</f>
        <v>0</v>
      </c>
      <c r="AG17" s="96">
        <f>COUNTIFS(JulKategoriAkhir,SudahTerbiasa,JulPL,Laki_Laki)</f>
        <v>0</v>
      </c>
      <c r="AH17" s="96"/>
      <c r="AI17" s="96">
        <f>COUNTIFS(JulKategoriAkhir,BelumTerbiasa,JulPL,Laki_Laki)</f>
        <v>0</v>
      </c>
      <c r="AJ17" s="96"/>
      <c r="AK17" s="13"/>
      <c r="AL17" s="158"/>
      <c r="AM17" s="158"/>
      <c r="AN17" s="158"/>
      <c r="AO17" s="158"/>
      <c r="AP17" s="158"/>
      <c r="AQ17" s="158"/>
    </row>
    <row r="18" spans="2:43" hidden="1" x14ac:dyDescent="0.3">
      <c r="B18" s="4" t="str">
        <f>IF(ROW(A6)&lt;=profilKelas!$F$14,ROW(A6),"")</f>
        <v/>
      </c>
      <c r="C18" s="94" t="str">
        <f>IF(ISBLANK(identitasMurid!C11),"",identitasMurid!C11)</f>
        <v/>
      </c>
      <c r="D18" s="6" t="str">
        <f>IF(ISBLANK(identitasMurid!D11),"",identitasMurid!D11)</f>
        <v/>
      </c>
      <c r="E18" s="95"/>
      <c r="F18" s="95"/>
      <c r="G18" s="95"/>
      <c r="H18" s="95"/>
      <c r="I18" s="95"/>
      <c r="J18" s="95"/>
      <c r="K18" s="95"/>
      <c r="L18" s="95"/>
      <c r="M18" s="95"/>
      <c r="Q18" s="5" t="str">
        <f>IF(ROW(A6)&lt;=profilKelas!$F$14,ROW(A6),"")</f>
        <v/>
      </c>
      <c r="R18" s="12" t="str">
        <f t="shared" si="0"/>
        <v/>
      </c>
      <c r="S18" s="108" t="str">
        <f t="shared" si="1"/>
        <v/>
      </c>
      <c r="T18" s="108" t="str">
        <f t="shared" si="2"/>
        <v/>
      </c>
      <c r="U18" s="108" t="str">
        <f t="shared" si="3"/>
        <v/>
      </c>
      <c r="V18" s="108" t="str">
        <f t="shared" si="3"/>
        <v/>
      </c>
      <c r="W18" s="108" t="str">
        <f t="shared" si="3"/>
        <v/>
      </c>
      <c r="X18" s="108" t="str">
        <f t="shared" si="3"/>
        <v/>
      </c>
      <c r="Y18" s="108" t="str">
        <f t="shared" si="3"/>
        <v/>
      </c>
      <c r="Z18" s="108" t="str">
        <f t="shared" si="3"/>
        <v/>
      </c>
      <c r="AA18" s="108" t="str">
        <f t="shared" si="3"/>
        <v/>
      </c>
      <c r="AB18" s="108" t="str" cm="1">
        <f t="array" ref="AB18">IF(LEN($B18)=0,"",IF(LEN(C18)=0,"Nama Siswa Kosong",IF($E18="","Status Siswa Kosong",IF(S18&lt;&gt;"Aktif","Siswa Tidak Aktif",
IF(OR(U18:AA18="Belum mengisi"),"Belum mengisi",IF(AND(U18:AA18="Sudah terbiasa"),"Sudah terbiasa","Belum terbiasa"))))))</f>
        <v/>
      </c>
      <c r="AD18" s="160" t="s">
        <v>832</v>
      </c>
      <c r="AE18" s="160"/>
      <c r="AF18" s="3">
        <f>SUM(AF16:AF17)</f>
        <v>0</v>
      </c>
      <c r="AG18" s="96">
        <f>SUM(AG16:AG17)</f>
        <v>0</v>
      </c>
      <c r="AH18" s="96"/>
      <c r="AI18" s="96">
        <f>SUM(AI16:AI17)</f>
        <v>0</v>
      </c>
      <c r="AJ18" s="96"/>
      <c r="AK18" s="13"/>
      <c r="AL18" s="158"/>
      <c r="AM18" s="158"/>
      <c r="AN18" s="158"/>
      <c r="AO18" s="158"/>
      <c r="AP18" s="158"/>
      <c r="AQ18" s="158"/>
    </row>
    <row r="19" spans="2:43" hidden="1" x14ac:dyDescent="0.3">
      <c r="B19" s="4" t="str">
        <f>IF(ROW(A7)&lt;=profilKelas!$F$14,ROW(A7),"")</f>
        <v/>
      </c>
      <c r="C19" s="94" t="str">
        <f>IF(ISBLANK(identitasMurid!C12),"",identitasMurid!C12)</f>
        <v/>
      </c>
      <c r="D19" s="6" t="str">
        <f>IF(ISBLANK(identitasMurid!D12),"",identitasMurid!D12)</f>
        <v/>
      </c>
      <c r="E19" s="95"/>
      <c r="F19" s="95"/>
      <c r="G19" s="95"/>
      <c r="H19" s="95"/>
      <c r="I19" s="95"/>
      <c r="J19" s="95"/>
      <c r="K19" s="95"/>
      <c r="L19" s="95"/>
      <c r="M19" s="95"/>
      <c r="Q19" s="5" t="str">
        <f>IF(ROW(A7)&lt;=profilKelas!$F$14,ROW(A7),"")</f>
        <v/>
      </c>
      <c r="R19" s="12" t="str">
        <f t="shared" si="0"/>
        <v/>
      </c>
      <c r="S19" s="108" t="str">
        <f t="shared" si="1"/>
        <v/>
      </c>
      <c r="T19" s="108" t="str">
        <f t="shared" si="2"/>
        <v/>
      </c>
      <c r="U19" s="108" t="str">
        <f t="shared" si="3"/>
        <v/>
      </c>
      <c r="V19" s="108" t="str">
        <f t="shared" si="3"/>
        <v/>
      </c>
      <c r="W19" s="108" t="str">
        <f t="shared" si="3"/>
        <v/>
      </c>
      <c r="X19" s="108" t="str">
        <f t="shared" si="3"/>
        <v/>
      </c>
      <c r="Y19" s="108" t="str">
        <f t="shared" si="3"/>
        <v/>
      </c>
      <c r="Z19" s="108" t="str">
        <f t="shared" si="3"/>
        <v/>
      </c>
      <c r="AA19" s="108" t="str">
        <f t="shared" si="3"/>
        <v/>
      </c>
      <c r="AB19" s="108" t="str" cm="1">
        <f t="array" ref="AB19">IF(LEN($B19)=0,"",IF(LEN(C19)=0,"Nama Siswa Kosong",IF($E19="","Status Siswa Kosong",IF(S19&lt;&gt;"Aktif","Siswa Tidak Aktif",
IF(OR(U19:AA19="Belum mengisi"),"Belum mengisi",IF(AND(U19:AA19="Sudah terbiasa"),"Sudah terbiasa","Belum terbiasa"))))))</f>
        <v/>
      </c>
      <c r="AD19" s="13"/>
      <c r="AE19" s="13"/>
      <c r="AF19" s="13"/>
      <c r="AG19" s="13"/>
      <c r="AH19" s="13"/>
      <c r="AI19" s="13"/>
      <c r="AJ19" s="13"/>
      <c r="AK19" s="13"/>
      <c r="AL19" s="43"/>
      <c r="AM19" s="43"/>
      <c r="AN19" s="43"/>
      <c r="AO19" s="43"/>
      <c r="AP19" s="43"/>
      <c r="AQ19" s="43"/>
    </row>
    <row r="20" spans="2:43" hidden="1" x14ac:dyDescent="0.3">
      <c r="B20" s="4" t="str">
        <f>IF(ROW(A8)&lt;=profilKelas!$F$14,ROW(A8),"")</f>
        <v/>
      </c>
      <c r="C20" s="94" t="str">
        <f>IF(ISBLANK(identitasMurid!C13),"",identitasMurid!C13)</f>
        <v/>
      </c>
      <c r="D20" s="6" t="str">
        <f>IF(ISBLANK(identitasMurid!D13),"",identitasMurid!D13)</f>
        <v/>
      </c>
      <c r="E20" s="95"/>
      <c r="F20" s="95"/>
      <c r="G20" s="95"/>
      <c r="H20" s="95"/>
      <c r="I20" s="95"/>
      <c r="J20" s="95"/>
      <c r="K20" s="95"/>
      <c r="L20" s="95"/>
      <c r="M20" s="95"/>
      <c r="Q20" s="5" t="str">
        <f>IF(ROW(A8)&lt;=profilKelas!$F$14,ROW(A8),"")</f>
        <v/>
      </c>
      <c r="R20" s="12" t="str">
        <f t="shared" si="0"/>
        <v/>
      </c>
      <c r="S20" s="108" t="str">
        <f>IF(LEN(B20)=0,"",IF(ISBLANK(E20),"Status Siswa Kosong",E20))</f>
        <v/>
      </c>
      <c r="T20" s="108" t="str">
        <f t="shared" si="2"/>
        <v/>
      </c>
      <c r="U20" s="108" t="str">
        <f t="shared" si="3"/>
        <v/>
      </c>
      <c r="V20" s="108" t="str">
        <f t="shared" si="3"/>
        <v/>
      </c>
      <c r="W20" s="108" t="str">
        <f t="shared" si="3"/>
        <v/>
      </c>
      <c r="X20" s="108" t="str">
        <f t="shared" si="3"/>
        <v/>
      </c>
      <c r="Y20" s="108" t="str">
        <f t="shared" si="3"/>
        <v/>
      </c>
      <c r="Z20" s="108" t="str">
        <f t="shared" si="3"/>
        <v/>
      </c>
      <c r="AA20" s="108" t="str">
        <f t="shared" si="3"/>
        <v/>
      </c>
      <c r="AB20" s="108" t="str" cm="1">
        <f t="array" ref="AB20">IF(LEN($B20)=0,"",IF(LEN(C20)=0,"Nama Siswa Kosong",IF($E20="","Status Siswa Kosong",IF(S20&lt;&gt;"Aktif","Siswa Tidak Aktif",
IF(OR(U20:AA20="Belum mengisi"),"Belum mengisi",IF(AND(U20:AA20="Sudah terbiasa"),"Sudah terbiasa","Belum terbiasa"))))))</f>
        <v/>
      </c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</row>
    <row r="21" spans="2:43" ht="15.75" hidden="1" customHeight="1" x14ac:dyDescent="0.3">
      <c r="B21" s="4" t="str">
        <f>IF(ROW(A9)&lt;=profilKelas!$F$14,ROW(A9),"")</f>
        <v/>
      </c>
      <c r="C21" s="94" t="str">
        <f>IF(ISBLANK(identitasMurid!C14),"",identitasMurid!C14)</f>
        <v/>
      </c>
      <c r="D21" s="6" t="str">
        <f>IF(ISBLANK(identitasMurid!D14),"",identitasMurid!D14)</f>
        <v/>
      </c>
      <c r="E21" s="95"/>
      <c r="F21" s="95"/>
      <c r="G21" s="95"/>
      <c r="H21" s="95"/>
      <c r="I21" s="95"/>
      <c r="J21" s="95"/>
      <c r="K21" s="95"/>
      <c r="L21" s="95"/>
      <c r="M21" s="95"/>
      <c r="Q21" s="5" t="str">
        <f>IF(ROW(A9)&lt;=profilKelas!$F$14,ROW(A9),"")</f>
        <v/>
      </c>
      <c r="R21" s="12" t="str">
        <f t="shared" si="0"/>
        <v/>
      </c>
      <c r="S21" s="108" t="str">
        <f t="shared" ref="S21:S57" si="4">IF(LEN(B21)=0,"",IF(ISBLANK(E21),"Status Siswa Kosong",E21))</f>
        <v/>
      </c>
      <c r="T21" s="108" t="str">
        <f t="shared" si="2"/>
        <v/>
      </c>
      <c r="U21" s="108" t="str">
        <f t="shared" si="3"/>
        <v/>
      </c>
      <c r="V21" s="108" t="str">
        <f t="shared" si="3"/>
        <v/>
      </c>
      <c r="W21" s="108" t="str">
        <f t="shared" si="3"/>
        <v/>
      </c>
      <c r="X21" s="108" t="str">
        <f t="shared" si="3"/>
        <v/>
      </c>
      <c r="Y21" s="108" t="str">
        <f t="shared" si="3"/>
        <v/>
      </c>
      <c r="Z21" s="108" t="str">
        <f t="shared" si="3"/>
        <v/>
      </c>
      <c r="AA21" s="108" t="str">
        <f t="shared" si="3"/>
        <v/>
      </c>
      <c r="AB21" s="108" t="str" cm="1">
        <f t="array" ref="AB21">IF(LEN($B21)=0,"",IF(LEN(C21)=0,"Nama Siswa Kosong",IF($E21="","Status Siswa Kosong",IF(S21&lt;&gt;"Aktif","Siswa Tidak Aktif",
IF(OR(U21:AA21="Belum mengisi"),"Belum mengisi",IF(AND(U21:AA21="Sudah terbiasa"),"Sudah terbiasa","Belum terbiasa"))))))</f>
        <v/>
      </c>
      <c r="AD21" s="13"/>
      <c r="AE21" s="13"/>
      <c r="AF21" s="13"/>
      <c r="AG21" s="173" t="s">
        <v>596</v>
      </c>
      <c r="AH21" s="174"/>
      <c r="AI21" s="174"/>
      <c r="AJ21" s="175"/>
      <c r="AK21" s="13"/>
      <c r="AL21" s="13"/>
      <c r="AM21" s="13"/>
      <c r="AN21" s="13"/>
      <c r="AO21" s="13"/>
      <c r="AP21" s="13"/>
      <c r="AQ21" s="13"/>
    </row>
    <row r="22" spans="2:43" hidden="1" x14ac:dyDescent="0.3">
      <c r="B22" s="4" t="str">
        <f>IF(ROW(A10)&lt;=profilKelas!$F$14,ROW(A10),"")</f>
        <v/>
      </c>
      <c r="C22" s="94" t="str">
        <f>IF(ISBLANK(identitasMurid!C15),"",identitasMurid!C15)</f>
        <v/>
      </c>
      <c r="D22" s="6" t="str">
        <f>IF(ISBLANK(identitasMurid!D15),"",identitasMurid!D15)</f>
        <v/>
      </c>
      <c r="E22" s="95"/>
      <c r="F22" s="95"/>
      <c r="G22" s="95"/>
      <c r="H22" s="95"/>
      <c r="I22" s="95"/>
      <c r="J22" s="95"/>
      <c r="K22" s="95"/>
      <c r="L22" s="95"/>
      <c r="M22" s="95"/>
      <c r="Q22" s="5" t="str">
        <f>IF(ROW(A10)&lt;=profilKelas!$F$14,ROW(A10),"")</f>
        <v/>
      </c>
      <c r="R22" s="12" t="str">
        <f t="shared" si="0"/>
        <v/>
      </c>
      <c r="S22" s="108" t="str">
        <f t="shared" si="4"/>
        <v/>
      </c>
      <c r="T22" s="108" t="str">
        <f t="shared" si="2"/>
        <v/>
      </c>
      <c r="U22" s="108" t="str">
        <f t="shared" si="3"/>
        <v/>
      </c>
      <c r="V22" s="108" t="str">
        <f t="shared" si="3"/>
        <v/>
      </c>
      <c r="W22" s="108" t="str">
        <f t="shared" si="3"/>
        <v/>
      </c>
      <c r="X22" s="108" t="str">
        <f t="shared" si="3"/>
        <v/>
      </c>
      <c r="Y22" s="108" t="str">
        <f t="shared" si="3"/>
        <v/>
      </c>
      <c r="Z22" s="108" t="str">
        <f t="shared" si="3"/>
        <v/>
      </c>
      <c r="AA22" s="108" t="str">
        <f t="shared" si="3"/>
        <v/>
      </c>
      <c r="AB22" s="108" t="str" cm="1">
        <f t="array" ref="AB22">IF(LEN($B22)=0,"",IF(LEN(C22)=0,"Nama Siswa Kosong",IF($E22="","Status Siswa Kosong",IF(S22&lt;&gt;"Aktif","Siswa Tidak Aktif",
IF(OR(U22:AA22="Belum mengisi"),"Belum mengisi",IF(AND(U22:AA22="Sudah terbiasa"),"Sudah terbiasa","Belum terbiasa"))))))</f>
        <v/>
      </c>
      <c r="AD22" s="98" t="s">
        <v>0</v>
      </c>
      <c r="AE22" s="148" t="s">
        <v>18</v>
      </c>
      <c r="AF22" s="148"/>
      <c r="AG22" s="148" t="s">
        <v>597</v>
      </c>
      <c r="AH22" s="148"/>
      <c r="AI22" s="171" t="s">
        <v>598</v>
      </c>
      <c r="AJ22" s="172"/>
      <c r="AK22" s="13"/>
      <c r="AL22" s="13"/>
      <c r="AM22" s="13"/>
      <c r="AN22" s="13"/>
      <c r="AO22" s="13"/>
      <c r="AP22" s="13"/>
      <c r="AQ22" s="13"/>
    </row>
    <row r="23" spans="2:43" hidden="1" x14ac:dyDescent="0.3">
      <c r="B23" s="4" t="str">
        <f>IF(ROW(A11)&lt;=profilKelas!$F$14,ROW(A11),"")</f>
        <v/>
      </c>
      <c r="C23" s="94" t="str">
        <f>IF(ISBLANK(identitasMurid!C16),"",identitasMurid!C16)</f>
        <v/>
      </c>
      <c r="D23" s="6" t="str">
        <f>IF(ISBLANK(identitasMurid!D16),"",identitasMurid!D16)</f>
        <v/>
      </c>
      <c r="E23" s="95"/>
      <c r="F23" s="95"/>
      <c r="G23" s="95"/>
      <c r="H23" s="95"/>
      <c r="I23" s="95"/>
      <c r="J23" s="95"/>
      <c r="K23" s="95"/>
      <c r="L23" s="95"/>
      <c r="M23" s="95"/>
      <c r="Q23" s="5" t="str">
        <f>IF(ROW(A11)&lt;=profilKelas!$F$14,ROW(A11),"")</f>
        <v/>
      </c>
      <c r="R23" s="12" t="str">
        <f t="shared" si="0"/>
        <v/>
      </c>
      <c r="S23" s="108" t="str">
        <f t="shared" si="4"/>
        <v/>
      </c>
      <c r="T23" s="108" t="str">
        <f t="shared" si="2"/>
        <v/>
      </c>
      <c r="U23" s="108" t="str">
        <f t="shared" si="3"/>
        <v/>
      </c>
      <c r="V23" s="108" t="str">
        <f t="shared" si="3"/>
        <v/>
      </c>
      <c r="W23" s="108" t="str">
        <f t="shared" si="3"/>
        <v/>
      </c>
      <c r="X23" s="108" t="str">
        <f t="shared" si="3"/>
        <v/>
      </c>
      <c r="Y23" s="108" t="str">
        <f t="shared" si="3"/>
        <v/>
      </c>
      <c r="Z23" s="108" t="str">
        <f t="shared" si="3"/>
        <v/>
      </c>
      <c r="AA23" s="108" t="str">
        <f t="shared" si="3"/>
        <v/>
      </c>
      <c r="AB23" s="108" t="str" cm="1">
        <f t="array" ref="AB23">IF(LEN($B23)=0,"",IF(LEN(C23)=0,"Nama Siswa Kosong",IF($E23="","Status Siswa Kosong",IF(S23&lt;&gt;"Aktif","Siswa Tidak Aktif",
IF(OR(U23:AA23="Belum mengisi"),"Belum mengisi",IF(AND(U23:AA23="Sudah terbiasa"),"Sudah terbiasa","Belum terbiasa"))))))</f>
        <v/>
      </c>
      <c r="AC23" s="99">
        <f t="shared" ref="AC23:AC29" si="5">RANK(AG23,$AG$23:$AG$29)</f>
        <v>1</v>
      </c>
      <c r="AD23" s="41">
        <v>1</v>
      </c>
      <c r="AE23" s="161" t="s">
        <v>2</v>
      </c>
      <c r="AF23" s="161"/>
      <c r="AG23" s="10">
        <f>COUNTIF(JulBangunPagi,SudahTerbiasa)</f>
        <v>0</v>
      </c>
      <c r="AH23" s="50">
        <f>IF(LEN(profilKelas!$F$14)=0,"",COUNTIF(JulBangunPagi,SudahTerbiasa)/profilKelas!$F$14)</f>
        <v>0</v>
      </c>
      <c r="AI23" s="10">
        <f>COUNTIF(JulBangunPagi,BelumTerbiasa)</f>
        <v>0</v>
      </c>
      <c r="AJ23" s="50">
        <f>IF(LEN(profilKelas!$F$14)=0,"",AI23/profilKelas!$F$14)</f>
        <v>0</v>
      </c>
      <c r="AK23" s="13"/>
      <c r="AL23" s="13"/>
      <c r="AM23" s="13"/>
      <c r="AN23" s="13"/>
      <c r="AO23" s="13"/>
      <c r="AP23" s="13"/>
      <c r="AQ23" s="13"/>
    </row>
    <row r="24" spans="2:43" hidden="1" x14ac:dyDescent="0.3">
      <c r="B24" s="4" t="str">
        <f>IF(ROW(A12)&lt;=profilKelas!$F$14,ROW(A12),"")</f>
        <v/>
      </c>
      <c r="C24" s="94" t="str">
        <f>IF(ISBLANK(identitasMurid!C17),"",identitasMurid!C17)</f>
        <v/>
      </c>
      <c r="D24" s="6" t="str">
        <f>IF(ISBLANK(identitasMurid!D17),"",identitasMurid!D17)</f>
        <v/>
      </c>
      <c r="E24" s="95"/>
      <c r="F24" s="95"/>
      <c r="G24" s="95"/>
      <c r="H24" s="95"/>
      <c r="I24" s="95"/>
      <c r="J24" s="95"/>
      <c r="K24" s="95"/>
      <c r="L24" s="95"/>
      <c r="M24" s="95"/>
      <c r="Q24" s="5" t="str">
        <f>IF(ROW(A12)&lt;=profilKelas!$F$14,ROW(A12),"")</f>
        <v/>
      </c>
      <c r="R24" s="12" t="str">
        <f t="shared" si="0"/>
        <v/>
      </c>
      <c r="S24" s="108" t="str">
        <f t="shared" si="4"/>
        <v/>
      </c>
      <c r="T24" s="108" t="str">
        <f t="shared" si="2"/>
        <v/>
      </c>
      <c r="U24" s="108" t="str">
        <f t="shared" si="3"/>
        <v/>
      </c>
      <c r="V24" s="108" t="str">
        <f t="shared" si="3"/>
        <v/>
      </c>
      <c r="W24" s="108" t="str">
        <f t="shared" si="3"/>
        <v/>
      </c>
      <c r="X24" s="108" t="str">
        <f t="shared" si="3"/>
        <v/>
      </c>
      <c r="Y24" s="108" t="str">
        <f t="shared" si="3"/>
        <v/>
      </c>
      <c r="Z24" s="108" t="str">
        <f t="shared" si="3"/>
        <v/>
      </c>
      <c r="AA24" s="108" t="str">
        <f t="shared" si="3"/>
        <v/>
      </c>
      <c r="AB24" s="108" t="str" cm="1">
        <f t="array" ref="AB24">IF(LEN($B24)=0,"",IF(LEN(C24)=0,"Nama Siswa Kosong",IF($E24="","Status Siswa Kosong",IF(S24&lt;&gt;"Aktif","Siswa Tidak Aktif",
IF(OR(U24:AA24="Belum mengisi"),"Belum mengisi",IF(AND(U24:AA24="Sudah terbiasa"),"Sudah terbiasa","Belum terbiasa"))))))</f>
        <v/>
      </c>
      <c r="AC24" s="99">
        <f t="shared" si="5"/>
        <v>1</v>
      </c>
      <c r="AD24" s="41">
        <v>2</v>
      </c>
      <c r="AE24" s="161" t="s">
        <v>3</v>
      </c>
      <c r="AF24" s="161"/>
      <c r="AG24" s="10">
        <f>COUNTIF(JulTaatBeribadah,SudahTerbiasa)</f>
        <v>0</v>
      </c>
      <c r="AH24" s="50">
        <f>IF(LEN(profilKelas!$F$14)=0,"",AG24/profilKelas!$F$14)</f>
        <v>0</v>
      </c>
      <c r="AI24" s="10">
        <f>COUNTIF(JulTaatBeribadah,BelumTerbiasa)</f>
        <v>0</v>
      </c>
      <c r="AJ24" s="50">
        <f>IF(LEN(profilKelas!$F$14)=0,"",AI24/profilKelas!$F$14)</f>
        <v>0</v>
      </c>
      <c r="AK24" s="13"/>
      <c r="AL24" s="13"/>
      <c r="AM24" s="13"/>
      <c r="AN24" s="13"/>
      <c r="AO24" s="13"/>
      <c r="AP24" s="13"/>
      <c r="AQ24" s="13"/>
    </row>
    <row r="25" spans="2:43" hidden="1" x14ac:dyDescent="0.3">
      <c r="B25" s="4" t="str">
        <f>IF(ROW(A13)&lt;=profilKelas!$F$14,ROW(A13),"")</f>
        <v/>
      </c>
      <c r="C25" s="94" t="str">
        <f>IF(ISBLANK(identitasMurid!C18),"",identitasMurid!C18)</f>
        <v/>
      </c>
      <c r="D25" s="6" t="str">
        <f>IF(ISBLANK(identitasMurid!D18),"",identitasMurid!D18)</f>
        <v/>
      </c>
      <c r="E25" s="95"/>
      <c r="F25" s="95"/>
      <c r="G25" s="95"/>
      <c r="H25" s="95"/>
      <c r="I25" s="95"/>
      <c r="J25" s="95"/>
      <c r="K25" s="95"/>
      <c r="L25" s="95"/>
      <c r="M25" s="95"/>
      <c r="Q25" s="5" t="str">
        <f>IF(ROW(A13)&lt;=profilKelas!$F$14,ROW(A13),"")</f>
        <v/>
      </c>
      <c r="R25" s="12" t="str">
        <f t="shared" si="0"/>
        <v/>
      </c>
      <c r="S25" s="108" t="str">
        <f t="shared" si="4"/>
        <v/>
      </c>
      <c r="T25" s="108" t="str">
        <f t="shared" si="2"/>
        <v/>
      </c>
      <c r="U25" s="108" t="str">
        <f t="shared" si="3"/>
        <v/>
      </c>
      <c r="V25" s="108" t="str">
        <f t="shared" si="3"/>
        <v/>
      </c>
      <c r="W25" s="108" t="str">
        <f t="shared" si="3"/>
        <v/>
      </c>
      <c r="X25" s="108" t="str">
        <f t="shared" si="3"/>
        <v/>
      </c>
      <c r="Y25" s="108" t="str">
        <f t="shared" si="3"/>
        <v/>
      </c>
      <c r="Z25" s="108" t="str">
        <f t="shared" si="3"/>
        <v/>
      </c>
      <c r="AA25" s="108" t="str">
        <f t="shared" si="3"/>
        <v/>
      </c>
      <c r="AB25" s="108" t="str" cm="1">
        <f t="array" ref="AB25">IF(LEN($B25)=0,"",IF(LEN(C25)=0,"Nama Siswa Kosong",IF($E25="","Status Siswa Kosong",IF(S25&lt;&gt;"Aktif","Siswa Tidak Aktif",
IF(OR(U25:AA25="Belum mengisi"),"Belum mengisi",IF(AND(U25:AA25="Sudah terbiasa"),"Sudah terbiasa","Belum terbiasa"))))))</f>
        <v/>
      </c>
      <c r="AC25" s="99">
        <f t="shared" si="5"/>
        <v>1</v>
      </c>
      <c r="AD25" s="41">
        <v>3</v>
      </c>
      <c r="AE25" s="161" t="s">
        <v>4</v>
      </c>
      <c r="AF25" s="161"/>
      <c r="AG25" s="10">
        <f>COUNTIF(JulBerolahraga,SudahTerbiasa)</f>
        <v>0</v>
      </c>
      <c r="AH25" s="50">
        <f>IF(LEN(profilKelas!$F$14)=0,"",AG25/profilKelas!$F$14)</f>
        <v>0</v>
      </c>
      <c r="AI25" s="10">
        <f>COUNTIF(JulBerolahraga,BelumTerbiasa)</f>
        <v>0</v>
      </c>
      <c r="AJ25" s="50">
        <f>IF(LEN(profilKelas!$F$14)=0,"",AI25/profilKelas!$F$14)</f>
        <v>0</v>
      </c>
      <c r="AK25" s="13"/>
      <c r="AL25" s="13"/>
      <c r="AM25" s="13"/>
      <c r="AN25" s="13"/>
      <c r="AO25" s="13"/>
      <c r="AP25" s="13"/>
      <c r="AQ25" s="13"/>
    </row>
    <row r="26" spans="2:43" hidden="1" x14ac:dyDescent="0.3">
      <c r="B26" s="4" t="str">
        <f>IF(ROW(A14)&lt;=profilKelas!$F$14,ROW(A14),"")</f>
        <v/>
      </c>
      <c r="C26" s="94" t="str">
        <f>IF(ISBLANK(identitasMurid!C19),"",identitasMurid!C19)</f>
        <v/>
      </c>
      <c r="D26" s="6" t="str">
        <f>IF(ISBLANK(identitasMurid!D19),"",identitasMurid!D19)</f>
        <v/>
      </c>
      <c r="E26" s="95"/>
      <c r="F26" s="95"/>
      <c r="G26" s="95"/>
      <c r="H26" s="95"/>
      <c r="I26" s="95"/>
      <c r="J26" s="95"/>
      <c r="K26" s="95"/>
      <c r="L26" s="95"/>
      <c r="M26" s="95"/>
      <c r="Q26" s="5" t="str">
        <f>IF(ROW(A14)&lt;=profilKelas!$F$14,ROW(A14),"")</f>
        <v/>
      </c>
      <c r="R26" s="12" t="str">
        <f t="shared" si="0"/>
        <v/>
      </c>
      <c r="S26" s="108" t="str">
        <f t="shared" si="4"/>
        <v/>
      </c>
      <c r="T26" s="108" t="str">
        <f t="shared" si="2"/>
        <v/>
      </c>
      <c r="U26" s="108" t="str">
        <f t="shared" si="3"/>
        <v/>
      </c>
      <c r="V26" s="108" t="str">
        <f t="shared" si="3"/>
        <v/>
      </c>
      <c r="W26" s="108" t="str">
        <f t="shared" si="3"/>
        <v/>
      </c>
      <c r="X26" s="108" t="str">
        <f t="shared" si="3"/>
        <v/>
      </c>
      <c r="Y26" s="108" t="str">
        <f t="shared" si="3"/>
        <v/>
      </c>
      <c r="Z26" s="108" t="str">
        <f t="shared" si="3"/>
        <v/>
      </c>
      <c r="AA26" s="108" t="str">
        <f t="shared" si="3"/>
        <v/>
      </c>
      <c r="AB26" s="108" t="str" cm="1">
        <f t="array" ref="AB26">IF(LEN($B26)=0,"",IF(LEN(C26)=0,"Nama Siswa Kosong",IF($E26="","Status Siswa Kosong",IF(S26&lt;&gt;"Aktif","Siswa Tidak Aktif",
IF(OR(U26:AA26="Belum mengisi"),"Belum mengisi",IF(AND(U26:AA26="Sudah terbiasa"),"Sudah terbiasa","Belum terbiasa"))))))</f>
        <v/>
      </c>
      <c r="AC26" s="99">
        <f t="shared" si="5"/>
        <v>1</v>
      </c>
      <c r="AD26" s="41">
        <v>4</v>
      </c>
      <c r="AE26" s="161" t="s">
        <v>5</v>
      </c>
      <c r="AF26" s="161"/>
      <c r="AG26" s="10">
        <f>COUNTIF(JulMakanSehatBergizi,SudahTerbiasa)</f>
        <v>0</v>
      </c>
      <c r="AH26" s="50">
        <f>IF(LEN(profilKelas!$F$14)=0,"",AG26/profilKelas!$F$14)</f>
        <v>0</v>
      </c>
      <c r="AI26" s="10">
        <f>COUNTIF(JulMakanSehatBergizi,BelumTerbiasa)</f>
        <v>0</v>
      </c>
      <c r="AJ26" s="50">
        <f>IF(LEN(profilKelas!$F$14)=0,"",AI26/profilKelas!$F$14)</f>
        <v>0</v>
      </c>
      <c r="AK26" s="13"/>
      <c r="AL26" s="13"/>
      <c r="AM26" s="13"/>
      <c r="AN26" s="13"/>
      <c r="AO26" s="13"/>
      <c r="AP26" s="13"/>
      <c r="AQ26" s="13"/>
    </row>
    <row r="27" spans="2:43" hidden="1" x14ac:dyDescent="0.3">
      <c r="B27" s="4" t="str">
        <f>IF(ROW(A15)&lt;=profilKelas!$F$14,ROW(A15),"")</f>
        <v/>
      </c>
      <c r="C27" s="94" t="str">
        <f>IF(ISBLANK(identitasMurid!C20),"",identitasMurid!C20)</f>
        <v/>
      </c>
      <c r="D27" s="6" t="str">
        <f>IF(ISBLANK(identitasMurid!D20),"",identitasMurid!D20)</f>
        <v/>
      </c>
      <c r="E27" s="95"/>
      <c r="F27" s="95"/>
      <c r="G27" s="95"/>
      <c r="H27" s="95"/>
      <c r="I27" s="95"/>
      <c r="J27" s="95"/>
      <c r="K27" s="95"/>
      <c r="L27" s="95"/>
      <c r="M27" s="95"/>
      <c r="Q27" s="5" t="str">
        <f>IF(ROW(A15)&lt;=profilKelas!$F$14,ROW(A15),"")</f>
        <v/>
      </c>
      <c r="R27" s="12" t="str">
        <f t="shared" si="0"/>
        <v/>
      </c>
      <c r="S27" s="108" t="str">
        <f t="shared" si="4"/>
        <v/>
      </c>
      <c r="T27" s="108" t="str">
        <f t="shared" si="2"/>
        <v/>
      </c>
      <c r="U27" s="108" t="str">
        <f t="shared" si="3"/>
        <v/>
      </c>
      <c r="V27" s="108" t="str">
        <f t="shared" si="3"/>
        <v/>
      </c>
      <c r="W27" s="108" t="str">
        <f t="shared" si="3"/>
        <v/>
      </c>
      <c r="X27" s="108" t="str">
        <f t="shared" si="3"/>
        <v/>
      </c>
      <c r="Y27" s="108" t="str">
        <f t="shared" si="3"/>
        <v/>
      </c>
      <c r="Z27" s="108" t="str">
        <f t="shared" si="3"/>
        <v/>
      </c>
      <c r="AA27" s="108" t="str">
        <f t="shared" si="3"/>
        <v/>
      </c>
      <c r="AB27" s="108" t="str" cm="1">
        <f t="array" ref="AB27">IF(LEN($B27)=0,"",IF(LEN(C27)=0,"Nama Siswa Kosong",IF($E27="","Status Siswa Kosong",IF(S27&lt;&gt;"Aktif","Siswa Tidak Aktif",
IF(OR(U27:AA27="Belum mengisi"),"Belum mengisi",IF(AND(U27:AA27="Sudah terbiasa"),"Sudah terbiasa","Belum terbiasa"))))))</f>
        <v/>
      </c>
      <c r="AC27" s="99">
        <f t="shared" si="5"/>
        <v>1</v>
      </c>
      <c r="AD27" s="41">
        <v>5</v>
      </c>
      <c r="AE27" s="161" t="s">
        <v>6</v>
      </c>
      <c r="AF27" s="161"/>
      <c r="AG27" s="10">
        <f>COUNTIF(JulGemarBelajar,SudahTerbiasa)</f>
        <v>0</v>
      </c>
      <c r="AH27" s="50">
        <f>IF(LEN(profilKelas!$F$14)=0,"",AG27/profilKelas!$F$14)</f>
        <v>0</v>
      </c>
      <c r="AI27" s="10">
        <f>COUNTIF(JulGemarBelajar,BelumTerbiasa)</f>
        <v>0</v>
      </c>
      <c r="AJ27" s="50">
        <f>IF(LEN(profilKelas!$F$14)=0,"",AI27/profilKelas!$F$14)</f>
        <v>0</v>
      </c>
      <c r="AK27" s="13"/>
      <c r="AL27" s="13"/>
      <c r="AM27" s="13"/>
      <c r="AN27" s="13"/>
      <c r="AO27" s="13"/>
      <c r="AP27" s="13"/>
      <c r="AQ27" s="13"/>
    </row>
    <row r="28" spans="2:43" hidden="1" x14ac:dyDescent="0.3">
      <c r="B28" s="4" t="str">
        <f>IF(ROW(A16)&lt;=profilKelas!$F$14,ROW(A16),"")</f>
        <v/>
      </c>
      <c r="C28" s="94" t="str">
        <f>IF(ISBLANK(identitasMurid!C21),"",identitasMurid!C21)</f>
        <v/>
      </c>
      <c r="D28" s="6" t="str">
        <f>IF(ISBLANK(identitasMurid!D21),"",identitasMurid!D21)</f>
        <v/>
      </c>
      <c r="E28" s="95"/>
      <c r="F28" s="95"/>
      <c r="G28" s="95"/>
      <c r="H28" s="95"/>
      <c r="I28" s="95"/>
      <c r="J28" s="95"/>
      <c r="K28" s="95"/>
      <c r="L28" s="95"/>
      <c r="M28" s="95"/>
      <c r="Q28" s="5" t="str">
        <f>IF(ROW(A16)&lt;=profilKelas!$F$14,ROW(A16),"")</f>
        <v/>
      </c>
      <c r="R28" s="12" t="str">
        <f t="shared" si="0"/>
        <v/>
      </c>
      <c r="S28" s="108" t="str">
        <f t="shared" si="4"/>
        <v/>
      </c>
      <c r="T28" s="108" t="str">
        <f t="shared" si="2"/>
        <v/>
      </c>
      <c r="U28" s="108" t="str">
        <f t="shared" si="3"/>
        <v/>
      </c>
      <c r="V28" s="108" t="str">
        <f t="shared" si="3"/>
        <v/>
      </c>
      <c r="W28" s="108" t="str">
        <f t="shared" si="3"/>
        <v/>
      </c>
      <c r="X28" s="108" t="str">
        <f t="shared" si="3"/>
        <v/>
      </c>
      <c r="Y28" s="108" t="str">
        <f t="shared" si="3"/>
        <v/>
      </c>
      <c r="Z28" s="108" t="str">
        <f t="shared" si="3"/>
        <v/>
      </c>
      <c r="AA28" s="108" t="str">
        <f t="shared" si="3"/>
        <v/>
      </c>
      <c r="AB28" s="108" t="str" cm="1">
        <f t="array" ref="AB28">IF(LEN($B28)=0,"",IF(LEN(C28)=0,"Nama Siswa Kosong",IF($E28="","Status Siswa Kosong",IF(S28&lt;&gt;"Aktif","Siswa Tidak Aktif",
IF(OR(U28:AA28="Belum mengisi"),"Belum mengisi",IF(AND(U28:AA28="Sudah terbiasa"),"Sudah terbiasa","Belum terbiasa"))))))</f>
        <v/>
      </c>
      <c r="AC28" s="99">
        <f t="shared" si="5"/>
        <v>1</v>
      </c>
      <c r="AD28" s="41">
        <v>6</v>
      </c>
      <c r="AE28" s="161" t="s">
        <v>7</v>
      </c>
      <c r="AF28" s="161"/>
      <c r="AG28" s="10">
        <f>COUNTIF(JulAktifBermasyarakat,SudahTerbiasa)</f>
        <v>0</v>
      </c>
      <c r="AH28" s="50">
        <f>IF(LEN(profilKelas!$F$14)=0,"",AG28/profilKelas!$F$14)</f>
        <v>0</v>
      </c>
      <c r="AI28" s="10">
        <f>COUNTIF(JulAktifBermasyarakat,BelumTerbiasa)</f>
        <v>0</v>
      </c>
      <c r="AJ28" s="50">
        <f>IF(LEN(profilKelas!$F$14)=0,"",AI28/profilKelas!$F$14)</f>
        <v>0</v>
      </c>
      <c r="AK28" s="13"/>
      <c r="AL28" s="43"/>
      <c r="AM28" s="43"/>
      <c r="AN28" s="43"/>
      <c r="AO28" s="43"/>
      <c r="AP28" s="43"/>
      <c r="AQ28" s="43"/>
    </row>
    <row r="29" spans="2:43" hidden="1" x14ac:dyDescent="0.3">
      <c r="B29" s="4" t="str">
        <f>IF(ROW(A17)&lt;=profilKelas!$F$14,ROW(A17),"")</f>
        <v/>
      </c>
      <c r="C29" s="94" t="str">
        <f>IF(ISBLANK(identitasMurid!C22),"",identitasMurid!C22)</f>
        <v/>
      </c>
      <c r="D29" s="6" t="str">
        <f>IF(ISBLANK(identitasMurid!D22),"",identitasMurid!D22)</f>
        <v/>
      </c>
      <c r="E29" s="95"/>
      <c r="F29" s="95"/>
      <c r="G29" s="95"/>
      <c r="H29" s="95"/>
      <c r="I29" s="95"/>
      <c r="J29" s="95"/>
      <c r="K29" s="95"/>
      <c r="L29" s="95"/>
      <c r="M29" s="95"/>
      <c r="Q29" s="5" t="str">
        <f>IF(ROW(A17)&lt;=profilKelas!$F$14,ROW(A17),"")</f>
        <v/>
      </c>
      <c r="R29" s="12" t="str">
        <f t="shared" si="0"/>
        <v/>
      </c>
      <c r="S29" s="108" t="str">
        <f t="shared" si="4"/>
        <v/>
      </c>
      <c r="T29" s="108" t="str">
        <f t="shared" si="2"/>
        <v/>
      </c>
      <c r="U29" s="108" t="str">
        <f t="shared" ref="U29:AA57" si="6">IF(LEN($B29)=0,"",IF(LEN($C29)=0,"Nama Siswa Kosong",IF($E29="","Status Siswa Kosong",IF($E29&lt;&gt;"Aktif","Siswa Tidak Aktif",
IF(ISBLANK(F29),"Belum mengisi",IF(F29&gt;=20,"Sudah terbiasa","Belum terbiasa"))))))</f>
        <v/>
      </c>
      <c r="V29" s="108" t="str">
        <f t="shared" si="6"/>
        <v/>
      </c>
      <c r="W29" s="108" t="str">
        <f t="shared" si="6"/>
        <v/>
      </c>
      <c r="X29" s="108" t="str">
        <f t="shared" si="6"/>
        <v/>
      </c>
      <c r="Y29" s="108" t="str">
        <f t="shared" si="6"/>
        <v/>
      </c>
      <c r="Z29" s="108" t="str">
        <f t="shared" si="6"/>
        <v/>
      </c>
      <c r="AA29" s="108" t="str">
        <f t="shared" si="6"/>
        <v/>
      </c>
      <c r="AB29" s="108" t="str" cm="1">
        <f t="array" ref="AB29">IF(LEN($B29)=0,"",IF(LEN(C29)=0,"Nama Siswa Kosong",IF($E29="","Status Siswa Kosong",IF(S29&lt;&gt;"Aktif","Siswa Tidak Aktif",
IF(OR(U29:AA29="Belum mengisi"),"Belum mengisi",IF(AND(U29:AA29="Sudah terbiasa"),"Sudah terbiasa","Belum terbiasa"))))))</f>
        <v/>
      </c>
      <c r="AC29" s="99">
        <f t="shared" si="5"/>
        <v>1</v>
      </c>
      <c r="AD29" s="41">
        <v>7</v>
      </c>
      <c r="AE29" s="161" t="s">
        <v>8</v>
      </c>
      <c r="AF29" s="161"/>
      <c r="AG29" s="10">
        <f>COUNTIF(JulTidurCepat,SudahTerbiasa)</f>
        <v>0</v>
      </c>
      <c r="AH29" s="50">
        <f>IF(LEN(profilKelas!$F$14)=0,"",AG29/profilKelas!$F$14)</f>
        <v>0</v>
      </c>
      <c r="AI29" s="10">
        <f>COUNTIF(JulTidurCepat,BelumTerbiasa)</f>
        <v>0</v>
      </c>
      <c r="AJ29" s="50">
        <f>IF(LEN(profilKelas!$F$14)=0,"",AI29/profilKelas!$F$14)</f>
        <v>0</v>
      </c>
      <c r="AK29" s="13"/>
      <c r="AL29" s="43"/>
      <c r="AM29" s="43"/>
      <c r="AN29" s="43"/>
      <c r="AO29" s="43"/>
      <c r="AP29" s="43"/>
      <c r="AQ29" s="43"/>
    </row>
    <row r="30" spans="2:43" hidden="1" x14ac:dyDescent="0.3">
      <c r="B30" s="4" t="str">
        <f>IF(ROW(A18)&lt;=profilKelas!$F$14,ROW(A18),"")</f>
        <v/>
      </c>
      <c r="C30" s="94" t="str">
        <f>IF(ISBLANK(identitasMurid!C23),"",identitasMurid!C23)</f>
        <v/>
      </c>
      <c r="D30" s="6" t="str">
        <f>IF(ISBLANK(identitasMurid!D23),"",identitasMurid!D23)</f>
        <v/>
      </c>
      <c r="E30" s="95"/>
      <c r="F30" s="95"/>
      <c r="G30" s="95"/>
      <c r="H30" s="95"/>
      <c r="I30" s="95"/>
      <c r="J30" s="95"/>
      <c r="K30" s="95"/>
      <c r="L30" s="95"/>
      <c r="M30" s="95"/>
      <c r="Q30" s="5" t="str">
        <f>IF(ROW(A18)&lt;=profilKelas!$F$14,ROW(A18),"")</f>
        <v/>
      </c>
      <c r="R30" s="12" t="str">
        <f t="shared" si="0"/>
        <v/>
      </c>
      <c r="S30" s="108" t="str">
        <f t="shared" si="4"/>
        <v/>
      </c>
      <c r="T30" s="108" t="str">
        <f t="shared" si="2"/>
        <v/>
      </c>
      <c r="U30" s="108" t="str">
        <f t="shared" si="6"/>
        <v/>
      </c>
      <c r="V30" s="108" t="str">
        <f t="shared" si="6"/>
        <v/>
      </c>
      <c r="W30" s="108" t="str">
        <f t="shared" si="6"/>
        <v/>
      </c>
      <c r="X30" s="108" t="str">
        <f t="shared" si="6"/>
        <v/>
      </c>
      <c r="Y30" s="108" t="str">
        <f t="shared" si="6"/>
        <v/>
      </c>
      <c r="Z30" s="108" t="str">
        <f t="shared" si="6"/>
        <v/>
      </c>
      <c r="AA30" s="108" t="str">
        <f t="shared" si="6"/>
        <v/>
      </c>
      <c r="AB30" s="108" t="str" cm="1">
        <f t="array" ref="AB30">IF(LEN($B30)=0,"",IF(LEN(C30)=0,"Nama Siswa Kosong",IF($E30="","Status Siswa Kosong",IF(S30&lt;&gt;"Aktif","Siswa Tidak Aktif",
IF(OR(U30:AA30="Belum mengisi"),"Belum mengisi",IF(AND(U30:AA30="Sudah terbiasa"),"Sudah terbiasa","Belum terbiasa"))))))</f>
        <v/>
      </c>
      <c r="AD30" s="13"/>
      <c r="AE30" s="13"/>
      <c r="AF30" s="13"/>
      <c r="AG30" s="13"/>
      <c r="AH30" s="13"/>
      <c r="AI30" s="13"/>
      <c r="AJ30" s="13"/>
      <c r="AK30" s="13"/>
      <c r="AL30" s="43"/>
      <c r="AM30" s="43"/>
      <c r="AN30" s="43"/>
      <c r="AO30" s="43"/>
      <c r="AP30" s="43"/>
      <c r="AQ30" s="43"/>
    </row>
    <row r="31" spans="2:43" hidden="1" x14ac:dyDescent="0.3">
      <c r="B31" s="4" t="str">
        <f>IF(ROW(A19)&lt;=profilKelas!$F$14,ROW(A19),"")</f>
        <v/>
      </c>
      <c r="C31" s="94" t="str">
        <f>IF(ISBLANK(identitasMurid!C24),"",identitasMurid!C24)</f>
        <v/>
      </c>
      <c r="D31" s="6" t="str">
        <f>IF(ISBLANK(identitasMurid!D24),"",identitasMurid!D24)</f>
        <v/>
      </c>
      <c r="E31" s="95"/>
      <c r="F31" s="95"/>
      <c r="G31" s="95"/>
      <c r="H31" s="95"/>
      <c r="I31" s="95"/>
      <c r="J31" s="95"/>
      <c r="K31" s="95"/>
      <c r="L31" s="95"/>
      <c r="M31" s="95"/>
      <c r="Q31" s="5" t="str">
        <f>IF(ROW(A19)&lt;=profilKelas!$F$14,ROW(A19),"")</f>
        <v/>
      </c>
      <c r="R31" s="12" t="str">
        <f t="shared" si="0"/>
        <v/>
      </c>
      <c r="S31" s="108" t="str">
        <f t="shared" si="4"/>
        <v/>
      </c>
      <c r="T31" s="108" t="str">
        <f t="shared" si="2"/>
        <v/>
      </c>
      <c r="U31" s="108" t="str">
        <f t="shared" si="6"/>
        <v/>
      </c>
      <c r="V31" s="108" t="str">
        <f t="shared" si="6"/>
        <v/>
      </c>
      <c r="W31" s="108" t="str">
        <f t="shared" si="6"/>
        <v/>
      </c>
      <c r="X31" s="108" t="str">
        <f t="shared" si="6"/>
        <v/>
      </c>
      <c r="Y31" s="108" t="str">
        <f t="shared" si="6"/>
        <v/>
      </c>
      <c r="Z31" s="108" t="str">
        <f t="shared" si="6"/>
        <v/>
      </c>
      <c r="AA31" s="108" t="str">
        <f t="shared" si="6"/>
        <v/>
      </c>
      <c r="AB31" s="108" t="str" cm="1">
        <f t="array" ref="AB31">IF(LEN($B31)=0,"",IF(LEN(C31)=0,"Nama Siswa Kosong",IF($E31="","Status Siswa Kosong",IF(S31&lt;&gt;"Aktif","Siswa Tidak Aktif",
IF(OR(U31:AA31="Belum mengisi"),"Belum mengisi",IF(AND(U31:AA31="Sudah terbiasa"),"Sudah terbiasa","Belum terbiasa"))))))</f>
        <v/>
      </c>
      <c r="AD31" s="13"/>
      <c r="AE31" s="13"/>
      <c r="AF31" s="13"/>
      <c r="AG31" s="148" t="s">
        <v>607</v>
      </c>
      <c r="AH31" s="148"/>
      <c r="AI31" s="148"/>
      <c r="AJ31" s="148"/>
      <c r="AK31" s="148" t="s">
        <v>608</v>
      </c>
      <c r="AL31" s="148"/>
      <c r="AM31" s="148"/>
      <c r="AN31" s="148"/>
      <c r="AO31" s="13"/>
      <c r="AP31" s="13"/>
      <c r="AQ31" s="13"/>
    </row>
    <row r="32" spans="2:43" hidden="1" x14ac:dyDescent="0.3">
      <c r="B32" s="4" t="str">
        <f>IF(ROW(A20)&lt;=profilKelas!$F$14,ROW(A20),"")</f>
        <v/>
      </c>
      <c r="C32" s="94" t="str">
        <f>IF(ISBLANK(identitasMurid!C25),"",identitasMurid!C25)</f>
        <v/>
      </c>
      <c r="D32" s="6" t="str">
        <f>IF(ISBLANK(identitasMurid!D25),"",identitasMurid!D25)</f>
        <v/>
      </c>
      <c r="E32" s="95"/>
      <c r="F32" s="95"/>
      <c r="G32" s="95"/>
      <c r="H32" s="95"/>
      <c r="I32" s="95"/>
      <c r="J32" s="95"/>
      <c r="K32" s="95"/>
      <c r="L32" s="95"/>
      <c r="M32" s="95"/>
      <c r="Q32" s="5" t="str">
        <f>IF(ROW(A20)&lt;=profilKelas!$F$14,ROW(A20),"")</f>
        <v/>
      </c>
      <c r="R32" s="12" t="str">
        <f t="shared" si="0"/>
        <v/>
      </c>
      <c r="S32" s="108" t="str">
        <f t="shared" si="4"/>
        <v/>
      </c>
      <c r="T32" s="108" t="str">
        <f t="shared" si="2"/>
        <v/>
      </c>
      <c r="U32" s="108" t="str">
        <f t="shared" si="6"/>
        <v/>
      </c>
      <c r="V32" s="108" t="str">
        <f t="shared" si="6"/>
        <v/>
      </c>
      <c r="W32" s="108" t="str">
        <f t="shared" si="6"/>
        <v/>
      </c>
      <c r="X32" s="108" t="str">
        <f t="shared" si="6"/>
        <v/>
      </c>
      <c r="Y32" s="108" t="str">
        <f t="shared" si="6"/>
        <v/>
      </c>
      <c r="Z32" s="108" t="str">
        <f t="shared" si="6"/>
        <v/>
      </c>
      <c r="AA32" s="108" t="str">
        <f t="shared" si="6"/>
        <v/>
      </c>
      <c r="AB32" s="108" t="str" cm="1">
        <f t="array" ref="AB32">IF(LEN($B32)=0,"",IF(LEN(C32)=0,"Nama Siswa Kosong",IF($E32="","Status Siswa Kosong",IF(S32&lt;&gt;"Aktif","Siswa Tidak Aktif",
IF(OR(U32:AA32="Belum mengisi"),"Belum mengisi",IF(AND(U32:AA32="Sudah terbiasa"),"Sudah terbiasa","Belum terbiasa"))))))</f>
        <v/>
      </c>
      <c r="AD32" s="98" t="s">
        <v>0</v>
      </c>
      <c r="AE32" s="148" t="s">
        <v>18</v>
      </c>
      <c r="AF32" s="148"/>
      <c r="AG32" s="148" t="s">
        <v>597</v>
      </c>
      <c r="AH32" s="148"/>
      <c r="AI32" s="148" t="s">
        <v>598</v>
      </c>
      <c r="AJ32" s="148"/>
      <c r="AK32" s="148" t="s">
        <v>597</v>
      </c>
      <c r="AL32" s="148"/>
      <c r="AM32" s="148" t="s">
        <v>598</v>
      </c>
      <c r="AN32" s="148"/>
      <c r="AO32" s="13"/>
      <c r="AP32" s="13"/>
      <c r="AQ32" s="13"/>
    </row>
    <row r="33" spans="2:43" hidden="1" x14ac:dyDescent="0.3">
      <c r="B33" s="4" t="str">
        <f>IF(ROW(A21)&lt;=profilKelas!$F$14,ROW(A21),"")</f>
        <v/>
      </c>
      <c r="C33" s="94" t="str">
        <f>IF(ISBLANK(identitasMurid!C26),"",identitasMurid!C26)</f>
        <v/>
      </c>
      <c r="D33" s="6" t="str">
        <f>IF(ISBLANK(identitasMurid!D26),"",identitasMurid!D26)</f>
        <v/>
      </c>
      <c r="E33" s="95"/>
      <c r="F33" s="95"/>
      <c r="G33" s="95"/>
      <c r="H33" s="95"/>
      <c r="I33" s="95"/>
      <c r="J33" s="95"/>
      <c r="K33" s="95"/>
      <c r="L33" s="95"/>
      <c r="M33" s="95"/>
      <c r="Q33" s="5" t="str">
        <f>IF(ROW(A21)&lt;=profilKelas!$F$14,ROW(A21),"")</f>
        <v/>
      </c>
      <c r="R33" s="12" t="str">
        <f t="shared" si="0"/>
        <v/>
      </c>
      <c r="S33" s="108" t="str">
        <f t="shared" si="4"/>
        <v/>
      </c>
      <c r="T33" s="108" t="str">
        <f t="shared" si="2"/>
        <v/>
      </c>
      <c r="U33" s="108" t="str">
        <f t="shared" si="6"/>
        <v/>
      </c>
      <c r="V33" s="108" t="str">
        <f t="shared" si="6"/>
        <v/>
      </c>
      <c r="W33" s="108" t="str">
        <f t="shared" si="6"/>
        <v/>
      </c>
      <c r="X33" s="108" t="str">
        <f t="shared" si="6"/>
        <v/>
      </c>
      <c r="Y33" s="108" t="str">
        <f t="shared" si="6"/>
        <v/>
      </c>
      <c r="Z33" s="108" t="str">
        <f t="shared" si="6"/>
        <v/>
      </c>
      <c r="AA33" s="108" t="str">
        <f t="shared" si="6"/>
        <v/>
      </c>
      <c r="AB33" s="108" t="str" cm="1">
        <f t="array" ref="AB33">IF(LEN($B33)=0,"",IF(LEN(C33)=0,"Nama Siswa Kosong",IF($E33="","Status Siswa Kosong",IF(S33&lt;&gt;"Aktif","Siswa Tidak Aktif",
IF(OR(U33:AA33="Belum mengisi"),"Belum mengisi",IF(AND(U33:AA33="Sudah terbiasa"),"Sudah terbiasa","Belum terbiasa"))))))</f>
        <v/>
      </c>
      <c r="AD33" s="41">
        <v>1</v>
      </c>
      <c r="AE33" s="161" t="s">
        <v>2</v>
      </c>
      <c r="AF33" s="161"/>
      <c r="AG33" s="51">
        <f>COUNTIFS(JulBangunPagi,SudahTerbiasa,JulPL,Perempuan)</f>
        <v>0</v>
      </c>
      <c r="AH33" s="52" t="str">
        <f>IFERROR(IF($AF$18=0,"",COUNTIFS(JulBangunPagi,SudahTerbiasa,JulPL,Perempuan)/COUNTIFS(JulPL,Perempuan)),)</f>
        <v/>
      </c>
      <c r="AI33" s="53">
        <f>COUNTIFS(JulBangunPagi,BelumTerbiasa,JulPL,Perempuan)</f>
        <v>0</v>
      </c>
      <c r="AJ33" s="54" t="str">
        <f>IFERROR(IF($AF$18=0,"",COUNTIFS(JulBangunPagi,BelumTerbiasa,JulPL,Perempuan)/COUNTIF(JulPL,Perempuan)),)</f>
        <v/>
      </c>
      <c r="AK33" s="55">
        <f>COUNTIFS(JulBangunPagi,SudahTerbiasa,JulPL,Laki_Laki)</f>
        <v>0</v>
      </c>
      <c r="AL33" s="56" t="str">
        <f>IFERROR(IF($AF$18=0,"",COUNTIFS(JulBangunPagi,SudahTerbiasa,JulPL,Laki_Laki)/COUNTIFS(JulPL,Laki_Laki)),)</f>
        <v/>
      </c>
      <c r="AM33" s="57">
        <f>COUNTIFS(JulBangunPagi,BelumTerbiasa,JulPL,Laki_Laki)</f>
        <v>0</v>
      </c>
      <c r="AN33" s="58" t="str">
        <f>IFERROR(IF($AF$18=0,"",COUNTIFS(JulBangunPagi,BelumTerbiasa,JulPL,Laki_Laki)/COUNTIFS(JulPL,Laki_Laki)),)</f>
        <v/>
      </c>
      <c r="AO33" s="13"/>
      <c r="AP33" s="13"/>
      <c r="AQ33" s="13"/>
    </row>
    <row r="34" spans="2:43" hidden="1" x14ac:dyDescent="0.3">
      <c r="B34" s="4" t="str">
        <f>IF(ROW(A22)&lt;=profilKelas!$F$14,ROW(A22),"")</f>
        <v/>
      </c>
      <c r="C34" s="94" t="str">
        <f>IF(ISBLANK(identitasMurid!C27),"",identitasMurid!C27)</f>
        <v/>
      </c>
      <c r="D34" s="6" t="str">
        <f>IF(ISBLANK(identitasMurid!D27),"",identitasMurid!D27)</f>
        <v/>
      </c>
      <c r="E34" s="95"/>
      <c r="F34" s="95"/>
      <c r="G34" s="95"/>
      <c r="H34" s="95"/>
      <c r="I34" s="95"/>
      <c r="J34" s="95"/>
      <c r="K34" s="95"/>
      <c r="L34" s="95"/>
      <c r="M34" s="95"/>
      <c r="Q34" s="5" t="str">
        <f>IF(ROW(A22)&lt;=profilKelas!$F$14,ROW(A22),"")</f>
        <v/>
      </c>
      <c r="R34" s="12" t="str">
        <f t="shared" si="0"/>
        <v/>
      </c>
      <c r="S34" s="108" t="str">
        <f t="shared" si="4"/>
        <v/>
      </c>
      <c r="T34" s="108" t="str">
        <f t="shared" si="2"/>
        <v/>
      </c>
      <c r="U34" s="108" t="str">
        <f t="shared" si="6"/>
        <v/>
      </c>
      <c r="V34" s="108" t="str">
        <f t="shared" si="6"/>
        <v/>
      </c>
      <c r="W34" s="108" t="str">
        <f t="shared" si="6"/>
        <v/>
      </c>
      <c r="X34" s="108" t="str">
        <f t="shared" si="6"/>
        <v/>
      </c>
      <c r="Y34" s="108" t="str">
        <f t="shared" si="6"/>
        <v/>
      </c>
      <c r="Z34" s="108" t="str">
        <f t="shared" si="6"/>
        <v/>
      </c>
      <c r="AA34" s="108" t="str">
        <f t="shared" si="6"/>
        <v/>
      </c>
      <c r="AB34" s="108" t="str" cm="1">
        <f t="array" ref="AB34">IF(LEN($B34)=0,"",IF(LEN(C34)=0,"Nama Siswa Kosong",IF($E34="","Status Siswa Kosong",IF(S34&lt;&gt;"Aktif","Siswa Tidak Aktif",
IF(OR(U34:AA34="Belum mengisi"),"Belum mengisi",IF(AND(U34:AA34="Sudah terbiasa"),"Sudah terbiasa","Belum terbiasa"))))))</f>
        <v/>
      </c>
      <c r="AD34" s="41">
        <v>2</v>
      </c>
      <c r="AE34" s="161" t="s">
        <v>3</v>
      </c>
      <c r="AF34" s="161"/>
      <c r="AG34" s="51">
        <f>COUNTIFS(JulTaatBeribadah,SudahTerbiasa,JulPL,Perempuan)</f>
        <v>0</v>
      </c>
      <c r="AH34" s="52" t="str">
        <f>IFERROR(IF($AF$18=0,"",COUNTIFS(JulTaatBeribadah,SudahTerbiasa,JulPL,Perempuan)/COUNTIFS(JulPL,Perempuan)),)</f>
        <v/>
      </c>
      <c r="AI34" s="53">
        <f>COUNTIFS(JulTaatBeribadah,BelumTerbiasa,JulPL,Perempuan)</f>
        <v>0</v>
      </c>
      <c r="AJ34" s="59" t="str">
        <f>IFERROR(IF($AF$18=0,"",COUNTIFS(JulTaatBeribadah,BelumTerbiasa,JulPL,Perempuan)/COUNTIFS(JulPL,Perempuan)),)</f>
        <v/>
      </c>
      <c r="AK34" s="55">
        <f>COUNTIFS(JulTaatBeribadah,SudahTerbiasa,JulPL,Laki_Laki)</f>
        <v>0</v>
      </c>
      <c r="AL34" s="56" t="str">
        <f>IFERROR(IF($AF$18=0,"",COUNTIFS(JulTaatBeribadah,SudahTerbiasa,JulPL,Laki_Laki)/COUNTIFS(JulPL,Laki_Laki)),)</f>
        <v/>
      </c>
      <c r="AM34" s="57">
        <f>COUNTIFS(JulTaatBeribadah,BelumTerbiasa,JulPL,Laki_Laki)</f>
        <v>0</v>
      </c>
      <c r="AN34" s="58" t="str">
        <f>IFERROR(IF($AF$18=0,"",COUNTIFS(JulTaatBeribadah,BelumTerbiasa,JulPL,Laki_Laki)/COUNTIFS(JulPL,Laki_Laki)),)</f>
        <v/>
      </c>
      <c r="AO34" s="13"/>
      <c r="AP34" s="13"/>
      <c r="AQ34" s="13"/>
    </row>
    <row r="35" spans="2:43" hidden="1" x14ac:dyDescent="0.3">
      <c r="B35" s="4" t="str">
        <f>IF(ROW(A23)&lt;=profilKelas!$F$14,ROW(A23),"")</f>
        <v/>
      </c>
      <c r="C35" s="94" t="str">
        <f>IF(ISBLANK(identitasMurid!C28),"",identitasMurid!C28)</f>
        <v/>
      </c>
      <c r="D35" s="6" t="str">
        <f>IF(ISBLANK(identitasMurid!D28),"",identitasMurid!D28)</f>
        <v/>
      </c>
      <c r="E35" s="95"/>
      <c r="F35" s="95"/>
      <c r="G35" s="95"/>
      <c r="H35" s="95"/>
      <c r="I35" s="95"/>
      <c r="J35" s="95"/>
      <c r="K35" s="95"/>
      <c r="L35" s="95"/>
      <c r="M35" s="95"/>
      <c r="Q35" s="5" t="str">
        <f>IF(ROW(A23)&lt;=profilKelas!$F$14,ROW(A23),"")</f>
        <v/>
      </c>
      <c r="R35" s="12" t="str">
        <f t="shared" si="0"/>
        <v/>
      </c>
      <c r="S35" s="108" t="str">
        <f t="shared" si="4"/>
        <v/>
      </c>
      <c r="T35" s="108" t="str">
        <f t="shared" si="2"/>
        <v/>
      </c>
      <c r="U35" s="108" t="str">
        <f t="shared" si="6"/>
        <v/>
      </c>
      <c r="V35" s="108" t="str">
        <f t="shared" si="6"/>
        <v/>
      </c>
      <c r="W35" s="108" t="str">
        <f t="shared" si="6"/>
        <v/>
      </c>
      <c r="X35" s="108" t="str">
        <f t="shared" si="6"/>
        <v/>
      </c>
      <c r="Y35" s="108" t="str">
        <f t="shared" si="6"/>
        <v/>
      </c>
      <c r="Z35" s="108" t="str">
        <f t="shared" si="6"/>
        <v/>
      </c>
      <c r="AA35" s="108" t="str">
        <f t="shared" si="6"/>
        <v/>
      </c>
      <c r="AB35" s="108" t="str" cm="1">
        <f t="array" ref="AB35">IF(LEN($B35)=0,"",IF(LEN(C35)=0,"Nama Siswa Kosong",IF($E35="","Status Siswa Kosong",IF(S35&lt;&gt;"Aktif","Siswa Tidak Aktif",
IF(OR(U35:AA35="Belum mengisi"),"Belum mengisi",IF(AND(U35:AA35="Sudah terbiasa"),"Sudah terbiasa","Belum terbiasa"))))))</f>
        <v/>
      </c>
      <c r="AD35" s="41">
        <v>3</v>
      </c>
      <c r="AE35" s="161" t="s">
        <v>4</v>
      </c>
      <c r="AF35" s="161"/>
      <c r="AG35" s="51">
        <f>COUNTIFS(JulBerolahraga,SudahTerbiasa,JulPL,Perempuan)</f>
        <v>0</v>
      </c>
      <c r="AH35" s="52" t="str">
        <f>IFERROR(IF($AF$18=0,"",COUNTIFS(JulBerolahraga,SudahTerbiasa,JulPL,Perempuan)/COUNTIFS(JulPL,Perempuan)),)</f>
        <v/>
      </c>
      <c r="AI35" s="53">
        <f>COUNTIFS(JulBerolahraga,BelumTerbiasa,JulPL,Perempuan)</f>
        <v>0</v>
      </c>
      <c r="AJ35" s="59" t="str">
        <f>IFERROR(IF($AF$18=0,"",COUNTIFS(JulBerolahraga,BelumTerbiasa,JulPL,Perempuan)/COUNTIFS(JulPL,Perempuan)),)</f>
        <v/>
      </c>
      <c r="AK35" s="55">
        <f>COUNTIFS(JulBerolahraga,SudahTerbiasa,JulPL,Laki_Laki)</f>
        <v>0</v>
      </c>
      <c r="AL35" s="56" t="str">
        <f>IFERROR(IF($AF$18=0,"",COUNTIFS(JulBerolahraga,SudahTerbiasa,JulPL,Laki_Laki)/COUNTIFS(JulPL,Laki_Laki)),)</f>
        <v/>
      </c>
      <c r="AM35" s="57">
        <f>COUNTIFS(JulBerolahraga,BelumTerbiasa,JulPL,Laki_Laki)</f>
        <v>0</v>
      </c>
      <c r="AN35" s="58" t="str">
        <f>IFERROR(IF($AF$18=0,"",COUNTIFS(JulBerolahraga,BelumTerbiasa,JulPL,Laki_Laki)/COUNTIFS(JulPL,Laki_Laki)),)</f>
        <v/>
      </c>
      <c r="AO35" s="13"/>
      <c r="AP35" s="13"/>
      <c r="AQ35" s="13"/>
    </row>
    <row r="36" spans="2:43" hidden="1" x14ac:dyDescent="0.3">
      <c r="B36" s="4" t="str">
        <f>IF(ROW(A24)&lt;=profilKelas!$F$14,ROW(A24),"")</f>
        <v/>
      </c>
      <c r="C36" s="94" t="str">
        <f>IF(ISBLANK(identitasMurid!C29),"",identitasMurid!C29)</f>
        <v/>
      </c>
      <c r="D36" s="6" t="str">
        <f>IF(ISBLANK(identitasMurid!D29),"",identitasMurid!D29)</f>
        <v/>
      </c>
      <c r="E36" s="95"/>
      <c r="F36" s="95"/>
      <c r="G36" s="95"/>
      <c r="H36" s="95"/>
      <c r="I36" s="95"/>
      <c r="J36" s="95"/>
      <c r="K36" s="95"/>
      <c r="L36" s="95"/>
      <c r="M36" s="95"/>
      <c r="Q36" s="5" t="str">
        <f>IF(ROW(A24)&lt;=profilKelas!$F$14,ROW(A24),"")</f>
        <v/>
      </c>
      <c r="R36" s="12" t="str">
        <f t="shared" si="0"/>
        <v/>
      </c>
      <c r="S36" s="108" t="str">
        <f t="shared" si="4"/>
        <v/>
      </c>
      <c r="T36" s="108" t="str">
        <f t="shared" si="2"/>
        <v/>
      </c>
      <c r="U36" s="108" t="str">
        <f t="shared" si="6"/>
        <v/>
      </c>
      <c r="V36" s="108" t="str">
        <f t="shared" si="6"/>
        <v/>
      </c>
      <c r="W36" s="108" t="str">
        <f t="shared" si="6"/>
        <v/>
      </c>
      <c r="X36" s="108" t="str">
        <f t="shared" si="6"/>
        <v/>
      </c>
      <c r="Y36" s="108" t="str">
        <f t="shared" si="6"/>
        <v/>
      </c>
      <c r="Z36" s="108" t="str">
        <f t="shared" si="6"/>
        <v/>
      </c>
      <c r="AA36" s="108" t="str">
        <f t="shared" si="6"/>
        <v/>
      </c>
      <c r="AB36" s="108" t="str" cm="1">
        <f t="array" ref="AB36">IF(LEN($B36)=0,"",IF(LEN(C36)=0,"Nama Siswa Kosong",IF($E36="","Status Siswa Kosong",IF(S36&lt;&gt;"Aktif","Siswa Tidak Aktif",
IF(OR(U36:AA36="Belum mengisi"),"Belum mengisi",IF(AND(U36:AA36="Sudah terbiasa"),"Sudah terbiasa","Belum terbiasa"))))))</f>
        <v/>
      </c>
      <c r="AD36" s="41">
        <v>4</v>
      </c>
      <c r="AE36" s="161" t="s">
        <v>5</v>
      </c>
      <c r="AF36" s="161"/>
      <c r="AG36" s="51">
        <f>COUNTIFS(JulMakanSehatBergizi,SudahTerbiasa,JulPL,Perempuan)</f>
        <v>0</v>
      </c>
      <c r="AH36" s="52" t="str">
        <f>IFERROR(IF($AF$18=0,"",COUNTIFS(JulMakanSehatBergizi,SudahTerbiasa,JulPL,Perempuan)/COUNTIFS(JulPL,Perempuan)),)</f>
        <v/>
      </c>
      <c r="AI36" s="53">
        <f>COUNTIFS(JulMakanSehatBergizi,BelumTerbiasa,JulPL,Perempuan)</f>
        <v>0</v>
      </c>
      <c r="AJ36" s="59" t="str">
        <f>IFERROR(IF($AF$18=0,"",COUNTIFS(JulMakanSehatBergizi,BelumTerbiasa,JulPL,Perempuan)/COUNTIFS(JulPL,Perempuan)),)</f>
        <v/>
      </c>
      <c r="AK36" s="55">
        <f>COUNTIFS(JulMakanSehatBergizi,SudahTerbiasa,JulPL,Laki_Laki)</f>
        <v>0</v>
      </c>
      <c r="AL36" s="56" t="str">
        <f>IFERROR(IF($AF$18=0,"",COUNTIFS(JulMakanSehatBergizi,SudahTerbiasa,JulPL,Laki_Laki)/COUNTIFS(JulPL,Laki_Laki)),)</f>
        <v/>
      </c>
      <c r="AM36" s="57">
        <f>COUNTIFS(JulMakanSehatBergizi,BelumTerbiasa,JulPL,Laki_Laki)</f>
        <v>0</v>
      </c>
      <c r="AN36" s="58" t="str">
        <f>IFERROR(IF($AF$18=0,"",COUNTIFS(JulMakanSehatBergizi,BelumTerbiasa,JulPL,Laki_Laki)/COUNTIFS(JulPL,Laki_Laki)),)</f>
        <v/>
      </c>
      <c r="AO36" s="13"/>
      <c r="AP36" s="13"/>
      <c r="AQ36" s="13"/>
    </row>
    <row r="37" spans="2:43" hidden="1" x14ac:dyDescent="0.3">
      <c r="B37" s="4" t="str">
        <f>IF(ROW(A25)&lt;=profilKelas!$F$14,ROW(A25),"")</f>
        <v/>
      </c>
      <c r="C37" s="94" t="str">
        <f>IF(ISBLANK(identitasMurid!C30),"",identitasMurid!C30)</f>
        <v/>
      </c>
      <c r="D37" s="6" t="str">
        <f>IF(ISBLANK(identitasMurid!D30),"",identitasMurid!D30)</f>
        <v/>
      </c>
      <c r="E37" s="95"/>
      <c r="F37" s="95"/>
      <c r="G37" s="95"/>
      <c r="H37" s="95"/>
      <c r="I37" s="95"/>
      <c r="J37" s="95"/>
      <c r="K37" s="95"/>
      <c r="L37" s="95"/>
      <c r="M37" s="95"/>
      <c r="Q37" s="5" t="str">
        <f>IF(ROW(A25)&lt;=profilKelas!$F$14,ROW(A25),"")</f>
        <v/>
      </c>
      <c r="R37" s="12" t="str">
        <f t="shared" si="0"/>
        <v/>
      </c>
      <c r="S37" s="108" t="str">
        <f t="shared" si="4"/>
        <v/>
      </c>
      <c r="T37" s="108" t="str">
        <f t="shared" si="2"/>
        <v/>
      </c>
      <c r="U37" s="108" t="str">
        <f t="shared" si="6"/>
        <v/>
      </c>
      <c r="V37" s="108" t="str">
        <f t="shared" si="6"/>
        <v/>
      </c>
      <c r="W37" s="108" t="str">
        <f t="shared" si="6"/>
        <v/>
      </c>
      <c r="X37" s="108" t="str">
        <f t="shared" si="6"/>
        <v/>
      </c>
      <c r="Y37" s="108" t="str">
        <f t="shared" si="6"/>
        <v/>
      </c>
      <c r="Z37" s="108" t="str">
        <f t="shared" si="6"/>
        <v/>
      </c>
      <c r="AA37" s="108" t="str">
        <f t="shared" si="6"/>
        <v/>
      </c>
      <c r="AB37" s="108" t="str" cm="1">
        <f t="array" ref="AB37">IF(LEN($B37)=0,"",IF(LEN(C37)=0,"Nama Siswa Kosong",IF($E37="","Status Siswa Kosong",IF(S37&lt;&gt;"Aktif","Siswa Tidak Aktif",
IF(OR(U37:AA37="Belum mengisi"),"Belum mengisi",IF(AND(U37:AA37="Sudah terbiasa"),"Sudah terbiasa","Belum terbiasa"))))))</f>
        <v/>
      </c>
      <c r="AD37" s="41">
        <v>5</v>
      </c>
      <c r="AE37" s="161" t="s">
        <v>6</v>
      </c>
      <c r="AF37" s="161"/>
      <c r="AG37" s="51">
        <f>COUNTIFS(JulGemarBelajar,SudahTerbiasa,JulPL,Perempuan)</f>
        <v>0</v>
      </c>
      <c r="AH37" s="52" t="str">
        <f>IFERROR(IF($AF$18=0,"",COUNTIFS(JulGemarBelajar,SudahTerbiasa,JulPL,Perempuan)/COUNTIFS(JulPL,Perempuan)),)</f>
        <v/>
      </c>
      <c r="AI37" s="53">
        <f>COUNTIFS(JulGemarBelajar,BelumTerbiasa,JulPL,Perempuan)</f>
        <v>0</v>
      </c>
      <c r="AJ37" s="59" t="str">
        <f>IFERROR(IF($AF$18=0,"",COUNTIFS(JulGemarBelajar,BelumTerbiasa,JulPL,Perempuan)/COUNTIFS(JulPL,Perempuan)),)</f>
        <v/>
      </c>
      <c r="AK37" s="55">
        <f>COUNTIFS(JulGemarBelajar,SudahTerbiasa,JulPL,Laki_Laki)</f>
        <v>0</v>
      </c>
      <c r="AL37" s="56" t="str">
        <f>IFERROR(IF($AF$18=0,"",COUNTIFS(JulGemarBelajar,SudahTerbiasa,JulPL,Laki_Laki)/COUNTIFS(JulPL,Laki_Laki)),)</f>
        <v/>
      </c>
      <c r="AM37" s="57">
        <f>COUNTIFS(JulGemarBelajar,BelumTerbiasa,JulPL,Laki_Laki)</f>
        <v>0</v>
      </c>
      <c r="AN37" s="58" t="str">
        <f>IFERROR(IF($AF$18=0,"",COUNTIFS(JulGemarBelajar,BelumTerbiasa,JulPL,Laki_Laki)/COUNTIFS(JulPL,Laki_Laki)),)</f>
        <v/>
      </c>
      <c r="AO37" s="13"/>
      <c r="AP37" s="13"/>
      <c r="AQ37" s="13"/>
    </row>
    <row r="38" spans="2:43" hidden="1" x14ac:dyDescent="0.3">
      <c r="B38" s="4" t="str">
        <f>IF(ROW(A26)&lt;=profilKelas!$F$14,ROW(A26),"")</f>
        <v/>
      </c>
      <c r="C38" s="94" t="str">
        <f>IF(ISBLANK(identitasMurid!C31),"",identitasMurid!C31)</f>
        <v/>
      </c>
      <c r="D38" s="6" t="str">
        <f>IF(ISBLANK(identitasMurid!D31),"",identitasMurid!D31)</f>
        <v/>
      </c>
      <c r="E38" s="95"/>
      <c r="F38" s="95"/>
      <c r="G38" s="95"/>
      <c r="H38" s="95"/>
      <c r="I38" s="95"/>
      <c r="J38" s="95"/>
      <c r="K38" s="95"/>
      <c r="L38" s="95"/>
      <c r="M38" s="95"/>
      <c r="Q38" s="5" t="str">
        <f>IF(ROW(A26)&lt;=profilKelas!$F$14,ROW(A26),"")</f>
        <v/>
      </c>
      <c r="R38" s="12" t="str">
        <f t="shared" si="0"/>
        <v/>
      </c>
      <c r="S38" s="108" t="str">
        <f t="shared" si="4"/>
        <v/>
      </c>
      <c r="T38" s="108" t="str">
        <f t="shared" si="2"/>
        <v/>
      </c>
      <c r="U38" s="108" t="str">
        <f t="shared" si="6"/>
        <v/>
      </c>
      <c r="V38" s="108" t="str">
        <f t="shared" si="6"/>
        <v/>
      </c>
      <c r="W38" s="108" t="str">
        <f t="shared" si="6"/>
        <v/>
      </c>
      <c r="X38" s="108" t="str">
        <f t="shared" si="6"/>
        <v/>
      </c>
      <c r="Y38" s="108" t="str">
        <f t="shared" si="6"/>
        <v/>
      </c>
      <c r="Z38" s="108" t="str">
        <f t="shared" si="6"/>
        <v/>
      </c>
      <c r="AA38" s="108" t="str">
        <f t="shared" si="6"/>
        <v/>
      </c>
      <c r="AB38" s="108" t="str" cm="1">
        <f t="array" ref="AB38">IF(LEN($B38)=0,"",IF(LEN(C38)=0,"Nama Siswa Kosong",IF($E38="","Status Siswa Kosong",IF(S38&lt;&gt;"Aktif","Siswa Tidak Aktif",
IF(OR(U38:AA38="Belum mengisi"),"Belum mengisi",IF(AND(U38:AA38="Sudah terbiasa"),"Sudah terbiasa","Belum terbiasa"))))))</f>
        <v/>
      </c>
      <c r="AD38" s="41">
        <v>6</v>
      </c>
      <c r="AE38" s="161" t="s">
        <v>7</v>
      </c>
      <c r="AF38" s="161"/>
      <c r="AG38" s="51">
        <f>COUNTIFS(JulAktifBermasyarakat,SudahTerbiasa,JulPL,Perempuan)</f>
        <v>0</v>
      </c>
      <c r="AH38" s="52" t="str">
        <f>IFERROR(IF($AF$18=0,"",COUNTIFS(JulAktifBermasyarakat,SudahTerbiasa,JulPL,Perempuan)/COUNTIFS(JulPL,Perempuan)),)</f>
        <v/>
      </c>
      <c r="AI38" s="53">
        <f>COUNTIFS(JulAktifBermasyarakat,BelumTerbiasa,JulPL,Perempuan)</f>
        <v>0</v>
      </c>
      <c r="AJ38" s="59" t="str">
        <f>IFERROR(IF($AF$18=0,"",COUNTIFS(JulAktifBermasyarakat,BelumTerbiasa,JulPL,Perempuan)/COUNTIFS(JulPL,Perempuan)),)</f>
        <v/>
      </c>
      <c r="AK38" s="55">
        <f>COUNTIFS(JulAktifBermasyarakat,SudahTerbiasa,JulPL,Laki_Laki)</f>
        <v>0</v>
      </c>
      <c r="AL38" s="56" t="str">
        <f>IFERROR(IF($AF$18=0,"",COUNTIFS(JulAktifBermasyarakat,SudahTerbiasa,JulPL,Laki_Laki)/COUNTIFS(JulPL,Laki_Laki)),)</f>
        <v/>
      </c>
      <c r="AM38" s="57">
        <f>COUNTIFS(JulAktifBermasyarakat,BelumTerbiasa,JulPL,Laki_Laki)</f>
        <v>0</v>
      </c>
      <c r="AN38" s="58" t="str">
        <f>IFERROR(IF($AF$18=0,"",COUNTIFS(JulAktifBermasyarakat,BelumTerbiasa,JulPL,Laki_Laki)/COUNTIFS(JulPL,Laki_Laki)),)</f>
        <v/>
      </c>
      <c r="AO38" s="13"/>
      <c r="AP38" s="13"/>
      <c r="AQ38" s="13"/>
    </row>
    <row r="39" spans="2:43" hidden="1" x14ac:dyDescent="0.3">
      <c r="B39" s="4" t="str">
        <f>IF(ROW(A27)&lt;=profilKelas!$F$14,ROW(A27),"")</f>
        <v/>
      </c>
      <c r="C39" s="94" t="str">
        <f>IF(ISBLANK(identitasMurid!C32),"",identitasMurid!C32)</f>
        <v/>
      </c>
      <c r="D39" s="6" t="str">
        <f>IF(ISBLANK(identitasMurid!D32),"",identitasMurid!D32)</f>
        <v/>
      </c>
      <c r="E39" s="95"/>
      <c r="F39" s="95"/>
      <c r="G39" s="95"/>
      <c r="H39" s="95"/>
      <c r="I39" s="95"/>
      <c r="J39" s="95"/>
      <c r="K39" s="95"/>
      <c r="L39" s="95"/>
      <c r="M39" s="95"/>
      <c r="Q39" s="5" t="str">
        <f>IF(ROW(A27)&lt;=profilKelas!$F$14,ROW(A27),"")</f>
        <v/>
      </c>
      <c r="R39" s="12" t="str">
        <f t="shared" si="0"/>
        <v/>
      </c>
      <c r="S39" s="108" t="str">
        <f t="shared" si="4"/>
        <v/>
      </c>
      <c r="T39" s="108" t="str">
        <f t="shared" si="2"/>
        <v/>
      </c>
      <c r="U39" s="108" t="str">
        <f t="shared" si="6"/>
        <v/>
      </c>
      <c r="V39" s="108" t="str">
        <f t="shared" si="6"/>
        <v/>
      </c>
      <c r="W39" s="108" t="str">
        <f t="shared" si="6"/>
        <v/>
      </c>
      <c r="X39" s="108" t="str">
        <f t="shared" si="6"/>
        <v/>
      </c>
      <c r="Y39" s="108" t="str">
        <f t="shared" si="6"/>
        <v/>
      </c>
      <c r="Z39" s="108" t="str">
        <f t="shared" si="6"/>
        <v/>
      </c>
      <c r="AA39" s="108" t="str">
        <f t="shared" si="6"/>
        <v/>
      </c>
      <c r="AB39" s="108" t="str" cm="1">
        <f t="array" ref="AB39">IF(LEN($B39)=0,"",IF(LEN(C39)=0,"Nama Siswa Kosong",IF($E39="","Status Siswa Kosong",IF(S39&lt;&gt;"Aktif","Siswa Tidak Aktif",
IF(OR(U39:AA39="Belum mengisi"),"Belum mengisi",IF(AND(U39:AA39="Sudah terbiasa"),"Sudah terbiasa","Belum terbiasa"))))))</f>
        <v/>
      </c>
      <c r="AD39" s="41">
        <v>7</v>
      </c>
      <c r="AE39" s="161" t="s">
        <v>8</v>
      </c>
      <c r="AF39" s="161"/>
      <c r="AG39" s="51">
        <f>COUNTIFS(JulTidurCepat,SudahTerbiasa,JulPL,Perempuan)</f>
        <v>0</v>
      </c>
      <c r="AH39" s="52" t="str">
        <f>IFERROR(IF($AF$18=0,"",COUNTIFS(JulTidurCepat,SudahTerbiasa,JulPL,Perempuan)/COUNTIFS(JulPL,Perempuan)),)</f>
        <v/>
      </c>
      <c r="AI39" s="53">
        <f>COUNTIFS(JulTidurCepat,BelumTerbiasa,JulPL,Perempuan)</f>
        <v>0</v>
      </c>
      <c r="AJ39" s="59" t="str">
        <f>IFERROR(IF($AF$18=0,"",COUNTIFS(JulTidurCepat,BelumTerbiasa,JulPL,Perempuan)/COUNTIFS(JulPL,Perempuan)),)</f>
        <v/>
      </c>
      <c r="AK39" s="55">
        <f>COUNTIFS(JulTidurCepat,SudahTerbiasa,JulPL,Laki_Laki)</f>
        <v>0</v>
      </c>
      <c r="AL39" s="56" t="str">
        <f>IFERROR(IF($AF$18=0,"",COUNTIFS(JulTidurCepat,SudahTerbiasa,JulPL,Laki_Laki)/COUNTIFS(JulPL,Laki_Laki)),)</f>
        <v/>
      </c>
      <c r="AM39" s="57">
        <f>COUNTIFS(JulTidurCepat,BelumTerbiasa,JulPL,Laki_Laki)</f>
        <v>0</v>
      </c>
      <c r="AN39" s="58" t="str">
        <f>IFERROR(IF($AF$18=0,"",COUNTIFS(JulTidurCepat,BelumTerbiasa,JulPL,Laki_Laki)/COUNTIFS(JulPL,Laki_Laki)),)</f>
        <v/>
      </c>
      <c r="AO39" s="13"/>
      <c r="AP39" s="13"/>
      <c r="AQ39" s="13"/>
    </row>
    <row r="40" spans="2:43" hidden="1" x14ac:dyDescent="0.3">
      <c r="B40" s="4" t="str">
        <f>IF(ROW(A28)&lt;=profilKelas!$F$14,ROW(A28),"")</f>
        <v/>
      </c>
      <c r="C40" s="94" t="str">
        <f>IF(ISBLANK(identitasMurid!C33),"",identitasMurid!C33)</f>
        <v/>
      </c>
      <c r="D40" s="6" t="str">
        <f>IF(ISBLANK(identitasMurid!D33),"",identitasMurid!D33)</f>
        <v/>
      </c>
      <c r="E40" s="95"/>
      <c r="F40" s="95"/>
      <c r="G40" s="95"/>
      <c r="H40" s="95"/>
      <c r="I40" s="95"/>
      <c r="J40" s="95"/>
      <c r="K40" s="95"/>
      <c r="L40" s="95"/>
      <c r="M40" s="95"/>
      <c r="Q40" s="5" t="str">
        <f>IF(ROW(A28)&lt;=profilKelas!$F$14,ROW(A28),"")</f>
        <v/>
      </c>
      <c r="R40" s="12" t="str">
        <f t="shared" si="0"/>
        <v/>
      </c>
      <c r="S40" s="108" t="str">
        <f t="shared" si="4"/>
        <v/>
      </c>
      <c r="T40" s="108" t="str">
        <f t="shared" si="2"/>
        <v/>
      </c>
      <c r="U40" s="108" t="str">
        <f t="shared" si="6"/>
        <v/>
      </c>
      <c r="V40" s="108" t="str">
        <f t="shared" si="6"/>
        <v/>
      </c>
      <c r="W40" s="108" t="str">
        <f t="shared" si="6"/>
        <v/>
      </c>
      <c r="X40" s="108" t="str">
        <f t="shared" si="6"/>
        <v/>
      </c>
      <c r="Y40" s="108" t="str">
        <f t="shared" si="6"/>
        <v/>
      </c>
      <c r="Z40" s="108" t="str">
        <f t="shared" si="6"/>
        <v/>
      </c>
      <c r="AA40" s="108" t="str">
        <f t="shared" si="6"/>
        <v/>
      </c>
      <c r="AB40" s="108" t="str" cm="1">
        <f t="array" ref="AB40">IF(LEN($B40)=0,"",IF(LEN(C40)=0,"Nama Siswa Kosong",IF($E40="","Status Siswa Kosong",IF(S40&lt;&gt;"Aktif","Siswa Tidak Aktif",
IF(OR(U40:AA40="Belum mengisi"),"Belum mengisi",IF(AND(U40:AA40="Sudah terbiasa"),"Sudah terbiasa","Belum terbiasa"))))))</f>
        <v/>
      </c>
    </row>
    <row r="41" spans="2:43" hidden="1" x14ac:dyDescent="0.3">
      <c r="B41" s="4" t="str">
        <f>IF(ROW(A29)&lt;=profilKelas!$F$14,ROW(A29),"")</f>
        <v/>
      </c>
      <c r="C41" s="94" t="str">
        <f>IF(ISBLANK(identitasMurid!C34),"",identitasMurid!C34)</f>
        <v/>
      </c>
      <c r="D41" s="6" t="str">
        <f>IF(ISBLANK(identitasMurid!D34),"",identitasMurid!D34)</f>
        <v/>
      </c>
      <c r="E41" s="95"/>
      <c r="F41" s="95"/>
      <c r="G41" s="95"/>
      <c r="H41" s="95"/>
      <c r="I41" s="95"/>
      <c r="J41" s="95"/>
      <c r="K41" s="95"/>
      <c r="L41" s="95"/>
      <c r="M41" s="95"/>
      <c r="Q41" s="5" t="str">
        <f>IF(ROW(A29)&lt;=profilKelas!$F$14,ROW(A29),"")</f>
        <v/>
      </c>
      <c r="R41" s="12" t="str">
        <f t="shared" si="0"/>
        <v/>
      </c>
      <c r="S41" s="108" t="str">
        <f t="shared" si="4"/>
        <v/>
      </c>
      <c r="T41" s="108" t="str">
        <f t="shared" si="2"/>
        <v/>
      </c>
      <c r="U41" s="108" t="str">
        <f t="shared" si="6"/>
        <v/>
      </c>
      <c r="V41" s="108" t="str">
        <f t="shared" si="6"/>
        <v/>
      </c>
      <c r="W41" s="108" t="str">
        <f t="shared" si="6"/>
        <v/>
      </c>
      <c r="X41" s="108" t="str">
        <f t="shared" si="6"/>
        <v/>
      </c>
      <c r="Y41" s="108" t="str">
        <f t="shared" si="6"/>
        <v/>
      </c>
      <c r="Z41" s="108" t="str">
        <f t="shared" si="6"/>
        <v/>
      </c>
      <c r="AA41" s="108" t="str">
        <f t="shared" si="6"/>
        <v/>
      </c>
      <c r="AB41" s="108" t="str" cm="1">
        <f t="array" ref="AB41">IF(LEN($B41)=0,"",IF(LEN(C41)=0,"Nama Siswa Kosong",IF($E41="","Status Siswa Kosong",IF(S41&lt;&gt;"Aktif","Siswa Tidak Aktif",
IF(OR(U41:AA41="Belum mengisi"),"Belum mengisi",IF(AND(U41:AA41="Sudah terbiasa"),"Sudah terbiasa","Belum terbiasa"))))))</f>
        <v/>
      </c>
    </row>
    <row r="42" spans="2:43" hidden="1" x14ac:dyDescent="0.3">
      <c r="B42" s="4" t="str">
        <f>IF(ROW(A30)&lt;=profilKelas!$F$14,ROW(A30),"")</f>
        <v/>
      </c>
      <c r="C42" s="94" t="str">
        <f>IF(ISBLANK(identitasMurid!C35),"",identitasMurid!C35)</f>
        <v/>
      </c>
      <c r="D42" s="6" t="str">
        <f>IF(ISBLANK(identitasMurid!D35),"",identitasMurid!D35)</f>
        <v/>
      </c>
      <c r="E42" s="95"/>
      <c r="F42" s="95"/>
      <c r="G42" s="95"/>
      <c r="H42" s="95"/>
      <c r="I42" s="95"/>
      <c r="J42" s="95"/>
      <c r="K42" s="95"/>
      <c r="L42" s="95"/>
      <c r="M42" s="95"/>
      <c r="Q42" s="5" t="str">
        <f>IF(ROW(A30)&lt;=profilKelas!$F$14,ROW(A30),"")</f>
        <v/>
      </c>
      <c r="R42" s="12" t="str">
        <f t="shared" si="0"/>
        <v/>
      </c>
      <c r="S42" s="108" t="str">
        <f t="shared" si="4"/>
        <v/>
      </c>
      <c r="T42" s="108" t="str">
        <f t="shared" si="2"/>
        <v/>
      </c>
      <c r="U42" s="108" t="str">
        <f t="shared" si="6"/>
        <v/>
      </c>
      <c r="V42" s="108" t="str">
        <f t="shared" si="6"/>
        <v/>
      </c>
      <c r="W42" s="108" t="str">
        <f t="shared" si="6"/>
        <v/>
      </c>
      <c r="X42" s="108" t="str">
        <f t="shared" si="6"/>
        <v/>
      </c>
      <c r="Y42" s="108" t="str">
        <f t="shared" si="6"/>
        <v/>
      </c>
      <c r="Z42" s="108" t="str">
        <f t="shared" si="6"/>
        <v/>
      </c>
      <c r="AA42" s="108" t="str">
        <f t="shared" si="6"/>
        <v/>
      </c>
      <c r="AB42" s="108" t="str" cm="1">
        <f t="array" ref="AB42">IF(LEN($B42)=0,"",IF(LEN(C42)=0,"Nama Siswa Kosong",IF($E42="","Status Siswa Kosong",IF(S42&lt;&gt;"Aktif","Siswa Tidak Aktif",
IF(OR(U42:AA42="Belum mengisi"),"Belum mengisi",IF(AND(U42:AA42="Sudah terbiasa"),"Sudah terbiasa","Belum terbiasa"))))))</f>
        <v/>
      </c>
    </row>
    <row r="43" spans="2:43" hidden="1" x14ac:dyDescent="0.3">
      <c r="B43" s="4" t="str">
        <f>IF(ROW(A31)&lt;=profilKelas!$F$14,ROW(A31),"")</f>
        <v/>
      </c>
      <c r="C43" s="94" t="str">
        <f>IF(ISBLANK(identitasMurid!C36),"",identitasMurid!C36)</f>
        <v/>
      </c>
      <c r="D43" s="6" t="str">
        <f>IF(ISBLANK(identitasMurid!D36),"",identitasMurid!D36)</f>
        <v/>
      </c>
      <c r="E43" s="95"/>
      <c r="F43" s="95"/>
      <c r="G43" s="95"/>
      <c r="H43" s="95"/>
      <c r="I43" s="95"/>
      <c r="J43" s="95"/>
      <c r="K43" s="95"/>
      <c r="L43" s="95"/>
      <c r="M43" s="95"/>
      <c r="Q43" s="5" t="str">
        <f>IF(ROW(A31)&lt;=profilKelas!$F$14,ROW(A31),"")</f>
        <v/>
      </c>
      <c r="R43" s="12" t="str">
        <f t="shared" si="0"/>
        <v/>
      </c>
      <c r="S43" s="108" t="str">
        <f t="shared" si="4"/>
        <v/>
      </c>
      <c r="T43" s="108" t="str">
        <f t="shared" si="2"/>
        <v/>
      </c>
      <c r="U43" s="108" t="str">
        <f t="shared" si="6"/>
        <v/>
      </c>
      <c r="V43" s="108" t="str">
        <f t="shared" si="6"/>
        <v/>
      </c>
      <c r="W43" s="108" t="str">
        <f t="shared" si="6"/>
        <v/>
      </c>
      <c r="X43" s="108" t="str">
        <f t="shared" si="6"/>
        <v/>
      </c>
      <c r="Y43" s="108" t="str">
        <f t="shared" si="6"/>
        <v/>
      </c>
      <c r="Z43" s="108" t="str">
        <f t="shared" si="6"/>
        <v/>
      </c>
      <c r="AA43" s="108" t="str">
        <f t="shared" si="6"/>
        <v/>
      </c>
      <c r="AB43" s="108" t="str" cm="1">
        <f t="array" ref="AB43">IF(LEN($B43)=0,"",IF(LEN(C43)=0,"Nama Siswa Kosong",IF($E43="","Status Siswa Kosong",IF(S43&lt;&gt;"Aktif","Siswa Tidak Aktif",
IF(OR(U43:AA43="Belum mengisi"),"Belum mengisi",IF(AND(U43:AA43="Sudah terbiasa"),"Sudah terbiasa","Belum terbiasa"))))))</f>
        <v/>
      </c>
    </row>
    <row r="44" spans="2:43" hidden="1" x14ac:dyDescent="0.3">
      <c r="B44" s="4" t="str">
        <f>IF(ROW(A32)&lt;=profilKelas!$F$14,ROW(A32),"")</f>
        <v/>
      </c>
      <c r="C44" s="94" t="str">
        <f>IF(ISBLANK(identitasMurid!C37),"",identitasMurid!C37)</f>
        <v/>
      </c>
      <c r="D44" s="6" t="str">
        <f>IF(ISBLANK(identitasMurid!D37),"",identitasMurid!D37)</f>
        <v/>
      </c>
      <c r="E44" s="95"/>
      <c r="F44" s="95"/>
      <c r="G44" s="95"/>
      <c r="H44" s="95"/>
      <c r="I44" s="95"/>
      <c r="J44" s="95"/>
      <c r="K44" s="95"/>
      <c r="L44" s="95"/>
      <c r="M44" s="95"/>
      <c r="Q44" s="5" t="str">
        <f>IF(ROW(A32)&lt;=profilKelas!$F$14,ROW(A32),"")</f>
        <v/>
      </c>
      <c r="R44" s="12" t="str">
        <f t="shared" si="0"/>
        <v/>
      </c>
      <c r="S44" s="108" t="str">
        <f t="shared" si="4"/>
        <v/>
      </c>
      <c r="T44" s="108" t="str">
        <f t="shared" si="2"/>
        <v/>
      </c>
      <c r="U44" s="108" t="str">
        <f t="shared" si="6"/>
        <v/>
      </c>
      <c r="V44" s="108" t="str">
        <f t="shared" si="6"/>
        <v/>
      </c>
      <c r="W44" s="108" t="str">
        <f t="shared" si="6"/>
        <v/>
      </c>
      <c r="X44" s="108" t="str">
        <f t="shared" si="6"/>
        <v/>
      </c>
      <c r="Y44" s="108" t="str">
        <f t="shared" si="6"/>
        <v/>
      </c>
      <c r="Z44" s="108" t="str">
        <f t="shared" si="6"/>
        <v/>
      </c>
      <c r="AA44" s="108" t="str">
        <f t="shared" si="6"/>
        <v/>
      </c>
      <c r="AB44" s="108" t="str" cm="1">
        <f t="array" ref="AB44">IF(LEN($B44)=0,"",IF(LEN(C44)=0,"Nama Siswa Kosong",IF($E44="","Status Siswa Kosong",IF(S44&lt;&gt;"Aktif","Siswa Tidak Aktif",
IF(OR(U44:AA44="Belum mengisi"),"Belum mengisi",IF(AND(U44:AA44="Sudah terbiasa"),"Sudah terbiasa","Belum terbiasa"))))))</f>
        <v/>
      </c>
    </row>
    <row r="45" spans="2:43" hidden="1" x14ac:dyDescent="0.3">
      <c r="B45" s="4" t="str">
        <f>IF(ROW(A33)&lt;=profilKelas!$F$14,ROW(A33),"")</f>
        <v/>
      </c>
      <c r="C45" s="94" t="str">
        <f>IF(ISBLANK(identitasMurid!C38),"",identitasMurid!C38)</f>
        <v/>
      </c>
      <c r="D45" s="6" t="str">
        <f>IF(ISBLANK(identitasMurid!D38),"",identitasMurid!D38)</f>
        <v/>
      </c>
      <c r="E45" s="95"/>
      <c r="F45" s="95"/>
      <c r="G45" s="95"/>
      <c r="H45" s="95"/>
      <c r="I45" s="95"/>
      <c r="J45" s="95"/>
      <c r="K45" s="95"/>
      <c r="L45" s="95"/>
      <c r="M45" s="95"/>
      <c r="Q45" s="5" t="str">
        <f>IF(ROW(A33)&lt;=profilKelas!$F$14,ROW(A33),"")</f>
        <v/>
      </c>
      <c r="R45" s="12" t="str">
        <f t="shared" si="0"/>
        <v/>
      </c>
      <c r="S45" s="108" t="str">
        <f t="shared" si="4"/>
        <v/>
      </c>
      <c r="T45" s="108" t="str">
        <f t="shared" si="2"/>
        <v/>
      </c>
      <c r="U45" s="108" t="str">
        <f t="shared" si="6"/>
        <v/>
      </c>
      <c r="V45" s="108" t="str">
        <f t="shared" si="6"/>
        <v/>
      </c>
      <c r="W45" s="108" t="str">
        <f t="shared" si="6"/>
        <v/>
      </c>
      <c r="X45" s="108" t="str">
        <f t="shared" si="6"/>
        <v/>
      </c>
      <c r="Y45" s="108" t="str">
        <f t="shared" si="6"/>
        <v/>
      </c>
      <c r="Z45" s="108" t="str">
        <f t="shared" si="6"/>
        <v/>
      </c>
      <c r="AA45" s="108" t="str">
        <f t="shared" si="6"/>
        <v/>
      </c>
      <c r="AB45" s="108" t="str" cm="1">
        <f t="array" ref="AB45">IF(LEN($B45)=0,"",IF(LEN(C45)=0,"Nama Siswa Kosong",IF($E45="","Status Siswa Kosong",IF(S45&lt;&gt;"Aktif","Siswa Tidak Aktif",
IF(OR(U45:AA45="Belum mengisi"),"Belum mengisi",IF(AND(U45:AA45="Sudah terbiasa"),"Sudah terbiasa","Belum terbiasa"))))))</f>
        <v/>
      </c>
    </row>
    <row r="46" spans="2:43" hidden="1" x14ac:dyDescent="0.3">
      <c r="B46" s="4" t="str">
        <f>IF(ROW(A34)&lt;=profilKelas!$F$14,ROW(A34),"")</f>
        <v/>
      </c>
      <c r="C46" s="94" t="str">
        <f>IF(ISBLANK(identitasMurid!C39),"",identitasMurid!C39)</f>
        <v/>
      </c>
      <c r="D46" s="6" t="str">
        <f>IF(ISBLANK(identitasMurid!D39),"",identitasMurid!D39)</f>
        <v/>
      </c>
      <c r="E46" s="95"/>
      <c r="F46" s="95"/>
      <c r="G46" s="95"/>
      <c r="H46" s="95"/>
      <c r="I46" s="95"/>
      <c r="J46" s="95"/>
      <c r="K46" s="95"/>
      <c r="L46" s="95"/>
      <c r="M46" s="95"/>
      <c r="Q46" s="5" t="str">
        <f>IF(ROW(A34)&lt;=profilKelas!$F$14,ROW(A34),"")</f>
        <v/>
      </c>
      <c r="R46" s="12" t="str">
        <f t="shared" si="0"/>
        <v/>
      </c>
      <c r="S46" s="108" t="str">
        <f t="shared" si="4"/>
        <v/>
      </c>
      <c r="T46" s="108" t="str">
        <f t="shared" si="2"/>
        <v/>
      </c>
      <c r="U46" s="108" t="str">
        <f t="shared" si="6"/>
        <v/>
      </c>
      <c r="V46" s="108" t="str">
        <f t="shared" si="6"/>
        <v/>
      </c>
      <c r="W46" s="108" t="str">
        <f t="shared" si="6"/>
        <v/>
      </c>
      <c r="X46" s="108" t="str">
        <f t="shared" si="6"/>
        <v/>
      </c>
      <c r="Y46" s="108" t="str">
        <f t="shared" si="6"/>
        <v/>
      </c>
      <c r="Z46" s="108" t="str">
        <f t="shared" si="6"/>
        <v/>
      </c>
      <c r="AA46" s="108" t="str">
        <f t="shared" si="6"/>
        <v/>
      </c>
      <c r="AB46" s="108" t="str" cm="1">
        <f t="array" ref="AB46">IF(LEN($B46)=0,"",IF(LEN(C46)=0,"Nama Siswa Kosong",IF($E46="","Status Siswa Kosong",IF(S46&lt;&gt;"Aktif","Siswa Tidak Aktif",
IF(OR(U46:AA46="Belum mengisi"),"Belum mengisi",IF(AND(U46:AA46="Sudah terbiasa"),"Sudah terbiasa","Belum terbiasa"))))))</f>
        <v/>
      </c>
    </row>
    <row r="47" spans="2:43" hidden="1" x14ac:dyDescent="0.3">
      <c r="B47" s="4" t="str">
        <f>IF(ROW(A35)&lt;=profilKelas!$F$14,ROW(A35),"")</f>
        <v/>
      </c>
      <c r="C47" s="94" t="str">
        <f>IF(ISBLANK(identitasMurid!C40),"",identitasMurid!C40)</f>
        <v/>
      </c>
      <c r="D47" s="6" t="str">
        <f>IF(ISBLANK(identitasMurid!D40),"",identitasMurid!D40)</f>
        <v/>
      </c>
      <c r="E47" s="95"/>
      <c r="F47" s="95"/>
      <c r="G47" s="95"/>
      <c r="H47" s="95"/>
      <c r="I47" s="95"/>
      <c r="J47" s="95"/>
      <c r="K47" s="95"/>
      <c r="L47" s="95"/>
      <c r="M47" s="95"/>
      <c r="Q47" s="5" t="str">
        <f>IF(ROW(A35)&lt;=profilKelas!$F$14,ROW(A35),"")</f>
        <v/>
      </c>
      <c r="R47" s="12" t="str">
        <f t="shared" si="0"/>
        <v/>
      </c>
      <c r="S47" s="108" t="str">
        <f t="shared" si="4"/>
        <v/>
      </c>
      <c r="T47" s="108" t="str">
        <f t="shared" si="2"/>
        <v/>
      </c>
      <c r="U47" s="108" t="str">
        <f t="shared" si="6"/>
        <v/>
      </c>
      <c r="V47" s="108" t="str">
        <f t="shared" si="6"/>
        <v/>
      </c>
      <c r="W47" s="108" t="str">
        <f t="shared" si="6"/>
        <v/>
      </c>
      <c r="X47" s="108" t="str">
        <f t="shared" si="6"/>
        <v/>
      </c>
      <c r="Y47" s="108" t="str">
        <f t="shared" si="6"/>
        <v/>
      </c>
      <c r="Z47" s="108" t="str">
        <f t="shared" si="6"/>
        <v/>
      </c>
      <c r="AA47" s="108" t="str">
        <f t="shared" si="6"/>
        <v/>
      </c>
      <c r="AB47" s="108" t="str" cm="1">
        <f t="array" ref="AB47">IF(LEN($B47)=0,"",IF(LEN(C47)=0,"Nama Siswa Kosong",IF($E47="","Status Siswa Kosong",IF(S47&lt;&gt;"Aktif","Siswa Tidak Aktif",
IF(OR(U47:AA47="Belum mengisi"),"Belum mengisi",IF(AND(U47:AA47="Sudah terbiasa"),"Sudah terbiasa","Belum terbiasa"))))))</f>
        <v/>
      </c>
    </row>
    <row r="48" spans="2:43" hidden="1" x14ac:dyDescent="0.3">
      <c r="B48" s="4" t="str">
        <f>IF(ROW(A36)&lt;=profilKelas!$F$14,ROW(A36),"")</f>
        <v/>
      </c>
      <c r="C48" s="94" t="str">
        <f>IF(ISBLANK(identitasMurid!C41),"",identitasMurid!C41)</f>
        <v/>
      </c>
      <c r="D48" s="6" t="str">
        <f>IF(ISBLANK(identitasMurid!D41),"",identitasMurid!D41)</f>
        <v/>
      </c>
      <c r="E48" s="95"/>
      <c r="F48" s="95"/>
      <c r="G48" s="95"/>
      <c r="H48" s="95"/>
      <c r="I48" s="95"/>
      <c r="J48" s="95"/>
      <c r="K48" s="95"/>
      <c r="L48" s="95"/>
      <c r="M48" s="30"/>
      <c r="Q48" s="5" t="str">
        <f>IF(ROW(A36)&lt;=profilKelas!$F$14,ROW(A36),"")</f>
        <v/>
      </c>
      <c r="R48" s="12" t="str">
        <f t="shared" si="0"/>
        <v/>
      </c>
      <c r="S48" s="108" t="str">
        <f t="shared" si="4"/>
        <v/>
      </c>
      <c r="T48" s="108" t="str">
        <f t="shared" si="2"/>
        <v/>
      </c>
      <c r="U48" s="108" t="str">
        <f t="shared" si="6"/>
        <v/>
      </c>
      <c r="V48" s="108" t="str">
        <f t="shared" si="6"/>
        <v/>
      </c>
      <c r="W48" s="108" t="str">
        <f t="shared" si="6"/>
        <v/>
      </c>
      <c r="X48" s="108" t="str">
        <f t="shared" si="6"/>
        <v/>
      </c>
      <c r="Y48" s="108" t="str">
        <f t="shared" si="6"/>
        <v/>
      </c>
      <c r="Z48" s="108" t="str">
        <f t="shared" si="6"/>
        <v/>
      </c>
      <c r="AA48" s="108" t="str">
        <f t="shared" si="6"/>
        <v/>
      </c>
      <c r="AB48" s="108" t="str" cm="1">
        <f t="array" ref="AB48">IF(LEN($B48)=0,"",IF(LEN(C48)=0,"Nama Siswa Kosong",IF($E48="","Status Siswa Kosong",IF(S48&lt;&gt;"Aktif","Siswa Tidak Aktif",
IF(OR(U48:AA48="Belum mengisi"),"Belum mengisi",IF(AND(U48:AA48="Sudah terbiasa"),"Sudah terbiasa","Belum terbiasa"))))))</f>
        <v/>
      </c>
    </row>
    <row r="49" spans="2:28" hidden="1" x14ac:dyDescent="0.3">
      <c r="B49" s="4" t="str">
        <f>IF(ROW(A37)&lt;=profilKelas!$F$14,ROW(A37),"")</f>
        <v/>
      </c>
      <c r="C49" s="94" t="str">
        <f>IF(ISBLANK(identitasMurid!C42),"",identitasMurid!C42)</f>
        <v/>
      </c>
      <c r="D49" s="6" t="str">
        <f>IF(ISBLANK(identitasMurid!D42),"",identitasMurid!D42)</f>
        <v/>
      </c>
      <c r="E49" s="95"/>
      <c r="F49" s="95"/>
      <c r="G49" s="95"/>
      <c r="H49" s="95"/>
      <c r="I49" s="95"/>
      <c r="J49" s="95"/>
      <c r="K49" s="95"/>
      <c r="L49" s="95"/>
      <c r="M49" s="30"/>
      <c r="Q49" s="5" t="str">
        <f>IF(ROW(A37)&lt;=profilKelas!$F$14,ROW(A37),"")</f>
        <v/>
      </c>
      <c r="R49" s="12" t="str">
        <f t="shared" si="0"/>
        <v/>
      </c>
      <c r="S49" s="108" t="str">
        <f t="shared" si="4"/>
        <v/>
      </c>
      <c r="T49" s="108" t="str">
        <f t="shared" si="2"/>
        <v/>
      </c>
      <c r="U49" s="108" t="str">
        <f t="shared" si="6"/>
        <v/>
      </c>
      <c r="V49" s="108" t="str">
        <f t="shared" si="6"/>
        <v/>
      </c>
      <c r="W49" s="108" t="str">
        <f t="shared" si="6"/>
        <v/>
      </c>
      <c r="X49" s="108" t="str">
        <f t="shared" si="6"/>
        <v/>
      </c>
      <c r="Y49" s="108" t="str">
        <f t="shared" si="6"/>
        <v/>
      </c>
      <c r="Z49" s="108" t="str">
        <f t="shared" si="6"/>
        <v/>
      </c>
      <c r="AA49" s="108" t="str">
        <f t="shared" si="6"/>
        <v/>
      </c>
      <c r="AB49" s="108" t="str" cm="1">
        <f t="array" ref="AB49">IF(LEN($B49)=0,"",IF(LEN(C49)=0,"Nama Siswa Kosong",IF($E49="","Status Siswa Kosong",IF(S49&lt;&gt;"Aktif","Siswa Tidak Aktif",
IF(OR(U49:AA49="Belum mengisi"),"Belum mengisi",IF(AND(U49:AA49="Sudah terbiasa"),"Sudah terbiasa","Belum terbiasa"))))))</f>
        <v/>
      </c>
    </row>
    <row r="50" spans="2:28" hidden="1" x14ac:dyDescent="0.3">
      <c r="B50" s="4" t="str">
        <f>IF(ROW(A38)&lt;=profilKelas!$F$14,ROW(A38),"")</f>
        <v/>
      </c>
      <c r="C50" s="94" t="str">
        <f>IF(ISBLANK(identitasMurid!C43),"",identitasMurid!C43)</f>
        <v/>
      </c>
      <c r="D50" s="6" t="str">
        <f>IF(ISBLANK(identitasMurid!D43),"",identitasMurid!D43)</f>
        <v/>
      </c>
      <c r="E50" s="95"/>
      <c r="F50" s="95"/>
      <c r="G50" s="95"/>
      <c r="H50" s="95"/>
      <c r="I50" s="95"/>
      <c r="J50" s="95"/>
      <c r="K50" s="95"/>
      <c r="L50" s="95"/>
      <c r="M50" s="30"/>
      <c r="Q50" s="5" t="str">
        <f>IF(ROW(A38)&lt;=profilKelas!$F$14,ROW(A38),"")</f>
        <v/>
      </c>
      <c r="R50" s="12" t="str">
        <f t="shared" si="0"/>
        <v/>
      </c>
      <c r="S50" s="108" t="str">
        <f t="shared" si="4"/>
        <v/>
      </c>
      <c r="T50" s="108" t="str">
        <f t="shared" si="2"/>
        <v/>
      </c>
      <c r="U50" s="108" t="str">
        <f t="shared" si="6"/>
        <v/>
      </c>
      <c r="V50" s="108" t="str">
        <f t="shared" si="6"/>
        <v/>
      </c>
      <c r="W50" s="108" t="str">
        <f t="shared" si="6"/>
        <v/>
      </c>
      <c r="X50" s="108" t="str">
        <f t="shared" si="6"/>
        <v/>
      </c>
      <c r="Y50" s="108" t="str">
        <f t="shared" si="6"/>
        <v/>
      </c>
      <c r="Z50" s="108" t="str">
        <f t="shared" si="6"/>
        <v/>
      </c>
      <c r="AA50" s="108" t="str">
        <f t="shared" si="6"/>
        <v/>
      </c>
      <c r="AB50" s="108" t="str" cm="1">
        <f t="array" ref="AB50">IF(LEN($B50)=0,"",IF(LEN(C50)=0,"Nama Siswa Kosong",IF($E50="","Status Siswa Kosong",IF(S50&lt;&gt;"Aktif","Siswa Tidak Aktif",
IF(OR(U50:AA50="Belum mengisi"),"Belum mengisi",IF(AND(U50:AA50="Sudah terbiasa"),"Sudah terbiasa","Belum terbiasa"))))))</f>
        <v/>
      </c>
    </row>
    <row r="51" spans="2:28" hidden="1" x14ac:dyDescent="0.3">
      <c r="B51" s="4" t="str">
        <f>IF(ROW(A39)&lt;=profilKelas!$F$14,ROW(A39),"")</f>
        <v/>
      </c>
      <c r="C51" s="94" t="str">
        <f>IF(ISBLANK(identitasMurid!C44),"",identitasMurid!C44)</f>
        <v/>
      </c>
      <c r="D51" s="6" t="str">
        <f>IF(ISBLANK(identitasMurid!D44),"",identitasMurid!D44)</f>
        <v/>
      </c>
      <c r="E51" s="95"/>
      <c r="F51" s="95"/>
      <c r="G51" s="95"/>
      <c r="H51" s="95"/>
      <c r="I51" s="95"/>
      <c r="J51" s="95"/>
      <c r="K51" s="95"/>
      <c r="L51" s="95"/>
      <c r="M51" s="30"/>
      <c r="Q51" s="5" t="str">
        <f>IF(ROW(A39)&lt;=profilKelas!$F$14,ROW(A39),"")</f>
        <v/>
      </c>
      <c r="R51" s="12" t="str">
        <f t="shared" si="0"/>
        <v/>
      </c>
      <c r="S51" s="108" t="str">
        <f t="shared" si="4"/>
        <v/>
      </c>
      <c r="T51" s="108" t="str">
        <f t="shared" si="2"/>
        <v/>
      </c>
      <c r="U51" s="108" t="str">
        <f t="shared" si="6"/>
        <v/>
      </c>
      <c r="V51" s="108" t="str">
        <f t="shared" si="6"/>
        <v/>
      </c>
      <c r="W51" s="108" t="str">
        <f t="shared" si="6"/>
        <v/>
      </c>
      <c r="X51" s="108" t="str">
        <f t="shared" si="6"/>
        <v/>
      </c>
      <c r="Y51" s="108" t="str">
        <f t="shared" si="6"/>
        <v/>
      </c>
      <c r="Z51" s="108" t="str">
        <f t="shared" si="6"/>
        <v/>
      </c>
      <c r="AA51" s="108" t="str">
        <f t="shared" si="6"/>
        <v/>
      </c>
      <c r="AB51" s="108" t="str" cm="1">
        <f t="array" ref="AB51">IF(LEN($B51)=0,"",IF(LEN(C51)=0,"Nama Siswa Kosong",IF($E51="","Status Siswa Kosong",IF(S51&lt;&gt;"Aktif","Siswa Tidak Aktif",
IF(OR(U51:AA51="Belum mengisi"),"Belum mengisi",IF(AND(U51:AA51="Sudah terbiasa"),"Sudah terbiasa","Belum terbiasa"))))))</f>
        <v/>
      </c>
    </row>
    <row r="52" spans="2:28" hidden="1" x14ac:dyDescent="0.3">
      <c r="B52" s="4" t="str">
        <f>IF(ROW(A40)&lt;=profilKelas!$F$14,ROW(A40),"")</f>
        <v/>
      </c>
      <c r="C52" s="94" t="str">
        <f>IF(ISBLANK(identitasMurid!C45),"",identitasMurid!C45)</f>
        <v/>
      </c>
      <c r="D52" s="6" t="str">
        <f>IF(ISBLANK(identitasMurid!D45),"",identitasMurid!D45)</f>
        <v/>
      </c>
      <c r="E52" s="95"/>
      <c r="F52" s="95"/>
      <c r="G52" s="95"/>
      <c r="H52" s="95"/>
      <c r="I52" s="95"/>
      <c r="J52" s="95"/>
      <c r="K52" s="95"/>
      <c r="L52" s="95"/>
      <c r="M52" s="30"/>
      <c r="Q52" s="5" t="str">
        <f>IF(ROW(A40)&lt;=profilKelas!$F$14,ROW(A40),"")</f>
        <v/>
      </c>
      <c r="R52" s="12" t="str">
        <f t="shared" si="0"/>
        <v/>
      </c>
      <c r="S52" s="108" t="str">
        <f t="shared" si="4"/>
        <v/>
      </c>
      <c r="T52" s="108" t="str">
        <f t="shared" si="2"/>
        <v/>
      </c>
      <c r="U52" s="108" t="str">
        <f t="shared" si="6"/>
        <v/>
      </c>
      <c r="V52" s="108" t="str">
        <f t="shared" si="6"/>
        <v/>
      </c>
      <c r="W52" s="108" t="str">
        <f t="shared" si="6"/>
        <v/>
      </c>
      <c r="X52" s="108" t="str">
        <f t="shared" si="6"/>
        <v/>
      </c>
      <c r="Y52" s="108" t="str">
        <f t="shared" si="6"/>
        <v/>
      </c>
      <c r="Z52" s="108" t="str">
        <f t="shared" si="6"/>
        <v/>
      </c>
      <c r="AA52" s="108" t="str">
        <f t="shared" si="6"/>
        <v/>
      </c>
      <c r="AB52" s="108" t="str" cm="1">
        <f t="array" ref="AB52">IF(LEN($B52)=0,"",IF(LEN(C52)=0,"Nama Siswa Kosong",IF($E52="","Status Siswa Kosong",IF(S52&lt;&gt;"Aktif","Siswa Tidak Aktif",
IF(OR(U52:AA52="Belum mengisi"),"Belum mengisi",IF(AND(U52:AA52="Sudah terbiasa"),"Sudah terbiasa","Belum terbiasa"))))))</f>
        <v/>
      </c>
    </row>
    <row r="53" spans="2:28" hidden="1" x14ac:dyDescent="0.3">
      <c r="B53" s="4" t="str">
        <f>IF(ROW(A41)&lt;=profilKelas!$F$14,ROW(A41),"")</f>
        <v/>
      </c>
      <c r="C53" s="94" t="str">
        <f>IF(ISBLANK(identitasMurid!C46),"",identitasMurid!C46)</f>
        <v/>
      </c>
      <c r="D53" s="6" t="str">
        <f>IF(ISBLANK(identitasMurid!D46),"",identitasMurid!D46)</f>
        <v/>
      </c>
      <c r="E53" s="95"/>
      <c r="F53" s="95"/>
      <c r="G53" s="95"/>
      <c r="H53" s="95"/>
      <c r="I53" s="95"/>
      <c r="J53" s="95"/>
      <c r="K53" s="95"/>
      <c r="L53" s="95"/>
      <c r="M53" s="30"/>
      <c r="Q53" s="5" t="str">
        <f>IF(ROW(A41)&lt;=profilKelas!$F$14,ROW(A41),"")</f>
        <v/>
      </c>
      <c r="R53" s="12" t="str">
        <f t="shared" si="0"/>
        <v/>
      </c>
      <c r="S53" s="108" t="str">
        <f t="shared" si="4"/>
        <v/>
      </c>
      <c r="T53" s="108" t="str">
        <f t="shared" si="2"/>
        <v/>
      </c>
      <c r="U53" s="108" t="str">
        <f t="shared" si="6"/>
        <v/>
      </c>
      <c r="V53" s="108" t="str">
        <f t="shared" si="6"/>
        <v/>
      </c>
      <c r="W53" s="108" t="str">
        <f t="shared" si="6"/>
        <v/>
      </c>
      <c r="X53" s="108" t="str">
        <f t="shared" si="6"/>
        <v/>
      </c>
      <c r="Y53" s="108" t="str">
        <f t="shared" si="6"/>
        <v/>
      </c>
      <c r="Z53" s="108" t="str">
        <f t="shared" si="6"/>
        <v/>
      </c>
      <c r="AA53" s="108" t="str">
        <f t="shared" si="6"/>
        <v/>
      </c>
      <c r="AB53" s="108" t="str" cm="1">
        <f t="array" ref="AB53">IF(LEN($B53)=0,"",IF(LEN(C53)=0,"Nama Siswa Kosong",IF($E53="","Status Siswa Kosong",IF(S53&lt;&gt;"Aktif","Siswa Tidak Aktif",
IF(OR(U53:AA53="Belum mengisi"),"Belum mengisi",IF(AND(U53:AA53="Sudah terbiasa"),"Sudah terbiasa","Belum terbiasa"))))))</f>
        <v/>
      </c>
    </row>
    <row r="54" spans="2:28" hidden="1" x14ac:dyDescent="0.3">
      <c r="B54" s="4" t="str">
        <f>IF(ROW(A42)&lt;=profilKelas!$F$14,ROW(A42),"")</f>
        <v/>
      </c>
      <c r="C54" s="94" t="str">
        <f>IF(ISBLANK(identitasMurid!C47),"",identitasMurid!C47)</f>
        <v/>
      </c>
      <c r="D54" s="6" t="str">
        <f>IF(ISBLANK(identitasMurid!D47),"",identitasMurid!D47)</f>
        <v/>
      </c>
      <c r="E54" s="95"/>
      <c r="F54" s="95"/>
      <c r="G54" s="95"/>
      <c r="H54" s="95"/>
      <c r="I54" s="95"/>
      <c r="J54" s="95"/>
      <c r="K54" s="95"/>
      <c r="L54" s="95"/>
      <c r="M54" s="30"/>
      <c r="Q54" s="5" t="str">
        <f>IF(ROW(A42)&lt;=profilKelas!$F$14,ROW(A42),"")</f>
        <v/>
      </c>
      <c r="R54" s="12" t="str">
        <f t="shared" si="0"/>
        <v/>
      </c>
      <c r="S54" s="108" t="str">
        <f t="shared" si="4"/>
        <v/>
      </c>
      <c r="T54" s="108" t="str">
        <f t="shared" si="2"/>
        <v/>
      </c>
      <c r="U54" s="108" t="str">
        <f t="shared" si="6"/>
        <v/>
      </c>
      <c r="V54" s="108" t="str">
        <f t="shared" si="6"/>
        <v/>
      </c>
      <c r="W54" s="108" t="str">
        <f t="shared" si="6"/>
        <v/>
      </c>
      <c r="X54" s="108" t="str">
        <f t="shared" si="6"/>
        <v/>
      </c>
      <c r="Y54" s="108" t="str">
        <f t="shared" si="6"/>
        <v/>
      </c>
      <c r="Z54" s="108" t="str">
        <f t="shared" si="6"/>
        <v/>
      </c>
      <c r="AA54" s="108" t="str">
        <f t="shared" si="6"/>
        <v/>
      </c>
      <c r="AB54" s="108" t="str" cm="1">
        <f t="array" ref="AB54">IF(LEN($B54)=0,"",IF(LEN(C54)=0,"Nama Siswa Kosong",IF($E54="","Status Siswa Kosong",IF(S54&lt;&gt;"Aktif","Siswa Tidak Aktif",
IF(OR(U54:AA54="Belum mengisi"),"Belum mengisi",IF(AND(U54:AA54="Sudah terbiasa"),"Sudah terbiasa","Belum terbiasa"))))))</f>
        <v/>
      </c>
    </row>
    <row r="55" spans="2:28" hidden="1" x14ac:dyDescent="0.3">
      <c r="B55" s="4" t="str">
        <f>IF(ROW(A43)&lt;=profilKelas!$F$14,ROW(A43),"")</f>
        <v/>
      </c>
      <c r="C55" s="94" t="str">
        <f>IF(ISBLANK(identitasMurid!C48),"",identitasMurid!C48)</f>
        <v/>
      </c>
      <c r="D55" s="6" t="str">
        <f>IF(ISBLANK(identitasMurid!D48),"",identitasMurid!D48)</f>
        <v/>
      </c>
      <c r="E55" s="95"/>
      <c r="F55" s="95"/>
      <c r="G55" s="95"/>
      <c r="H55" s="95"/>
      <c r="I55" s="95"/>
      <c r="J55" s="95"/>
      <c r="K55" s="95"/>
      <c r="L55" s="95"/>
      <c r="M55" s="30"/>
      <c r="Q55" s="5" t="str">
        <f>IF(ROW(A43)&lt;=profilKelas!$F$14,ROW(A43),"")</f>
        <v/>
      </c>
      <c r="R55" s="12" t="str">
        <f t="shared" si="0"/>
        <v/>
      </c>
      <c r="S55" s="108" t="str">
        <f t="shared" si="4"/>
        <v/>
      </c>
      <c r="T55" s="108" t="str">
        <f t="shared" si="2"/>
        <v/>
      </c>
      <c r="U55" s="108" t="str">
        <f t="shared" si="6"/>
        <v/>
      </c>
      <c r="V55" s="108" t="str">
        <f t="shared" si="6"/>
        <v/>
      </c>
      <c r="W55" s="108" t="str">
        <f t="shared" si="6"/>
        <v/>
      </c>
      <c r="X55" s="108" t="str">
        <f t="shared" si="6"/>
        <v/>
      </c>
      <c r="Y55" s="108" t="str">
        <f t="shared" si="6"/>
        <v/>
      </c>
      <c r="Z55" s="108" t="str">
        <f t="shared" si="6"/>
        <v/>
      </c>
      <c r="AA55" s="108" t="str">
        <f t="shared" si="6"/>
        <v/>
      </c>
      <c r="AB55" s="108" t="str" cm="1">
        <f t="array" ref="AB55">IF(LEN($B55)=0,"",IF(LEN(C55)=0,"Nama Siswa Kosong",IF($E55="","Status Siswa Kosong",IF(S55&lt;&gt;"Aktif","Siswa Tidak Aktif",
IF(OR(U55:AA55="Belum mengisi"),"Belum mengisi",IF(AND(U55:AA55="Sudah terbiasa"),"Sudah terbiasa","Belum terbiasa"))))))</f>
        <v/>
      </c>
    </row>
    <row r="56" spans="2:28" hidden="1" x14ac:dyDescent="0.3">
      <c r="B56" s="4" t="str">
        <f>IF(ROW(A44)&lt;=profilKelas!$F$14,ROW(A44),"")</f>
        <v/>
      </c>
      <c r="C56" s="94" t="str">
        <f>IF(ISBLANK(identitasMurid!C49),"",identitasMurid!C49)</f>
        <v/>
      </c>
      <c r="D56" s="6" t="str">
        <f>IF(ISBLANK(identitasMurid!D49),"",identitasMurid!D49)</f>
        <v/>
      </c>
      <c r="E56" s="95"/>
      <c r="F56" s="95"/>
      <c r="G56" s="95"/>
      <c r="H56" s="95"/>
      <c r="I56" s="95"/>
      <c r="J56" s="95"/>
      <c r="K56" s="95"/>
      <c r="L56" s="95"/>
      <c r="M56" s="30"/>
      <c r="Q56" s="5" t="str">
        <f>IF(ROW(A44)&lt;=profilKelas!$F$14,ROW(A44),"")</f>
        <v/>
      </c>
      <c r="R56" s="12" t="str">
        <f t="shared" si="0"/>
        <v/>
      </c>
      <c r="S56" s="108" t="str">
        <f t="shared" si="4"/>
        <v/>
      </c>
      <c r="T56" s="108" t="str">
        <f t="shared" si="2"/>
        <v/>
      </c>
      <c r="U56" s="108" t="str">
        <f t="shared" si="6"/>
        <v/>
      </c>
      <c r="V56" s="108" t="str">
        <f t="shared" si="6"/>
        <v/>
      </c>
      <c r="W56" s="108" t="str">
        <f t="shared" si="6"/>
        <v/>
      </c>
      <c r="X56" s="108" t="str">
        <f t="shared" si="6"/>
        <v/>
      </c>
      <c r="Y56" s="108" t="str">
        <f t="shared" si="6"/>
        <v/>
      </c>
      <c r="Z56" s="108" t="str">
        <f t="shared" si="6"/>
        <v/>
      </c>
      <c r="AA56" s="108" t="str">
        <f t="shared" si="6"/>
        <v/>
      </c>
      <c r="AB56" s="108" t="str" cm="1">
        <f t="array" ref="AB56">IF(LEN($B56)=0,"",IF(LEN(C56)=0,"Nama Siswa Kosong",IF($E56="","Status Siswa Kosong",IF(S56&lt;&gt;"Aktif","Siswa Tidak Aktif",
IF(OR(U56:AA56="Belum mengisi"),"Belum mengisi",IF(AND(U56:AA56="Sudah terbiasa"),"Sudah terbiasa","Belum terbiasa"))))))</f>
        <v/>
      </c>
    </row>
    <row r="57" spans="2:28" hidden="1" x14ac:dyDescent="0.3">
      <c r="B57" s="4" t="str">
        <f>IF(ROW(A45)&lt;=profilKelas!$F$14,ROW(A45),"")</f>
        <v/>
      </c>
      <c r="C57" s="94" t="str">
        <f>IF(ISBLANK(identitasMurid!C50),"",identitasMurid!C50)</f>
        <v/>
      </c>
      <c r="D57" s="6" t="str">
        <f>IF(ISBLANK(identitasMurid!D50),"",identitasMurid!D50)</f>
        <v/>
      </c>
      <c r="E57" s="95"/>
      <c r="F57" s="95"/>
      <c r="G57" s="95"/>
      <c r="H57" s="95"/>
      <c r="I57" s="95"/>
      <c r="J57" s="95"/>
      <c r="K57" s="95"/>
      <c r="L57" s="95"/>
      <c r="M57" s="30"/>
      <c r="Q57" s="5" t="str">
        <f>IF(ROW(A45)&lt;=profilKelas!$F$14,ROW(A45),"")</f>
        <v/>
      </c>
      <c r="R57" s="12" t="str">
        <f t="shared" si="0"/>
        <v/>
      </c>
      <c r="S57" s="108" t="str">
        <f t="shared" si="4"/>
        <v/>
      </c>
      <c r="T57" s="108" t="str">
        <f t="shared" si="2"/>
        <v/>
      </c>
      <c r="U57" s="108" t="str">
        <f t="shared" si="6"/>
        <v/>
      </c>
      <c r="V57" s="108" t="str">
        <f t="shared" si="6"/>
        <v/>
      </c>
      <c r="W57" s="108" t="str">
        <f t="shared" si="6"/>
        <v/>
      </c>
      <c r="X57" s="108" t="str">
        <f t="shared" si="6"/>
        <v/>
      </c>
      <c r="Y57" s="108" t="str">
        <f t="shared" si="6"/>
        <v/>
      </c>
      <c r="Z57" s="108" t="str">
        <f t="shared" si="6"/>
        <v/>
      </c>
      <c r="AA57" s="108" t="str">
        <f t="shared" si="6"/>
        <v/>
      </c>
      <c r="AB57" s="108" t="str" cm="1">
        <f t="array" ref="AB57">IF(LEN($B57)=0,"",IF(LEN(C57)=0,"Nama Siswa Kosong",IF($E57="","Status Siswa Kosong",IF(S57&lt;&gt;"Aktif","Siswa Tidak Aktif",
IF(OR(U57:AA57="Belum mengisi"),"Belum mengisi",IF(AND(U57:AA57="Sudah terbiasa"),"Sudah terbiasa","Belum terbiasa"))))))</f>
        <v/>
      </c>
    </row>
    <row r="58" spans="2:28" x14ac:dyDescent="0.3"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</row>
    <row r="59" spans="2:28" ht="16.2" x14ac:dyDescent="0.35">
      <c r="B59" s="13"/>
      <c r="C59" s="71"/>
      <c r="D59" s="71" t="s">
        <v>15</v>
      </c>
      <c r="E59" s="13"/>
      <c r="F59" s="13"/>
      <c r="G59" s="13"/>
      <c r="H59" s="13"/>
      <c r="I59" s="13"/>
      <c r="J59" s="13"/>
      <c r="K59" s="13" t="str">
        <f>profilKelas!F9&amp;", "&amp;O60</f>
        <v>, 31 Desember 2025</v>
      </c>
      <c r="L59" s="13"/>
      <c r="M59" s="13"/>
      <c r="O59" s="31" t="s">
        <v>860</v>
      </c>
      <c r="Q59" s="13"/>
      <c r="R59" s="13"/>
      <c r="S59" s="13" t="s">
        <v>15</v>
      </c>
      <c r="T59" s="13"/>
      <c r="U59" s="13"/>
      <c r="V59" s="13"/>
      <c r="W59" s="13"/>
      <c r="X59" s="13"/>
      <c r="Y59" s="13"/>
      <c r="Z59" s="13" t="str">
        <f>profilKelas!F9&amp;", "&amp;O60</f>
        <v>, 31 Desember 2025</v>
      </c>
      <c r="AA59" s="13"/>
      <c r="AB59" s="13"/>
    </row>
    <row r="60" spans="2:28" x14ac:dyDescent="0.3">
      <c r="B60" s="13"/>
      <c r="C60" s="71"/>
      <c r="D60" s="71" t="str">
        <f>IF(ISBLANK(profilKelas!B10),"",SUBSTITUTE(profilKelas!B10,"Nama ",""))</f>
        <v>Kepala Sekolah</v>
      </c>
      <c r="E60" s="13"/>
      <c r="F60" s="13"/>
      <c r="G60" s="13"/>
      <c r="H60" s="13"/>
      <c r="I60" s="13"/>
      <c r="J60" s="13"/>
      <c r="K60" s="13" t="str">
        <f>SUBSTITUTE(profilKelas!B15,"Nama ","")&amp;","</f>
        <v>Guru Wali Kelas,</v>
      </c>
      <c r="L60" s="13"/>
      <c r="M60" s="13"/>
      <c r="O60" s="100" t="s">
        <v>908</v>
      </c>
      <c r="Q60" s="13"/>
      <c r="R60" s="13"/>
      <c r="S60" s="13" t="str">
        <f>IF(ISBLANK(profilKelas!B10),"",profilKelas!B10)</f>
        <v>Nama Kepala Sekolah</v>
      </c>
      <c r="T60" s="13"/>
      <c r="U60" s="13"/>
      <c r="V60" s="13"/>
      <c r="W60" s="13"/>
      <c r="X60" s="13"/>
      <c r="Y60" s="13"/>
      <c r="Z60" s="13" t="str">
        <f>SUBSTITUTE(profilKelas!B15,"Nama ","")&amp;","</f>
        <v>Guru Wali Kelas,</v>
      </c>
      <c r="AA60" s="13"/>
      <c r="AB60" s="13"/>
    </row>
    <row r="61" spans="2:28" x14ac:dyDescent="0.3"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</row>
    <row r="62" spans="2:28" x14ac:dyDescent="0.3"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</row>
    <row r="63" spans="2:28" x14ac:dyDescent="0.3"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</row>
    <row r="64" spans="2:28" x14ac:dyDescent="0.3">
      <c r="B64" s="13"/>
      <c r="C64" s="13"/>
      <c r="D64" s="101" t="str">
        <f>IF(ISBLANK(profilKelas!F10),"",profilKelas!F10)</f>
        <v/>
      </c>
      <c r="E64" s="13"/>
      <c r="F64" s="13"/>
      <c r="G64" s="13"/>
      <c r="H64" s="13"/>
      <c r="I64" s="13"/>
      <c r="J64" s="13"/>
      <c r="K64" s="101" t="str">
        <f>IF(LEN(profilKelas!F15)=0,"",profilKelas!F15)</f>
        <v/>
      </c>
      <c r="L64" s="13"/>
      <c r="M64" s="13"/>
      <c r="Q64" s="13"/>
      <c r="R64" s="13"/>
      <c r="S64" s="101" t="str">
        <f>IF(ISBLANK(profilKelas!F10),"",profilKelas!F10)</f>
        <v/>
      </c>
      <c r="T64" s="13"/>
      <c r="U64" s="13"/>
      <c r="V64" s="13"/>
      <c r="W64" s="13"/>
      <c r="X64" s="13"/>
      <c r="Y64" s="13"/>
      <c r="Z64" s="101">
        <f>profilKelas!F15</f>
        <v>0</v>
      </c>
      <c r="AA64" s="13"/>
      <c r="AB64" s="13"/>
    </row>
    <row r="65" spans="2:28" x14ac:dyDescent="0.3">
      <c r="B65" s="13"/>
      <c r="C65" s="13"/>
      <c r="D65" s="13" t="str">
        <f>"NIP. "&amp;profilKelas!F11</f>
        <v xml:space="preserve">NIP. </v>
      </c>
      <c r="E65" s="13"/>
      <c r="F65" s="13"/>
      <c r="G65" s="13"/>
      <c r="H65" s="13"/>
      <c r="I65" s="13"/>
      <c r="J65" s="13"/>
      <c r="K65" s="13" t="str">
        <f>"NIP. "&amp;profilKelas!F16</f>
        <v xml:space="preserve">NIP. </v>
      </c>
      <c r="L65" s="13"/>
      <c r="M65" s="13"/>
      <c r="Q65" s="13"/>
      <c r="R65" s="13"/>
      <c r="S65" s="13" t="str">
        <f>"NIP. "&amp;profilKelas!F11</f>
        <v xml:space="preserve">NIP. </v>
      </c>
      <c r="T65" s="13"/>
      <c r="U65" s="13"/>
      <c r="V65" s="13"/>
      <c r="W65" s="13"/>
      <c r="X65" s="13"/>
      <c r="Y65" s="13"/>
      <c r="Z65" s="13" t="str">
        <f>"NIP. "&amp;profilKelas!F16</f>
        <v xml:space="preserve">NIP. </v>
      </c>
      <c r="AA65" s="13"/>
      <c r="AB65" s="13"/>
    </row>
    <row r="66" spans="2:28" x14ac:dyDescent="0.3"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</row>
    <row r="67" spans="2:28" x14ac:dyDescent="0.3">
      <c r="B67" s="13"/>
      <c r="C67" s="102" t="s">
        <v>10</v>
      </c>
      <c r="D67" s="71" t="s">
        <v>609</v>
      </c>
      <c r="E67" s="13"/>
      <c r="F67" s="13"/>
      <c r="G67" s="13"/>
      <c r="H67" s="13"/>
      <c r="I67" s="13"/>
      <c r="J67" s="13"/>
      <c r="K67" s="13"/>
      <c r="L67" s="13"/>
      <c r="M67" s="13"/>
      <c r="Q67" s="13"/>
      <c r="R67" s="102" t="s">
        <v>10</v>
      </c>
      <c r="S67" s="71" t="s">
        <v>609</v>
      </c>
      <c r="T67" s="13"/>
      <c r="U67" s="13"/>
      <c r="V67" s="13"/>
      <c r="W67" s="13"/>
      <c r="X67" s="13"/>
      <c r="Y67" s="13"/>
      <c r="Z67" s="13"/>
      <c r="AA67" s="13"/>
      <c r="AB67" s="13"/>
    </row>
    <row r="68" spans="2:28" ht="15.6" customHeight="1" x14ac:dyDescent="0.3"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63">
        <f>SUBTOTAL(109,N69)</f>
        <v>0</v>
      </c>
      <c r="O68" s="63" t="str">
        <f>IF(N68=0,"ATUR HALAMAN","TAMPILAN NORMAL")</f>
        <v>ATUR HALAMAN</v>
      </c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</row>
    <row r="69" spans="2:28" hidden="1" x14ac:dyDescent="0.3">
      <c r="N69" s="7">
        <v>1</v>
      </c>
    </row>
  </sheetData>
  <sheetProtection algorithmName="SHA-512" hashValue="YIlJsgR1VsQCDyIBhitGq02oXLJFnzxwMfOtR06ckoQmMNtQ0SnEPPslo7j7vQwU8y5obqnEOOMFBH/eymUkzA==" saltValue="FtTunE7T72B87oSVGqNXeQ==" spinCount="100000" sheet="1" objects="1" scenarios="1" formatCells="0" formatColumns="0" formatRows="0" insertColumns="0" insertRows="0" insertHyperlinks="0" deleteColumns="0" deleteRows="0" autoFilter="0"/>
  <mergeCells count="41">
    <mergeCell ref="AL14:AQ18"/>
    <mergeCell ref="AG15:AH15"/>
    <mergeCell ref="AI15:AJ15"/>
    <mergeCell ref="AD18:AE18"/>
    <mergeCell ref="B6:M6"/>
    <mergeCell ref="Q6:AB6"/>
    <mergeCell ref="AD6:AQ7"/>
    <mergeCell ref="B10:B12"/>
    <mergeCell ref="C10:C12"/>
    <mergeCell ref="D10:D12"/>
    <mergeCell ref="E10:E12"/>
    <mergeCell ref="M10:M12"/>
    <mergeCell ref="AE24:AF24"/>
    <mergeCell ref="AD14:AD15"/>
    <mergeCell ref="AE14:AE15"/>
    <mergeCell ref="AF14:AF15"/>
    <mergeCell ref="AG14:AJ14"/>
    <mergeCell ref="AG21:AJ21"/>
    <mergeCell ref="AE22:AF22"/>
    <mergeCell ref="AG22:AH22"/>
    <mergeCell ref="AI22:AJ22"/>
    <mergeCell ref="AE23:AF23"/>
    <mergeCell ref="AE25:AF25"/>
    <mergeCell ref="AE26:AF26"/>
    <mergeCell ref="AE27:AF27"/>
    <mergeCell ref="AE28:AF28"/>
    <mergeCell ref="AE29:AF29"/>
    <mergeCell ref="AK31:AN31"/>
    <mergeCell ref="AE32:AF32"/>
    <mergeCell ref="AG32:AH32"/>
    <mergeCell ref="AI32:AJ32"/>
    <mergeCell ref="AK32:AL32"/>
    <mergeCell ref="AM32:AN32"/>
    <mergeCell ref="AG31:AJ31"/>
    <mergeCell ref="AE39:AF39"/>
    <mergeCell ref="AE33:AF33"/>
    <mergeCell ref="AE34:AF34"/>
    <mergeCell ref="AE35:AF35"/>
    <mergeCell ref="AE36:AF36"/>
    <mergeCell ref="AE37:AF37"/>
    <mergeCell ref="AE38:AF38"/>
  </mergeCells>
  <conditionalFormatting sqref="F17:F57">
    <cfRule type="expression" dxfId="97" priority="17">
      <formula>AND($C17="",$F17="")</formula>
    </cfRule>
  </conditionalFormatting>
  <conditionalFormatting sqref="E17:M57 B13:C57 M13:M16">
    <cfRule type="expression" dxfId="96" priority="16">
      <formula>$B13&lt;&gt;""</formula>
    </cfRule>
  </conditionalFormatting>
  <conditionalFormatting sqref="D13:D57">
    <cfRule type="expression" dxfId="95" priority="15">
      <formula>$B13&lt;&gt;""</formula>
    </cfRule>
  </conditionalFormatting>
  <conditionalFormatting sqref="R13:T57">
    <cfRule type="expression" dxfId="94" priority="14">
      <formula>$Q13&lt;&gt;""</formula>
    </cfRule>
  </conditionalFormatting>
  <conditionalFormatting sqref="Q13">
    <cfRule type="expression" dxfId="93" priority="13">
      <formula>$B13&lt;&gt;""</formula>
    </cfRule>
  </conditionalFormatting>
  <conditionalFormatting sqref="U13:AA57">
    <cfRule type="containsText" dxfId="92" priority="10" operator="containsText" text="Belum terbiasa">
      <formula>NOT(ISERROR(SEARCH("Belum terbiasa",U13)))</formula>
    </cfRule>
    <cfRule type="containsText" dxfId="91" priority="11" operator="containsText" text="Sudah terbiasa">
      <formula>NOT(ISERROR(SEARCH("Sudah terbiasa",U13)))</formula>
    </cfRule>
    <cfRule type="containsText" dxfId="90" priority="12" operator="containsText" text="Belum mengisi">
      <formula>NOT(ISERROR(SEARCH("Belum mengisi",U13)))</formula>
    </cfRule>
  </conditionalFormatting>
  <conditionalFormatting sqref="AB13:AB57">
    <cfRule type="containsText" dxfId="89" priority="7" operator="containsText" text="mengisi">
      <formula>NOT(ISERROR(SEARCH("mengisi",AB13)))</formula>
    </cfRule>
    <cfRule type="containsText" dxfId="88" priority="8" operator="containsText" text="Belum terbiasa">
      <formula>NOT(ISERROR(SEARCH("Belum terbiasa",AB13)))</formula>
    </cfRule>
    <cfRule type="containsText" dxfId="87" priority="9" operator="containsText" text="Sudah terbiasa">
      <formula>NOT(ISERROR(SEARCH("Sudah terbiasa",AB13)))</formula>
    </cfRule>
  </conditionalFormatting>
  <conditionalFormatting sqref="Q14:Q57">
    <cfRule type="expression" dxfId="86" priority="6">
      <formula>$B14&lt;&gt;""</formula>
    </cfRule>
  </conditionalFormatting>
  <conditionalFormatting sqref="F13:L16">
    <cfRule type="expression" dxfId="85" priority="2">
      <formula>AND($C13="",$F13="")</formula>
    </cfRule>
  </conditionalFormatting>
  <conditionalFormatting sqref="E13:L16">
    <cfRule type="expression" dxfId="84" priority="1">
      <formula>$B13&lt;&gt;""</formula>
    </cfRule>
  </conditionalFormatting>
  <dataValidations count="2">
    <dataValidation allowBlank="1" showInputMessage="1" showErrorMessage="1" promptTitle="Tanggal pengesahan" prompt="Contoh penulisan_x000a_31 Juli 2025" sqref="O60:P60" xr:uid="{00000000-0002-0000-1300-000000000000}"/>
    <dataValidation type="whole" allowBlank="1" showInputMessage="1" showErrorMessage="1" errorTitle="Angka" error="Isian hanya berupa angka 0 s.d. 31." promptTitle="Angka" prompt="Inputan angka dari 0 s.d. 31 sesuai bulan berjalan." sqref="F13:L57" xr:uid="{00000000-0002-0000-1300-000001000000}">
      <formula1>0</formula1>
      <formula2>31</formula2>
    </dataValidation>
  </dataValidations>
  <pageMargins left="0.19685039370078741" right="0.19685039370078741" top="0.74803149606299213" bottom="0.74803149606299213" header="0.31496062992125984" footer="0.31496062992125984"/>
  <pageSetup paperSize="9" scale="59" fitToHeight="0" orientation="landscape" r:id="rId1"/>
  <headerFooter>
    <oddHeader>&amp;C&amp;G</oddHeader>
  </headerFooter>
  <drawing r:id="rId2"/>
  <legacyDrawingHF r:id="rId3"/>
  <picture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Catatan" error="Harap dipilih." promptTitle="Catatan" prompt="Pilih keterangan siswa_x000a_aktif: aktif pada bulan berjalan_x000a_pindah: pada bulan berjalan sudah pindah_x000a_berhenti: pada bulan berjalan berhenti _x000a_meninggal: pada bulan berjalan meninggal_x000a__x000a_Jika terdapat penambahan siswa, keterangan bulan sebelumnya dipilih tidak." xr:uid="{00000000-0002-0000-1300-000002000000}">
          <x14:formula1>
            <xm:f>info!$AD$2:$AD$6</xm:f>
          </x14:formula1>
          <xm:sqref>E13:E57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mmJan"/>
  <dimension ref="A1:AQ69"/>
  <sheetViews>
    <sheetView showGridLines="0" showRowColHeaders="0" zoomScaleNormal="100" zoomScaleSheetLayoutView="100" zoomScalePageLayoutView="47" workbookViewId="0">
      <pane xSplit="1" ySplit="12" topLeftCell="B13" activePane="bottomRight" state="frozen"/>
      <selection pane="topRight" activeCell="B1" sqref="B1"/>
      <selection pane="bottomLeft" activeCell="A13" sqref="A13"/>
      <selection pane="bottomRight" activeCell="B6" sqref="B6:M6"/>
    </sheetView>
  </sheetViews>
  <sheetFormatPr defaultColWidth="0" defaultRowHeight="15.6" customHeight="1" zeroHeight="1" x14ac:dyDescent="0.3"/>
  <cols>
    <col min="1" max="1" width="9.109375" style="7" customWidth="1"/>
    <col min="2" max="2" width="3.5546875" style="7" bestFit="1" customWidth="1"/>
    <col min="3" max="3" width="31.5546875" style="7" customWidth="1"/>
    <col min="4" max="4" width="10" style="7" customWidth="1"/>
    <col min="5" max="5" width="11.5546875" style="7" customWidth="1"/>
    <col min="6" max="12" width="24" style="7" customWidth="1"/>
    <col min="13" max="13" width="18.33203125" style="7" customWidth="1"/>
    <col min="14" max="14" width="2.109375" style="7" customWidth="1"/>
    <col min="15" max="15" width="25.109375" style="7" bestFit="1" customWidth="1"/>
    <col min="16" max="16" width="9.109375" style="7" customWidth="1"/>
    <col min="17" max="17" width="3.5546875" style="7" hidden="1" customWidth="1"/>
    <col min="18" max="18" width="27.88671875" style="7" hidden="1" customWidth="1"/>
    <col min="19" max="19" width="8.6640625" style="7" hidden="1" customWidth="1"/>
    <col min="20" max="20" width="5.6640625" style="7" hidden="1" customWidth="1"/>
    <col min="21" max="28" width="21.33203125" style="7" hidden="1" customWidth="1"/>
    <col min="29" max="29" width="9.109375" style="7" hidden="1" customWidth="1"/>
    <col min="30" max="30" width="3.5546875" style="7" hidden="1" customWidth="1"/>
    <col min="31" max="31" width="20" style="7" hidden="1" customWidth="1"/>
    <col min="32" max="32" width="6.5546875" style="7" hidden="1" customWidth="1"/>
    <col min="33" max="36" width="9.6640625" style="7" hidden="1" customWidth="1"/>
    <col min="37" max="43" width="0" style="7" hidden="1" customWidth="1"/>
    <col min="44" max="16384" width="8.88671875" style="7" hidden="1"/>
  </cols>
  <sheetData>
    <row r="1" spans="1:43" x14ac:dyDescent="0.3">
      <c r="A1" s="63">
        <f>profilKelas!F14</f>
        <v>1</v>
      </c>
      <c r="D1" s="64" t="s">
        <v>890</v>
      </c>
      <c r="E1" s="65"/>
      <c r="F1" s="65"/>
      <c r="G1" s="65"/>
      <c r="H1" s="65"/>
      <c r="Q1" s="66" t="s">
        <v>859</v>
      </c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D1" s="66" t="s">
        <v>859</v>
      </c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</row>
    <row r="2" spans="1:43" x14ac:dyDescent="0.3">
      <c r="D2" s="67"/>
      <c r="E2" s="67"/>
      <c r="F2" s="67"/>
      <c r="G2" s="67"/>
      <c r="H2" s="67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</row>
    <row r="3" spans="1:43" ht="15.6" customHeight="1" x14ac:dyDescent="0.3"/>
    <row r="4" spans="1:43" ht="15.6" customHeight="1" x14ac:dyDescent="0.3"/>
    <row r="5" spans="1:43" x14ac:dyDescent="0.3">
      <c r="Q5" s="68"/>
      <c r="S5" s="69"/>
      <c r="T5" s="69"/>
      <c r="V5" s="69"/>
      <c r="X5" s="69"/>
      <c r="Z5" s="69"/>
      <c r="AL5" s="70"/>
    </row>
    <row r="6" spans="1:43" ht="15.6" customHeight="1" x14ac:dyDescent="0.3">
      <c r="B6" s="168" t="s">
        <v>882</v>
      </c>
      <c r="C6" s="168"/>
      <c r="D6" s="168"/>
      <c r="E6" s="168"/>
      <c r="F6" s="168"/>
      <c r="G6" s="168"/>
      <c r="H6" s="168"/>
      <c r="I6" s="168"/>
      <c r="J6" s="168"/>
      <c r="K6" s="168"/>
      <c r="L6" s="168"/>
      <c r="M6" s="168"/>
      <c r="Q6" s="168"/>
      <c r="R6" s="168"/>
      <c r="S6" s="168"/>
      <c r="T6" s="168"/>
      <c r="U6" s="168"/>
      <c r="V6" s="168"/>
      <c r="W6" s="168"/>
      <c r="X6" s="168"/>
      <c r="Y6" s="168"/>
      <c r="Z6" s="168"/>
      <c r="AA6" s="168"/>
      <c r="AB6" s="168"/>
      <c r="AD6" s="159" t="str">
        <f>"REKAPITULASI CATATAN HARIAN KELAS (RCHS) "&amp;CHAR(10)&amp;"SEMESTER "&amp;MID(J7,3,1)&amp;" BULAN"&amp;UPPER(MID(J7,SEARCH("/",J7)+1,99))&amp;" TAHUN "&amp;IF(ISBLANK(O11),profilKelas!F12,O11)</f>
        <v xml:space="preserve">REKAPITULASI CATATAN HARIAN KELAS (RCHS) 
SEMESTER I BULAN JANUARI TAHUN </v>
      </c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</row>
    <row r="7" spans="1:43" x14ac:dyDescent="0.3">
      <c r="B7" s="13"/>
      <c r="C7" s="13" t="s">
        <v>862</v>
      </c>
      <c r="D7" s="13" t="str">
        <f>": "&amp;IF(ISBLANK(profilKelas!F5),"",profilKelas!F5&amp;" ("&amp;profilKelas!F6&amp;")")</f>
        <v xml:space="preserve">: </v>
      </c>
      <c r="E7" s="13"/>
      <c r="F7" s="13"/>
      <c r="G7" s="13"/>
      <c r="H7" s="13"/>
      <c r="I7" s="13" t="s">
        <v>885</v>
      </c>
      <c r="J7" s="13" t="str">
        <f>": II / Januari"</f>
        <v>: II / Januari</v>
      </c>
      <c r="K7" s="13"/>
      <c r="L7" s="13"/>
      <c r="M7" s="71"/>
      <c r="O7"/>
      <c r="Q7" s="13"/>
      <c r="R7" s="13" t="s">
        <v>862</v>
      </c>
      <c r="S7" s="13" t="str">
        <f>": "&amp;IF(ISBLANK(profilKelas!F5),"",profilKelas!F5&amp;" ("&amp;profilKelas!F6&amp;")")</f>
        <v xml:space="preserve">: </v>
      </c>
      <c r="T7" s="13"/>
      <c r="U7" s="13"/>
      <c r="V7" s="13"/>
      <c r="W7" s="13"/>
      <c r="X7" s="13"/>
      <c r="Y7" s="13" t="s">
        <v>840</v>
      </c>
      <c r="Z7" s="13" t="str">
        <f>J7</f>
        <v>: II / Januari</v>
      </c>
      <c r="AA7" s="71"/>
      <c r="AB7" s="13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</row>
    <row r="8" spans="1:43" x14ac:dyDescent="0.3">
      <c r="B8" s="13"/>
      <c r="C8" s="13" t="s">
        <v>842</v>
      </c>
      <c r="D8" s="13" t="str">
        <f ca="1">": "&amp;IF(ISBLANK(profilKelas!H13),"",profilKelas!H13)</f>
        <v>: Pilih Kelas dan Rombel</v>
      </c>
      <c r="E8" s="13"/>
      <c r="F8" s="13"/>
      <c r="G8" s="13"/>
      <c r="H8" s="13"/>
      <c r="I8" s="13" t="s">
        <v>880</v>
      </c>
      <c r="J8" s="13" t="str">
        <f>": "&amp;IF(ISBLANK(profilKelas!F12),"Ketik Tahun Ajaran pada Profil Kelas",profilKelas!F12)</f>
        <v>: Ketik Tahun Ajaran pada Profil Kelas</v>
      </c>
      <c r="K8" s="13"/>
      <c r="L8" s="13"/>
      <c r="M8" s="71"/>
      <c r="O8"/>
      <c r="Q8" s="13"/>
      <c r="R8" s="13" t="s">
        <v>842</v>
      </c>
      <c r="S8" s="13" t="str">
        <f ca="1">": "&amp;IF(ISBLANK(profilKelas!H13),"",profilKelas!H13)</f>
        <v>: Pilih Kelas dan Rombel</v>
      </c>
      <c r="T8" s="13"/>
      <c r="U8" s="13"/>
      <c r="V8" s="13"/>
      <c r="W8" s="13"/>
      <c r="X8" s="13"/>
      <c r="Y8" s="13" t="s">
        <v>841</v>
      </c>
      <c r="Z8" s="13" t="str">
        <f>": "&amp;IF(ISBLANK(profilKelas!F12),"Ketik Tahun Ajaran pada Profil Kelas",IF(ISBLANK(O11),profilKelas!F12,O11))</f>
        <v>: Ketik Tahun Ajaran pada Profil Kelas</v>
      </c>
      <c r="AA8" s="71"/>
      <c r="AB8" s="13"/>
      <c r="AD8" s="72"/>
      <c r="AE8" s="72"/>
      <c r="AF8" s="72"/>
      <c r="AG8" s="72"/>
      <c r="AH8" s="72"/>
      <c r="AI8" s="72"/>
      <c r="AJ8" s="72"/>
      <c r="AK8" s="72"/>
      <c r="AL8" s="72"/>
      <c r="AM8" s="72"/>
      <c r="AN8" s="72"/>
      <c r="AO8" s="13"/>
      <c r="AP8" s="13"/>
      <c r="AQ8" s="13"/>
    </row>
    <row r="9" spans="1:43" x14ac:dyDescent="0.3"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71"/>
      <c r="Q9" s="13"/>
      <c r="R9" s="13"/>
      <c r="S9" s="13"/>
      <c r="T9" s="13"/>
      <c r="U9" s="13"/>
      <c r="V9" s="13"/>
      <c r="W9" s="13"/>
      <c r="X9" s="13"/>
      <c r="Y9" s="13"/>
      <c r="Z9" s="13"/>
      <c r="AA9" s="71"/>
      <c r="AB9" s="13"/>
      <c r="AD9" s="13" t="s">
        <v>862</v>
      </c>
      <c r="AE9" s="13"/>
      <c r="AF9" s="13" t="str">
        <f>UPPER(": "&amp;profilKelas!F5&amp;" ("&amp;profilKelas!F6&amp;")")</f>
        <v>:  ()</v>
      </c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</row>
    <row r="10" spans="1:43" x14ac:dyDescent="0.3">
      <c r="B10" s="162" t="s">
        <v>0</v>
      </c>
      <c r="C10" s="162" t="s">
        <v>858</v>
      </c>
      <c r="D10" s="164" t="s">
        <v>831</v>
      </c>
      <c r="E10" s="164" t="s">
        <v>987</v>
      </c>
      <c r="F10" s="44" t="s">
        <v>19</v>
      </c>
      <c r="G10" s="45"/>
      <c r="H10" s="45"/>
      <c r="I10" s="45"/>
      <c r="J10" s="45"/>
      <c r="K10" s="45"/>
      <c r="L10" s="46"/>
      <c r="M10" s="162" t="s">
        <v>9</v>
      </c>
      <c r="O10"/>
      <c r="Q10" s="73"/>
      <c r="R10" s="74"/>
      <c r="S10" s="74"/>
      <c r="T10" s="75"/>
      <c r="U10" s="76" t="s">
        <v>19</v>
      </c>
      <c r="V10" s="77"/>
      <c r="W10" s="77"/>
      <c r="X10" s="77"/>
      <c r="Y10" s="77"/>
      <c r="Z10" s="77"/>
      <c r="AA10" s="78"/>
      <c r="AB10" s="36"/>
      <c r="AD10" s="13" t="s">
        <v>863</v>
      </c>
      <c r="AE10" s="13"/>
      <c r="AF10" s="13" t="str">
        <f>UPPER(": "&amp;profilKelas!F9&amp;", Provinsi "&amp;profilKelas!F8)</f>
        <v xml:space="preserve">: , PROVINSI </v>
      </c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</row>
    <row r="11" spans="1:43" x14ac:dyDescent="0.3">
      <c r="B11" s="169"/>
      <c r="C11" s="169"/>
      <c r="D11" s="170"/>
      <c r="E11" s="170"/>
      <c r="F11" s="80" t="s">
        <v>2</v>
      </c>
      <c r="G11" s="80" t="s">
        <v>3</v>
      </c>
      <c r="H11" s="80" t="s">
        <v>4</v>
      </c>
      <c r="I11" s="81" t="s">
        <v>606</v>
      </c>
      <c r="J11" s="81" t="s">
        <v>6</v>
      </c>
      <c r="K11" s="81" t="s">
        <v>7</v>
      </c>
      <c r="L11" s="81" t="s">
        <v>8</v>
      </c>
      <c r="M11" s="169"/>
      <c r="O11"/>
      <c r="Q11" s="82"/>
      <c r="R11" s="83"/>
      <c r="S11" s="83"/>
      <c r="T11" s="84"/>
      <c r="U11" s="85" t="s">
        <v>14</v>
      </c>
      <c r="V11" s="86"/>
      <c r="W11" s="86"/>
      <c r="X11" s="86"/>
      <c r="Y11" s="86"/>
      <c r="Z11" s="86"/>
      <c r="AA11" s="87"/>
      <c r="AB11" s="79"/>
      <c r="AD11" s="13" t="str">
        <f>profilKelas!B10</f>
        <v>Nama Kepala Sekolah</v>
      </c>
      <c r="AE11" s="13"/>
      <c r="AF11" s="13" t="str">
        <f>UPPER(": "&amp;profilKelas!F10&amp;" (NIP."&amp;profilKelas!F11&amp;")")</f>
        <v>:  (NIP.)</v>
      </c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</row>
    <row r="12" spans="1:43" ht="16.2" x14ac:dyDescent="0.3">
      <c r="B12" s="163"/>
      <c r="C12" s="163"/>
      <c r="D12" s="165"/>
      <c r="E12" s="165"/>
      <c r="F12" s="88" t="s">
        <v>881</v>
      </c>
      <c r="G12" s="89"/>
      <c r="H12" s="89"/>
      <c r="I12" s="89"/>
      <c r="J12" s="89"/>
      <c r="K12" s="89"/>
      <c r="L12" s="90"/>
      <c r="M12" s="163"/>
      <c r="Q12" s="91" t="s">
        <v>0</v>
      </c>
      <c r="R12" s="92" t="s">
        <v>1</v>
      </c>
      <c r="S12" s="35" t="s">
        <v>596</v>
      </c>
      <c r="T12" s="35" t="s">
        <v>605</v>
      </c>
      <c r="U12" s="80" t="s">
        <v>599</v>
      </c>
      <c r="V12" s="80" t="s">
        <v>600</v>
      </c>
      <c r="W12" s="80" t="s">
        <v>4</v>
      </c>
      <c r="X12" s="81" t="s">
        <v>601</v>
      </c>
      <c r="Y12" s="81" t="s">
        <v>602</v>
      </c>
      <c r="Z12" s="81" t="s">
        <v>603</v>
      </c>
      <c r="AA12" s="93" t="s">
        <v>604</v>
      </c>
      <c r="AB12" s="36" t="s">
        <v>11</v>
      </c>
      <c r="AD12" s="34" t="str">
        <f ca="1">SUBSTITUTE(profilKelas!B15,"Nama ","")&amp;" "&amp;IF(ISBLANK(profilKelas!H13),"",profilKelas!H13)</f>
        <v>Guru Wali Kelas Pilih Kelas dan Rombel</v>
      </c>
      <c r="AE12" s="34"/>
      <c r="AF12" s="34" t="str">
        <f>UPPER(": "&amp;profilKelas!F15)</f>
        <v xml:space="preserve">: </v>
      </c>
      <c r="AG12" s="34"/>
      <c r="AH12" s="34"/>
      <c r="AI12" s="34"/>
      <c r="AJ12" s="34"/>
      <c r="AK12" s="34"/>
      <c r="AL12" s="34"/>
      <c r="AM12" s="34"/>
      <c r="AN12" s="34"/>
      <c r="AO12" s="34"/>
      <c r="AP12" s="13"/>
      <c r="AQ12" s="13"/>
    </row>
    <row r="13" spans="1:43" x14ac:dyDescent="0.3">
      <c r="B13" s="4">
        <f>IF(ROW(A1)&lt;=profilKelas!$F$14,ROW(A1),"")</f>
        <v>1</v>
      </c>
      <c r="C13" s="94" t="str">
        <f>IF(ISBLANK(identitasMurid!C6),"",identitasMurid!C6)</f>
        <v/>
      </c>
      <c r="D13" s="6" t="str">
        <f>IF(ISBLANK(identitasMurid!D6),"",identitasMurid!D6)</f>
        <v/>
      </c>
      <c r="E13" s="95"/>
      <c r="F13" s="95"/>
      <c r="G13" s="95"/>
      <c r="H13" s="95"/>
      <c r="I13" s="95"/>
      <c r="J13" s="95"/>
      <c r="K13" s="95"/>
      <c r="L13" s="95"/>
      <c r="M13" s="95"/>
      <c r="Q13" s="5">
        <f>IF(ROW(A1)&lt;=profilKelas!$F$14,ROW(A1),"")</f>
        <v>1</v>
      </c>
      <c r="R13" s="12" t="str">
        <f t="shared" ref="R13:R57" si="0">C13</f>
        <v/>
      </c>
      <c r="S13" s="108" t="str">
        <f t="shared" ref="S13:S19" si="1">IF(LEN(B13)=0,"",IF(ISBLANK(E13),"Status Siswa Kosong",E13))</f>
        <v>Status Siswa Kosong</v>
      </c>
      <c r="T13" s="108" t="str">
        <f t="shared" ref="T13:T57" si="2">IF(ISBLANK(D13),"",D13)</f>
        <v/>
      </c>
      <c r="U13" s="108" t="str">
        <f t="shared" ref="U13:AA28" si="3">IF(LEN($B13)=0,"",IF(LEN($C13)=0,"Nama Siswa Kosong",IF($E13="","Status Siswa Kosong",IF($E13&lt;&gt;"Aktif","Siswa Tidak Aktif",
IF(ISBLANK(F13),"Belum mengisi",IF(F13&gt;=20,"Sudah terbiasa","Belum terbiasa"))))))</f>
        <v>Nama Siswa Kosong</v>
      </c>
      <c r="V13" s="108" t="str">
        <f t="shared" si="3"/>
        <v>Nama Siswa Kosong</v>
      </c>
      <c r="W13" s="108" t="str">
        <f t="shared" si="3"/>
        <v>Nama Siswa Kosong</v>
      </c>
      <c r="X13" s="108" t="str">
        <f t="shared" si="3"/>
        <v>Nama Siswa Kosong</v>
      </c>
      <c r="Y13" s="108" t="str">
        <f t="shared" si="3"/>
        <v>Nama Siswa Kosong</v>
      </c>
      <c r="Z13" s="108" t="str">
        <f t="shared" si="3"/>
        <v>Nama Siswa Kosong</v>
      </c>
      <c r="AA13" s="108" t="str">
        <f t="shared" si="3"/>
        <v>Nama Siswa Kosong</v>
      </c>
      <c r="AB13" s="108" t="str" cm="1">
        <f t="array" ref="AB13">IF(LEN($B13)=0,"",IF(LEN(C13)=0,"Nama Siswa Kosong",IF($E13="","Status Siswa Kosong",IF(S13&lt;&gt;"Aktif","Siswa Tidak Aktif",
IF(OR(U13:AA13="Belum mengisi"),"Belum mengisi",IF(AND(U13:AA13="Sudah terbiasa"),"Sudah terbiasa","Belum terbiasa"))))))</f>
        <v>Nama Siswa Kosong</v>
      </c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</row>
    <row r="14" spans="1:43" ht="15.6" hidden="1" customHeight="1" x14ac:dyDescent="0.3">
      <c r="B14" s="4" t="str">
        <f>IF(ROW(A2)&lt;=profilKelas!$F$14,ROW(A2),"")</f>
        <v/>
      </c>
      <c r="C14" s="94" t="str">
        <f>IF(ISBLANK(identitasMurid!C7),"",identitasMurid!C7)</f>
        <v/>
      </c>
      <c r="D14" s="6" t="str">
        <f>IF(ISBLANK(identitasMurid!D7),"",identitasMurid!D7)</f>
        <v/>
      </c>
      <c r="E14" s="95"/>
      <c r="F14" s="95"/>
      <c r="G14" s="95"/>
      <c r="H14" s="95"/>
      <c r="I14" s="95"/>
      <c r="J14" s="95"/>
      <c r="K14" s="95"/>
      <c r="L14" s="95"/>
      <c r="M14" s="95"/>
      <c r="Q14" s="5" t="str">
        <f>IF(ROW(A2)&lt;=profilKelas!$F$14,ROW(A2),"")</f>
        <v/>
      </c>
      <c r="R14" s="12" t="str">
        <f t="shared" si="0"/>
        <v/>
      </c>
      <c r="S14" s="108" t="str">
        <f t="shared" si="1"/>
        <v/>
      </c>
      <c r="T14" s="108" t="str">
        <f t="shared" si="2"/>
        <v/>
      </c>
      <c r="U14" s="108" t="str">
        <f t="shared" si="3"/>
        <v/>
      </c>
      <c r="V14" s="108" t="str">
        <f t="shared" si="3"/>
        <v/>
      </c>
      <c r="W14" s="108" t="str">
        <f t="shared" si="3"/>
        <v/>
      </c>
      <c r="X14" s="108" t="str">
        <f t="shared" si="3"/>
        <v/>
      </c>
      <c r="Y14" s="108" t="str">
        <f t="shared" si="3"/>
        <v/>
      </c>
      <c r="Z14" s="108" t="str">
        <f t="shared" si="3"/>
        <v/>
      </c>
      <c r="AA14" s="108" t="str">
        <f t="shared" si="3"/>
        <v/>
      </c>
      <c r="AB14" s="108" t="str" cm="1">
        <f t="array" ref="AB14">IF(LEN($B14)=0,"",IF(LEN(C14)=0,"Nama Siswa Kosong",IF($E14="","Status Siswa Kosong",IF(S14&lt;&gt;"Aktif","Siswa Tidak Aktif",
IF(OR(U14:AA14="Belum mengisi"),"Belum mengisi",IF(AND(U14:AA14="Sudah terbiasa"),"Sudah terbiasa","Belum terbiasa"))))))</f>
        <v/>
      </c>
      <c r="AD14" s="162" t="s">
        <v>0</v>
      </c>
      <c r="AE14" s="162" t="s">
        <v>831</v>
      </c>
      <c r="AF14" s="164" t="s">
        <v>833</v>
      </c>
      <c r="AG14" s="173" t="s">
        <v>596</v>
      </c>
      <c r="AH14" s="174"/>
      <c r="AI14" s="174"/>
      <c r="AJ14" s="175"/>
      <c r="AK14" s="13"/>
      <c r="AL14" s="158"/>
      <c r="AM14" s="158"/>
      <c r="AN14" s="158"/>
      <c r="AO14" s="158"/>
      <c r="AP14" s="158"/>
      <c r="AQ14" s="158"/>
    </row>
    <row r="15" spans="1:43" ht="15.6" hidden="1" customHeight="1" x14ac:dyDescent="0.3">
      <c r="B15" s="4" t="str">
        <f>IF(ROW(A3)&lt;=profilKelas!$F$14,ROW(A3),"")</f>
        <v/>
      </c>
      <c r="C15" s="94" t="str">
        <f>IF(ISBLANK(identitasMurid!C8),"",identitasMurid!C8)</f>
        <v/>
      </c>
      <c r="D15" s="6" t="str">
        <f>IF(ISBLANK(identitasMurid!D8),"",identitasMurid!D8)</f>
        <v/>
      </c>
      <c r="E15" s="95"/>
      <c r="F15" s="95"/>
      <c r="G15" s="95"/>
      <c r="H15" s="95"/>
      <c r="I15" s="95"/>
      <c r="J15" s="95"/>
      <c r="K15" s="95"/>
      <c r="L15" s="95"/>
      <c r="M15" s="95"/>
      <c r="Q15" s="5" t="str">
        <f>IF(ROW(A3)&lt;=profilKelas!$F$14,ROW(A3),"")</f>
        <v/>
      </c>
      <c r="R15" s="12" t="str">
        <f t="shared" si="0"/>
        <v/>
      </c>
      <c r="S15" s="108" t="str">
        <f t="shared" si="1"/>
        <v/>
      </c>
      <c r="T15" s="108" t="str">
        <f t="shared" si="2"/>
        <v/>
      </c>
      <c r="U15" s="108" t="str">
        <f t="shared" si="3"/>
        <v/>
      </c>
      <c r="V15" s="108" t="str">
        <f t="shared" si="3"/>
        <v/>
      </c>
      <c r="W15" s="108" t="str">
        <f t="shared" si="3"/>
        <v/>
      </c>
      <c r="X15" s="108" t="str">
        <f t="shared" si="3"/>
        <v/>
      </c>
      <c r="Y15" s="108" t="str">
        <f t="shared" si="3"/>
        <v/>
      </c>
      <c r="Z15" s="108" t="str">
        <f t="shared" si="3"/>
        <v/>
      </c>
      <c r="AA15" s="108" t="str">
        <f t="shared" si="3"/>
        <v/>
      </c>
      <c r="AB15" s="108" t="str" cm="1">
        <f t="array" ref="AB15">IF(LEN($B15)=0,"",IF(LEN(C15)=0,"Nama Siswa Kosong",IF($E15="","Status Siswa Kosong",IF(S15&lt;&gt;"Aktif","Siswa Tidak Aktif",
IF(OR(U15:AA15="Belum mengisi"),"Belum mengisi",IF(AND(U15:AA15="Sudah terbiasa"),"Sudah terbiasa","Belum terbiasa"))))))</f>
        <v/>
      </c>
      <c r="AD15" s="163"/>
      <c r="AE15" s="163"/>
      <c r="AF15" s="165"/>
      <c r="AG15" s="148" t="s">
        <v>597</v>
      </c>
      <c r="AH15" s="148"/>
      <c r="AI15" s="148" t="s">
        <v>598</v>
      </c>
      <c r="AJ15" s="148"/>
      <c r="AK15" s="13"/>
      <c r="AL15" s="158"/>
      <c r="AM15" s="158"/>
      <c r="AN15" s="158"/>
      <c r="AO15" s="158"/>
      <c r="AP15" s="158"/>
      <c r="AQ15" s="158"/>
    </row>
    <row r="16" spans="1:43" hidden="1" x14ac:dyDescent="0.3">
      <c r="B16" s="4" t="str">
        <f>IF(ROW(A4)&lt;=profilKelas!$F$14,ROW(A4),"")</f>
        <v/>
      </c>
      <c r="C16" s="94" t="str">
        <f>IF(ISBLANK(identitasMurid!C9),"",identitasMurid!C9)</f>
        <v/>
      </c>
      <c r="D16" s="6" t="str">
        <f>IF(ISBLANK(identitasMurid!D9),"",identitasMurid!D9)</f>
        <v/>
      </c>
      <c r="E16" s="95"/>
      <c r="F16" s="95"/>
      <c r="G16" s="95"/>
      <c r="H16" s="95"/>
      <c r="I16" s="95"/>
      <c r="J16" s="95"/>
      <c r="K16" s="95"/>
      <c r="L16" s="95"/>
      <c r="M16" s="95"/>
      <c r="Q16" s="5" t="str">
        <f>IF(ROW(A4)&lt;=profilKelas!$F$14,ROW(A4),"")</f>
        <v/>
      </c>
      <c r="R16" s="12" t="str">
        <f t="shared" si="0"/>
        <v/>
      </c>
      <c r="S16" s="108" t="str">
        <f t="shared" si="1"/>
        <v/>
      </c>
      <c r="T16" s="108" t="str">
        <f t="shared" si="2"/>
        <v/>
      </c>
      <c r="U16" s="108" t="str">
        <f t="shared" si="3"/>
        <v/>
      </c>
      <c r="V16" s="108" t="str">
        <f t="shared" si="3"/>
        <v/>
      </c>
      <c r="W16" s="108" t="str">
        <f t="shared" si="3"/>
        <v/>
      </c>
      <c r="X16" s="108" t="str">
        <f t="shared" si="3"/>
        <v/>
      </c>
      <c r="Y16" s="108" t="str">
        <f t="shared" si="3"/>
        <v/>
      </c>
      <c r="Z16" s="108" t="str">
        <f t="shared" si="3"/>
        <v/>
      </c>
      <c r="AA16" s="108" t="str">
        <f t="shared" si="3"/>
        <v/>
      </c>
      <c r="AB16" s="108" t="str" cm="1">
        <f t="array" ref="AB16">IF(LEN($B16)=0,"",IF(LEN(C16)=0,"Nama Siswa Kosong",IF($E16="","Status Siswa Kosong",IF(S16&lt;&gt;"Aktif","Siswa Tidak Aktif",
IF(OR(U16:AA16="Belum mengisi"),"Belum mengisi",IF(AND(U16:AA16="Sudah terbiasa"),"Sudah terbiasa","Belum terbiasa"))))))</f>
        <v/>
      </c>
      <c r="AD16" s="41">
        <v>1</v>
      </c>
      <c r="AE16" s="41" t="s">
        <v>607</v>
      </c>
      <c r="AF16" s="10">
        <f>COUNTIF(JulPL,Perempuan)</f>
        <v>0</v>
      </c>
      <c r="AG16" s="96">
        <f>COUNTIFS(JulKategoriAkhir,SudahTerbiasa,JulPL,Perempuan)</f>
        <v>0</v>
      </c>
      <c r="AH16" s="96"/>
      <c r="AI16" s="96">
        <f>COUNTIFS(JulKategoriAkhir,BelumTerbiasa,JulPL,Perempuan)</f>
        <v>0</v>
      </c>
      <c r="AJ16" s="96"/>
      <c r="AK16" s="13"/>
      <c r="AL16" s="158"/>
      <c r="AM16" s="158"/>
      <c r="AN16" s="158"/>
      <c r="AO16" s="158"/>
      <c r="AP16" s="158"/>
      <c r="AQ16" s="158"/>
    </row>
    <row r="17" spans="2:43" hidden="1" x14ac:dyDescent="0.3">
      <c r="B17" s="4" t="str">
        <f>IF(ROW(A5)&lt;=profilKelas!$F$14,ROW(A5),"")</f>
        <v/>
      </c>
      <c r="C17" s="94" t="str">
        <f>IF(ISBLANK(identitasMurid!C10),"",identitasMurid!C10)</f>
        <v/>
      </c>
      <c r="D17" s="6" t="str">
        <f>IF(ISBLANK(identitasMurid!D10),"",identitasMurid!D10)</f>
        <v/>
      </c>
      <c r="E17" s="95"/>
      <c r="F17" s="95"/>
      <c r="G17" s="95"/>
      <c r="H17" s="95"/>
      <c r="I17" s="95"/>
      <c r="J17" s="95"/>
      <c r="K17" s="95"/>
      <c r="L17" s="95"/>
      <c r="M17" s="95"/>
      <c r="Q17" s="5" t="str">
        <f>IF(ROW(A5)&lt;=profilKelas!$F$14,ROW(A5),"")</f>
        <v/>
      </c>
      <c r="R17" s="12" t="str">
        <f t="shared" si="0"/>
        <v/>
      </c>
      <c r="S17" s="108" t="str">
        <f t="shared" si="1"/>
        <v/>
      </c>
      <c r="T17" s="108" t="str">
        <f t="shared" si="2"/>
        <v/>
      </c>
      <c r="U17" s="108" t="str">
        <f t="shared" si="3"/>
        <v/>
      </c>
      <c r="V17" s="108" t="str">
        <f t="shared" si="3"/>
        <v/>
      </c>
      <c r="W17" s="108" t="str">
        <f t="shared" si="3"/>
        <v/>
      </c>
      <c r="X17" s="108" t="str">
        <f t="shared" si="3"/>
        <v/>
      </c>
      <c r="Y17" s="108" t="str">
        <f t="shared" si="3"/>
        <v/>
      </c>
      <c r="Z17" s="108" t="str">
        <f t="shared" si="3"/>
        <v/>
      </c>
      <c r="AA17" s="108" t="str">
        <f t="shared" si="3"/>
        <v/>
      </c>
      <c r="AB17" s="108" t="str" cm="1">
        <f t="array" ref="AB17">IF(LEN($B17)=0,"",IF(LEN(C17)=0,"Nama Siswa Kosong",IF($E17="","Status Siswa Kosong",IF(S17&lt;&gt;"Aktif","Siswa Tidak Aktif",
IF(OR(U17:AA17="Belum mengisi"),"Belum mengisi",IF(AND(U17:AA17="Sudah terbiasa"),"Sudah terbiasa","Belum terbiasa"))))))</f>
        <v/>
      </c>
      <c r="AD17" s="41">
        <v>2</v>
      </c>
      <c r="AE17" s="41" t="s">
        <v>608</v>
      </c>
      <c r="AF17" s="97">
        <f>COUNTIF(JulPL,Laki_Laki)</f>
        <v>0</v>
      </c>
      <c r="AG17" s="96">
        <f>COUNTIFS(JulKategoriAkhir,SudahTerbiasa,JulPL,Laki_Laki)</f>
        <v>0</v>
      </c>
      <c r="AH17" s="96"/>
      <c r="AI17" s="96">
        <f>COUNTIFS(JulKategoriAkhir,BelumTerbiasa,JulPL,Laki_Laki)</f>
        <v>0</v>
      </c>
      <c r="AJ17" s="96"/>
      <c r="AK17" s="13"/>
      <c r="AL17" s="158"/>
      <c r="AM17" s="158"/>
      <c r="AN17" s="158"/>
      <c r="AO17" s="158"/>
      <c r="AP17" s="158"/>
      <c r="AQ17" s="158"/>
    </row>
    <row r="18" spans="2:43" hidden="1" x14ac:dyDescent="0.3">
      <c r="B18" s="4" t="str">
        <f>IF(ROW(A6)&lt;=profilKelas!$F$14,ROW(A6),"")</f>
        <v/>
      </c>
      <c r="C18" s="94" t="str">
        <f>IF(ISBLANK(identitasMurid!C11),"",identitasMurid!C11)</f>
        <v/>
      </c>
      <c r="D18" s="6" t="str">
        <f>IF(ISBLANK(identitasMurid!D11),"",identitasMurid!D11)</f>
        <v/>
      </c>
      <c r="E18" s="95"/>
      <c r="F18" s="95"/>
      <c r="G18" s="95"/>
      <c r="H18" s="95"/>
      <c r="I18" s="95"/>
      <c r="J18" s="95"/>
      <c r="K18" s="95"/>
      <c r="L18" s="95"/>
      <c r="M18" s="95"/>
      <c r="Q18" s="5" t="str">
        <f>IF(ROW(A6)&lt;=profilKelas!$F$14,ROW(A6),"")</f>
        <v/>
      </c>
      <c r="R18" s="12" t="str">
        <f t="shared" si="0"/>
        <v/>
      </c>
      <c r="S18" s="108" t="str">
        <f t="shared" si="1"/>
        <v/>
      </c>
      <c r="T18" s="108" t="str">
        <f t="shared" si="2"/>
        <v/>
      </c>
      <c r="U18" s="108" t="str">
        <f t="shared" si="3"/>
        <v/>
      </c>
      <c r="V18" s="108" t="str">
        <f t="shared" si="3"/>
        <v/>
      </c>
      <c r="W18" s="108" t="str">
        <f t="shared" si="3"/>
        <v/>
      </c>
      <c r="X18" s="108" t="str">
        <f t="shared" si="3"/>
        <v/>
      </c>
      <c r="Y18" s="108" t="str">
        <f t="shared" si="3"/>
        <v/>
      </c>
      <c r="Z18" s="108" t="str">
        <f t="shared" si="3"/>
        <v/>
      </c>
      <c r="AA18" s="108" t="str">
        <f t="shared" si="3"/>
        <v/>
      </c>
      <c r="AB18" s="108" t="str" cm="1">
        <f t="array" ref="AB18">IF(LEN($B18)=0,"",IF(LEN(C18)=0,"Nama Siswa Kosong",IF($E18="","Status Siswa Kosong",IF(S18&lt;&gt;"Aktif","Siswa Tidak Aktif",
IF(OR(U18:AA18="Belum mengisi"),"Belum mengisi",IF(AND(U18:AA18="Sudah terbiasa"),"Sudah terbiasa","Belum terbiasa"))))))</f>
        <v/>
      </c>
      <c r="AD18" s="160" t="s">
        <v>832</v>
      </c>
      <c r="AE18" s="160"/>
      <c r="AF18" s="3">
        <f>SUM(AF16:AF17)</f>
        <v>0</v>
      </c>
      <c r="AG18" s="96">
        <f>SUM(AG16:AG17)</f>
        <v>0</v>
      </c>
      <c r="AH18" s="96"/>
      <c r="AI18" s="96">
        <f>SUM(AI16:AI17)</f>
        <v>0</v>
      </c>
      <c r="AJ18" s="96"/>
      <c r="AK18" s="13"/>
      <c r="AL18" s="158"/>
      <c r="AM18" s="158"/>
      <c r="AN18" s="158"/>
      <c r="AO18" s="158"/>
      <c r="AP18" s="158"/>
      <c r="AQ18" s="158"/>
    </row>
    <row r="19" spans="2:43" hidden="1" x14ac:dyDescent="0.3">
      <c r="B19" s="4" t="str">
        <f>IF(ROW(A7)&lt;=profilKelas!$F$14,ROW(A7),"")</f>
        <v/>
      </c>
      <c r="C19" s="94" t="str">
        <f>IF(ISBLANK(identitasMurid!C12),"",identitasMurid!C12)</f>
        <v/>
      </c>
      <c r="D19" s="6" t="str">
        <f>IF(ISBLANK(identitasMurid!D12),"",identitasMurid!D12)</f>
        <v/>
      </c>
      <c r="E19" s="95"/>
      <c r="F19" s="95"/>
      <c r="G19" s="95"/>
      <c r="H19" s="95"/>
      <c r="I19" s="95"/>
      <c r="J19" s="95"/>
      <c r="K19" s="95"/>
      <c r="L19" s="95"/>
      <c r="M19" s="95"/>
      <c r="Q19" s="5" t="str">
        <f>IF(ROW(A7)&lt;=profilKelas!$F$14,ROW(A7),"")</f>
        <v/>
      </c>
      <c r="R19" s="12" t="str">
        <f t="shared" si="0"/>
        <v/>
      </c>
      <c r="S19" s="108" t="str">
        <f t="shared" si="1"/>
        <v/>
      </c>
      <c r="T19" s="108" t="str">
        <f t="shared" si="2"/>
        <v/>
      </c>
      <c r="U19" s="108" t="str">
        <f t="shared" si="3"/>
        <v/>
      </c>
      <c r="V19" s="108" t="str">
        <f t="shared" si="3"/>
        <v/>
      </c>
      <c r="W19" s="108" t="str">
        <f t="shared" si="3"/>
        <v/>
      </c>
      <c r="X19" s="108" t="str">
        <f t="shared" si="3"/>
        <v/>
      </c>
      <c r="Y19" s="108" t="str">
        <f t="shared" si="3"/>
        <v/>
      </c>
      <c r="Z19" s="108" t="str">
        <f t="shared" si="3"/>
        <v/>
      </c>
      <c r="AA19" s="108" t="str">
        <f t="shared" si="3"/>
        <v/>
      </c>
      <c r="AB19" s="108" t="str" cm="1">
        <f t="array" ref="AB19">IF(LEN($B19)=0,"",IF(LEN(C19)=0,"Nama Siswa Kosong",IF($E19="","Status Siswa Kosong",IF(S19&lt;&gt;"Aktif","Siswa Tidak Aktif",
IF(OR(U19:AA19="Belum mengisi"),"Belum mengisi",IF(AND(U19:AA19="Sudah terbiasa"),"Sudah terbiasa","Belum terbiasa"))))))</f>
        <v/>
      </c>
      <c r="AD19" s="13"/>
      <c r="AE19" s="13"/>
      <c r="AF19" s="13"/>
      <c r="AG19" s="13"/>
      <c r="AH19" s="13"/>
      <c r="AI19" s="13"/>
      <c r="AJ19" s="13"/>
      <c r="AK19" s="13"/>
      <c r="AL19" s="43"/>
      <c r="AM19" s="43"/>
      <c r="AN19" s="43"/>
      <c r="AO19" s="43"/>
      <c r="AP19" s="43"/>
      <c r="AQ19" s="43"/>
    </row>
    <row r="20" spans="2:43" hidden="1" x14ac:dyDescent="0.3">
      <c r="B20" s="4" t="str">
        <f>IF(ROW(A8)&lt;=profilKelas!$F$14,ROW(A8),"")</f>
        <v/>
      </c>
      <c r="C20" s="94" t="str">
        <f>IF(ISBLANK(identitasMurid!C13),"",identitasMurid!C13)</f>
        <v/>
      </c>
      <c r="D20" s="6" t="str">
        <f>IF(ISBLANK(identitasMurid!D13),"",identitasMurid!D13)</f>
        <v/>
      </c>
      <c r="E20" s="95"/>
      <c r="F20" s="95"/>
      <c r="G20" s="95"/>
      <c r="H20" s="95"/>
      <c r="I20" s="95"/>
      <c r="J20" s="95"/>
      <c r="K20" s="95"/>
      <c r="L20" s="95"/>
      <c r="M20" s="95"/>
      <c r="Q20" s="5" t="str">
        <f>IF(ROW(A8)&lt;=profilKelas!$F$14,ROW(A8),"")</f>
        <v/>
      </c>
      <c r="R20" s="12" t="str">
        <f t="shared" si="0"/>
        <v/>
      </c>
      <c r="S20" s="108" t="str">
        <f>IF(LEN(B20)=0,"",IF(ISBLANK(E20),"Status Siswa Kosong",E20))</f>
        <v/>
      </c>
      <c r="T20" s="108" t="str">
        <f t="shared" si="2"/>
        <v/>
      </c>
      <c r="U20" s="108" t="str">
        <f t="shared" si="3"/>
        <v/>
      </c>
      <c r="V20" s="108" t="str">
        <f t="shared" si="3"/>
        <v/>
      </c>
      <c r="W20" s="108" t="str">
        <f t="shared" si="3"/>
        <v/>
      </c>
      <c r="X20" s="108" t="str">
        <f t="shared" si="3"/>
        <v/>
      </c>
      <c r="Y20" s="108" t="str">
        <f t="shared" si="3"/>
        <v/>
      </c>
      <c r="Z20" s="108" t="str">
        <f t="shared" si="3"/>
        <v/>
      </c>
      <c r="AA20" s="108" t="str">
        <f t="shared" si="3"/>
        <v/>
      </c>
      <c r="AB20" s="108" t="str" cm="1">
        <f t="array" ref="AB20">IF(LEN($B20)=0,"",IF(LEN(C20)=0,"Nama Siswa Kosong",IF($E20="","Status Siswa Kosong",IF(S20&lt;&gt;"Aktif","Siswa Tidak Aktif",
IF(OR(U20:AA20="Belum mengisi"),"Belum mengisi",IF(AND(U20:AA20="Sudah terbiasa"),"Sudah terbiasa","Belum terbiasa"))))))</f>
        <v/>
      </c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</row>
    <row r="21" spans="2:43" ht="15.75" hidden="1" customHeight="1" x14ac:dyDescent="0.3">
      <c r="B21" s="4" t="str">
        <f>IF(ROW(A9)&lt;=profilKelas!$F$14,ROW(A9),"")</f>
        <v/>
      </c>
      <c r="C21" s="94" t="str">
        <f>IF(ISBLANK(identitasMurid!C14),"",identitasMurid!C14)</f>
        <v/>
      </c>
      <c r="D21" s="6" t="str">
        <f>IF(ISBLANK(identitasMurid!D14),"",identitasMurid!D14)</f>
        <v/>
      </c>
      <c r="E21" s="95"/>
      <c r="F21" s="95"/>
      <c r="G21" s="95"/>
      <c r="H21" s="95"/>
      <c r="I21" s="95"/>
      <c r="J21" s="95"/>
      <c r="K21" s="95"/>
      <c r="L21" s="95"/>
      <c r="M21" s="95"/>
      <c r="Q21" s="5" t="str">
        <f>IF(ROW(A9)&lt;=profilKelas!$F$14,ROW(A9),"")</f>
        <v/>
      </c>
      <c r="R21" s="12" t="str">
        <f t="shared" si="0"/>
        <v/>
      </c>
      <c r="S21" s="108" t="str">
        <f t="shared" ref="S21:S57" si="4">IF(LEN(B21)=0,"",IF(ISBLANK(E21),"Status Siswa Kosong",E21))</f>
        <v/>
      </c>
      <c r="T21" s="108" t="str">
        <f t="shared" si="2"/>
        <v/>
      </c>
      <c r="U21" s="108" t="str">
        <f t="shared" si="3"/>
        <v/>
      </c>
      <c r="V21" s="108" t="str">
        <f t="shared" si="3"/>
        <v/>
      </c>
      <c r="W21" s="108" t="str">
        <f t="shared" si="3"/>
        <v/>
      </c>
      <c r="X21" s="108" t="str">
        <f t="shared" si="3"/>
        <v/>
      </c>
      <c r="Y21" s="108" t="str">
        <f t="shared" si="3"/>
        <v/>
      </c>
      <c r="Z21" s="108" t="str">
        <f t="shared" si="3"/>
        <v/>
      </c>
      <c r="AA21" s="108" t="str">
        <f t="shared" si="3"/>
        <v/>
      </c>
      <c r="AB21" s="108" t="str" cm="1">
        <f t="array" ref="AB21">IF(LEN($B21)=0,"",IF(LEN(C21)=0,"Nama Siswa Kosong",IF($E21="","Status Siswa Kosong",IF(S21&lt;&gt;"Aktif","Siswa Tidak Aktif",
IF(OR(U21:AA21="Belum mengisi"),"Belum mengisi",IF(AND(U21:AA21="Sudah terbiasa"),"Sudah terbiasa","Belum terbiasa"))))))</f>
        <v/>
      </c>
      <c r="AD21" s="13"/>
      <c r="AE21" s="13"/>
      <c r="AF21" s="13"/>
      <c r="AG21" s="173" t="s">
        <v>596</v>
      </c>
      <c r="AH21" s="174"/>
      <c r="AI21" s="174"/>
      <c r="AJ21" s="175"/>
      <c r="AK21" s="13"/>
      <c r="AL21" s="13"/>
      <c r="AM21" s="13"/>
      <c r="AN21" s="13"/>
      <c r="AO21" s="13"/>
      <c r="AP21" s="13"/>
      <c r="AQ21" s="13"/>
    </row>
    <row r="22" spans="2:43" hidden="1" x14ac:dyDescent="0.3">
      <c r="B22" s="4" t="str">
        <f>IF(ROW(A10)&lt;=profilKelas!$F$14,ROW(A10),"")</f>
        <v/>
      </c>
      <c r="C22" s="94" t="str">
        <f>IF(ISBLANK(identitasMurid!C15),"",identitasMurid!C15)</f>
        <v/>
      </c>
      <c r="D22" s="6" t="str">
        <f>IF(ISBLANK(identitasMurid!D15),"",identitasMurid!D15)</f>
        <v/>
      </c>
      <c r="E22" s="95"/>
      <c r="F22" s="95"/>
      <c r="G22" s="95"/>
      <c r="H22" s="95"/>
      <c r="I22" s="95"/>
      <c r="J22" s="95"/>
      <c r="K22" s="95"/>
      <c r="L22" s="95"/>
      <c r="M22" s="95"/>
      <c r="Q22" s="5" t="str">
        <f>IF(ROW(A10)&lt;=profilKelas!$F$14,ROW(A10),"")</f>
        <v/>
      </c>
      <c r="R22" s="12" t="str">
        <f t="shared" si="0"/>
        <v/>
      </c>
      <c r="S22" s="108" t="str">
        <f t="shared" si="4"/>
        <v/>
      </c>
      <c r="T22" s="108" t="str">
        <f t="shared" si="2"/>
        <v/>
      </c>
      <c r="U22" s="108" t="str">
        <f t="shared" si="3"/>
        <v/>
      </c>
      <c r="V22" s="108" t="str">
        <f t="shared" si="3"/>
        <v/>
      </c>
      <c r="W22" s="108" t="str">
        <f t="shared" si="3"/>
        <v/>
      </c>
      <c r="X22" s="108" t="str">
        <f t="shared" si="3"/>
        <v/>
      </c>
      <c r="Y22" s="108" t="str">
        <f t="shared" si="3"/>
        <v/>
      </c>
      <c r="Z22" s="108" t="str">
        <f t="shared" si="3"/>
        <v/>
      </c>
      <c r="AA22" s="108" t="str">
        <f t="shared" si="3"/>
        <v/>
      </c>
      <c r="AB22" s="108" t="str" cm="1">
        <f t="array" ref="AB22">IF(LEN($B22)=0,"",IF(LEN(C22)=0,"Nama Siswa Kosong",IF($E22="","Status Siswa Kosong",IF(S22&lt;&gt;"Aktif","Siswa Tidak Aktif",
IF(OR(U22:AA22="Belum mengisi"),"Belum mengisi",IF(AND(U22:AA22="Sudah terbiasa"),"Sudah terbiasa","Belum terbiasa"))))))</f>
        <v/>
      </c>
      <c r="AD22" s="98" t="s">
        <v>0</v>
      </c>
      <c r="AE22" s="148" t="s">
        <v>18</v>
      </c>
      <c r="AF22" s="148"/>
      <c r="AG22" s="148" t="s">
        <v>597</v>
      </c>
      <c r="AH22" s="148"/>
      <c r="AI22" s="171" t="s">
        <v>598</v>
      </c>
      <c r="AJ22" s="172"/>
      <c r="AK22" s="13"/>
      <c r="AL22" s="13"/>
      <c r="AM22" s="13"/>
      <c r="AN22" s="13"/>
      <c r="AO22" s="13"/>
      <c r="AP22" s="13"/>
      <c r="AQ22" s="13"/>
    </row>
    <row r="23" spans="2:43" hidden="1" x14ac:dyDescent="0.3">
      <c r="B23" s="4" t="str">
        <f>IF(ROW(A11)&lt;=profilKelas!$F$14,ROW(A11),"")</f>
        <v/>
      </c>
      <c r="C23" s="94" t="str">
        <f>IF(ISBLANK(identitasMurid!C16),"",identitasMurid!C16)</f>
        <v/>
      </c>
      <c r="D23" s="6" t="str">
        <f>IF(ISBLANK(identitasMurid!D16),"",identitasMurid!D16)</f>
        <v/>
      </c>
      <c r="E23" s="95"/>
      <c r="F23" s="95"/>
      <c r="G23" s="95"/>
      <c r="H23" s="95"/>
      <c r="I23" s="95"/>
      <c r="J23" s="95"/>
      <c r="K23" s="95"/>
      <c r="L23" s="95"/>
      <c r="M23" s="95"/>
      <c r="Q23" s="5" t="str">
        <f>IF(ROW(A11)&lt;=profilKelas!$F$14,ROW(A11),"")</f>
        <v/>
      </c>
      <c r="R23" s="12" t="str">
        <f t="shared" si="0"/>
        <v/>
      </c>
      <c r="S23" s="108" t="str">
        <f t="shared" si="4"/>
        <v/>
      </c>
      <c r="T23" s="108" t="str">
        <f t="shared" si="2"/>
        <v/>
      </c>
      <c r="U23" s="108" t="str">
        <f t="shared" si="3"/>
        <v/>
      </c>
      <c r="V23" s="108" t="str">
        <f t="shared" si="3"/>
        <v/>
      </c>
      <c r="W23" s="108" t="str">
        <f t="shared" si="3"/>
        <v/>
      </c>
      <c r="X23" s="108" t="str">
        <f t="shared" si="3"/>
        <v/>
      </c>
      <c r="Y23" s="108" t="str">
        <f t="shared" si="3"/>
        <v/>
      </c>
      <c r="Z23" s="108" t="str">
        <f t="shared" si="3"/>
        <v/>
      </c>
      <c r="AA23" s="108" t="str">
        <f t="shared" si="3"/>
        <v/>
      </c>
      <c r="AB23" s="108" t="str" cm="1">
        <f t="array" ref="AB23">IF(LEN($B23)=0,"",IF(LEN(C23)=0,"Nama Siswa Kosong",IF($E23="","Status Siswa Kosong",IF(S23&lt;&gt;"Aktif","Siswa Tidak Aktif",
IF(OR(U23:AA23="Belum mengisi"),"Belum mengisi",IF(AND(U23:AA23="Sudah terbiasa"),"Sudah terbiasa","Belum terbiasa"))))))</f>
        <v/>
      </c>
      <c r="AC23" s="99">
        <f t="shared" ref="AC23:AC29" si="5">RANK(AG23,$AG$23:$AG$29)</f>
        <v>1</v>
      </c>
      <c r="AD23" s="41">
        <v>1</v>
      </c>
      <c r="AE23" s="161" t="s">
        <v>2</v>
      </c>
      <c r="AF23" s="161"/>
      <c r="AG23" s="10">
        <f>COUNTIF(JulBangunPagi,SudahTerbiasa)</f>
        <v>0</v>
      </c>
      <c r="AH23" s="50">
        <f>COUNTIF(JulBangunPagi,SudahTerbiasa)/profilKelas!$F$14</f>
        <v>0</v>
      </c>
      <c r="AI23" s="10">
        <f>COUNTIF(JulBangunPagi,BelumTerbiasa)</f>
        <v>0</v>
      </c>
      <c r="AJ23" s="50">
        <f>AI23/profilKelas!$F$14</f>
        <v>0</v>
      </c>
      <c r="AK23" s="13"/>
      <c r="AL23" s="13"/>
      <c r="AM23" s="13"/>
      <c r="AN23" s="13"/>
      <c r="AO23" s="13"/>
      <c r="AP23" s="13"/>
      <c r="AQ23" s="13"/>
    </row>
    <row r="24" spans="2:43" hidden="1" x14ac:dyDescent="0.3">
      <c r="B24" s="4" t="str">
        <f>IF(ROW(A12)&lt;=profilKelas!$F$14,ROW(A12),"")</f>
        <v/>
      </c>
      <c r="C24" s="94" t="str">
        <f>IF(ISBLANK(identitasMurid!C17),"",identitasMurid!C17)</f>
        <v/>
      </c>
      <c r="D24" s="6" t="str">
        <f>IF(ISBLANK(identitasMurid!D17),"",identitasMurid!D17)</f>
        <v/>
      </c>
      <c r="E24" s="95"/>
      <c r="F24" s="95"/>
      <c r="G24" s="95"/>
      <c r="H24" s="95"/>
      <c r="I24" s="95"/>
      <c r="J24" s="95"/>
      <c r="K24" s="95"/>
      <c r="L24" s="95"/>
      <c r="M24" s="95"/>
      <c r="Q24" s="5" t="str">
        <f>IF(ROW(A12)&lt;=profilKelas!$F$14,ROW(A12),"")</f>
        <v/>
      </c>
      <c r="R24" s="12" t="str">
        <f t="shared" si="0"/>
        <v/>
      </c>
      <c r="S24" s="108" t="str">
        <f t="shared" si="4"/>
        <v/>
      </c>
      <c r="T24" s="108" t="str">
        <f t="shared" si="2"/>
        <v/>
      </c>
      <c r="U24" s="108" t="str">
        <f t="shared" si="3"/>
        <v/>
      </c>
      <c r="V24" s="108" t="str">
        <f t="shared" si="3"/>
        <v/>
      </c>
      <c r="W24" s="108" t="str">
        <f t="shared" si="3"/>
        <v/>
      </c>
      <c r="X24" s="108" t="str">
        <f t="shared" si="3"/>
        <v/>
      </c>
      <c r="Y24" s="108" t="str">
        <f t="shared" si="3"/>
        <v/>
      </c>
      <c r="Z24" s="108" t="str">
        <f t="shared" si="3"/>
        <v/>
      </c>
      <c r="AA24" s="108" t="str">
        <f t="shared" si="3"/>
        <v/>
      </c>
      <c r="AB24" s="108" t="str" cm="1">
        <f t="array" ref="AB24">IF(LEN($B24)=0,"",IF(LEN(C24)=0,"Nama Siswa Kosong",IF($E24="","Status Siswa Kosong",IF(S24&lt;&gt;"Aktif","Siswa Tidak Aktif",
IF(OR(U24:AA24="Belum mengisi"),"Belum mengisi",IF(AND(U24:AA24="Sudah terbiasa"),"Sudah terbiasa","Belum terbiasa"))))))</f>
        <v/>
      </c>
      <c r="AC24" s="99">
        <f t="shared" si="5"/>
        <v>1</v>
      </c>
      <c r="AD24" s="41">
        <v>2</v>
      </c>
      <c r="AE24" s="161" t="s">
        <v>3</v>
      </c>
      <c r="AF24" s="161"/>
      <c r="AG24" s="10">
        <f>COUNTIF(JulTaatBeribadah,SudahTerbiasa)</f>
        <v>0</v>
      </c>
      <c r="AH24" s="50">
        <f>AG24/profilKelas!$F$14</f>
        <v>0</v>
      </c>
      <c r="AI24" s="10">
        <f>COUNTIF(JulTaatBeribadah,BelumTerbiasa)</f>
        <v>0</v>
      </c>
      <c r="AJ24" s="50">
        <f>AI24/profilKelas!$F$14</f>
        <v>0</v>
      </c>
      <c r="AK24" s="13"/>
      <c r="AL24" s="13"/>
      <c r="AM24" s="13"/>
      <c r="AN24" s="13"/>
      <c r="AO24" s="13"/>
      <c r="AP24" s="13"/>
      <c r="AQ24" s="13"/>
    </row>
    <row r="25" spans="2:43" hidden="1" x14ac:dyDescent="0.3">
      <c r="B25" s="4" t="str">
        <f>IF(ROW(A13)&lt;=profilKelas!$F$14,ROW(A13),"")</f>
        <v/>
      </c>
      <c r="C25" s="94" t="str">
        <f>IF(ISBLANK(identitasMurid!C18),"",identitasMurid!C18)</f>
        <v/>
      </c>
      <c r="D25" s="6" t="str">
        <f>IF(ISBLANK(identitasMurid!D18),"",identitasMurid!D18)</f>
        <v/>
      </c>
      <c r="E25" s="95"/>
      <c r="F25" s="95"/>
      <c r="G25" s="95"/>
      <c r="H25" s="95"/>
      <c r="I25" s="95"/>
      <c r="J25" s="95"/>
      <c r="K25" s="95"/>
      <c r="L25" s="95"/>
      <c r="M25" s="95"/>
      <c r="Q25" s="5" t="str">
        <f>IF(ROW(A13)&lt;=profilKelas!$F$14,ROW(A13),"")</f>
        <v/>
      </c>
      <c r="R25" s="12" t="str">
        <f t="shared" si="0"/>
        <v/>
      </c>
      <c r="S25" s="108" t="str">
        <f t="shared" si="4"/>
        <v/>
      </c>
      <c r="T25" s="108" t="str">
        <f t="shared" si="2"/>
        <v/>
      </c>
      <c r="U25" s="108" t="str">
        <f t="shared" si="3"/>
        <v/>
      </c>
      <c r="V25" s="108" t="str">
        <f t="shared" si="3"/>
        <v/>
      </c>
      <c r="W25" s="108" t="str">
        <f t="shared" si="3"/>
        <v/>
      </c>
      <c r="X25" s="108" t="str">
        <f t="shared" si="3"/>
        <v/>
      </c>
      <c r="Y25" s="108" t="str">
        <f t="shared" si="3"/>
        <v/>
      </c>
      <c r="Z25" s="108" t="str">
        <f t="shared" si="3"/>
        <v/>
      </c>
      <c r="AA25" s="108" t="str">
        <f t="shared" si="3"/>
        <v/>
      </c>
      <c r="AB25" s="108" t="str" cm="1">
        <f t="array" ref="AB25">IF(LEN($B25)=0,"",IF(LEN(C25)=0,"Nama Siswa Kosong",IF($E25="","Status Siswa Kosong",IF(S25&lt;&gt;"Aktif","Siswa Tidak Aktif",
IF(OR(U25:AA25="Belum mengisi"),"Belum mengisi",IF(AND(U25:AA25="Sudah terbiasa"),"Sudah terbiasa","Belum terbiasa"))))))</f>
        <v/>
      </c>
      <c r="AC25" s="99">
        <f t="shared" si="5"/>
        <v>1</v>
      </c>
      <c r="AD25" s="41">
        <v>3</v>
      </c>
      <c r="AE25" s="161" t="s">
        <v>4</v>
      </c>
      <c r="AF25" s="161"/>
      <c r="AG25" s="10">
        <f>COUNTIF(JulBerolahraga,SudahTerbiasa)</f>
        <v>0</v>
      </c>
      <c r="AH25" s="50">
        <f>AG25/profilKelas!$F$14</f>
        <v>0</v>
      </c>
      <c r="AI25" s="10">
        <f>COUNTIF(JulBerolahraga,BelumTerbiasa)</f>
        <v>0</v>
      </c>
      <c r="AJ25" s="50">
        <f>AI25/profilKelas!$F$14</f>
        <v>0</v>
      </c>
      <c r="AK25" s="13"/>
      <c r="AL25" s="13"/>
      <c r="AM25" s="13"/>
      <c r="AN25" s="13"/>
      <c r="AO25" s="13"/>
      <c r="AP25" s="13"/>
      <c r="AQ25" s="13"/>
    </row>
    <row r="26" spans="2:43" hidden="1" x14ac:dyDescent="0.3">
      <c r="B26" s="4" t="str">
        <f>IF(ROW(A14)&lt;=profilKelas!$F$14,ROW(A14),"")</f>
        <v/>
      </c>
      <c r="C26" s="94" t="str">
        <f>IF(ISBLANK(identitasMurid!C19),"",identitasMurid!C19)</f>
        <v/>
      </c>
      <c r="D26" s="6" t="str">
        <f>IF(ISBLANK(identitasMurid!D19),"",identitasMurid!D19)</f>
        <v/>
      </c>
      <c r="E26" s="95"/>
      <c r="F26" s="95"/>
      <c r="G26" s="95"/>
      <c r="H26" s="95"/>
      <c r="I26" s="95"/>
      <c r="J26" s="95"/>
      <c r="K26" s="95"/>
      <c r="L26" s="95"/>
      <c r="M26" s="95"/>
      <c r="Q26" s="5" t="str">
        <f>IF(ROW(A14)&lt;=profilKelas!$F$14,ROW(A14),"")</f>
        <v/>
      </c>
      <c r="R26" s="12" t="str">
        <f t="shared" si="0"/>
        <v/>
      </c>
      <c r="S26" s="108" t="str">
        <f t="shared" si="4"/>
        <v/>
      </c>
      <c r="T26" s="108" t="str">
        <f t="shared" si="2"/>
        <v/>
      </c>
      <c r="U26" s="108" t="str">
        <f t="shared" si="3"/>
        <v/>
      </c>
      <c r="V26" s="108" t="str">
        <f t="shared" si="3"/>
        <v/>
      </c>
      <c r="W26" s="108" t="str">
        <f t="shared" si="3"/>
        <v/>
      </c>
      <c r="X26" s="108" t="str">
        <f t="shared" si="3"/>
        <v/>
      </c>
      <c r="Y26" s="108" t="str">
        <f t="shared" si="3"/>
        <v/>
      </c>
      <c r="Z26" s="108" t="str">
        <f t="shared" si="3"/>
        <v/>
      </c>
      <c r="AA26" s="108" t="str">
        <f t="shared" si="3"/>
        <v/>
      </c>
      <c r="AB26" s="108" t="str" cm="1">
        <f t="array" ref="AB26">IF(LEN($B26)=0,"",IF(LEN(C26)=0,"Nama Siswa Kosong",IF($E26="","Status Siswa Kosong",IF(S26&lt;&gt;"Aktif","Siswa Tidak Aktif",
IF(OR(U26:AA26="Belum mengisi"),"Belum mengisi",IF(AND(U26:AA26="Sudah terbiasa"),"Sudah terbiasa","Belum terbiasa"))))))</f>
        <v/>
      </c>
      <c r="AC26" s="99">
        <f t="shared" si="5"/>
        <v>1</v>
      </c>
      <c r="AD26" s="41">
        <v>4</v>
      </c>
      <c r="AE26" s="161" t="s">
        <v>5</v>
      </c>
      <c r="AF26" s="161"/>
      <c r="AG26" s="10">
        <f>COUNTIF(JulMakanSehatBergizi,SudahTerbiasa)</f>
        <v>0</v>
      </c>
      <c r="AH26" s="50">
        <f>AG26/profilKelas!$F$14</f>
        <v>0</v>
      </c>
      <c r="AI26" s="10">
        <f>COUNTIF(JulMakanSehatBergizi,BelumTerbiasa)</f>
        <v>0</v>
      </c>
      <c r="AJ26" s="50">
        <f>AI26/profilKelas!$F$14</f>
        <v>0</v>
      </c>
      <c r="AK26" s="13"/>
      <c r="AL26" s="13"/>
      <c r="AM26" s="13"/>
      <c r="AN26" s="13"/>
      <c r="AO26" s="13"/>
      <c r="AP26" s="13"/>
      <c r="AQ26" s="13"/>
    </row>
    <row r="27" spans="2:43" hidden="1" x14ac:dyDescent="0.3">
      <c r="B27" s="4" t="str">
        <f>IF(ROW(A15)&lt;=profilKelas!$F$14,ROW(A15),"")</f>
        <v/>
      </c>
      <c r="C27" s="94" t="str">
        <f>IF(ISBLANK(identitasMurid!C20),"",identitasMurid!C20)</f>
        <v/>
      </c>
      <c r="D27" s="6" t="str">
        <f>IF(ISBLANK(identitasMurid!D20),"",identitasMurid!D20)</f>
        <v/>
      </c>
      <c r="E27" s="95"/>
      <c r="F27" s="95"/>
      <c r="G27" s="95"/>
      <c r="H27" s="95"/>
      <c r="I27" s="95"/>
      <c r="J27" s="95"/>
      <c r="K27" s="95"/>
      <c r="L27" s="95"/>
      <c r="M27" s="95"/>
      <c r="Q27" s="5" t="str">
        <f>IF(ROW(A15)&lt;=profilKelas!$F$14,ROW(A15),"")</f>
        <v/>
      </c>
      <c r="R27" s="12" t="str">
        <f t="shared" si="0"/>
        <v/>
      </c>
      <c r="S27" s="108" t="str">
        <f t="shared" si="4"/>
        <v/>
      </c>
      <c r="T27" s="108" t="str">
        <f t="shared" si="2"/>
        <v/>
      </c>
      <c r="U27" s="108" t="str">
        <f t="shared" si="3"/>
        <v/>
      </c>
      <c r="V27" s="108" t="str">
        <f t="shared" si="3"/>
        <v/>
      </c>
      <c r="W27" s="108" t="str">
        <f t="shared" si="3"/>
        <v/>
      </c>
      <c r="X27" s="108" t="str">
        <f t="shared" si="3"/>
        <v/>
      </c>
      <c r="Y27" s="108" t="str">
        <f t="shared" si="3"/>
        <v/>
      </c>
      <c r="Z27" s="108" t="str">
        <f t="shared" si="3"/>
        <v/>
      </c>
      <c r="AA27" s="108" t="str">
        <f t="shared" si="3"/>
        <v/>
      </c>
      <c r="AB27" s="108" t="str" cm="1">
        <f t="array" ref="AB27">IF(LEN($B27)=0,"",IF(LEN(C27)=0,"Nama Siswa Kosong",IF($E27="","Status Siswa Kosong",IF(S27&lt;&gt;"Aktif","Siswa Tidak Aktif",
IF(OR(U27:AA27="Belum mengisi"),"Belum mengisi",IF(AND(U27:AA27="Sudah terbiasa"),"Sudah terbiasa","Belum terbiasa"))))))</f>
        <v/>
      </c>
      <c r="AC27" s="99">
        <f t="shared" si="5"/>
        <v>1</v>
      </c>
      <c r="AD27" s="41">
        <v>5</v>
      </c>
      <c r="AE27" s="161" t="s">
        <v>6</v>
      </c>
      <c r="AF27" s="161"/>
      <c r="AG27" s="10">
        <f>COUNTIF(JulGemarBelajar,SudahTerbiasa)</f>
        <v>0</v>
      </c>
      <c r="AH27" s="50">
        <f>AG27/profilKelas!$F$14</f>
        <v>0</v>
      </c>
      <c r="AI27" s="10">
        <f>COUNTIF(JulGemarBelajar,BelumTerbiasa)</f>
        <v>0</v>
      </c>
      <c r="AJ27" s="50">
        <f>AI27/profilKelas!$F$14</f>
        <v>0</v>
      </c>
      <c r="AK27" s="13"/>
      <c r="AL27" s="13"/>
      <c r="AM27" s="13"/>
      <c r="AN27" s="13"/>
      <c r="AO27" s="13"/>
      <c r="AP27" s="13"/>
      <c r="AQ27" s="13"/>
    </row>
    <row r="28" spans="2:43" hidden="1" x14ac:dyDescent="0.3">
      <c r="B28" s="4" t="str">
        <f>IF(ROW(A16)&lt;=profilKelas!$F$14,ROW(A16),"")</f>
        <v/>
      </c>
      <c r="C28" s="94" t="str">
        <f>IF(ISBLANK(identitasMurid!C21),"",identitasMurid!C21)</f>
        <v/>
      </c>
      <c r="D28" s="6" t="str">
        <f>IF(ISBLANK(identitasMurid!D21),"",identitasMurid!D21)</f>
        <v/>
      </c>
      <c r="E28" s="95"/>
      <c r="F28" s="95"/>
      <c r="G28" s="95"/>
      <c r="H28" s="95"/>
      <c r="I28" s="95"/>
      <c r="J28" s="95"/>
      <c r="K28" s="95"/>
      <c r="L28" s="95"/>
      <c r="M28" s="95"/>
      <c r="Q28" s="5" t="str">
        <f>IF(ROW(A16)&lt;=profilKelas!$F$14,ROW(A16),"")</f>
        <v/>
      </c>
      <c r="R28" s="12" t="str">
        <f t="shared" si="0"/>
        <v/>
      </c>
      <c r="S28" s="108" t="str">
        <f t="shared" si="4"/>
        <v/>
      </c>
      <c r="T28" s="108" t="str">
        <f t="shared" si="2"/>
        <v/>
      </c>
      <c r="U28" s="108" t="str">
        <f t="shared" si="3"/>
        <v/>
      </c>
      <c r="V28" s="108" t="str">
        <f t="shared" si="3"/>
        <v/>
      </c>
      <c r="W28" s="108" t="str">
        <f t="shared" si="3"/>
        <v/>
      </c>
      <c r="X28" s="108" t="str">
        <f t="shared" si="3"/>
        <v/>
      </c>
      <c r="Y28" s="108" t="str">
        <f t="shared" si="3"/>
        <v/>
      </c>
      <c r="Z28" s="108" t="str">
        <f t="shared" si="3"/>
        <v/>
      </c>
      <c r="AA28" s="108" t="str">
        <f t="shared" si="3"/>
        <v/>
      </c>
      <c r="AB28" s="108" t="str" cm="1">
        <f t="array" ref="AB28">IF(LEN($B28)=0,"",IF(LEN(C28)=0,"Nama Siswa Kosong",IF($E28="","Status Siswa Kosong",IF(S28&lt;&gt;"Aktif","Siswa Tidak Aktif",
IF(OR(U28:AA28="Belum mengisi"),"Belum mengisi",IF(AND(U28:AA28="Sudah terbiasa"),"Sudah terbiasa","Belum terbiasa"))))))</f>
        <v/>
      </c>
      <c r="AC28" s="99">
        <f t="shared" si="5"/>
        <v>1</v>
      </c>
      <c r="AD28" s="41">
        <v>6</v>
      </c>
      <c r="AE28" s="161" t="s">
        <v>7</v>
      </c>
      <c r="AF28" s="161"/>
      <c r="AG28" s="10">
        <f>COUNTIF(JulAktifBermasyarakat,SudahTerbiasa)</f>
        <v>0</v>
      </c>
      <c r="AH28" s="50">
        <f>AG28/profilKelas!$F$14</f>
        <v>0</v>
      </c>
      <c r="AI28" s="10">
        <f>COUNTIF(JulAktifBermasyarakat,BelumTerbiasa)</f>
        <v>0</v>
      </c>
      <c r="AJ28" s="50">
        <f>AI28/profilKelas!$F$14</f>
        <v>0</v>
      </c>
      <c r="AK28" s="13"/>
      <c r="AL28" s="43"/>
      <c r="AM28" s="43"/>
      <c r="AN28" s="43"/>
      <c r="AO28" s="43"/>
      <c r="AP28" s="43"/>
      <c r="AQ28" s="43"/>
    </row>
    <row r="29" spans="2:43" hidden="1" x14ac:dyDescent="0.3">
      <c r="B29" s="4" t="str">
        <f>IF(ROW(A17)&lt;=profilKelas!$F$14,ROW(A17),"")</f>
        <v/>
      </c>
      <c r="C29" s="94" t="str">
        <f>IF(ISBLANK(identitasMurid!C22),"",identitasMurid!C22)</f>
        <v/>
      </c>
      <c r="D29" s="6" t="str">
        <f>IF(ISBLANK(identitasMurid!D22),"",identitasMurid!D22)</f>
        <v/>
      </c>
      <c r="E29" s="95"/>
      <c r="F29" s="95"/>
      <c r="G29" s="95"/>
      <c r="H29" s="95"/>
      <c r="I29" s="95"/>
      <c r="J29" s="95"/>
      <c r="K29" s="95"/>
      <c r="L29" s="95"/>
      <c r="M29" s="95"/>
      <c r="Q29" s="5" t="str">
        <f>IF(ROW(A17)&lt;=profilKelas!$F$14,ROW(A17),"")</f>
        <v/>
      </c>
      <c r="R29" s="12" t="str">
        <f t="shared" si="0"/>
        <v/>
      </c>
      <c r="S29" s="108" t="str">
        <f t="shared" si="4"/>
        <v/>
      </c>
      <c r="T29" s="108" t="str">
        <f t="shared" si="2"/>
        <v/>
      </c>
      <c r="U29" s="108" t="str">
        <f t="shared" ref="U29:AA57" si="6">IF(LEN($B29)=0,"",IF(LEN($C29)=0,"Nama Siswa Kosong",IF($E29="","Status Siswa Kosong",IF($E29&lt;&gt;"Aktif","Siswa Tidak Aktif",
IF(ISBLANK(F29),"Belum mengisi",IF(F29&gt;=20,"Sudah terbiasa","Belum terbiasa"))))))</f>
        <v/>
      </c>
      <c r="V29" s="108" t="str">
        <f t="shared" si="6"/>
        <v/>
      </c>
      <c r="W29" s="108" t="str">
        <f t="shared" si="6"/>
        <v/>
      </c>
      <c r="X29" s="108" t="str">
        <f t="shared" si="6"/>
        <v/>
      </c>
      <c r="Y29" s="108" t="str">
        <f t="shared" si="6"/>
        <v/>
      </c>
      <c r="Z29" s="108" t="str">
        <f t="shared" si="6"/>
        <v/>
      </c>
      <c r="AA29" s="108" t="str">
        <f t="shared" si="6"/>
        <v/>
      </c>
      <c r="AB29" s="108" t="str" cm="1">
        <f t="array" ref="AB29">IF(LEN($B29)=0,"",IF(LEN(C29)=0,"Nama Siswa Kosong",IF($E29="","Status Siswa Kosong",IF(S29&lt;&gt;"Aktif","Siswa Tidak Aktif",
IF(OR(U29:AA29="Belum mengisi"),"Belum mengisi",IF(AND(U29:AA29="Sudah terbiasa"),"Sudah terbiasa","Belum terbiasa"))))))</f>
        <v/>
      </c>
      <c r="AC29" s="99">
        <f t="shared" si="5"/>
        <v>1</v>
      </c>
      <c r="AD29" s="41">
        <v>7</v>
      </c>
      <c r="AE29" s="161" t="s">
        <v>8</v>
      </c>
      <c r="AF29" s="161"/>
      <c r="AG29" s="10">
        <f>COUNTIF(JulTidurCepat,SudahTerbiasa)</f>
        <v>0</v>
      </c>
      <c r="AH29" s="50">
        <f>AG29/profilKelas!$F$14</f>
        <v>0</v>
      </c>
      <c r="AI29" s="10">
        <f>COUNTIF(JulTidurCepat,BelumTerbiasa)</f>
        <v>0</v>
      </c>
      <c r="AJ29" s="50">
        <f>AI29/profilKelas!$F$14</f>
        <v>0</v>
      </c>
      <c r="AK29" s="13"/>
      <c r="AL29" s="43"/>
      <c r="AM29" s="43"/>
      <c r="AN29" s="43"/>
      <c r="AO29" s="43"/>
      <c r="AP29" s="43"/>
      <c r="AQ29" s="43"/>
    </row>
    <row r="30" spans="2:43" hidden="1" x14ac:dyDescent="0.3">
      <c r="B30" s="4" t="str">
        <f>IF(ROW(A18)&lt;=profilKelas!$F$14,ROW(A18),"")</f>
        <v/>
      </c>
      <c r="C30" s="94" t="str">
        <f>IF(ISBLANK(identitasMurid!C23),"",identitasMurid!C23)</f>
        <v/>
      </c>
      <c r="D30" s="6" t="str">
        <f>IF(ISBLANK(identitasMurid!D23),"",identitasMurid!D23)</f>
        <v/>
      </c>
      <c r="E30" s="95"/>
      <c r="F30" s="95"/>
      <c r="G30" s="95"/>
      <c r="H30" s="95"/>
      <c r="I30" s="95"/>
      <c r="J30" s="95"/>
      <c r="K30" s="95"/>
      <c r="L30" s="95"/>
      <c r="M30" s="95"/>
      <c r="Q30" s="5" t="str">
        <f>IF(ROW(A18)&lt;=profilKelas!$F$14,ROW(A18),"")</f>
        <v/>
      </c>
      <c r="R30" s="12" t="str">
        <f t="shared" si="0"/>
        <v/>
      </c>
      <c r="S30" s="108" t="str">
        <f t="shared" si="4"/>
        <v/>
      </c>
      <c r="T30" s="108" t="str">
        <f t="shared" si="2"/>
        <v/>
      </c>
      <c r="U30" s="108" t="str">
        <f t="shared" si="6"/>
        <v/>
      </c>
      <c r="V30" s="108" t="str">
        <f t="shared" si="6"/>
        <v/>
      </c>
      <c r="W30" s="108" t="str">
        <f t="shared" si="6"/>
        <v/>
      </c>
      <c r="X30" s="108" t="str">
        <f t="shared" si="6"/>
        <v/>
      </c>
      <c r="Y30" s="108" t="str">
        <f t="shared" si="6"/>
        <v/>
      </c>
      <c r="Z30" s="108" t="str">
        <f t="shared" si="6"/>
        <v/>
      </c>
      <c r="AA30" s="108" t="str">
        <f t="shared" si="6"/>
        <v/>
      </c>
      <c r="AB30" s="108" t="str" cm="1">
        <f t="array" ref="AB30">IF(LEN($B30)=0,"",IF(LEN(C30)=0,"Nama Siswa Kosong",IF($E30="","Status Siswa Kosong",IF(S30&lt;&gt;"Aktif","Siswa Tidak Aktif",
IF(OR(U30:AA30="Belum mengisi"),"Belum mengisi",IF(AND(U30:AA30="Sudah terbiasa"),"Sudah terbiasa","Belum terbiasa"))))))</f>
        <v/>
      </c>
      <c r="AD30" s="13"/>
      <c r="AE30" s="13"/>
      <c r="AF30" s="13"/>
      <c r="AG30" s="13"/>
      <c r="AH30" s="13"/>
      <c r="AI30" s="13"/>
      <c r="AJ30" s="13"/>
      <c r="AK30" s="13"/>
      <c r="AL30" s="43"/>
      <c r="AM30" s="43"/>
      <c r="AN30" s="43"/>
      <c r="AO30" s="43"/>
      <c r="AP30" s="43"/>
      <c r="AQ30" s="43"/>
    </row>
    <row r="31" spans="2:43" hidden="1" x14ac:dyDescent="0.3">
      <c r="B31" s="4" t="str">
        <f>IF(ROW(A19)&lt;=profilKelas!$F$14,ROW(A19),"")</f>
        <v/>
      </c>
      <c r="C31" s="94" t="str">
        <f>IF(ISBLANK(identitasMurid!C24),"",identitasMurid!C24)</f>
        <v/>
      </c>
      <c r="D31" s="6" t="str">
        <f>IF(ISBLANK(identitasMurid!D24),"",identitasMurid!D24)</f>
        <v/>
      </c>
      <c r="E31" s="95"/>
      <c r="F31" s="95"/>
      <c r="G31" s="95"/>
      <c r="H31" s="95"/>
      <c r="I31" s="95"/>
      <c r="J31" s="95"/>
      <c r="K31" s="95"/>
      <c r="L31" s="95"/>
      <c r="M31" s="95"/>
      <c r="Q31" s="5" t="str">
        <f>IF(ROW(A19)&lt;=profilKelas!$F$14,ROW(A19),"")</f>
        <v/>
      </c>
      <c r="R31" s="12" t="str">
        <f t="shared" si="0"/>
        <v/>
      </c>
      <c r="S31" s="108" t="str">
        <f t="shared" si="4"/>
        <v/>
      </c>
      <c r="T31" s="108" t="str">
        <f t="shared" si="2"/>
        <v/>
      </c>
      <c r="U31" s="108" t="str">
        <f t="shared" si="6"/>
        <v/>
      </c>
      <c r="V31" s="108" t="str">
        <f t="shared" si="6"/>
        <v/>
      </c>
      <c r="W31" s="108" t="str">
        <f t="shared" si="6"/>
        <v/>
      </c>
      <c r="X31" s="108" t="str">
        <f t="shared" si="6"/>
        <v/>
      </c>
      <c r="Y31" s="108" t="str">
        <f t="shared" si="6"/>
        <v/>
      </c>
      <c r="Z31" s="108" t="str">
        <f t="shared" si="6"/>
        <v/>
      </c>
      <c r="AA31" s="108" t="str">
        <f t="shared" si="6"/>
        <v/>
      </c>
      <c r="AB31" s="108" t="str" cm="1">
        <f t="array" ref="AB31">IF(LEN($B31)=0,"",IF(LEN(C31)=0,"Nama Siswa Kosong",IF($E31="","Status Siswa Kosong",IF(S31&lt;&gt;"Aktif","Siswa Tidak Aktif",
IF(OR(U31:AA31="Belum mengisi"),"Belum mengisi",IF(AND(U31:AA31="Sudah terbiasa"),"Sudah terbiasa","Belum terbiasa"))))))</f>
        <v/>
      </c>
      <c r="AD31" s="13"/>
      <c r="AE31" s="13"/>
      <c r="AF31" s="13"/>
      <c r="AG31" s="148" t="s">
        <v>607</v>
      </c>
      <c r="AH31" s="148"/>
      <c r="AI31" s="148"/>
      <c r="AJ31" s="148"/>
      <c r="AK31" s="148" t="s">
        <v>608</v>
      </c>
      <c r="AL31" s="148"/>
      <c r="AM31" s="148"/>
      <c r="AN31" s="148"/>
      <c r="AO31" s="13"/>
      <c r="AP31" s="13"/>
      <c r="AQ31" s="13"/>
    </row>
    <row r="32" spans="2:43" hidden="1" x14ac:dyDescent="0.3">
      <c r="B32" s="4" t="str">
        <f>IF(ROW(A20)&lt;=profilKelas!$F$14,ROW(A20),"")</f>
        <v/>
      </c>
      <c r="C32" s="94" t="str">
        <f>IF(ISBLANK(identitasMurid!C25),"",identitasMurid!C25)</f>
        <v/>
      </c>
      <c r="D32" s="6" t="str">
        <f>IF(ISBLANK(identitasMurid!D25),"",identitasMurid!D25)</f>
        <v/>
      </c>
      <c r="E32" s="95"/>
      <c r="F32" s="95"/>
      <c r="G32" s="95"/>
      <c r="H32" s="95"/>
      <c r="I32" s="95"/>
      <c r="J32" s="95"/>
      <c r="K32" s="95"/>
      <c r="L32" s="95"/>
      <c r="M32" s="95"/>
      <c r="Q32" s="5" t="str">
        <f>IF(ROW(A20)&lt;=profilKelas!$F$14,ROW(A20),"")</f>
        <v/>
      </c>
      <c r="R32" s="12" t="str">
        <f t="shared" si="0"/>
        <v/>
      </c>
      <c r="S32" s="108" t="str">
        <f t="shared" si="4"/>
        <v/>
      </c>
      <c r="T32" s="108" t="str">
        <f t="shared" si="2"/>
        <v/>
      </c>
      <c r="U32" s="108" t="str">
        <f t="shared" si="6"/>
        <v/>
      </c>
      <c r="V32" s="108" t="str">
        <f t="shared" si="6"/>
        <v/>
      </c>
      <c r="W32" s="108" t="str">
        <f t="shared" si="6"/>
        <v/>
      </c>
      <c r="X32" s="108" t="str">
        <f t="shared" si="6"/>
        <v/>
      </c>
      <c r="Y32" s="108" t="str">
        <f t="shared" si="6"/>
        <v/>
      </c>
      <c r="Z32" s="108" t="str">
        <f t="shared" si="6"/>
        <v/>
      </c>
      <c r="AA32" s="108" t="str">
        <f t="shared" si="6"/>
        <v/>
      </c>
      <c r="AB32" s="108" t="str" cm="1">
        <f t="array" ref="AB32">IF(LEN($B32)=0,"",IF(LEN(C32)=0,"Nama Siswa Kosong",IF($E32="","Status Siswa Kosong",IF(S32&lt;&gt;"Aktif","Siswa Tidak Aktif",
IF(OR(U32:AA32="Belum mengisi"),"Belum mengisi",IF(AND(U32:AA32="Sudah terbiasa"),"Sudah terbiasa","Belum terbiasa"))))))</f>
        <v/>
      </c>
      <c r="AD32" s="98" t="s">
        <v>0</v>
      </c>
      <c r="AE32" s="148" t="s">
        <v>18</v>
      </c>
      <c r="AF32" s="148"/>
      <c r="AG32" s="148" t="s">
        <v>597</v>
      </c>
      <c r="AH32" s="148"/>
      <c r="AI32" s="148" t="s">
        <v>598</v>
      </c>
      <c r="AJ32" s="148"/>
      <c r="AK32" s="148" t="s">
        <v>597</v>
      </c>
      <c r="AL32" s="148"/>
      <c r="AM32" s="148" t="s">
        <v>598</v>
      </c>
      <c r="AN32" s="148"/>
      <c r="AO32" s="13"/>
      <c r="AP32" s="13"/>
      <c r="AQ32" s="13"/>
    </row>
    <row r="33" spans="2:43" hidden="1" x14ac:dyDescent="0.3">
      <c r="B33" s="4" t="str">
        <f>IF(ROW(A21)&lt;=profilKelas!$F$14,ROW(A21),"")</f>
        <v/>
      </c>
      <c r="C33" s="94" t="str">
        <f>IF(ISBLANK(identitasMurid!C26),"",identitasMurid!C26)</f>
        <v/>
      </c>
      <c r="D33" s="6" t="str">
        <f>IF(ISBLANK(identitasMurid!D26),"",identitasMurid!D26)</f>
        <v/>
      </c>
      <c r="E33" s="95"/>
      <c r="F33" s="95"/>
      <c r="G33" s="95"/>
      <c r="H33" s="95"/>
      <c r="I33" s="95"/>
      <c r="J33" s="95"/>
      <c r="K33" s="95"/>
      <c r="L33" s="95"/>
      <c r="M33" s="95"/>
      <c r="Q33" s="5" t="str">
        <f>IF(ROW(A21)&lt;=profilKelas!$F$14,ROW(A21),"")</f>
        <v/>
      </c>
      <c r="R33" s="12" t="str">
        <f t="shared" si="0"/>
        <v/>
      </c>
      <c r="S33" s="108" t="str">
        <f t="shared" si="4"/>
        <v/>
      </c>
      <c r="T33" s="108" t="str">
        <f t="shared" si="2"/>
        <v/>
      </c>
      <c r="U33" s="108" t="str">
        <f t="shared" si="6"/>
        <v/>
      </c>
      <c r="V33" s="108" t="str">
        <f t="shared" si="6"/>
        <v/>
      </c>
      <c r="W33" s="108" t="str">
        <f t="shared" si="6"/>
        <v/>
      </c>
      <c r="X33" s="108" t="str">
        <f t="shared" si="6"/>
        <v/>
      </c>
      <c r="Y33" s="108" t="str">
        <f t="shared" si="6"/>
        <v/>
      </c>
      <c r="Z33" s="108" t="str">
        <f t="shared" si="6"/>
        <v/>
      </c>
      <c r="AA33" s="108" t="str">
        <f t="shared" si="6"/>
        <v/>
      </c>
      <c r="AB33" s="108" t="str" cm="1">
        <f t="array" ref="AB33">IF(LEN($B33)=0,"",IF(LEN(C33)=0,"Nama Siswa Kosong",IF($E33="","Status Siswa Kosong",IF(S33&lt;&gt;"Aktif","Siswa Tidak Aktif",
IF(OR(U33:AA33="Belum mengisi"),"Belum mengisi",IF(AND(U33:AA33="Sudah terbiasa"),"Sudah terbiasa","Belum terbiasa"))))))</f>
        <v/>
      </c>
      <c r="AD33" s="41">
        <v>1</v>
      </c>
      <c r="AE33" s="161" t="s">
        <v>2</v>
      </c>
      <c r="AF33" s="161"/>
      <c r="AG33" s="51">
        <f>COUNTIFS(JulBangunPagi,SudahTerbiasa,JulPL,Perempuan)</f>
        <v>0</v>
      </c>
      <c r="AH33" s="52" t="str">
        <f>IFERROR(IF($AF$18=0,"",COUNTIFS(JulBangunPagi,SudahTerbiasa,JulPL,Perempuan)/COUNTIFS(JulPL,Perempuan)),)</f>
        <v/>
      </c>
      <c r="AI33" s="53">
        <f>COUNTIFS(JulBangunPagi,BelumTerbiasa,JulPL,Perempuan)</f>
        <v>0</v>
      </c>
      <c r="AJ33" s="54" t="str">
        <f>IFERROR(IF($AF$18=0,"",COUNTIFS(JulBangunPagi,BelumTerbiasa,JulPL,Perempuan)/COUNTIF(JulPL,Perempuan)),)</f>
        <v/>
      </c>
      <c r="AK33" s="55">
        <f>COUNTIFS(JulBangunPagi,SudahTerbiasa,JulPL,Laki_Laki)</f>
        <v>0</v>
      </c>
      <c r="AL33" s="56" t="str">
        <f>IFERROR(IF($AF$18=0,"",COUNTIFS(JulBangunPagi,SudahTerbiasa,JulPL,Laki_Laki)/COUNTIFS(JulPL,Laki_Laki)),)</f>
        <v/>
      </c>
      <c r="AM33" s="57">
        <f>COUNTIFS(JulBangunPagi,BelumTerbiasa,JulPL,Laki_Laki)</f>
        <v>0</v>
      </c>
      <c r="AN33" s="58" t="str">
        <f>IFERROR(IF($AF$18=0,"",COUNTIFS(JulBangunPagi,BelumTerbiasa,JulPL,Laki_Laki)/COUNTIFS(JulPL,Laki_Laki)),)</f>
        <v/>
      </c>
      <c r="AO33" s="13"/>
      <c r="AP33" s="13"/>
      <c r="AQ33" s="13"/>
    </row>
    <row r="34" spans="2:43" hidden="1" x14ac:dyDescent="0.3">
      <c r="B34" s="4" t="str">
        <f>IF(ROW(A22)&lt;=profilKelas!$F$14,ROW(A22),"")</f>
        <v/>
      </c>
      <c r="C34" s="94" t="str">
        <f>IF(ISBLANK(identitasMurid!C27),"",identitasMurid!C27)</f>
        <v/>
      </c>
      <c r="D34" s="6" t="str">
        <f>IF(ISBLANK(identitasMurid!D27),"",identitasMurid!D27)</f>
        <v/>
      </c>
      <c r="E34" s="95"/>
      <c r="F34" s="95"/>
      <c r="G34" s="95"/>
      <c r="H34" s="95"/>
      <c r="I34" s="95"/>
      <c r="J34" s="95"/>
      <c r="K34" s="95"/>
      <c r="L34" s="95"/>
      <c r="M34" s="95"/>
      <c r="Q34" s="5" t="str">
        <f>IF(ROW(A22)&lt;=profilKelas!$F$14,ROW(A22),"")</f>
        <v/>
      </c>
      <c r="R34" s="12" t="str">
        <f t="shared" si="0"/>
        <v/>
      </c>
      <c r="S34" s="108" t="str">
        <f t="shared" si="4"/>
        <v/>
      </c>
      <c r="T34" s="108" t="str">
        <f t="shared" si="2"/>
        <v/>
      </c>
      <c r="U34" s="108" t="str">
        <f t="shared" si="6"/>
        <v/>
      </c>
      <c r="V34" s="108" t="str">
        <f t="shared" si="6"/>
        <v/>
      </c>
      <c r="W34" s="108" t="str">
        <f t="shared" si="6"/>
        <v/>
      </c>
      <c r="X34" s="108" t="str">
        <f t="shared" si="6"/>
        <v/>
      </c>
      <c r="Y34" s="108" t="str">
        <f t="shared" si="6"/>
        <v/>
      </c>
      <c r="Z34" s="108" t="str">
        <f t="shared" si="6"/>
        <v/>
      </c>
      <c r="AA34" s="108" t="str">
        <f t="shared" si="6"/>
        <v/>
      </c>
      <c r="AB34" s="108" t="str" cm="1">
        <f t="array" ref="AB34">IF(LEN($B34)=0,"",IF(LEN(C34)=0,"Nama Siswa Kosong",IF($E34="","Status Siswa Kosong",IF(S34&lt;&gt;"Aktif","Siswa Tidak Aktif",
IF(OR(U34:AA34="Belum mengisi"),"Belum mengisi",IF(AND(U34:AA34="Sudah terbiasa"),"Sudah terbiasa","Belum terbiasa"))))))</f>
        <v/>
      </c>
      <c r="AD34" s="41">
        <v>2</v>
      </c>
      <c r="AE34" s="161" t="s">
        <v>3</v>
      </c>
      <c r="AF34" s="161"/>
      <c r="AG34" s="51">
        <f>COUNTIFS(JulTaatBeribadah,SudahTerbiasa,JulPL,Perempuan)</f>
        <v>0</v>
      </c>
      <c r="AH34" s="52" t="str">
        <f>IFERROR(IF($AF$18=0,"",COUNTIFS(JulTaatBeribadah,SudahTerbiasa,JulPL,Perempuan)/COUNTIFS(JulPL,Perempuan)),)</f>
        <v/>
      </c>
      <c r="AI34" s="53">
        <f>COUNTIFS(JulTaatBeribadah,BelumTerbiasa,JulPL,Perempuan)</f>
        <v>0</v>
      </c>
      <c r="AJ34" s="59" t="str">
        <f>IFERROR(IF($AF$18=0,"",COUNTIFS(JulTaatBeribadah,BelumTerbiasa,JulPL,Perempuan)/COUNTIFS(JulPL,Perempuan)),)</f>
        <v/>
      </c>
      <c r="AK34" s="55">
        <f>COUNTIFS(JulTaatBeribadah,SudahTerbiasa,JulPL,Laki_Laki)</f>
        <v>0</v>
      </c>
      <c r="AL34" s="56" t="str">
        <f>IFERROR(IF($AF$18=0,"",COUNTIFS(JulTaatBeribadah,SudahTerbiasa,JulPL,Laki_Laki)/COUNTIFS(JulPL,Laki_Laki)),)</f>
        <v/>
      </c>
      <c r="AM34" s="57">
        <f>COUNTIFS(JulTaatBeribadah,BelumTerbiasa,JulPL,Laki_Laki)</f>
        <v>0</v>
      </c>
      <c r="AN34" s="58" t="str">
        <f>IFERROR(IF($AF$18=0,"",COUNTIFS(JulTaatBeribadah,BelumTerbiasa,JulPL,Laki_Laki)/COUNTIFS(JulPL,Laki_Laki)),)</f>
        <v/>
      </c>
      <c r="AO34" s="13"/>
      <c r="AP34" s="13"/>
      <c r="AQ34" s="13"/>
    </row>
    <row r="35" spans="2:43" hidden="1" x14ac:dyDescent="0.3">
      <c r="B35" s="4" t="str">
        <f>IF(ROW(A23)&lt;=profilKelas!$F$14,ROW(A23),"")</f>
        <v/>
      </c>
      <c r="C35" s="94" t="str">
        <f>IF(ISBLANK(identitasMurid!C28),"",identitasMurid!C28)</f>
        <v/>
      </c>
      <c r="D35" s="6" t="str">
        <f>IF(ISBLANK(identitasMurid!D28),"",identitasMurid!D28)</f>
        <v/>
      </c>
      <c r="E35" s="95"/>
      <c r="F35" s="95"/>
      <c r="G35" s="95"/>
      <c r="H35" s="95"/>
      <c r="I35" s="95"/>
      <c r="J35" s="95"/>
      <c r="K35" s="95"/>
      <c r="L35" s="95"/>
      <c r="M35" s="95"/>
      <c r="Q35" s="5" t="str">
        <f>IF(ROW(A23)&lt;=profilKelas!$F$14,ROW(A23),"")</f>
        <v/>
      </c>
      <c r="R35" s="12" t="str">
        <f t="shared" si="0"/>
        <v/>
      </c>
      <c r="S35" s="108" t="str">
        <f t="shared" si="4"/>
        <v/>
      </c>
      <c r="T35" s="108" t="str">
        <f t="shared" si="2"/>
        <v/>
      </c>
      <c r="U35" s="108" t="str">
        <f t="shared" si="6"/>
        <v/>
      </c>
      <c r="V35" s="108" t="str">
        <f t="shared" si="6"/>
        <v/>
      </c>
      <c r="W35" s="108" t="str">
        <f t="shared" si="6"/>
        <v/>
      </c>
      <c r="X35" s="108" t="str">
        <f t="shared" si="6"/>
        <v/>
      </c>
      <c r="Y35" s="108" t="str">
        <f t="shared" si="6"/>
        <v/>
      </c>
      <c r="Z35" s="108" t="str">
        <f t="shared" si="6"/>
        <v/>
      </c>
      <c r="AA35" s="108" t="str">
        <f t="shared" si="6"/>
        <v/>
      </c>
      <c r="AB35" s="108" t="str" cm="1">
        <f t="array" ref="AB35">IF(LEN($B35)=0,"",IF(LEN(C35)=0,"Nama Siswa Kosong",IF($E35="","Status Siswa Kosong",IF(S35&lt;&gt;"Aktif","Siswa Tidak Aktif",
IF(OR(U35:AA35="Belum mengisi"),"Belum mengisi",IF(AND(U35:AA35="Sudah terbiasa"),"Sudah terbiasa","Belum terbiasa"))))))</f>
        <v/>
      </c>
      <c r="AD35" s="41">
        <v>3</v>
      </c>
      <c r="AE35" s="161" t="s">
        <v>4</v>
      </c>
      <c r="AF35" s="161"/>
      <c r="AG35" s="51">
        <f>COUNTIFS(JulBerolahraga,SudahTerbiasa,JulPL,Perempuan)</f>
        <v>0</v>
      </c>
      <c r="AH35" s="52" t="str">
        <f>IFERROR(IF($AF$18=0,"",COUNTIFS(JulBerolahraga,SudahTerbiasa,JulPL,Perempuan)/COUNTIFS(JulPL,Perempuan)),)</f>
        <v/>
      </c>
      <c r="AI35" s="53">
        <f>COUNTIFS(JulBerolahraga,BelumTerbiasa,JulPL,Perempuan)</f>
        <v>0</v>
      </c>
      <c r="AJ35" s="59" t="str">
        <f>IFERROR(IF($AF$18=0,"",COUNTIFS(JulBerolahraga,BelumTerbiasa,JulPL,Perempuan)/COUNTIFS(JulPL,Perempuan)),)</f>
        <v/>
      </c>
      <c r="AK35" s="55">
        <f>COUNTIFS(JulBerolahraga,SudahTerbiasa,JulPL,Laki_Laki)</f>
        <v>0</v>
      </c>
      <c r="AL35" s="56" t="str">
        <f>IFERROR(IF($AF$18=0,"",COUNTIFS(JulBerolahraga,SudahTerbiasa,JulPL,Laki_Laki)/COUNTIFS(JulPL,Laki_Laki)),)</f>
        <v/>
      </c>
      <c r="AM35" s="57">
        <f>COUNTIFS(JulBerolahraga,BelumTerbiasa,JulPL,Laki_Laki)</f>
        <v>0</v>
      </c>
      <c r="AN35" s="58" t="str">
        <f>IFERROR(IF($AF$18=0,"",COUNTIFS(JulBerolahraga,BelumTerbiasa,JulPL,Laki_Laki)/COUNTIFS(JulPL,Laki_Laki)),)</f>
        <v/>
      </c>
      <c r="AO35" s="13"/>
      <c r="AP35" s="13"/>
      <c r="AQ35" s="13"/>
    </row>
    <row r="36" spans="2:43" hidden="1" x14ac:dyDescent="0.3">
      <c r="B36" s="4" t="str">
        <f>IF(ROW(A24)&lt;=profilKelas!$F$14,ROW(A24),"")</f>
        <v/>
      </c>
      <c r="C36" s="94" t="str">
        <f>IF(ISBLANK(identitasMurid!C29),"",identitasMurid!C29)</f>
        <v/>
      </c>
      <c r="D36" s="6" t="str">
        <f>IF(ISBLANK(identitasMurid!D29),"",identitasMurid!D29)</f>
        <v/>
      </c>
      <c r="E36" s="95"/>
      <c r="F36" s="95"/>
      <c r="G36" s="95"/>
      <c r="H36" s="95"/>
      <c r="I36" s="95"/>
      <c r="J36" s="95"/>
      <c r="K36" s="95"/>
      <c r="L36" s="95"/>
      <c r="M36" s="95"/>
      <c r="Q36" s="5" t="str">
        <f>IF(ROW(A24)&lt;=profilKelas!$F$14,ROW(A24),"")</f>
        <v/>
      </c>
      <c r="R36" s="12" t="str">
        <f t="shared" si="0"/>
        <v/>
      </c>
      <c r="S36" s="108" t="str">
        <f t="shared" si="4"/>
        <v/>
      </c>
      <c r="T36" s="108" t="str">
        <f t="shared" si="2"/>
        <v/>
      </c>
      <c r="U36" s="108" t="str">
        <f t="shared" si="6"/>
        <v/>
      </c>
      <c r="V36" s="108" t="str">
        <f t="shared" si="6"/>
        <v/>
      </c>
      <c r="W36" s="108" t="str">
        <f t="shared" si="6"/>
        <v/>
      </c>
      <c r="X36" s="108" t="str">
        <f t="shared" si="6"/>
        <v/>
      </c>
      <c r="Y36" s="108" t="str">
        <f t="shared" si="6"/>
        <v/>
      </c>
      <c r="Z36" s="108" t="str">
        <f t="shared" si="6"/>
        <v/>
      </c>
      <c r="AA36" s="108" t="str">
        <f t="shared" si="6"/>
        <v/>
      </c>
      <c r="AB36" s="108" t="str" cm="1">
        <f t="array" ref="AB36">IF(LEN($B36)=0,"",IF(LEN(C36)=0,"Nama Siswa Kosong",IF($E36="","Status Siswa Kosong",IF(S36&lt;&gt;"Aktif","Siswa Tidak Aktif",
IF(OR(U36:AA36="Belum mengisi"),"Belum mengisi",IF(AND(U36:AA36="Sudah terbiasa"),"Sudah terbiasa","Belum terbiasa"))))))</f>
        <v/>
      </c>
      <c r="AD36" s="41">
        <v>4</v>
      </c>
      <c r="AE36" s="161" t="s">
        <v>5</v>
      </c>
      <c r="AF36" s="161"/>
      <c r="AG36" s="51">
        <f>COUNTIFS(JulMakanSehatBergizi,SudahTerbiasa,JulPL,Perempuan)</f>
        <v>0</v>
      </c>
      <c r="AH36" s="52" t="str">
        <f>IFERROR(IF($AF$18=0,"",COUNTIFS(JulMakanSehatBergizi,SudahTerbiasa,JulPL,Perempuan)/COUNTIFS(JulPL,Perempuan)),)</f>
        <v/>
      </c>
      <c r="AI36" s="53">
        <f>COUNTIFS(JulMakanSehatBergizi,BelumTerbiasa,JulPL,Perempuan)</f>
        <v>0</v>
      </c>
      <c r="AJ36" s="59" t="str">
        <f>IFERROR(IF($AF$18=0,"",COUNTIFS(JulMakanSehatBergizi,BelumTerbiasa,JulPL,Perempuan)/COUNTIFS(JulPL,Perempuan)),)</f>
        <v/>
      </c>
      <c r="AK36" s="55">
        <f>COUNTIFS(JulMakanSehatBergizi,SudahTerbiasa,JulPL,Laki_Laki)</f>
        <v>0</v>
      </c>
      <c r="AL36" s="56" t="str">
        <f>IFERROR(IF($AF$18=0,"",COUNTIFS(JulMakanSehatBergizi,SudahTerbiasa,JulPL,Laki_Laki)/COUNTIFS(JulPL,Laki_Laki)),)</f>
        <v/>
      </c>
      <c r="AM36" s="57">
        <f>COUNTIFS(JulMakanSehatBergizi,BelumTerbiasa,JulPL,Laki_Laki)</f>
        <v>0</v>
      </c>
      <c r="AN36" s="58" t="str">
        <f>IFERROR(IF($AF$18=0,"",COUNTIFS(JulMakanSehatBergizi,BelumTerbiasa,JulPL,Laki_Laki)/COUNTIFS(JulPL,Laki_Laki)),)</f>
        <v/>
      </c>
      <c r="AO36" s="13"/>
      <c r="AP36" s="13"/>
      <c r="AQ36" s="13"/>
    </row>
    <row r="37" spans="2:43" hidden="1" x14ac:dyDescent="0.3">
      <c r="B37" s="4" t="str">
        <f>IF(ROW(A25)&lt;=profilKelas!$F$14,ROW(A25),"")</f>
        <v/>
      </c>
      <c r="C37" s="94" t="str">
        <f>IF(ISBLANK(identitasMurid!C30),"",identitasMurid!C30)</f>
        <v/>
      </c>
      <c r="D37" s="6" t="str">
        <f>IF(ISBLANK(identitasMurid!D30),"",identitasMurid!D30)</f>
        <v/>
      </c>
      <c r="E37" s="95"/>
      <c r="F37" s="95"/>
      <c r="G37" s="95"/>
      <c r="H37" s="95"/>
      <c r="I37" s="95"/>
      <c r="J37" s="95"/>
      <c r="K37" s="95"/>
      <c r="L37" s="95"/>
      <c r="M37" s="95"/>
      <c r="Q37" s="5" t="str">
        <f>IF(ROW(A25)&lt;=profilKelas!$F$14,ROW(A25),"")</f>
        <v/>
      </c>
      <c r="R37" s="12" t="str">
        <f t="shared" si="0"/>
        <v/>
      </c>
      <c r="S37" s="108" t="str">
        <f t="shared" si="4"/>
        <v/>
      </c>
      <c r="T37" s="108" t="str">
        <f t="shared" si="2"/>
        <v/>
      </c>
      <c r="U37" s="108" t="str">
        <f t="shared" si="6"/>
        <v/>
      </c>
      <c r="V37" s="108" t="str">
        <f t="shared" si="6"/>
        <v/>
      </c>
      <c r="W37" s="108" t="str">
        <f t="shared" si="6"/>
        <v/>
      </c>
      <c r="X37" s="108" t="str">
        <f t="shared" si="6"/>
        <v/>
      </c>
      <c r="Y37" s="108" t="str">
        <f t="shared" si="6"/>
        <v/>
      </c>
      <c r="Z37" s="108" t="str">
        <f t="shared" si="6"/>
        <v/>
      </c>
      <c r="AA37" s="108" t="str">
        <f t="shared" si="6"/>
        <v/>
      </c>
      <c r="AB37" s="108" t="str" cm="1">
        <f t="array" ref="AB37">IF(LEN($B37)=0,"",IF(LEN(C37)=0,"Nama Siswa Kosong",IF($E37="","Status Siswa Kosong",IF(S37&lt;&gt;"Aktif","Siswa Tidak Aktif",
IF(OR(U37:AA37="Belum mengisi"),"Belum mengisi",IF(AND(U37:AA37="Sudah terbiasa"),"Sudah terbiasa","Belum terbiasa"))))))</f>
        <v/>
      </c>
      <c r="AD37" s="41">
        <v>5</v>
      </c>
      <c r="AE37" s="161" t="s">
        <v>6</v>
      </c>
      <c r="AF37" s="161"/>
      <c r="AG37" s="51">
        <f>COUNTIFS(JulGemarBelajar,SudahTerbiasa,JulPL,Perempuan)</f>
        <v>0</v>
      </c>
      <c r="AH37" s="52" t="str">
        <f>IFERROR(IF($AF$18=0,"",COUNTIFS(JulGemarBelajar,SudahTerbiasa,JulPL,Perempuan)/COUNTIFS(JulPL,Perempuan)),)</f>
        <v/>
      </c>
      <c r="AI37" s="53">
        <f>COUNTIFS(JulGemarBelajar,BelumTerbiasa,JulPL,Perempuan)</f>
        <v>0</v>
      </c>
      <c r="AJ37" s="59" t="str">
        <f>IFERROR(IF($AF$18=0,"",COUNTIFS(JulGemarBelajar,BelumTerbiasa,JulPL,Perempuan)/COUNTIFS(JulPL,Perempuan)),)</f>
        <v/>
      </c>
      <c r="AK37" s="55">
        <f>COUNTIFS(JulGemarBelajar,SudahTerbiasa,JulPL,Laki_Laki)</f>
        <v>0</v>
      </c>
      <c r="AL37" s="56" t="str">
        <f>IFERROR(IF($AF$18=0,"",COUNTIFS(JulGemarBelajar,SudahTerbiasa,JulPL,Laki_Laki)/COUNTIFS(JulPL,Laki_Laki)),)</f>
        <v/>
      </c>
      <c r="AM37" s="57">
        <f>COUNTIFS(JulGemarBelajar,BelumTerbiasa,JulPL,Laki_Laki)</f>
        <v>0</v>
      </c>
      <c r="AN37" s="58" t="str">
        <f>IFERROR(IF($AF$18=0,"",COUNTIFS(JulGemarBelajar,BelumTerbiasa,JulPL,Laki_Laki)/COUNTIFS(JulPL,Laki_Laki)),)</f>
        <v/>
      </c>
      <c r="AO37" s="13"/>
      <c r="AP37" s="13"/>
      <c r="AQ37" s="13"/>
    </row>
    <row r="38" spans="2:43" hidden="1" x14ac:dyDescent="0.3">
      <c r="B38" s="4" t="str">
        <f>IF(ROW(A26)&lt;=profilKelas!$F$14,ROW(A26),"")</f>
        <v/>
      </c>
      <c r="C38" s="94" t="str">
        <f>IF(ISBLANK(identitasMurid!C31),"",identitasMurid!C31)</f>
        <v/>
      </c>
      <c r="D38" s="6" t="str">
        <f>IF(ISBLANK(identitasMurid!D31),"",identitasMurid!D31)</f>
        <v/>
      </c>
      <c r="E38" s="95"/>
      <c r="F38" s="95"/>
      <c r="G38" s="95"/>
      <c r="H38" s="95"/>
      <c r="I38" s="95"/>
      <c r="J38" s="95"/>
      <c r="K38" s="95"/>
      <c r="L38" s="95"/>
      <c r="M38" s="95"/>
      <c r="Q38" s="5" t="str">
        <f>IF(ROW(A26)&lt;=profilKelas!$F$14,ROW(A26),"")</f>
        <v/>
      </c>
      <c r="R38" s="12" t="str">
        <f t="shared" si="0"/>
        <v/>
      </c>
      <c r="S38" s="108" t="str">
        <f t="shared" si="4"/>
        <v/>
      </c>
      <c r="T38" s="108" t="str">
        <f t="shared" si="2"/>
        <v/>
      </c>
      <c r="U38" s="108" t="str">
        <f t="shared" si="6"/>
        <v/>
      </c>
      <c r="V38" s="108" t="str">
        <f t="shared" si="6"/>
        <v/>
      </c>
      <c r="W38" s="108" t="str">
        <f t="shared" si="6"/>
        <v/>
      </c>
      <c r="X38" s="108" t="str">
        <f t="shared" si="6"/>
        <v/>
      </c>
      <c r="Y38" s="108" t="str">
        <f t="shared" si="6"/>
        <v/>
      </c>
      <c r="Z38" s="108" t="str">
        <f t="shared" si="6"/>
        <v/>
      </c>
      <c r="AA38" s="108" t="str">
        <f t="shared" si="6"/>
        <v/>
      </c>
      <c r="AB38" s="108" t="str" cm="1">
        <f t="array" ref="AB38">IF(LEN($B38)=0,"",IF(LEN(C38)=0,"Nama Siswa Kosong",IF($E38="","Status Siswa Kosong",IF(S38&lt;&gt;"Aktif","Siswa Tidak Aktif",
IF(OR(U38:AA38="Belum mengisi"),"Belum mengisi",IF(AND(U38:AA38="Sudah terbiasa"),"Sudah terbiasa","Belum terbiasa"))))))</f>
        <v/>
      </c>
      <c r="AD38" s="41">
        <v>6</v>
      </c>
      <c r="AE38" s="161" t="s">
        <v>7</v>
      </c>
      <c r="AF38" s="161"/>
      <c r="AG38" s="51">
        <f>COUNTIFS(JulAktifBermasyarakat,SudahTerbiasa,JulPL,Perempuan)</f>
        <v>0</v>
      </c>
      <c r="AH38" s="52" t="str">
        <f>IFERROR(IF($AF$18=0,"",COUNTIFS(JulAktifBermasyarakat,SudahTerbiasa,JulPL,Perempuan)/COUNTIFS(JulPL,Perempuan)),)</f>
        <v/>
      </c>
      <c r="AI38" s="53">
        <f>COUNTIFS(JulAktifBermasyarakat,BelumTerbiasa,JulPL,Perempuan)</f>
        <v>0</v>
      </c>
      <c r="AJ38" s="59" t="str">
        <f>IFERROR(IF($AF$18=0,"",COUNTIFS(JulAktifBermasyarakat,BelumTerbiasa,JulPL,Perempuan)/COUNTIFS(JulPL,Perempuan)),)</f>
        <v/>
      </c>
      <c r="AK38" s="55">
        <f>COUNTIFS(JulAktifBermasyarakat,SudahTerbiasa,JulPL,Laki_Laki)</f>
        <v>0</v>
      </c>
      <c r="AL38" s="56" t="str">
        <f>IFERROR(IF($AF$18=0,"",COUNTIFS(JulAktifBermasyarakat,SudahTerbiasa,JulPL,Laki_Laki)/COUNTIFS(JulPL,Laki_Laki)),)</f>
        <v/>
      </c>
      <c r="AM38" s="57">
        <f>COUNTIFS(JulAktifBermasyarakat,BelumTerbiasa,JulPL,Laki_Laki)</f>
        <v>0</v>
      </c>
      <c r="AN38" s="58" t="str">
        <f>IFERROR(IF($AF$18=0,"",COUNTIFS(JulAktifBermasyarakat,BelumTerbiasa,JulPL,Laki_Laki)/COUNTIFS(JulPL,Laki_Laki)),)</f>
        <v/>
      </c>
      <c r="AO38" s="13"/>
      <c r="AP38" s="13"/>
      <c r="AQ38" s="13"/>
    </row>
    <row r="39" spans="2:43" hidden="1" x14ac:dyDescent="0.3">
      <c r="B39" s="4" t="str">
        <f>IF(ROW(A27)&lt;=profilKelas!$F$14,ROW(A27),"")</f>
        <v/>
      </c>
      <c r="C39" s="94" t="str">
        <f>IF(ISBLANK(identitasMurid!C32),"",identitasMurid!C32)</f>
        <v/>
      </c>
      <c r="D39" s="6" t="str">
        <f>IF(ISBLANK(identitasMurid!D32),"",identitasMurid!D32)</f>
        <v/>
      </c>
      <c r="E39" s="95"/>
      <c r="F39" s="95"/>
      <c r="G39" s="95"/>
      <c r="H39" s="95"/>
      <c r="I39" s="95"/>
      <c r="J39" s="95"/>
      <c r="K39" s="95"/>
      <c r="L39" s="95"/>
      <c r="M39" s="95"/>
      <c r="Q39" s="5" t="str">
        <f>IF(ROW(A27)&lt;=profilKelas!$F$14,ROW(A27),"")</f>
        <v/>
      </c>
      <c r="R39" s="12" t="str">
        <f t="shared" si="0"/>
        <v/>
      </c>
      <c r="S39" s="108" t="str">
        <f t="shared" si="4"/>
        <v/>
      </c>
      <c r="T39" s="108" t="str">
        <f t="shared" si="2"/>
        <v/>
      </c>
      <c r="U39" s="108" t="str">
        <f t="shared" si="6"/>
        <v/>
      </c>
      <c r="V39" s="108" t="str">
        <f t="shared" si="6"/>
        <v/>
      </c>
      <c r="W39" s="108" t="str">
        <f t="shared" si="6"/>
        <v/>
      </c>
      <c r="X39" s="108" t="str">
        <f t="shared" si="6"/>
        <v/>
      </c>
      <c r="Y39" s="108" t="str">
        <f t="shared" si="6"/>
        <v/>
      </c>
      <c r="Z39" s="108" t="str">
        <f t="shared" si="6"/>
        <v/>
      </c>
      <c r="AA39" s="108" t="str">
        <f t="shared" si="6"/>
        <v/>
      </c>
      <c r="AB39" s="108" t="str" cm="1">
        <f t="array" ref="AB39">IF(LEN($B39)=0,"",IF(LEN(C39)=0,"Nama Siswa Kosong",IF($E39="","Status Siswa Kosong",IF(S39&lt;&gt;"Aktif","Siswa Tidak Aktif",
IF(OR(U39:AA39="Belum mengisi"),"Belum mengisi",IF(AND(U39:AA39="Sudah terbiasa"),"Sudah terbiasa","Belum terbiasa"))))))</f>
        <v/>
      </c>
      <c r="AD39" s="41">
        <v>7</v>
      </c>
      <c r="AE39" s="161" t="s">
        <v>8</v>
      </c>
      <c r="AF39" s="161"/>
      <c r="AG39" s="51">
        <f>COUNTIFS(JulTidurCepat,SudahTerbiasa,JulPL,Perempuan)</f>
        <v>0</v>
      </c>
      <c r="AH39" s="52" t="str">
        <f>IFERROR(IF($AF$18=0,"",COUNTIFS(JulTidurCepat,SudahTerbiasa,JulPL,Perempuan)/COUNTIFS(JulPL,Perempuan)),)</f>
        <v/>
      </c>
      <c r="AI39" s="53">
        <f>COUNTIFS(JulTidurCepat,BelumTerbiasa,JulPL,Perempuan)</f>
        <v>0</v>
      </c>
      <c r="AJ39" s="59" t="str">
        <f>IFERROR(IF($AF$18=0,"",COUNTIFS(JulTidurCepat,BelumTerbiasa,JulPL,Perempuan)/COUNTIFS(JulPL,Perempuan)),)</f>
        <v/>
      </c>
      <c r="AK39" s="55">
        <f>COUNTIFS(JulTidurCepat,SudahTerbiasa,JulPL,Laki_Laki)</f>
        <v>0</v>
      </c>
      <c r="AL39" s="56" t="str">
        <f>IFERROR(IF($AF$18=0,"",COUNTIFS(JulTidurCepat,SudahTerbiasa,JulPL,Laki_Laki)/COUNTIFS(JulPL,Laki_Laki)),)</f>
        <v/>
      </c>
      <c r="AM39" s="57">
        <f>COUNTIFS(JulTidurCepat,BelumTerbiasa,JulPL,Laki_Laki)</f>
        <v>0</v>
      </c>
      <c r="AN39" s="58" t="str">
        <f>IFERROR(IF($AF$18=0,"",COUNTIFS(JulTidurCepat,BelumTerbiasa,JulPL,Laki_Laki)/COUNTIFS(JulPL,Laki_Laki)),)</f>
        <v/>
      </c>
      <c r="AO39" s="13"/>
      <c r="AP39" s="13"/>
      <c r="AQ39" s="13"/>
    </row>
    <row r="40" spans="2:43" hidden="1" x14ac:dyDescent="0.3">
      <c r="B40" s="4" t="str">
        <f>IF(ROW(A28)&lt;=profilKelas!$F$14,ROW(A28),"")</f>
        <v/>
      </c>
      <c r="C40" s="94" t="str">
        <f>IF(ISBLANK(identitasMurid!C33),"",identitasMurid!C33)</f>
        <v/>
      </c>
      <c r="D40" s="6" t="str">
        <f>IF(ISBLANK(identitasMurid!D33),"",identitasMurid!D33)</f>
        <v/>
      </c>
      <c r="E40" s="95"/>
      <c r="F40" s="95"/>
      <c r="G40" s="95"/>
      <c r="H40" s="95"/>
      <c r="I40" s="95"/>
      <c r="J40" s="95"/>
      <c r="K40" s="95"/>
      <c r="L40" s="95"/>
      <c r="M40" s="95"/>
      <c r="Q40" s="5" t="str">
        <f>IF(ROW(A28)&lt;=profilKelas!$F$14,ROW(A28),"")</f>
        <v/>
      </c>
      <c r="R40" s="12" t="str">
        <f t="shared" si="0"/>
        <v/>
      </c>
      <c r="S40" s="108" t="str">
        <f t="shared" si="4"/>
        <v/>
      </c>
      <c r="T40" s="108" t="str">
        <f t="shared" si="2"/>
        <v/>
      </c>
      <c r="U40" s="108" t="str">
        <f t="shared" si="6"/>
        <v/>
      </c>
      <c r="V40" s="108" t="str">
        <f t="shared" si="6"/>
        <v/>
      </c>
      <c r="W40" s="108" t="str">
        <f t="shared" si="6"/>
        <v/>
      </c>
      <c r="X40" s="108" t="str">
        <f t="shared" si="6"/>
        <v/>
      </c>
      <c r="Y40" s="108" t="str">
        <f t="shared" si="6"/>
        <v/>
      </c>
      <c r="Z40" s="108" t="str">
        <f t="shared" si="6"/>
        <v/>
      </c>
      <c r="AA40" s="108" t="str">
        <f t="shared" si="6"/>
        <v/>
      </c>
      <c r="AB40" s="108" t="str" cm="1">
        <f t="array" ref="AB40">IF(LEN($B40)=0,"",IF(LEN(C40)=0,"Nama Siswa Kosong",IF($E40="","Status Siswa Kosong",IF(S40&lt;&gt;"Aktif","Siswa Tidak Aktif",
IF(OR(U40:AA40="Belum mengisi"),"Belum mengisi",IF(AND(U40:AA40="Sudah terbiasa"),"Sudah terbiasa","Belum terbiasa"))))))</f>
        <v/>
      </c>
    </row>
    <row r="41" spans="2:43" hidden="1" x14ac:dyDescent="0.3">
      <c r="B41" s="4" t="str">
        <f>IF(ROW(A29)&lt;=profilKelas!$F$14,ROW(A29),"")</f>
        <v/>
      </c>
      <c r="C41" s="94" t="str">
        <f>IF(ISBLANK(identitasMurid!C34),"",identitasMurid!C34)</f>
        <v/>
      </c>
      <c r="D41" s="6" t="str">
        <f>IF(ISBLANK(identitasMurid!D34),"",identitasMurid!D34)</f>
        <v/>
      </c>
      <c r="E41" s="95"/>
      <c r="F41" s="95"/>
      <c r="G41" s="95"/>
      <c r="H41" s="95"/>
      <c r="I41" s="95"/>
      <c r="J41" s="95"/>
      <c r="K41" s="95"/>
      <c r="L41" s="95"/>
      <c r="M41" s="95"/>
      <c r="Q41" s="5" t="str">
        <f>IF(ROW(A29)&lt;=profilKelas!$F$14,ROW(A29),"")</f>
        <v/>
      </c>
      <c r="R41" s="12" t="str">
        <f t="shared" si="0"/>
        <v/>
      </c>
      <c r="S41" s="108" t="str">
        <f t="shared" si="4"/>
        <v/>
      </c>
      <c r="T41" s="108" t="str">
        <f t="shared" si="2"/>
        <v/>
      </c>
      <c r="U41" s="108" t="str">
        <f t="shared" si="6"/>
        <v/>
      </c>
      <c r="V41" s="108" t="str">
        <f t="shared" si="6"/>
        <v/>
      </c>
      <c r="W41" s="108" t="str">
        <f t="shared" si="6"/>
        <v/>
      </c>
      <c r="X41" s="108" t="str">
        <f t="shared" si="6"/>
        <v/>
      </c>
      <c r="Y41" s="108" t="str">
        <f t="shared" si="6"/>
        <v/>
      </c>
      <c r="Z41" s="108" t="str">
        <f t="shared" si="6"/>
        <v/>
      </c>
      <c r="AA41" s="108" t="str">
        <f t="shared" si="6"/>
        <v/>
      </c>
      <c r="AB41" s="108" t="str" cm="1">
        <f t="array" ref="AB41">IF(LEN($B41)=0,"",IF(LEN(C41)=0,"Nama Siswa Kosong",IF($E41="","Status Siswa Kosong",IF(S41&lt;&gt;"Aktif","Siswa Tidak Aktif",
IF(OR(U41:AA41="Belum mengisi"),"Belum mengisi",IF(AND(U41:AA41="Sudah terbiasa"),"Sudah terbiasa","Belum terbiasa"))))))</f>
        <v/>
      </c>
    </row>
    <row r="42" spans="2:43" hidden="1" x14ac:dyDescent="0.3">
      <c r="B42" s="4" t="str">
        <f>IF(ROW(A30)&lt;=profilKelas!$F$14,ROW(A30),"")</f>
        <v/>
      </c>
      <c r="C42" s="94" t="str">
        <f>IF(ISBLANK(identitasMurid!C35),"",identitasMurid!C35)</f>
        <v/>
      </c>
      <c r="D42" s="6" t="str">
        <f>IF(ISBLANK(identitasMurid!D35),"",identitasMurid!D35)</f>
        <v/>
      </c>
      <c r="E42" s="95"/>
      <c r="F42" s="95"/>
      <c r="G42" s="95"/>
      <c r="H42" s="95"/>
      <c r="I42" s="95"/>
      <c r="J42" s="95"/>
      <c r="K42" s="95"/>
      <c r="L42" s="95"/>
      <c r="M42" s="95"/>
      <c r="Q42" s="5" t="str">
        <f>IF(ROW(A30)&lt;=profilKelas!$F$14,ROW(A30),"")</f>
        <v/>
      </c>
      <c r="R42" s="12" t="str">
        <f t="shared" si="0"/>
        <v/>
      </c>
      <c r="S42" s="108" t="str">
        <f t="shared" si="4"/>
        <v/>
      </c>
      <c r="T42" s="108" t="str">
        <f t="shared" si="2"/>
        <v/>
      </c>
      <c r="U42" s="108" t="str">
        <f t="shared" si="6"/>
        <v/>
      </c>
      <c r="V42" s="108" t="str">
        <f t="shared" si="6"/>
        <v/>
      </c>
      <c r="W42" s="108" t="str">
        <f t="shared" si="6"/>
        <v/>
      </c>
      <c r="X42" s="108" t="str">
        <f t="shared" si="6"/>
        <v/>
      </c>
      <c r="Y42" s="108" t="str">
        <f t="shared" si="6"/>
        <v/>
      </c>
      <c r="Z42" s="108" t="str">
        <f t="shared" si="6"/>
        <v/>
      </c>
      <c r="AA42" s="108" t="str">
        <f t="shared" si="6"/>
        <v/>
      </c>
      <c r="AB42" s="108" t="str" cm="1">
        <f t="array" ref="AB42">IF(LEN($B42)=0,"",IF(LEN(C42)=0,"Nama Siswa Kosong",IF($E42="","Status Siswa Kosong",IF(S42&lt;&gt;"Aktif","Siswa Tidak Aktif",
IF(OR(U42:AA42="Belum mengisi"),"Belum mengisi",IF(AND(U42:AA42="Sudah terbiasa"),"Sudah terbiasa","Belum terbiasa"))))))</f>
        <v/>
      </c>
    </row>
    <row r="43" spans="2:43" hidden="1" x14ac:dyDescent="0.3">
      <c r="B43" s="4" t="str">
        <f>IF(ROW(A31)&lt;=profilKelas!$F$14,ROW(A31),"")</f>
        <v/>
      </c>
      <c r="C43" s="94" t="str">
        <f>IF(ISBLANK(identitasMurid!C36),"",identitasMurid!C36)</f>
        <v/>
      </c>
      <c r="D43" s="6" t="str">
        <f>IF(ISBLANK(identitasMurid!D36),"",identitasMurid!D36)</f>
        <v/>
      </c>
      <c r="E43" s="95"/>
      <c r="F43" s="95"/>
      <c r="G43" s="95"/>
      <c r="H43" s="95"/>
      <c r="I43" s="95"/>
      <c r="J43" s="95"/>
      <c r="K43" s="95"/>
      <c r="L43" s="95"/>
      <c r="M43" s="95"/>
      <c r="Q43" s="5" t="str">
        <f>IF(ROW(A31)&lt;=profilKelas!$F$14,ROW(A31),"")</f>
        <v/>
      </c>
      <c r="R43" s="12" t="str">
        <f t="shared" si="0"/>
        <v/>
      </c>
      <c r="S43" s="108" t="str">
        <f t="shared" si="4"/>
        <v/>
      </c>
      <c r="T43" s="108" t="str">
        <f t="shared" si="2"/>
        <v/>
      </c>
      <c r="U43" s="108" t="str">
        <f t="shared" si="6"/>
        <v/>
      </c>
      <c r="V43" s="108" t="str">
        <f t="shared" si="6"/>
        <v/>
      </c>
      <c r="W43" s="108" t="str">
        <f t="shared" si="6"/>
        <v/>
      </c>
      <c r="X43" s="108" t="str">
        <f t="shared" si="6"/>
        <v/>
      </c>
      <c r="Y43" s="108" t="str">
        <f t="shared" si="6"/>
        <v/>
      </c>
      <c r="Z43" s="108" t="str">
        <f t="shared" si="6"/>
        <v/>
      </c>
      <c r="AA43" s="108" t="str">
        <f t="shared" si="6"/>
        <v/>
      </c>
      <c r="AB43" s="108" t="str" cm="1">
        <f t="array" ref="AB43">IF(LEN($B43)=0,"",IF(LEN(C43)=0,"Nama Siswa Kosong",IF($E43="","Status Siswa Kosong",IF(S43&lt;&gt;"Aktif","Siswa Tidak Aktif",
IF(OR(U43:AA43="Belum mengisi"),"Belum mengisi",IF(AND(U43:AA43="Sudah terbiasa"),"Sudah terbiasa","Belum terbiasa"))))))</f>
        <v/>
      </c>
    </row>
    <row r="44" spans="2:43" hidden="1" x14ac:dyDescent="0.3">
      <c r="B44" s="4" t="str">
        <f>IF(ROW(A32)&lt;=profilKelas!$F$14,ROW(A32),"")</f>
        <v/>
      </c>
      <c r="C44" s="94" t="str">
        <f>IF(ISBLANK(identitasMurid!C37),"",identitasMurid!C37)</f>
        <v/>
      </c>
      <c r="D44" s="6" t="str">
        <f>IF(ISBLANK(identitasMurid!D37),"",identitasMurid!D37)</f>
        <v/>
      </c>
      <c r="E44" s="95"/>
      <c r="F44" s="95"/>
      <c r="G44" s="95"/>
      <c r="H44" s="95"/>
      <c r="I44" s="95"/>
      <c r="J44" s="95"/>
      <c r="K44" s="95"/>
      <c r="L44" s="95"/>
      <c r="M44" s="95"/>
      <c r="Q44" s="5" t="str">
        <f>IF(ROW(A32)&lt;=profilKelas!$F$14,ROW(A32),"")</f>
        <v/>
      </c>
      <c r="R44" s="12" t="str">
        <f t="shared" si="0"/>
        <v/>
      </c>
      <c r="S44" s="108" t="str">
        <f t="shared" si="4"/>
        <v/>
      </c>
      <c r="T44" s="108" t="str">
        <f t="shared" si="2"/>
        <v/>
      </c>
      <c r="U44" s="108" t="str">
        <f t="shared" si="6"/>
        <v/>
      </c>
      <c r="V44" s="108" t="str">
        <f t="shared" si="6"/>
        <v/>
      </c>
      <c r="W44" s="108" t="str">
        <f t="shared" si="6"/>
        <v/>
      </c>
      <c r="X44" s="108" t="str">
        <f t="shared" si="6"/>
        <v/>
      </c>
      <c r="Y44" s="108" t="str">
        <f t="shared" si="6"/>
        <v/>
      </c>
      <c r="Z44" s="108" t="str">
        <f t="shared" si="6"/>
        <v/>
      </c>
      <c r="AA44" s="108" t="str">
        <f t="shared" si="6"/>
        <v/>
      </c>
      <c r="AB44" s="108" t="str" cm="1">
        <f t="array" ref="AB44">IF(LEN($B44)=0,"",IF(LEN(C44)=0,"Nama Siswa Kosong",IF($E44="","Status Siswa Kosong",IF(S44&lt;&gt;"Aktif","Siswa Tidak Aktif",
IF(OR(U44:AA44="Belum mengisi"),"Belum mengisi",IF(AND(U44:AA44="Sudah terbiasa"),"Sudah terbiasa","Belum terbiasa"))))))</f>
        <v/>
      </c>
    </row>
    <row r="45" spans="2:43" hidden="1" x14ac:dyDescent="0.3">
      <c r="B45" s="4" t="str">
        <f>IF(ROW(A33)&lt;=profilKelas!$F$14,ROW(A33),"")</f>
        <v/>
      </c>
      <c r="C45" s="94" t="str">
        <f>IF(ISBLANK(identitasMurid!C38),"",identitasMurid!C38)</f>
        <v/>
      </c>
      <c r="D45" s="6" t="str">
        <f>IF(ISBLANK(identitasMurid!D38),"",identitasMurid!D38)</f>
        <v/>
      </c>
      <c r="E45" s="95"/>
      <c r="F45" s="95"/>
      <c r="G45" s="95"/>
      <c r="H45" s="95"/>
      <c r="I45" s="95"/>
      <c r="J45" s="95"/>
      <c r="K45" s="95"/>
      <c r="L45" s="95"/>
      <c r="M45" s="95"/>
      <c r="Q45" s="5" t="str">
        <f>IF(ROW(A33)&lt;=profilKelas!$F$14,ROW(A33),"")</f>
        <v/>
      </c>
      <c r="R45" s="12" t="str">
        <f t="shared" si="0"/>
        <v/>
      </c>
      <c r="S45" s="108" t="str">
        <f t="shared" si="4"/>
        <v/>
      </c>
      <c r="T45" s="108" t="str">
        <f t="shared" si="2"/>
        <v/>
      </c>
      <c r="U45" s="108" t="str">
        <f t="shared" si="6"/>
        <v/>
      </c>
      <c r="V45" s="108" t="str">
        <f t="shared" si="6"/>
        <v/>
      </c>
      <c r="W45" s="108" t="str">
        <f t="shared" si="6"/>
        <v/>
      </c>
      <c r="X45" s="108" t="str">
        <f t="shared" si="6"/>
        <v/>
      </c>
      <c r="Y45" s="108" t="str">
        <f t="shared" si="6"/>
        <v/>
      </c>
      <c r="Z45" s="108" t="str">
        <f t="shared" si="6"/>
        <v/>
      </c>
      <c r="AA45" s="108" t="str">
        <f t="shared" si="6"/>
        <v/>
      </c>
      <c r="AB45" s="108" t="str" cm="1">
        <f t="array" ref="AB45">IF(LEN($B45)=0,"",IF(LEN(C45)=0,"Nama Siswa Kosong",IF($E45="","Status Siswa Kosong",IF(S45&lt;&gt;"Aktif","Siswa Tidak Aktif",
IF(OR(U45:AA45="Belum mengisi"),"Belum mengisi",IF(AND(U45:AA45="Sudah terbiasa"),"Sudah terbiasa","Belum terbiasa"))))))</f>
        <v/>
      </c>
    </row>
    <row r="46" spans="2:43" hidden="1" x14ac:dyDescent="0.3">
      <c r="B46" s="4" t="str">
        <f>IF(ROW(A34)&lt;=profilKelas!$F$14,ROW(A34),"")</f>
        <v/>
      </c>
      <c r="C46" s="94" t="str">
        <f>IF(ISBLANK(identitasMurid!C39),"",identitasMurid!C39)</f>
        <v/>
      </c>
      <c r="D46" s="6" t="str">
        <f>IF(ISBLANK(identitasMurid!D39),"",identitasMurid!D39)</f>
        <v/>
      </c>
      <c r="E46" s="95"/>
      <c r="F46" s="95"/>
      <c r="G46" s="95"/>
      <c r="H46" s="95"/>
      <c r="I46" s="95"/>
      <c r="J46" s="95"/>
      <c r="K46" s="95"/>
      <c r="L46" s="95"/>
      <c r="M46" s="95"/>
      <c r="Q46" s="5" t="str">
        <f>IF(ROW(A34)&lt;=profilKelas!$F$14,ROW(A34),"")</f>
        <v/>
      </c>
      <c r="R46" s="12" t="str">
        <f t="shared" si="0"/>
        <v/>
      </c>
      <c r="S46" s="108" t="str">
        <f t="shared" si="4"/>
        <v/>
      </c>
      <c r="T46" s="108" t="str">
        <f t="shared" si="2"/>
        <v/>
      </c>
      <c r="U46" s="108" t="str">
        <f t="shared" si="6"/>
        <v/>
      </c>
      <c r="V46" s="108" t="str">
        <f t="shared" si="6"/>
        <v/>
      </c>
      <c r="W46" s="108" t="str">
        <f t="shared" si="6"/>
        <v/>
      </c>
      <c r="X46" s="108" t="str">
        <f t="shared" si="6"/>
        <v/>
      </c>
      <c r="Y46" s="108" t="str">
        <f t="shared" si="6"/>
        <v/>
      </c>
      <c r="Z46" s="108" t="str">
        <f t="shared" si="6"/>
        <v/>
      </c>
      <c r="AA46" s="108" t="str">
        <f t="shared" si="6"/>
        <v/>
      </c>
      <c r="AB46" s="108" t="str" cm="1">
        <f t="array" ref="AB46">IF(LEN($B46)=0,"",IF(LEN(C46)=0,"Nama Siswa Kosong",IF($E46="","Status Siswa Kosong",IF(S46&lt;&gt;"Aktif","Siswa Tidak Aktif",
IF(OR(U46:AA46="Belum mengisi"),"Belum mengisi",IF(AND(U46:AA46="Sudah terbiasa"),"Sudah terbiasa","Belum terbiasa"))))))</f>
        <v/>
      </c>
    </row>
    <row r="47" spans="2:43" hidden="1" x14ac:dyDescent="0.3">
      <c r="B47" s="4" t="str">
        <f>IF(ROW(A35)&lt;=profilKelas!$F$14,ROW(A35),"")</f>
        <v/>
      </c>
      <c r="C47" s="94" t="str">
        <f>IF(ISBLANK(identitasMurid!C40),"",identitasMurid!C40)</f>
        <v/>
      </c>
      <c r="D47" s="6" t="str">
        <f>IF(ISBLANK(identitasMurid!D40),"",identitasMurid!D40)</f>
        <v/>
      </c>
      <c r="E47" s="95"/>
      <c r="F47" s="95"/>
      <c r="G47" s="95"/>
      <c r="H47" s="95"/>
      <c r="I47" s="95"/>
      <c r="J47" s="95"/>
      <c r="K47" s="95"/>
      <c r="L47" s="95"/>
      <c r="M47" s="95"/>
      <c r="Q47" s="5" t="str">
        <f>IF(ROW(A35)&lt;=profilKelas!$F$14,ROW(A35),"")</f>
        <v/>
      </c>
      <c r="R47" s="12" t="str">
        <f t="shared" si="0"/>
        <v/>
      </c>
      <c r="S47" s="108" t="str">
        <f t="shared" si="4"/>
        <v/>
      </c>
      <c r="T47" s="108" t="str">
        <f t="shared" si="2"/>
        <v/>
      </c>
      <c r="U47" s="108" t="str">
        <f t="shared" si="6"/>
        <v/>
      </c>
      <c r="V47" s="108" t="str">
        <f t="shared" si="6"/>
        <v/>
      </c>
      <c r="W47" s="108" t="str">
        <f t="shared" si="6"/>
        <v/>
      </c>
      <c r="X47" s="108" t="str">
        <f t="shared" si="6"/>
        <v/>
      </c>
      <c r="Y47" s="108" t="str">
        <f t="shared" si="6"/>
        <v/>
      </c>
      <c r="Z47" s="108" t="str">
        <f t="shared" si="6"/>
        <v/>
      </c>
      <c r="AA47" s="108" t="str">
        <f t="shared" si="6"/>
        <v/>
      </c>
      <c r="AB47" s="108" t="str" cm="1">
        <f t="array" ref="AB47">IF(LEN($B47)=0,"",IF(LEN(C47)=0,"Nama Siswa Kosong",IF($E47="","Status Siswa Kosong",IF(S47&lt;&gt;"Aktif","Siswa Tidak Aktif",
IF(OR(U47:AA47="Belum mengisi"),"Belum mengisi",IF(AND(U47:AA47="Sudah terbiasa"),"Sudah terbiasa","Belum terbiasa"))))))</f>
        <v/>
      </c>
    </row>
    <row r="48" spans="2:43" hidden="1" x14ac:dyDescent="0.3">
      <c r="B48" s="4" t="str">
        <f>IF(ROW(A36)&lt;=profilKelas!$F$14,ROW(A36),"")</f>
        <v/>
      </c>
      <c r="C48" s="94" t="str">
        <f>IF(ISBLANK(identitasMurid!C41),"",identitasMurid!C41)</f>
        <v/>
      </c>
      <c r="D48" s="6" t="str">
        <f>IF(ISBLANK(identitasMurid!D41),"",identitasMurid!D41)</f>
        <v/>
      </c>
      <c r="E48" s="95"/>
      <c r="F48" s="95"/>
      <c r="G48" s="95"/>
      <c r="H48" s="95"/>
      <c r="I48" s="95"/>
      <c r="J48" s="95"/>
      <c r="K48" s="95"/>
      <c r="L48" s="95"/>
      <c r="M48" s="30"/>
      <c r="Q48" s="5" t="str">
        <f>IF(ROW(A36)&lt;=profilKelas!$F$14,ROW(A36),"")</f>
        <v/>
      </c>
      <c r="R48" s="12" t="str">
        <f t="shared" si="0"/>
        <v/>
      </c>
      <c r="S48" s="108" t="str">
        <f t="shared" si="4"/>
        <v/>
      </c>
      <c r="T48" s="108" t="str">
        <f t="shared" si="2"/>
        <v/>
      </c>
      <c r="U48" s="108" t="str">
        <f t="shared" si="6"/>
        <v/>
      </c>
      <c r="V48" s="108" t="str">
        <f t="shared" si="6"/>
        <v/>
      </c>
      <c r="W48" s="108" t="str">
        <f t="shared" si="6"/>
        <v/>
      </c>
      <c r="X48" s="108" t="str">
        <f t="shared" si="6"/>
        <v/>
      </c>
      <c r="Y48" s="108" t="str">
        <f t="shared" si="6"/>
        <v/>
      </c>
      <c r="Z48" s="108" t="str">
        <f t="shared" si="6"/>
        <v/>
      </c>
      <c r="AA48" s="108" t="str">
        <f t="shared" si="6"/>
        <v/>
      </c>
      <c r="AB48" s="108" t="str" cm="1">
        <f t="array" ref="AB48">IF(LEN($B48)=0,"",IF(LEN(C48)=0,"Nama Siswa Kosong",IF($E48="","Status Siswa Kosong",IF(S48&lt;&gt;"Aktif","Siswa Tidak Aktif",
IF(OR(U48:AA48="Belum mengisi"),"Belum mengisi",IF(AND(U48:AA48="Sudah terbiasa"),"Sudah terbiasa","Belum terbiasa"))))))</f>
        <v/>
      </c>
    </row>
    <row r="49" spans="2:28" hidden="1" x14ac:dyDescent="0.3">
      <c r="B49" s="4" t="str">
        <f>IF(ROW(A37)&lt;=profilKelas!$F$14,ROW(A37),"")</f>
        <v/>
      </c>
      <c r="C49" s="94" t="str">
        <f>IF(ISBLANK(identitasMurid!C42),"",identitasMurid!C42)</f>
        <v/>
      </c>
      <c r="D49" s="6" t="str">
        <f>IF(ISBLANK(identitasMurid!D42),"",identitasMurid!D42)</f>
        <v/>
      </c>
      <c r="E49" s="95"/>
      <c r="F49" s="95"/>
      <c r="G49" s="95"/>
      <c r="H49" s="95"/>
      <c r="I49" s="95"/>
      <c r="J49" s="95"/>
      <c r="K49" s="95"/>
      <c r="L49" s="95"/>
      <c r="M49" s="30"/>
      <c r="Q49" s="5" t="str">
        <f>IF(ROW(A37)&lt;=profilKelas!$F$14,ROW(A37),"")</f>
        <v/>
      </c>
      <c r="R49" s="12" t="str">
        <f t="shared" si="0"/>
        <v/>
      </c>
      <c r="S49" s="108" t="str">
        <f t="shared" si="4"/>
        <v/>
      </c>
      <c r="T49" s="108" t="str">
        <f t="shared" si="2"/>
        <v/>
      </c>
      <c r="U49" s="108" t="str">
        <f t="shared" si="6"/>
        <v/>
      </c>
      <c r="V49" s="108" t="str">
        <f t="shared" si="6"/>
        <v/>
      </c>
      <c r="W49" s="108" t="str">
        <f t="shared" si="6"/>
        <v/>
      </c>
      <c r="X49" s="108" t="str">
        <f t="shared" si="6"/>
        <v/>
      </c>
      <c r="Y49" s="108" t="str">
        <f t="shared" si="6"/>
        <v/>
      </c>
      <c r="Z49" s="108" t="str">
        <f t="shared" si="6"/>
        <v/>
      </c>
      <c r="AA49" s="108" t="str">
        <f t="shared" si="6"/>
        <v/>
      </c>
      <c r="AB49" s="108" t="str" cm="1">
        <f t="array" ref="AB49">IF(LEN($B49)=0,"",IF(LEN(C49)=0,"Nama Siswa Kosong",IF($E49="","Status Siswa Kosong",IF(S49&lt;&gt;"Aktif","Siswa Tidak Aktif",
IF(OR(U49:AA49="Belum mengisi"),"Belum mengisi",IF(AND(U49:AA49="Sudah terbiasa"),"Sudah terbiasa","Belum terbiasa"))))))</f>
        <v/>
      </c>
    </row>
    <row r="50" spans="2:28" hidden="1" x14ac:dyDescent="0.3">
      <c r="B50" s="4" t="str">
        <f>IF(ROW(A38)&lt;=profilKelas!$F$14,ROW(A38),"")</f>
        <v/>
      </c>
      <c r="C50" s="94" t="str">
        <f>IF(ISBLANK(identitasMurid!C43),"",identitasMurid!C43)</f>
        <v/>
      </c>
      <c r="D50" s="6" t="str">
        <f>IF(ISBLANK(identitasMurid!D43),"",identitasMurid!D43)</f>
        <v/>
      </c>
      <c r="E50" s="95"/>
      <c r="F50" s="95"/>
      <c r="G50" s="95"/>
      <c r="H50" s="95"/>
      <c r="I50" s="95"/>
      <c r="J50" s="95"/>
      <c r="K50" s="95"/>
      <c r="L50" s="95"/>
      <c r="M50" s="30"/>
      <c r="Q50" s="5" t="str">
        <f>IF(ROW(A38)&lt;=profilKelas!$F$14,ROW(A38),"")</f>
        <v/>
      </c>
      <c r="R50" s="12" t="str">
        <f t="shared" si="0"/>
        <v/>
      </c>
      <c r="S50" s="108" t="str">
        <f t="shared" si="4"/>
        <v/>
      </c>
      <c r="T50" s="108" t="str">
        <f t="shared" si="2"/>
        <v/>
      </c>
      <c r="U50" s="108" t="str">
        <f t="shared" si="6"/>
        <v/>
      </c>
      <c r="V50" s="108" t="str">
        <f t="shared" si="6"/>
        <v/>
      </c>
      <c r="W50" s="108" t="str">
        <f t="shared" si="6"/>
        <v/>
      </c>
      <c r="X50" s="108" t="str">
        <f t="shared" si="6"/>
        <v/>
      </c>
      <c r="Y50" s="108" t="str">
        <f t="shared" si="6"/>
        <v/>
      </c>
      <c r="Z50" s="108" t="str">
        <f t="shared" si="6"/>
        <v/>
      </c>
      <c r="AA50" s="108" t="str">
        <f t="shared" si="6"/>
        <v/>
      </c>
      <c r="AB50" s="108" t="str" cm="1">
        <f t="array" ref="AB50">IF(LEN($B50)=0,"",IF(LEN(C50)=0,"Nama Siswa Kosong",IF($E50="","Status Siswa Kosong",IF(S50&lt;&gt;"Aktif","Siswa Tidak Aktif",
IF(OR(U50:AA50="Belum mengisi"),"Belum mengisi",IF(AND(U50:AA50="Sudah terbiasa"),"Sudah terbiasa","Belum terbiasa"))))))</f>
        <v/>
      </c>
    </row>
    <row r="51" spans="2:28" hidden="1" x14ac:dyDescent="0.3">
      <c r="B51" s="4" t="str">
        <f>IF(ROW(A39)&lt;=profilKelas!$F$14,ROW(A39),"")</f>
        <v/>
      </c>
      <c r="C51" s="94" t="str">
        <f>IF(ISBLANK(identitasMurid!C44),"",identitasMurid!C44)</f>
        <v/>
      </c>
      <c r="D51" s="6" t="str">
        <f>IF(ISBLANK(identitasMurid!D44),"",identitasMurid!D44)</f>
        <v/>
      </c>
      <c r="E51" s="95"/>
      <c r="F51" s="95"/>
      <c r="G51" s="95"/>
      <c r="H51" s="95"/>
      <c r="I51" s="95"/>
      <c r="J51" s="95"/>
      <c r="K51" s="95"/>
      <c r="L51" s="95"/>
      <c r="M51" s="30"/>
      <c r="Q51" s="5" t="str">
        <f>IF(ROW(A39)&lt;=profilKelas!$F$14,ROW(A39),"")</f>
        <v/>
      </c>
      <c r="R51" s="12" t="str">
        <f t="shared" si="0"/>
        <v/>
      </c>
      <c r="S51" s="108" t="str">
        <f t="shared" si="4"/>
        <v/>
      </c>
      <c r="T51" s="108" t="str">
        <f t="shared" si="2"/>
        <v/>
      </c>
      <c r="U51" s="108" t="str">
        <f t="shared" si="6"/>
        <v/>
      </c>
      <c r="V51" s="108" t="str">
        <f t="shared" si="6"/>
        <v/>
      </c>
      <c r="W51" s="108" t="str">
        <f t="shared" si="6"/>
        <v/>
      </c>
      <c r="X51" s="108" t="str">
        <f t="shared" si="6"/>
        <v/>
      </c>
      <c r="Y51" s="108" t="str">
        <f t="shared" si="6"/>
        <v/>
      </c>
      <c r="Z51" s="108" t="str">
        <f t="shared" si="6"/>
        <v/>
      </c>
      <c r="AA51" s="108" t="str">
        <f t="shared" si="6"/>
        <v/>
      </c>
      <c r="AB51" s="108" t="str" cm="1">
        <f t="array" ref="AB51">IF(LEN($B51)=0,"",IF(LEN(C51)=0,"Nama Siswa Kosong",IF($E51="","Status Siswa Kosong",IF(S51&lt;&gt;"Aktif","Siswa Tidak Aktif",
IF(OR(U51:AA51="Belum mengisi"),"Belum mengisi",IF(AND(U51:AA51="Sudah terbiasa"),"Sudah terbiasa","Belum terbiasa"))))))</f>
        <v/>
      </c>
    </row>
    <row r="52" spans="2:28" hidden="1" x14ac:dyDescent="0.3">
      <c r="B52" s="4" t="str">
        <f>IF(ROW(A40)&lt;=profilKelas!$F$14,ROW(A40),"")</f>
        <v/>
      </c>
      <c r="C52" s="94" t="str">
        <f>IF(ISBLANK(identitasMurid!C45),"",identitasMurid!C45)</f>
        <v/>
      </c>
      <c r="D52" s="6" t="str">
        <f>IF(ISBLANK(identitasMurid!D45),"",identitasMurid!D45)</f>
        <v/>
      </c>
      <c r="E52" s="95"/>
      <c r="F52" s="95"/>
      <c r="G52" s="95"/>
      <c r="H52" s="95"/>
      <c r="I52" s="95"/>
      <c r="J52" s="95"/>
      <c r="K52" s="95"/>
      <c r="L52" s="95"/>
      <c r="M52" s="30"/>
      <c r="Q52" s="5" t="str">
        <f>IF(ROW(A40)&lt;=profilKelas!$F$14,ROW(A40),"")</f>
        <v/>
      </c>
      <c r="R52" s="12" t="str">
        <f t="shared" si="0"/>
        <v/>
      </c>
      <c r="S52" s="108" t="str">
        <f t="shared" si="4"/>
        <v/>
      </c>
      <c r="T52" s="108" t="str">
        <f t="shared" si="2"/>
        <v/>
      </c>
      <c r="U52" s="108" t="str">
        <f t="shared" si="6"/>
        <v/>
      </c>
      <c r="V52" s="108" t="str">
        <f t="shared" si="6"/>
        <v/>
      </c>
      <c r="W52" s="108" t="str">
        <f t="shared" si="6"/>
        <v/>
      </c>
      <c r="X52" s="108" t="str">
        <f t="shared" si="6"/>
        <v/>
      </c>
      <c r="Y52" s="108" t="str">
        <f t="shared" si="6"/>
        <v/>
      </c>
      <c r="Z52" s="108" t="str">
        <f t="shared" si="6"/>
        <v/>
      </c>
      <c r="AA52" s="108" t="str">
        <f t="shared" si="6"/>
        <v/>
      </c>
      <c r="AB52" s="108" t="str" cm="1">
        <f t="array" ref="AB52">IF(LEN($B52)=0,"",IF(LEN(C52)=0,"Nama Siswa Kosong",IF($E52="","Status Siswa Kosong",IF(S52&lt;&gt;"Aktif","Siswa Tidak Aktif",
IF(OR(U52:AA52="Belum mengisi"),"Belum mengisi",IF(AND(U52:AA52="Sudah terbiasa"),"Sudah terbiasa","Belum terbiasa"))))))</f>
        <v/>
      </c>
    </row>
    <row r="53" spans="2:28" hidden="1" x14ac:dyDescent="0.3">
      <c r="B53" s="4" t="str">
        <f>IF(ROW(A41)&lt;=profilKelas!$F$14,ROW(A41),"")</f>
        <v/>
      </c>
      <c r="C53" s="94" t="str">
        <f>IF(ISBLANK(identitasMurid!C46),"",identitasMurid!C46)</f>
        <v/>
      </c>
      <c r="D53" s="6" t="str">
        <f>IF(ISBLANK(identitasMurid!D46),"",identitasMurid!D46)</f>
        <v/>
      </c>
      <c r="E53" s="95"/>
      <c r="F53" s="95"/>
      <c r="G53" s="95"/>
      <c r="H53" s="95"/>
      <c r="I53" s="95"/>
      <c r="J53" s="95"/>
      <c r="K53" s="95"/>
      <c r="L53" s="95"/>
      <c r="M53" s="30"/>
      <c r="Q53" s="5" t="str">
        <f>IF(ROW(A41)&lt;=profilKelas!$F$14,ROW(A41),"")</f>
        <v/>
      </c>
      <c r="R53" s="12" t="str">
        <f t="shared" si="0"/>
        <v/>
      </c>
      <c r="S53" s="108" t="str">
        <f t="shared" si="4"/>
        <v/>
      </c>
      <c r="T53" s="108" t="str">
        <f t="shared" si="2"/>
        <v/>
      </c>
      <c r="U53" s="108" t="str">
        <f t="shared" si="6"/>
        <v/>
      </c>
      <c r="V53" s="108" t="str">
        <f t="shared" si="6"/>
        <v/>
      </c>
      <c r="W53" s="108" t="str">
        <f t="shared" si="6"/>
        <v/>
      </c>
      <c r="X53" s="108" t="str">
        <f t="shared" si="6"/>
        <v/>
      </c>
      <c r="Y53" s="108" t="str">
        <f t="shared" si="6"/>
        <v/>
      </c>
      <c r="Z53" s="108" t="str">
        <f t="shared" si="6"/>
        <v/>
      </c>
      <c r="AA53" s="108" t="str">
        <f t="shared" si="6"/>
        <v/>
      </c>
      <c r="AB53" s="108" t="str" cm="1">
        <f t="array" ref="AB53">IF(LEN($B53)=0,"",IF(LEN(C53)=0,"Nama Siswa Kosong",IF($E53="","Status Siswa Kosong",IF(S53&lt;&gt;"Aktif","Siswa Tidak Aktif",
IF(OR(U53:AA53="Belum mengisi"),"Belum mengisi",IF(AND(U53:AA53="Sudah terbiasa"),"Sudah terbiasa","Belum terbiasa"))))))</f>
        <v/>
      </c>
    </row>
    <row r="54" spans="2:28" hidden="1" x14ac:dyDescent="0.3">
      <c r="B54" s="4" t="str">
        <f>IF(ROW(A42)&lt;=profilKelas!$F$14,ROW(A42),"")</f>
        <v/>
      </c>
      <c r="C54" s="94" t="str">
        <f>IF(ISBLANK(identitasMurid!C47),"",identitasMurid!C47)</f>
        <v/>
      </c>
      <c r="D54" s="6" t="str">
        <f>IF(ISBLANK(identitasMurid!D47),"",identitasMurid!D47)</f>
        <v/>
      </c>
      <c r="E54" s="95"/>
      <c r="F54" s="95"/>
      <c r="G54" s="95"/>
      <c r="H54" s="95"/>
      <c r="I54" s="95"/>
      <c r="J54" s="95"/>
      <c r="K54" s="95"/>
      <c r="L54" s="95"/>
      <c r="M54" s="30"/>
      <c r="Q54" s="5" t="str">
        <f>IF(ROW(A42)&lt;=profilKelas!$F$14,ROW(A42),"")</f>
        <v/>
      </c>
      <c r="R54" s="12" t="str">
        <f t="shared" si="0"/>
        <v/>
      </c>
      <c r="S54" s="108" t="str">
        <f t="shared" si="4"/>
        <v/>
      </c>
      <c r="T54" s="108" t="str">
        <f t="shared" si="2"/>
        <v/>
      </c>
      <c r="U54" s="108" t="str">
        <f t="shared" si="6"/>
        <v/>
      </c>
      <c r="V54" s="108" t="str">
        <f t="shared" si="6"/>
        <v/>
      </c>
      <c r="W54" s="108" t="str">
        <f t="shared" si="6"/>
        <v/>
      </c>
      <c r="X54" s="108" t="str">
        <f t="shared" si="6"/>
        <v/>
      </c>
      <c r="Y54" s="108" t="str">
        <f t="shared" si="6"/>
        <v/>
      </c>
      <c r="Z54" s="108" t="str">
        <f t="shared" si="6"/>
        <v/>
      </c>
      <c r="AA54" s="108" t="str">
        <f t="shared" si="6"/>
        <v/>
      </c>
      <c r="AB54" s="108" t="str" cm="1">
        <f t="array" ref="AB54">IF(LEN($B54)=0,"",IF(LEN(C54)=0,"Nama Siswa Kosong",IF($E54="","Status Siswa Kosong",IF(S54&lt;&gt;"Aktif","Siswa Tidak Aktif",
IF(OR(U54:AA54="Belum mengisi"),"Belum mengisi",IF(AND(U54:AA54="Sudah terbiasa"),"Sudah terbiasa","Belum terbiasa"))))))</f>
        <v/>
      </c>
    </row>
    <row r="55" spans="2:28" hidden="1" x14ac:dyDescent="0.3">
      <c r="B55" s="4" t="str">
        <f>IF(ROW(A43)&lt;=profilKelas!$F$14,ROW(A43),"")</f>
        <v/>
      </c>
      <c r="C55" s="94" t="str">
        <f>IF(ISBLANK(identitasMurid!C48),"",identitasMurid!C48)</f>
        <v/>
      </c>
      <c r="D55" s="6" t="str">
        <f>IF(ISBLANK(identitasMurid!D48),"",identitasMurid!D48)</f>
        <v/>
      </c>
      <c r="E55" s="95"/>
      <c r="F55" s="95"/>
      <c r="G55" s="95"/>
      <c r="H55" s="95"/>
      <c r="I55" s="95"/>
      <c r="J55" s="95"/>
      <c r="K55" s="95"/>
      <c r="L55" s="95"/>
      <c r="M55" s="30"/>
      <c r="Q55" s="5" t="str">
        <f>IF(ROW(A43)&lt;=profilKelas!$F$14,ROW(A43),"")</f>
        <v/>
      </c>
      <c r="R55" s="12" t="str">
        <f t="shared" si="0"/>
        <v/>
      </c>
      <c r="S55" s="108" t="str">
        <f t="shared" si="4"/>
        <v/>
      </c>
      <c r="T55" s="108" t="str">
        <f t="shared" si="2"/>
        <v/>
      </c>
      <c r="U55" s="108" t="str">
        <f t="shared" si="6"/>
        <v/>
      </c>
      <c r="V55" s="108" t="str">
        <f t="shared" si="6"/>
        <v/>
      </c>
      <c r="W55" s="108" t="str">
        <f t="shared" si="6"/>
        <v/>
      </c>
      <c r="X55" s="108" t="str">
        <f t="shared" si="6"/>
        <v/>
      </c>
      <c r="Y55" s="108" t="str">
        <f t="shared" si="6"/>
        <v/>
      </c>
      <c r="Z55" s="108" t="str">
        <f t="shared" si="6"/>
        <v/>
      </c>
      <c r="AA55" s="108" t="str">
        <f t="shared" si="6"/>
        <v/>
      </c>
      <c r="AB55" s="108" t="str" cm="1">
        <f t="array" ref="AB55">IF(LEN($B55)=0,"",IF(LEN(C55)=0,"Nama Siswa Kosong",IF($E55="","Status Siswa Kosong",IF(S55&lt;&gt;"Aktif","Siswa Tidak Aktif",
IF(OR(U55:AA55="Belum mengisi"),"Belum mengisi",IF(AND(U55:AA55="Sudah terbiasa"),"Sudah terbiasa","Belum terbiasa"))))))</f>
        <v/>
      </c>
    </row>
    <row r="56" spans="2:28" hidden="1" x14ac:dyDescent="0.3">
      <c r="B56" s="4" t="str">
        <f>IF(ROW(A44)&lt;=profilKelas!$F$14,ROW(A44),"")</f>
        <v/>
      </c>
      <c r="C56" s="94" t="str">
        <f>IF(ISBLANK(identitasMurid!C49),"",identitasMurid!C49)</f>
        <v/>
      </c>
      <c r="D56" s="6" t="str">
        <f>IF(ISBLANK(identitasMurid!D49),"",identitasMurid!D49)</f>
        <v/>
      </c>
      <c r="E56" s="95"/>
      <c r="F56" s="95"/>
      <c r="G56" s="95"/>
      <c r="H56" s="95"/>
      <c r="I56" s="95"/>
      <c r="J56" s="95"/>
      <c r="K56" s="95"/>
      <c r="L56" s="95"/>
      <c r="M56" s="30"/>
      <c r="Q56" s="5" t="str">
        <f>IF(ROW(A44)&lt;=profilKelas!$F$14,ROW(A44),"")</f>
        <v/>
      </c>
      <c r="R56" s="12" t="str">
        <f t="shared" si="0"/>
        <v/>
      </c>
      <c r="S56" s="108" t="str">
        <f t="shared" si="4"/>
        <v/>
      </c>
      <c r="T56" s="108" t="str">
        <f t="shared" si="2"/>
        <v/>
      </c>
      <c r="U56" s="108" t="str">
        <f t="shared" si="6"/>
        <v/>
      </c>
      <c r="V56" s="108" t="str">
        <f t="shared" si="6"/>
        <v/>
      </c>
      <c r="W56" s="108" t="str">
        <f t="shared" si="6"/>
        <v/>
      </c>
      <c r="X56" s="108" t="str">
        <f t="shared" si="6"/>
        <v/>
      </c>
      <c r="Y56" s="108" t="str">
        <f t="shared" si="6"/>
        <v/>
      </c>
      <c r="Z56" s="108" t="str">
        <f t="shared" si="6"/>
        <v/>
      </c>
      <c r="AA56" s="108" t="str">
        <f t="shared" si="6"/>
        <v/>
      </c>
      <c r="AB56" s="108" t="str" cm="1">
        <f t="array" ref="AB56">IF(LEN($B56)=0,"",IF(LEN(C56)=0,"Nama Siswa Kosong",IF($E56="","Status Siswa Kosong",IF(S56&lt;&gt;"Aktif","Siswa Tidak Aktif",
IF(OR(U56:AA56="Belum mengisi"),"Belum mengisi",IF(AND(U56:AA56="Sudah terbiasa"),"Sudah terbiasa","Belum terbiasa"))))))</f>
        <v/>
      </c>
    </row>
    <row r="57" spans="2:28" hidden="1" x14ac:dyDescent="0.3">
      <c r="B57" s="4" t="str">
        <f>IF(ROW(A45)&lt;=profilKelas!$F$14,ROW(A45),"")</f>
        <v/>
      </c>
      <c r="C57" s="94" t="str">
        <f>IF(ISBLANK(identitasMurid!C50),"",identitasMurid!C50)</f>
        <v/>
      </c>
      <c r="D57" s="6" t="str">
        <f>IF(ISBLANK(identitasMurid!D50),"",identitasMurid!D50)</f>
        <v/>
      </c>
      <c r="E57" s="95"/>
      <c r="F57" s="95"/>
      <c r="G57" s="95"/>
      <c r="H57" s="95"/>
      <c r="I57" s="95"/>
      <c r="J57" s="95"/>
      <c r="K57" s="95"/>
      <c r="L57" s="95"/>
      <c r="M57" s="30"/>
      <c r="Q57" s="5" t="str">
        <f>IF(ROW(A45)&lt;=profilKelas!$F$14,ROW(A45),"")</f>
        <v/>
      </c>
      <c r="R57" s="12" t="str">
        <f t="shared" si="0"/>
        <v/>
      </c>
      <c r="S57" s="108" t="str">
        <f t="shared" si="4"/>
        <v/>
      </c>
      <c r="T57" s="108" t="str">
        <f t="shared" si="2"/>
        <v/>
      </c>
      <c r="U57" s="108" t="str">
        <f t="shared" si="6"/>
        <v/>
      </c>
      <c r="V57" s="108" t="str">
        <f t="shared" si="6"/>
        <v/>
      </c>
      <c r="W57" s="108" t="str">
        <f t="shared" si="6"/>
        <v/>
      </c>
      <c r="X57" s="108" t="str">
        <f t="shared" si="6"/>
        <v/>
      </c>
      <c r="Y57" s="108" t="str">
        <f t="shared" si="6"/>
        <v/>
      </c>
      <c r="Z57" s="108" t="str">
        <f t="shared" si="6"/>
        <v/>
      </c>
      <c r="AA57" s="108" t="str">
        <f t="shared" si="6"/>
        <v/>
      </c>
      <c r="AB57" s="108" t="str" cm="1">
        <f t="array" ref="AB57">IF(LEN($B57)=0,"",IF(LEN(C57)=0,"Nama Siswa Kosong",IF($E57="","Status Siswa Kosong",IF(S57&lt;&gt;"Aktif","Siswa Tidak Aktif",
IF(OR(U57:AA57="Belum mengisi"),"Belum mengisi",IF(AND(U57:AA57="Sudah terbiasa"),"Sudah terbiasa","Belum terbiasa"))))))</f>
        <v/>
      </c>
    </row>
    <row r="58" spans="2:28" x14ac:dyDescent="0.3"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</row>
    <row r="59" spans="2:28" ht="16.2" x14ac:dyDescent="0.35">
      <c r="B59" s="13"/>
      <c r="C59" s="71"/>
      <c r="D59" s="71" t="s">
        <v>15</v>
      </c>
      <c r="E59" s="13"/>
      <c r="F59" s="13"/>
      <c r="G59" s="13"/>
      <c r="H59" s="13"/>
      <c r="I59" s="13"/>
      <c r="J59" s="13"/>
      <c r="K59" s="13" t="str">
        <f>profilKelas!F9&amp;", "&amp;O60</f>
        <v>, 31 Januari 2025</v>
      </c>
      <c r="L59" s="13"/>
      <c r="M59" s="13"/>
      <c r="O59" s="31" t="s">
        <v>860</v>
      </c>
      <c r="Q59" s="13"/>
      <c r="R59" s="13"/>
      <c r="S59" s="13" t="s">
        <v>15</v>
      </c>
      <c r="T59" s="13"/>
      <c r="U59" s="13"/>
      <c r="V59" s="13"/>
      <c r="W59" s="13"/>
      <c r="X59" s="13"/>
      <c r="Y59" s="13"/>
      <c r="Z59" s="13" t="str">
        <f>profilKelas!F9&amp;", "&amp;O60</f>
        <v>, 31 Januari 2025</v>
      </c>
      <c r="AA59" s="13"/>
      <c r="AB59" s="13"/>
    </row>
    <row r="60" spans="2:28" x14ac:dyDescent="0.3">
      <c r="B60" s="13"/>
      <c r="C60" s="71"/>
      <c r="D60" s="71" t="str">
        <f>IF(ISBLANK(profilKelas!B10),"",SUBSTITUTE(profilKelas!B10,"Nama ",""))</f>
        <v>Kepala Sekolah</v>
      </c>
      <c r="E60" s="13"/>
      <c r="F60" s="13"/>
      <c r="G60" s="13"/>
      <c r="H60" s="13"/>
      <c r="I60" s="13"/>
      <c r="J60" s="13"/>
      <c r="K60" s="13" t="str">
        <f>SUBSTITUTE(profilKelas!B15,"Nama ","")&amp;","</f>
        <v>Guru Wali Kelas,</v>
      </c>
      <c r="L60" s="13"/>
      <c r="M60" s="13"/>
      <c r="O60" s="100" t="s">
        <v>907</v>
      </c>
      <c r="Q60" s="13"/>
      <c r="R60" s="13"/>
      <c r="S60" s="13" t="str">
        <f>IF(ISBLANK(profilKelas!B10),"",profilKelas!B10)</f>
        <v>Nama Kepala Sekolah</v>
      </c>
      <c r="T60" s="13"/>
      <c r="U60" s="13"/>
      <c r="V60" s="13"/>
      <c r="W60" s="13"/>
      <c r="X60" s="13"/>
      <c r="Y60" s="13"/>
      <c r="Z60" s="13" t="str">
        <f>SUBSTITUTE(profilKelas!B15,"Nama ","")&amp;","</f>
        <v>Guru Wali Kelas,</v>
      </c>
      <c r="AA60" s="13"/>
      <c r="AB60" s="13"/>
    </row>
    <row r="61" spans="2:28" x14ac:dyDescent="0.3"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</row>
    <row r="62" spans="2:28" x14ac:dyDescent="0.3"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</row>
    <row r="63" spans="2:28" x14ac:dyDescent="0.3"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</row>
    <row r="64" spans="2:28" x14ac:dyDescent="0.3">
      <c r="B64" s="13"/>
      <c r="C64" s="13"/>
      <c r="D64" s="101" t="str">
        <f>IF(ISBLANK(profilKelas!F10),"",profilKelas!F10)</f>
        <v/>
      </c>
      <c r="E64" s="13"/>
      <c r="F64" s="13"/>
      <c r="G64" s="13"/>
      <c r="H64" s="13"/>
      <c r="I64" s="13"/>
      <c r="J64" s="13"/>
      <c r="K64" s="101" t="str">
        <f>IF(LEN(profilKelas!F15)=0,"",profilKelas!F15)</f>
        <v/>
      </c>
      <c r="L64" s="13"/>
      <c r="M64" s="13"/>
      <c r="Q64" s="13"/>
      <c r="R64" s="13"/>
      <c r="S64" s="101" t="str">
        <f>IF(ISBLANK(profilKelas!F10),"",profilKelas!F10)</f>
        <v/>
      </c>
      <c r="T64" s="13"/>
      <c r="U64" s="13"/>
      <c r="V64" s="13"/>
      <c r="W64" s="13"/>
      <c r="X64" s="13"/>
      <c r="Y64" s="13"/>
      <c r="Z64" s="101">
        <f>profilKelas!F15</f>
        <v>0</v>
      </c>
      <c r="AA64" s="13"/>
      <c r="AB64" s="13"/>
    </row>
    <row r="65" spans="2:28" x14ac:dyDescent="0.3">
      <c r="B65" s="13"/>
      <c r="C65" s="13"/>
      <c r="D65" s="13" t="str">
        <f>"NIP. "&amp;profilKelas!F11</f>
        <v xml:space="preserve">NIP. </v>
      </c>
      <c r="E65" s="13"/>
      <c r="F65" s="13"/>
      <c r="G65" s="13"/>
      <c r="H65" s="13"/>
      <c r="I65" s="13"/>
      <c r="J65" s="13"/>
      <c r="K65" s="13" t="str">
        <f>"NIP. "&amp;profilKelas!F16</f>
        <v xml:space="preserve">NIP. </v>
      </c>
      <c r="L65" s="13"/>
      <c r="M65" s="13"/>
      <c r="Q65" s="13"/>
      <c r="R65" s="13"/>
      <c r="S65" s="13" t="str">
        <f>"NIP. "&amp;profilKelas!F11</f>
        <v xml:space="preserve">NIP. </v>
      </c>
      <c r="T65" s="13"/>
      <c r="U65" s="13"/>
      <c r="V65" s="13"/>
      <c r="W65" s="13"/>
      <c r="X65" s="13"/>
      <c r="Y65" s="13"/>
      <c r="Z65" s="13" t="str">
        <f>"NIP. "&amp;profilKelas!F16</f>
        <v xml:space="preserve">NIP. </v>
      </c>
      <c r="AA65" s="13"/>
      <c r="AB65" s="13"/>
    </row>
    <row r="66" spans="2:28" x14ac:dyDescent="0.3"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</row>
    <row r="67" spans="2:28" x14ac:dyDescent="0.3">
      <c r="B67" s="13"/>
      <c r="C67" s="102" t="s">
        <v>10</v>
      </c>
      <c r="D67" s="71" t="s">
        <v>609</v>
      </c>
      <c r="E67" s="13"/>
      <c r="F67" s="13"/>
      <c r="G67" s="13"/>
      <c r="H67" s="13"/>
      <c r="I67" s="13"/>
      <c r="J67" s="13"/>
      <c r="K67" s="13"/>
      <c r="L67" s="13"/>
      <c r="M67" s="13"/>
      <c r="Q67" s="13"/>
      <c r="R67" s="102" t="s">
        <v>10</v>
      </c>
      <c r="S67" s="71" t="s">
        <v>609</v>
      </c>
      <c r="T67" s="13"/>
      <c r="U67" s="13"/>
      <c r="V67" s="13"/>
      <c r="W67" s="13"/>
      <c r="X67" s="13"/>
      <c r="Y67" s="13"/>
      <c r="Z67" s="13"/>
      <c r="AA67" s="13"/>
      <c r="AB67" s="13"/>
    </row>
    <row r="68" spans="2:28" ht="15.6" customHeight="1" x14ac:dyDescent="0.3"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63">
        <f>SUBTOTAL(109,N69)</f>
        <v>0</v>
      </c>
      <c r="O68" s="63" t="str">
        <f>IF(N68=0,"ATUR HALAMAN","TAMPILAN NORMAL")</f>
        <v>ATUR HALAMAN</v>
      </c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</row>
    <row r="69" spans="2:28" hidden="1" x14ac:dyDescent="0.3">
      <c r="N69" s="7">
        <v>1</v>
      </c>
    </row>
  </sheetData>
  <sheetProtection algorithmName="SHA-512" hashValue="2X8rupjSknYZ2boi/AKioWd0xjZtGEUDMbnnzXqGpidBfIEMakygJlKAgsLCx9dMl9BYK1eXx9n13kn0MjVBzw==" saltValue="ZD6NnjrlwslVC9zWneErwQ==" spinCount="100000" sheet="1" objects="1" scenarios="1" formatCells="0" formatColumns="0" formatRows="0" insertColumns="0" insertRows="0" insertHyperlinks="0" deleteColumns="0" deleteRows="0" autoFilter="0"/>
  <mergeCells count="41">
    <mergeCell ref="AL14:AQ18"/>
    <mergeCell ref="AG15:AH15"/>
    <mergeCell ref="AI15:AJ15"/>
    <mergeCell ref="AD18:AE18"/>
    <mergeCell ref="B6:M6"/>
    <mergeCell ref="Q6:AB6"/>
    <mergeCell ref="AD6:AQ7"/>
    <mergeCell ref="B10:B12"/>
    <mergeCell ref="C10:C12"/>
    <mergeCell ref="D10:D12"/>
    <mergeCell ref="E10:E12"/>
    <mergeCell ref="M10:M12"/>
    <mergeCell ref="AE24:AF24"/>
    <mergeCell ref="AD14:AD15"/>
    <mergeCell ref="AE14:AE15"/>
    <mergeCell ref="AF14:AF15"/>
    <mergeCell ref="AG14:AJ14"/>
    <mergeCell ref="AG21:AJ21"/>
    <mergeCell ref="AE22:AF22"/>
    <mergeCell ref="AG22:AH22"/>
    <mergeCell ref="AI22:AJ22"/>
    <mergeCell ref="AE23:AF23"/>
    <mergeCell ref="AE25:AF25"/>
    <mergeCell ref="AE26:AF26"/>
    <mergeCell ref="AE27:AF27"/>
    <mergeCell ref="AE28:AF28"/>
    <mergeCell ref="AE29:AF29"/>
    <mergeCell ref="AK31:AN31"/>
    <mergeCell ref="AE32:AF32"/>
    <mergeCell ref="AG32:AH32"/>
    <mergeCell ref="AI32:AJ32"/>
    <mergeCell ref="AK32:AL32"/>
    <mergeCell ref="AM32:AN32"/>
    <mergeCell ref="AG31:AJ31"/>
    <mergeCell ref="AE39:AF39"/>
    <mergeCell ref="AE33:AF33"/>
    <mergeCell ref="AE34:AF34"/>
    <mergeCell ref="AE35:AF35"/>
    <mergeCell ref="AE36:AF36"/>
    <mergeCell ref="AE37:AF37"/>
    <mergeCell ref="AE38:AF38"/>
  </mergeCells>
  <conditionalFormatting sqref="F17:F57">
    <cfRule type="expression" dxfId="83" priority="17">
      <formula>AND($C17="",$F17="")</formula>
    </cfRule>
  </conditionalFormatting>
  <conditionalFormatting sqref="E17:M57 B13:C57 M13:M16">
    <cfRule type="expression" dxfId="82" priority="16">
      <formula>$B13&lt;&gt;""</formula>
    </cfRule>
  </conditionalFormatting>
  <conditionalFormatting sqref="D13:D57">
    <cfRule type="expression" dxfId="81" priority="15">
      <formula>$B13&lt;&gt;""</formula>
    </cfRule>
  </conditionalFormatting>
  <conditionalFormatting sqref="R13:T57">
    <cfRule type="expression" dxfId="80" priority="14">
      <formula>$Q13&lt;&gt;""</formula>
    </cfRule>
  </conditionalFormatting>
  <conditionalFormatting sqref="Q13">
    <cfRule type="expression" dxfId="79" priority="13">
      <formula>$B13&lt;&gt;""</formula>
    </cfRule>
  </conditionalFormatting>
  <conditionalFormatting sqref="U13:AA57">
    <cfRule type="containsText" dxfId="78" priority="10" operator="containsText" text="Belum terbiasa">
      <formula>NOT(ISERROR(SEARCH("Belum terbiasa",U13)))</formula>
    </cfRule>
    <cfRule type="containsText" dxfId="77" priority="11" operator="containsText" text="Sudah terbiasa">
      <formula>NOT(ISERROR(SEARCH("Sudah terbiasa",U13)))</formula>
    </cfRule>
    <cfRule type="containsText" dxfId="76" priority="12" operator="containsText" text="Belum mengisi">
      <formula>NOT(ISERROR(SEARCH("Belum mengisi",U13)))</formula>
    </cfRule>
  </conditionalFormatting>
  <conditionalFormatting sqref="AB13:AB57">
    <cfRule type="containsText" dxfId="75" priority="7" operator="containsText" text="mengisi">
      <formula>NOT(ISERROR(SEARCH("mengisi",AB13)))</formula>
    </cfRule>
    <cfRule type="containsText" dxfId="74" priority="8" operator="containsText" text="Belum terbiasa">
      <formula>NOT(ISERROR(SEARCH("Belum terbiasa",AB13)))</formula>
    </cfRule>
    <cfRule type="containsText" dxfId="73" priority="9" operator="containsText" text="Sudah terbiasa">
      <formula>NOT(ISERROR(SEARCH("Sudah terbiasa",AB13)))</formula>
    </cfRule>
  </conditionalFormatting>
  <conditionalFormatting sqref="Q14:Q57">
    <cfRule type="expression" dxfId="72" priority="6">
      <formula>$B14&lt;&gt;""</formula>
    </cfRule>
  </conditionalFormatting>
  <conditionalFormatting sqref="F13:L16">
    <cfRule type="expression" dxfId="71" priority="2">
      <formula>AND($C13="",$F13="")</formula>
    </cfRule>
  </conditionalFormatting>
  <conditionalFormatting sqref="E13:L16">
    <cfRule type="expression" dxfId="70" priority="1">
      <formula>$B13&lt;&gt;""</formula>
    </cfRule>
  </conditionalFormatting>
  <dataValidations count="2">
    <dataValidation allowBlank="1" showInputMessage="1" showErrorMessage="1" promptTitle="Tanggal pengesahan" prompt="Contoh penulisan_x000a_31 Juli 2025" sqref="O60:P60" xr:uid="{00000000-0002-0000-1400-000000000000}"/>
    <dataValidation type="whole" allowBlank="1" showInputMessage="1" showErrorMessage="1" errorTitle="Angka" error="Isian hanya berupa angka 0 s.d. 31." promptTitle="Angka" prompt="Inputan angka dari 0 s.d. 31 sesuai bulan berjalan." sqref="F13:L57" xr:uid="{00000000-0002-0000-1400-000001000000}">
      <formula1>0</formula1>
      <formula2>31</formula2>
    </dataValidation>
  </dataValidations>
  <pageMargins left="0.19685039370078741" right="0.19685039370078741" top="0.74803149606299213" bottom="0.74803149606299213" header="0.31496062992125984" footer="0.31496062992125984"/>
  <pageSetup paperSize="9" scale="59" fitToHeight="0" orientation="landscape" r:id="rId1"/>
  <headerFooter>
    <oddHeader>&amp;C&amp;G</oddHeader>
  </headerFooter>
  <drawing r:id="rId2"/>
  <legacyDrawingHF r:id="rId3"/>
  <picture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Catatan" error="Harap dipilih." promptTitle="Catatan" prompt="Pilih keterangan siswa_x000a_aktif: aktif pada bulan berjalan_x000a_pindah: pada bulan berjalan sudah pindah_x000a_berhenti: pada bulan berjalan berhenti _x000a_meninggal: pada bulan berjalan meninggal_x000a__x000a_Jika terdapat penambahan siswa, keterangan bulan sebelumnya dipilih tidak." xr:uid="{00000000-0002-0000-1400-000002000000}">
          <x14:formula1>
            <xm:f>info!$AD$2:$AD$6</xm:f>
          </x14:formula1>
          <xm:sqref>E13:E57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mmFeb"/>
  <dimension ref="A1:AQ69"/>
  <sheetViews>
    <sheetView showGridLines="0" showRowColHeaders="0" zoomScaleNormal="100" zoomScaleSheetLayoutView="100" zoomScalePageLayoutView="47" workbookViewId="0">
      <pane xSplit="1" ySplit="12" topLeftCell="B13" activePane="bottomRight" state="frozen"/>
      <selection pane="topRight" activeCell="B1" sqref="B1"/>
      <selection pane="bottomLeft" activeCell="A13" sqref="A13"/>
      <selection pane="bottomRight" activeCell="B6" sqref="B6:M6"/>
    </sheetView>
  </sheetViews>
  <sheetFormatPr defaultColWidth="0" defaultRowHeight="15.6" customHeight="1" zeroHeight="1" x14ac:dyDescent="0.3"/>
  <cols>
    <col min="1" max="1" width="9.109375" style="7" customWidth="1"/>
    <col min="2" max="2" width="3.5546875" style="7" bestFit="1" customWidth="1"/>
    <col min="3" max="3" width="31.5546875" style="7" customWidth="1"/>
    <col min="4" max="4" width="10" style="7" customWidth="1"/>
    <col min="5" max="5" width="11.5546875" style="7" customWidth="1"/>
    <col min="6" max="12" width="24" style="7" customWidth="1"/>
    <col min="13" max="13" width="18.33203125" style="7" customWidth="1"/>
    <col min="14" max="14" width="2.109375" style="7" customWidth="1"/>
    <col min="15" max="15" width="25.109375" style="7" bestFit="1" customWidth="1"/>
    <col min="16" max="16" width="9.109375" style="7" customWidth="1"/>
    <col min="17" max="17" width="3.5546875" style="7" hidden="1" customWidth="1"/>
    <col min="18" max="18" width="27.88671875" style="7" hidden="1" customWidth="1"/>
    <col min="19" max="19" width="8.6640625" style="7" hidden="1" customWidth="1"/>
    <col min="20" max="20" width="5.6640625" style="7" hidden="1" customWidth="1"/>
    <col min="21" max="28" width="21.33203125" style="7" hidden="1" customWidth="1"/>
    <col min="29" max="29" width="9.109375" style="7" hidden="1" customWidth="1"/>
    <col min="30" max="30" width="3.5546875" style="7" hidden="1" customWidth="1"/>
    <col min="31" max="31" width="20" style="7" hidden="1" customWidth="1"/>
    <col min="32" max="32" width="6.5546875" style="7" hidden="1" customWidth="1"/>
    <col min="33" max="36" width="9.6640625" style="7" hidden="1" customWidth="1"/>
    <col min="37" max="43" width="0" style="7" hidden="1" customWidth="1"/>
    <col min="44" max="16384" width="8.88671875" style="7" hidden="1"/>
  </cols>
  <sheetData>
    <row r="1" spans="1:43" x14ac:dyDescent="0.3">
      <c r="A1" s="63">
        <f>profilKelas!F14</f>
        <v>1</v>
      </c>
      <c r="D1" s="64" t="s">
        <v>890</v>
      </c>
      <c r="E1" s="65"/>
      <c r="F1" s="65"/>
      <c r="G1" s="65"/>
      <c r="H1" s="65"/>
      <c r="Q1" s="66" t="s">
        <v>859</v>
      </c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D1" s="66" t="s">
        <v>859</v>
      </c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</row>
    <row r="2" spans="1:43" x14ac:dyDescent="0.3">
      <c r="D2" s="67"/>
      <c r="E2" s="67"/>
      <c r="F2" s="67"/>
      <c r="G2" s="67"/>
      <c r="H2" s="67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</row>
    <row r="3" spans="1:43" ht="15.6" customHeight="1" x14ac:dyDescent="0.3"/>
    <row r="4" spans="1:43" ht="15.6" customHeight="1" x14ac:dyDescent="0.3"/>
    <row r="5" spans="1:43" x14ac:dyDescent="0.3">
      <c r="Q5" s="68"/>
      <c r="S5" s="69"/>
      <c r="T5" s="69"/>
      <c r="V5" s="69"/>
      <c r="X5" s="69"/>
      <c r="Z5" s="69"/>
      <c r="AL5" s="70"/>
    </row>
    <row r="6" spans="1:43" ht="15.6" customHeight="1" x14ac:dyDescent="0.3">
      <c r="B6" s="168" t="s">
        <v>882</v>
      </c>
      <c r="C6" s="168"/>
      <c r="D6" s="168"/>
      <c r="E6" s="168"/>
      <c r="F6" s="168"/>
      <c r="G6" s="168"/>
      <c r="H6" s="168"/>
      <c r="I6" s="168"/>
      <c r="J6" s="168"/>
      <c r="K6" s="168"/>
      <c r="L6" s="168"/>
      <c r="M6" s="168"/>
      <c r="Q6" s="168"/>
      <c r="R6" s="168"/>
      <c r="S6" s="168"/>
      <c r="T6" s="168"/>
      <c r="U6" s="168"/>
      <c r="V6" s="168"/>
      <c r="W6" s="168"/>
      <c r="X6" s="168"/>
      <c r="Y6" s="168"/>
      <c r="Z6" s="168"/>
      <c r="AA6" s="168"/>
      <c r="AB6" s="168"/>
      <c r="AD6" s="159" t="str">
        <f>"REKAPITULASI CATATAN HARIAN KELAS (RCHS) "&amp;CHAR(10)&amp;"SEMESTER "&amp;MID(J7,3,1)&amp;" BULAN"&amp;UPPER(MID(J7,SEARCH("/",J7)+1,99))&amp;" TAHUN "&amp;IF(ISBLANK(O11),profilKelas!F12,O11)</f>
        <v xml:space="preserve">REKAPITULASI CATATAN HARIAN KELAS (RCHS) 
SEMESTER I BULAN FEBRUARI TAHUN </v>
      </c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</row>
    <row r="7" spans="1:43" x14ac:dyDescent="0.3">
      <c r="B7" s="13"/>
      <c r="C7" s="13" t="s">
        <v>862</v>
      </c>
      <c r="D7" s="13" t="str">
        <f>": "&amp;IF(ISBLANK(profilKelas!F5),"",profilKelas!F5&amp;" ("&amp;profilKelas!F6&amp;")")</f>
        <v xml:space="preserve">: </v>
      </c>
      <c r="E7" s="13"/>
      <c r="F7" s="13"/>
      <c r="G7" s="13"/>
      <c r="H7" s="13"/>
      <c r="I7" s="13" t="s">
        <v>885</v>
      </c>
      <c r="J7" s="13" t="str">
        <f>": II / Februari"</f>
        <v>: II / Februari</v>
      </c>
      <c r="K7" s="13"/>
      <c r="L7" s="13"/>
      <c r="M7" s="71"/>
      <c r="O7"/>
      <c r="Q7" s="13"/>
      <c r="R7" s="13" t="s">
        <v>862</v>
      </c>
      <c r="S7" s="13" t="str">
        <f>": "&amp;IF(ISBLANK(profilKelas!F5),"",profilKelas!F5&amp;" ("&amp;profilKelas!F6&amp;")")</f>
        <v xml:space="preserve">: </v>
      </c>
      <c r="T7" s="13"/>
      <c r="U7" s="13"/>
      <c r="V7" s="13"/>
      <c r="W7" s="13"/>
      <c r="X7" s="13"/>
      <c r="Y7" s="13" t="s">
        <v>840</v>
      </c>
      <c r="Z7" s="13" t="str">
        <f>J7</f>
        <v>: II / Februari</v>
      </c>
      <c r="AA7" s="71"/>
      <c r="AB7" s="13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</row>
    <row r="8" spans="1:43" x14ac:dyDescent="0.3">
      <c r="B8" s="13"/>
      <c r="C8" s="13" t="s">
        <v>842</v>
      </c>
      <c r="D8" s="13" t="str">
        <f ca="1">": "&amp;IF(ISBLANK(profilKelas!H13),"",profilKelas!H13)</f>
        <v>: Pilih Kelas dan Rombel</v>
      </c>
      <c r="E8" s="13"/>
      <c r="F8" s="13"/>
      <c r="G8" s="13"/>
      <c r="H8" s="13"/>
      <c r="I8" s="13" t="s">
        <v>880</v>
      </c>
      <c r="J8" s="13" t="str">
        <f>": "&amp;IF(ISBLANK(profilKelas!F12),"Ketik Tahun Ajaran pada Profil Kelas",profilKelas!F12)</f>
        <v>: Ketik Tahun Ajaran pada Profil Kelas</v>
      </c>
      <c r="K8" s="13"/>
      <c r="L8" s="13"/>
      <c r="M8" s="71"/>
      <c r="O8"/>
      <c r="Q8" s="13"/>
      <c r="R8" s="13" t="s">
        <v>842</v>
      </c>
      <c r="S8" s="13" t="str">
        <f ca="1">": "&amp;IF(ISBLANK(profilKelas!H13),"",profilKelas!H13)</f>
        <v>: Pilih Kelas dan Rombel</v>
      </c>
      <c r="T8" s="13"/>
      <c r="U8" s="13"/>
      <c r="V8" s="13"/>
      <c r="W8" s="13"/>
      <c r="X8" s="13"/>
      <c r="Y8" s="13" t="s">
        <v>841</v>
      </c>
      <c r="Z8" s="13" t="str">
        <f>": "&amp;IF(ISBLANK(profilKelas!F12),"Ketik Tahun Ajaran pada Profil Kelas",IF(ISBLANK(O11),profilKelas!F12,O11))</f>
        <v>: Ketik Tahun Ajaran pada Profil Kelas</v>
      </c>
      <c r="AA8" s="71"/>
      <c r="AB8" s="13"/>
      <c r="AD8" s="72"/>
      <c r="AE8" s="72"/>
      <c r="AF8" s="72"/>
      <c r="AG8" s="72"/>
      <c r="AH8" s="72"/>
      <c r="AI8" s="72"/>
      <c r="AJ8" s="72"/>
      <c r="AK8" s="72"/>
      <c r="AL8" s="72"/>
      <c r="AM8" s="72"/>
      <c r="AN8" s="72"/>
      <c r="AO8" s="13"/>
      <c r="AP8" s="13"/>
      <c r="AQ8" s="13"/>
    </row>
    <row r="9" spans="1:43" x14ac:dyDescent="0.3"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71"/>
      <c r="Q9" s="13"/>
      <c r="R9" s="13"/>
      <c r="S9" s="13"/>
      <c r="T9" s="13"/>
      <c r="U9" s="13"/>
      <c r="V9" s="13"/>
      <c r="W9" s="13"/>
      <c r="X9" s="13"/>
      <c r="Y9" s="13"/>
      <c r="Z9" s="13"/>
      <c r="AA9" s="71"/>
      <c r="AB9" s="13"/>
      <c r="AD9" s="13" t="s">
        <v>862</v>
      </c>
      <c r="AE9" s="13"/>
      <c r="AF9" s="13" t="str">
        <f>UPPER(": "&amp;profilKelas!F5&amp;" ("&amp;profilKelas!F6&amp;")")</f>
        <v>:  ()</v>
      </c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</row>
    <row r="10" spans="1:43" x14ac:dyDescent="0.3">
      <c r="B10" s="162" t="s">
        <v>0</v>
      </c>
      <c r="C10" s="162" t="s">
        <v>858</v>
      </c>
      <c r="D10" s="164" t="s">
        <v>831</v>
      </c>
      <c r="E10" s="164" t="s">
        <v>987</v>
      </c>
      <c r="F10" s="44" t="s">
        <v>19</v>
      </c>
      <c r="G10" s="45"/>
      <c r="H10" s="45"/>
      <c r="I10" s="45"/>
      <c r="J10" s="45"/>
      <c r="K10" s="45"/>
      <c r="L10" s="46"/>
      <c r="M10" s="162" t="s">
        <v>9</v>
      </c>
      <c r="O10"/>
      <c r="Q10" s="73"/>
      <c r="R10" s="74"/>
      <c r="S10" s="74"/>
      <c r="T10" s="75"/>
      <c r="U10" s="76" t="s">
        <v>19</v>
      </c>
      <c r="V10" s="77"/>
      <c r="W10" s="77"/>
      <c r="X10" s="77"/>
      <c r="Y10" s="77"/>
      <c r="Z10" s="77"/>
      <c r="AA10" s="78"/>
      <c r="AB10" s="36"/>
      <c r="AD10" s="13" t="s">
        <v>863</v>
      </c>
      <c r="AE10" s="13"/>
      <c r="AF10" s="13" t="str">
        <f>UPPER(": "&amp;profilKelas!F9&amp;", Provinsi "&amp;profilKelas!F8)</f>
        <v xml:space="preserve">: , PROVINSI </v>
      </c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</row>
    <row r="11" spans="1:43" x14ac:dyDescent="0.3">
      <c r="B11" s="169"/>
      <c r="C11" s="169"/>
      <c r="D11" s="170"/>
      <c r="E11" s="170"/>
      <c r="F11" s="80" t="s">
        <v>2</v>
      </c>
      <c r="G11" s="80" t="s">
        <v>3</v>
      </c>
      <c r="H11" s="80" t="s">
        <v>4</v>
      </c>
      <c r="I11" s="81" t="s">
        <v>606</v>
      </c>
      <c r="J11" s="81" t="s">
        <v>6</v>
      </c>
      <c r="K11" s="81" t="s">
        <v>7</v>
      </c>
      <c r="L11" s="81" t="s">
        <v>8</v>
      </c>
      <c r="M11" s="169"/>
      <c r="O11"/>
      <c r="Q11" s="82"/>
      <c r="R11" s="83"/>
      <c r="S11" s="83"/>
      <c r="T11" s="84"/>
      <c r="U11" s="85" t="s">
        <v>14</v>
      </c>
      <c r="V11" s="86"/>
      <c r="W11" s="86"/>
      <c r="X11" s="86"/>
      <c r="Y11" s="86"/>
      <c r="Z11" s="86"/>
      <c r="AA11" s="87"/>
      <c r="AB11" s="79"/>
      <c r="AD11" s="13" t="str">
        <f>profilKelas!B10</f>
        <v>Nama Kepala Sekolah</v>
      </c>
      <c r="AE11" s="13"/>
      <c r="AF11" s="13" t="str">
        <f>UPPER(": "&amp;profilKelas!F10&amp;" (NIP."&amp;profilKelas!F11&amp;")")</f>
        <v>:  (NIP.)</v>
      </c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</row>
    <row r="12" spans="1:43" ht="16.2" x14ac:dyDescent="0.3">
      <c r="B12" s="163"/>
      <c r="C12" s="163"/>
      <c r="D12" s="165"/>
      <c r="E12" s="165"/>
      <c r="F12" s="88" t="s">
        <v>881</v>
      </c>
      <c r="G12" s="89"/>
      <c r="H12" s="89"/>
      <c r="I12" s="89"/>
      <c r="J12" s="89"/>
      <c r="K12" s="89"/>
      <c r="L12" s="90"/>
      <c r="M12" s="163"/>
      <c r="Q12" s="91" t="s">
        <v>0</v>
      </c>
      <c r="R12" s="92" t="s">
        <v>1</v>
      </c>
      <c r="S12" s="35" t="s">
        <v>596</v>
      </c>
      <c r="T12" s="35" t="s">
        <v>605</v>
      </c>
      <c r="U12" s="80" t="s">
        <v>599</v>
      </c>
      <c r="V12" s="80" t="s">
        <v>600</v>
      </c>
      <c r="W12" s="80" t="s">
        <v>4</v>
      </c>
      <c r="X12" s="81" t="s">
        <v>601</v>
      </c>
      <c r="Y12" s="81" t="s">
        <v>602</v>
      </c>
      <c r="Z12" s="81" t="s">
        <v>603</v>
      </c>
      <c r="AA12" s="93" t="s">
        <v>604</v>
      </c>
      <c r="AB12" s="36" t="s">
        <v>11</v>
      </c>
      <c r="AD12" s="34" t="str">
        <f ca="1">SUBSTITUTE(profilKelas!B15,"Nama ","")&amp;" "&amp;IF(ISBLANK(profilKelas!H13),"",profilKelas!H13)</f>
        <v>Guru Wali Kelas Pilih Kelas dan Rombel</v>
      </c>
      <c r="AE12" s="34"/>
      <c r="AF12" s="34" t="str">
        <f>UPPER(": "&amp;profilKelas!F15)</f>
        <v xml:space="preserve">: </v>
      </c>
      <c r="AG12" s="34"/>
      <c r="AH12" s="34"/>
      <c r="AI12" s="34"/>
      <c r="AJ12" s="34"/>
      <c r="AK12" s="34"/>
      <c r="AL12" s="34"/>
      <c r="AM12" s="34"/>
      <c r="AN12" s="34"/>
      <c r="AO12" s="34"/>
      <c r="AP12" s="13"/>
      <c r="AQ12" s="13"/>
    </row>
    <row r="13" spans="1:43" x14ac:dyDescent="0.3">
      <c r="B13" s="4">
        <f>IF(ROW(A1)&lt;=profilKelas!$F$14,ROW(A1),"")</f>
        <v>1</v>
      </c>
      <c r="C13" s="94" t="str">
        <f>IF(ISBLANK(identitasMurid!C6),"",identitasMurid!C6)</f>
        <v/>
      </c>
      <c r="D13" s="6" t="str">
        <f>IF(ISBLANK(identitasMurid!D6),"",identitasMurid!D6)</f>
        <v/>
      </c>
      <c r="E13" s="95"/>
      <c r="F13" s="95"/>
      <c r="G13" s="95"/>
      <c r="H13" s="95"/>
      <c r="I13" s="95"/>
      <c r="J13" s="95"/>
      <c r="K13" s="95"/>
      <c r="L13" s="95"/>
      <c r="M13" s="95"/>
      <c r="Q13" s="5">
        <f>IF(ROW(A1)&lt;=profilKelas!$F$14,ROW(A1),"")</f>
        <v>1</v>
      </c>
      <c r="R13" s="12" t="str">
        <f t="shared" ref="R13:R57" si="0">C13</f>
        <v/>
      </c>
      <c r="S13" s="108" t="str">
        <f t="shared" ref="S13:S19" si="1">IF(LEN(B13)=0,"",IF(ISBLANK(E13),"Status Siswa Kosong",E13))</f>
        <v>Status Siswa Kosong</v>
      </c>
      <c r="T13" s="108" t="str">
        <f t="shared" ref="T13:T57" si="2">IF(ISBLANK(D13),"",D13)</f>
        <v/>
      </c>
      <c r="U13" s="108" t="str">
        <f t="shared" ref="U13:AA28" si="3">IF(LEN($B13)=0,"",IF(LEN($C13)=0,"Nama Siswa Kosong",IF($E13="","Status Siswa Kosong",IF($E13&lt;&gt;"Aktif","Siswa Tidak Aktif",
IF(ISBLANK(F13),"Belum mengisi",IF(F13&gt;=20,"Sudah terbiasa","Belum terbiasa"))))))</f>
        <v>Nama Siswa Kosong</v>
      </c>
      <c r="V13" s="108" t="str">
        <f t="shared" si="3"/>
        <v>Nama Siswa Kosong</v>
      </c>
      <c r="W13" s="108" t="str">
        <f t="shared" si="3"/>
        <v>Nama Siswa Kosong</v>
      </c>
      <c r="X13" s="108" t="str">
        <f t="shared" si="3"/>
        <v>Nama Siswa Kosong</v>
      </c>
      <c r="Y13" s="108" t="str">
        <f t="shared" si="3"/>
        <v>Nama Siswa Kosong</v>
      </c>
      <c r="Z13" s="108" t="str">
        <f t="shared" si="3"/>
        <v>Nama Siswa Kosong</v>
      </c>
      <c r="AA13" s="108" t="str">
        <f t="shared" si="3"/>
        <v>Nama Siswa Kosong</v>
      </c>
      <c r="AB13" s="108" t="str" cm="1">
        <f t="array" ref="AB13">IF(LEN($B13)=0,"",IF(LEN(C13)=0,"Nama Siswa Kosong",IF($E13="","Status Siswa Kosong",IF(S13&lt;&gt;"Aktif","Siswa Tidak Aktif",
IF(OR(U13:AA13="Belum mengisi"),"Belum mengisi",IF(AND(U13:AA13="Sudah terbiasa"),"Sudah terbiasa","Belum terbiasa"))))))</f>
        <v>Nama Siswa Kosong</v>
      </c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</row>
    <row r="14" spans="1:43" ht="15.6" hidden="1" customHeight="1" x14ac:dyDescent="0.3">
      <c r="B14" s="4" t="str">
        <f>IF(ROW(A2)&lt;=profilKelas!$F$14,ROW(A2),"")</f>
        <v/>
      </c>
      <c r="C14" s="94" t="str">
        <f>IF(ISBLANK(identitasMurid!C7),"",identitasMurid!C7)</f>
        <v/>
      </c>
      <c r="D14" s="6" t="str">
        <f>IF(ISBLANK(identitasMurid!D7),"",identitasMurid!D7)</f>
        <v/>
      </c>
      <c r="E14" s="95"/>
      <c r="F14" s="95"/>
      <c r="G14" s="95"/>
      <c r="H14" s="95"/>
      <c r="I14" s="95"/>
      <c r="J14" s="95"/>
      <c r="K14" s="95"/>
      <c r="L14" s="95"/>
      <c r="M14" s="95"/>
      <c r="Q14" s="5" t="str">
        <f>IF(ROW(A2)&lt;=profilKelas!$F$14,ROW(A2),"")</f>
        <v/>
      </c>
      <c r="R14" s="12" t="str">
        <f t="shared" si="0"/>
        <v/>
      </c>
      <c r="S14" s="108" t="str">
        <f t="shared" si="1"/>
        <v/>
      </c>
      <c r="T14" s="108" t="str">
        <f t="shared" si="2"/>
        <v/>
      </c>
      <c r="U14" s="108" t="str">
        <f t="shared" si="3"/>
        <v/>
      </c>
      <c r="V14" s="108" t="str">
        <f t="shared" si="3"/>
        <v/>
      </c>
      <c r="W14" s="108" t="str">
        <f t="shared" si="3"/>
        <v/>
      </c>
      <c r="X14" s="108" t="str">
        <f t="shared" si="3"/>
        <v/>
      </c>
      <c r="Y14" s="108" t="str">
        <f t="shared" si="3"/>
        <v/>
      </c>
      <c r="Z14" s="108" t="str">
        <f t="shared" si="3"/>
        <v/>
      </c>
      <c r="AA14" s="108" t="str">
        <f t="shared" si="3"/>
        <v/>
      </c>
      <c r="AB14" s="108" t="str" cm="1">
        <f t="array" ref="AB14">IF(LEN($B14)=0,"",IF(LEN(C14)=0,"Nama Siswa Kosong",IF($E14="","Status Siswa Kosong",IF(S14&lt;&gt;"Aktif","Siswa Tidak Aktif",
IF(OR(U14:AA14="Belum mengisi"),"Belum mengisi",IF(AND(U14:AA14="Sudah terbiasa"),"Sudah terbiasa","Belum terbiasa"))))))</f>
        <v/>
      </c>
      <c r="AD14" s="162" t="s">
        <v>0</v>
      </c>
      <c r="AE14" s="162" t="s">
        <v>831</v>
      </c>
      <c r="AF14" s="164" t="s">
        <v>833</v>
      </c>
      <c r="AG14" s="173" t="s">
        <v>596</v>
      </c>
      <c r="AH14" s="174"/>
      <c r="AI14" s="174"/>
      <c r="AJ14" s="175"/>
      <c r="AK14" s="13"/>
      <c r="AL14" s="158"/>
      <c r="AM14" s="158"/>
      <c r="AN14" s="158"/>
      <c r="AO14" s="158"/>
      <c r="AP14" s="158"/>
      <c r="AQ14" s="158"/>
    </row>
    <row r="15" spans="1:43" ht="15.6" hidden="1" customHeight="1" x14ac:dyDescent="0.3">
      <c r="B15" s="4" t="str">
        <f>IF(ROW(A3)&lt;=profilKelas!$F$14,ROW(A3),"")</f>
        <v/>
      </c>
      <c r="C15" s="94" t="str">
        <f>IF(ISBLANK(identitasMurid!C8),"",identitasMurid!C8)</f>
        <v/>
      </c>
      <c r="D15" s="6" t="str">
        <f>IF(ISBLANK(identitasMurid!D8),"",identitasMurid!D8)</f>
        <v/>
      </c>
      <c r="E15" s="95"/>
      <c r="F15" s="95"/>
      <c r="G15" s="95"/>
      <c r="H15" s="95"/>
      <c r="I15" s="95"/>
      <c r="J15" s="95"/>
      <c r="K15" s="95"/>
      <c r="L15" s="95"/>
      <c r="M15" s="95"/>
      <c r="Q15" s="5" t="str">
        <f>IF(ROW(A3)&lt;=profilKelas!$F$14,ROW(A3),"")</f>
        <v/>
      </c>
      <c r="R15" s="12" t="str">
        <f t="shared" si="0"/>
        <v/>
      </c>
      <c r="S15" s="108" t="str">
        <f t="shared" si="1"/>
        <v/>
      </c>
      <c r="T15" s="108" t="str">
        <f t="shared" si="2"/>
        <v/>
      </c>
      <c r="U15" s="108" t="str">
        <f t="shared" si="3"/>
        <v/>
      </c>
      <c r="V15" s="108" t="str">
        <f t="shared" si="3"/>
        <v/>
      </c>
      <c r="W15" s="108" t="str">
        <f t="shared" si="3"/>
        <v/>
      </c>
      <c r="X15" s="108" t="str">
        <f t="shared" si="3"/>
        <v/>
      </c>
      <c r="Y15" s="108" t="str">
        <f t="shared" si="3"/>
        <v/>
      </c>
      <c r="Z15" s="108" t="str">
        <f t="shared" si="3"/>
        <v/>
      </c>
      <c r="AA15" s="108" t="str">
        <f t="shared" si="3"/>
        <v/>
      </c>
      <c r="AB15" s="108" t="str" cm="1">
        <f t="array" ref="AB15">IF(LEN($B15)=0,"",IF(LEN(C15)=0,"Nama Siswa Kosong",IF($E15="","Status Siswa Kosong",IF(S15&lt;&gt;"Aktif","Siswa Tidak Aktif",
IF(OR(U15:AA15="Belum mengisi"),"Belum mengisi",IF(AND(U15:AA15="Sudah terbiasa"),"Sudah terbiasa","Belum terbiasa"))))))</f>
        <v/>
      </c>
      <c r="AD15" s="163"/>
      <c r="AE15" s="163"/>
      <c r="AF15" s="165"/>
      <c r="AG15" s="148" t="s">
        <v>597</v>
      </c>
      <c r="AH15" s="148"/>
      <c r="AI15" s="148" t="s">
        <v>598</v>
      </c>
      <c r="AJ15" s="148"/>
      <c r="AK15" s="13"/>
      <c r="AL15" s="158"/>
      <c r="AM15" s="158"/>
      <c r="AN15" s="158"/>
      <c r="AO15" s="158"/>
      <c r="AP15" s="158"/>
      <c r="AQ15" s="158"/>
    </row>
    <row r="16" spans="1:43" hidden="1" x14ac:dyDescent="0.3">
      <c r="B16" s="4" t="str">
        <f>IF(ROW(A4)&lt;=profilKelas!$F$14,ROW(A4),"")</f>
        <v/>
      </c>
      <c r="C16" s="94" t="str">
        <f>IF(ISBLANK(identitasMurid!C9),"",identitasMurid!C9)</f>
        <v/>
      </c>
      <c r="D16" s="6" t="str">
        <f>IF(ISBLANK(identitasMurid!D9),"",identitasMurid!D9)</f>
        <v/>
      </c>
      <c r="E16" s="95"/>
      <c r="F16" s="95"/>
      <c r="G16" s="95"/>
      <c r="H16" s="95"/>
      <c r="I16" s="95"/>
      <c r="J16" s="95"/>
      <c r="K16" s="95"/>
      <c r="L16" s="95"/>
      <c r="M16" s="95"/>
      <c r="Q16" s="5" t="str">
        <f>IF(ROW(A4)&lt;=profilKelas!$F$14,ROW(A4),"")</f>
        <v/>
      </c>
      <c r="R16" s="12" t="str">
        <f t="shared" si="0"/>
        <v/>
      </c>
      <c r="S16" s="108" t="str">
        <f t="shared" si="1"/>
        <v/>
      </c>
      <c r="T16" s="108" t="str">
        <f t="shared" si="2"/>
        <v/>
      </c>
      <c r="U16" s="108" t="str">
        <f t="shared" si="3"/>
        <v/>
      </c>
      <c r="V16" s="108" t="str">
        <f t="shared" si="3"/>
        <v/>
      </c>
      <c r="W16" s="108" t="str">
        <f t="shared" si="3"/>
        <v/>
      </c>
      <c r="X16" s="108" t="str">
        <f t="shared" si="3"/>
        <v/>
      </c>
      <c r="Y16" s="108" t="str">
        <f t="shared" si="3"/>
        <v/>
      </c>
      <c r="Z16" s="108" t="str">
        <f t="shared" si="3"/>
        <v/>
      </c>
      <c r="AA16" s="108" t="str">
        <f t="shared" si="3"/>
        <v/>
      </c>
      <c r="AB16" s="108" t="str" cm="1">
        <f t="array" ref="AB16">IF(LEN($B16)=0,"",IF(LEN(C16)=0,"Nama Siswa Kosong",IF($E16="","Status Siswa Kosong",IF(S16&lt;&gt;"Aktif","Siswa Tidak Aktif",
IF(OR(U16:AA16="Belum mengisi"),"Belum mengisi",IF(AND(U16:AA16="Sudah terbiasa"),"Sudah terbiasa","Belum terbiasa"))))))</f>
        <v/>
      </c>
      <c r="AD16" s="41">
        <v>1</v>
      </c>
      <c r="AE16" s="41" t="s">
        <v>607</v>
      </c>
      <c r="AF16" s="10">
        <f>COUNTIF(JulPL,Perempuan)</f>
        <v>0</v>
      </c>
      <c r="AG16" s="96">
        <f>COUNTIFS(JulKategoriAkhir,SudahTerbiasa,JulPL,Perempuan)</f>
        <v>0</v>
      </c>
      <c r="AH16" s="96"/>
      <c r="AI16" s="96">
        <f>COUNTIFS(JulKategoriAkhir,BelumTerbiasa,JulPL,Perempuan)</f>
        <v>0</v>
      </c>
      <c r="AJ16" s="96"/>
      <c r="AK16" s="13"/>
      <c r="AL16" s="158"/>
      <c r="AM16" s="158"/>
      <c r="AN16" s="158"/>
      <c r="AO16" s="158"/>
      <c r="AP16" s="158"/>
      <c r="AQ16" s="158"/>
    </row>
    <row r="17" spans="2:43" hidden="1" x14ac:dyDescent="0.3">
      <c r="B17" s="4" t="str">
        <f>IF(ROW(A5)&lt;=profilKelas!$F$14,ROW(A5),"")</f>
        <v/>
      </c>
      <c r="C17" s="94" t="str">
        <f>IF(ISBLANK(identitasMurid!C10),"",identitasMurid!C10)</f>
        <v/>
      </c>
      <c r="D17" s="6" t="str">
        <f>IF(ISBLANK(identitasMurid!D10),"",identitasMurid!D10)</f>
        <v/>
      </c>
      <c r="E17" s="95"/>
      <c r="F17" s="95"/>
      <c r="G17" s="95"/>
      <c r="H17" s="95"/>
      <c r="I17" s="95"/>
      <c r="J17" s="95"/>
      <c r="K17" s="95"/>
      <c r="L17" s="95"/>
      <c r="M17" s="95"/>
      <c r="Q17" s="5" t="str">
        <f>IF(ROW(A5)&lt;=profilKelas!$F$14,ROW(A5),"")</f>
        <v/>
      </c>
      <c r="R17" s="12" t="str">
        <f t="shared" si="0"/>
        <v/>
      </c>
      <c r="S17" s="108" t="str">
        <f t="shared" si="1"/>
        <v/>
      </c>
      <c r="T17" s="108" t="str">
        <f t="shared" si="2"/>
        <v/>
      </c>
      <c r="U17" s="108" t="str">
        <f t="shared" si="3"/>
        <v/>
      </c>
      <c r="V17" s="108" t="str">
        <f t="shared" si="3"/>
        <v/>
      </c>
      <c r="W17" s="108" t="str">
        <f t="shared" si="3"/>
        <v/>
      </c>
      <c r="X17" s="108" t="str">
        <f t="shared" si="3"/>
        <v/>
      </c>
      <c r="Y17" s="108" t="str">
        <f t="shared" si="3"/>
        <v/>
      </c>
      <c r="Z17" s="108" t="str">
        <f t="shared" si="3"/>
        <v/>
      </c>
      <c r="AA17" s="108" t="str">
        <f t="shared" si="3"/>
        <v/>
      </c>
      <c r="AB17" s="108" t="str" cm="1">
        <f t="array" ref="AB17">IF(LEN($B17)=0,"",IF(LEN(C17)=0,"Nama Siswa Kosong",IF($E17="","Status Siswa Kosong",IF(S17&lt;&gt;"Aktif","Siswa Tidak Aktif",
IF(OR(U17:AA17="Belum mengisi"),"Belum mengisi",IF(AND(U17:AA17="Sudah terbiasa"),"Sudah terbiasa","Belum terbiasa"))))))</f>
        <v/>
      </c>
      <c r="AD17" s="41">
        <v>2</v>
      </c>
      <c r="AE17" s="41" t="s">
        <v>608</v>
      </c>
      <c r="AF17" s="97">
        <f>COUNTIF(JulPL,Laki_Laki)</f>
        <v>0</v>
      </c>
      <c r="AG17" s="96">
        <f>COUNTIFS(JulKategoriAkhir,SudahTerbiasa,JulPL,Laki_Laki)</f>
        <v>0</v>
      </c>
      <c r="AH17" s="96"/>
      <c r="AI17" s="96">
        <f>COUNTIFS(JulKategoriAkhir,BelumTerbiasa,JulPL,Laki_Laki)</f>
        <v>0</v>
      </c>
      <c r="AJ17" s="96"/>
      <c r="AK17" s="13"/>
      <c r="AL17" s="158"/>
      <c r="AM17" s="158"/>
      <c r="AN17" s="158"/>
      <c r="AO17" s="158"/>
      <c r="AP17" s="158"/>
      <c r="AQ17" s="158"/>
    </row>
    <row r="18" spans="2:43" hidden="1" x14ac:dyDescent="0.3">
      <c r="B18" s="4" t="str">
        <f>IF(ROW(A6)&lt;=profilKelas!$F$14,ROW(A6),"")</f>
        <v/>
      </c>
      <c r="C18" s="94" t="str">
        <f>IF(ISBLANK(identitasMurid!C11),"",identitasMurid!C11)</f>
        <v/>
      </c>
      <c r="D18" s="6" t="str">
        <f>IF(ISBLANK(identitasMurid!D11),"",identitasMurid!D11)</f>
        <v/>
      </c>
      <c r="E18" s="95"/>
      <c r="F18" s="95"/>
      <c r="G18" s="95"/>
      <c r="H18" s="95"/>
      <c r="I18" s="95"/>
      <c r="J18" s="95"/>
      <c r="K18" s="95"/>
      <c r="L18" s="95"/>
      <c r="M18" s="95"/>
      <c r="Q18" s="5" t="str">
        <f>IF(ROW(A6)&lt;=profilKelas!$F$14,ROW(A6),"")</f>
        <v/>
      </c>
      <c r="R18" s="12" t="str">
        <f t="shared" si="0"/>
        <v/>
      </c>
      <c r="S18" s="108" t="str">
        <f t="shared" si="1"/>
        <v/>
      </c>
      <c r="T18" s="108" t="str">
        <f t="shared" si="2"/>
        <v/>
      </c>
      <c r="U18" s="108" t="str">
        <f t="shared" si="3"/>
        <v/>
      </c>
      <c r="V18" s="108" t="str">
        <f t="shared" si="3"/>
        <v/>
      </c>
      <c r="W18" s="108" t="str">
        <f t="shared" si="3"/>
        <v/>
      </c>
      <c r="X18" s="108" t="str">
        <f t="shared" si="3"/>
        <v/>
      </c>
      <c r="Y18" s="108" t="str">
        <f t="shared" si="3"/>
        <v/>
      </c>
      <c r="Z18" s="108" t="str">
        <f t="shared" si="3"/>
        <v/>
      </c>
      <c r="AA18" s="108" t="str">
        <f t="shared" si="3"/>
        <v/>
      </c>
      <c r="AB18" s="108" t="str" cm="1">
        <f t="array" ref="AB18">IF(LEN($B18)=0,"",IF(LEN(C18)=0,"Nama Siswa Kosong",IF($E18="","Status Siswa Kosong",IF(S18&lt;&gt;"Aktif","Siswa Tidak Aktif",
IF(OR(U18:AA18="Belum mengisi"),"Belum mengisi",IF(AND(U18:AA18="Sudah terbiasa"),"Sudah terbiasa","Belum terbiasa"))))))</f>
        <v/>
      </c>
      <c r="AD18" s="160" t="s">
        <v>832</v>
      </c>
      <c r="AE18" s="160"/>
      <c r="AF18" s="3">
        <f>SUM(AF16:AF17)</f>
        <v>0</v>
      </c>
      <c r="AG18" s="96">
        <f>SUM(AG16:AG17)</f>
        <v>0</v>
      </c>
      <c r="AH18" s="96"/>
      <c r="AI18" s="96">
        <f>SUM(AI16:AI17)</f>
        <v>0</v>
      </c>
      <c r="AJ18" s="96"/>
      <c r="AK18" s="13"/>
      <c r="AL18" s="158"/>
      <c r="AM18" s="158"/>
      <c r="AN18" s="158"/>
      <c r="AO18" s="158"/>
      <c r="AP18" s="158"/>
      <c r="AQ18" s="158"/>
    </row>
    <row r="19" spans="2:43" hidden="1" x14ac:dyDescent="0.3">
      <c r="B19" s="4" t="str">
        <f>IF(ROW(A7)&lt;=profilKelas!$F$14,ROW(A7),"")</f>
        <v/>
      </c>
      <c r="C19" s="94" t="str">
        <f>IF(ISBLANK(identitasMurid!C12),"",identitasMurid!C12)</f>
        <v/>
      </c>
      <c r="D19" s="6" t="str">
        <f>IF(ISBLANK(identitasMurid!D12),"",identitasMurid!D12)</f>
        <v/>
      </c>
      <c r="E19" s="95"/>
      <c r="F19" s="95"/>
      <c r="G19" s="95"/>
      <c r="H19" s="95"/>
      <c r="I19" s="95"/>
      <c r="J19" s="95"/>
      <c r="K19" s="95"/>
      <c r="L19" s="95"/>
      <c r="M19" s="95"/>
      <c r="Q19" s="5" t="str">
        <f>IF(ROW(A7)&lt;=profilKelas!$F$14,ROW(A7),"")</f>
        <v/>
      </c>
      <c r="R19" s="12" t="str">
        <f t="shared" si="0"/>
        <v/>
      </c>
      <c r="S19" s="108" t="str">
        <f t="shared" si="1"/>
        <v/>
      </c>
      <c r="T19" s="108" t="str">
        <f t="shared" si="2"/>
        <v/>
      </c>
      <c r="U19" s="108" t="str">
        <f t="shared" si="3"/>
        <v/>
      </c>
      <c r="V19" s="108" t="str">
        <f t="shared" si="3"/>
        <v/>
      </c>
      <c r="W19" s="108" t="str">
        <f t="shared" si="3"/>
        <v/>
      </c>
      <c r="X19" s="108" t="str">
        <f t="shared" si="3"/>
        <v/>
      </c>
      <c r="Y19" s="108" t="str">
        <f t="shared" si="3"/>
        <v/>
      </c>
      <c r="Z19" s="108" t="str">
        <f t="shared" si="3"/>
        <v/>
      </c>
      <c r="AA19" s="108" t="str">
        <f t="shared" si="3"/>
        <v/>
      </c>
      <c r="AB19" s="108" t="str" cm="1">
        <f t="array" ref="AB19">IF(LEN($B19)=0,"",IF(LEN(C19)=0,"Nama Siswa Kosong",IF($E19="","Status Siswa Kosong",IF(S19&lt;&gt;"Aktif","Siswa Tidak Aktif",
IF(OR(U19:AA19="Belum mengisi"),"Belum mengisi",IF(AND(U19:AA19="Sudah terbiasa"),"Sudah terbiasa","Belum terbiasa"))))))</f>
        <v/>
      </c>
      <c r="AD19" s="13"/>
      <c r="AE19" s="13"/>
      <c r="AF19" s="13"/>
      <c r="AG19" s="13"/>
      <c r="AH19" s="13"/>
      <c r="AI19" s="13"/>
      <c r="AJ19" s="13"/>
      <c r="AK19" s="13"/>
      <c r="AL19" s="43"/>
      <c r="AM19" s="43"/>
      <c r="AN19" s="43"/>
      <c r="AO19" s="43"/>
      <c r="AP19" s="43"/>
      <c r="AQ19" s="43"/>
    </row>
    <row r="20" spans="2:43" hidden="1" x14ac:dyDescent="0.3">
      <c r="B20" s="4" t="str">
        <f>IF(ROW(A8)&lt;=profilKelas!$F$14,ROW(A8),"")</f>
        <v/>
      </c>
      <c r="C20" s="94" t="str">
        <f>IF(ISBLANK(identitasMurid!C13),"",identitasMurid!C13)</f>
        <v/>
      </c>
      <c r="D20" s="6" t="str">
        <f>IF(ISBLANK(identitasMurid!D13),"",identitasMurid!D13)</f>
        <v/>
      </c>
      <c r="E20" s="95"/>
      <c r="F20" s="95"/>
      <c r="G20" s="95"/>
      <c r="H20" s="95"/>
      <c r="I20" s="95"/>
      <c r="J20" s="95"/>
      <c r="K20" s="95"/>
      <c r="L20" s="95"/>
      <c r="M20" s="95"/>
      <c r="Q20" s="5" t="str">
        <f>IF(ROW(A8)&lt;=profilKelas!$F$14,ROW(A8),"")</f>
        <v/>
      </c>
      <c r="R20" s="12" t="str">
        <f t="shared" si="0"/>
        <v/>
      </c>
      <c r="S20" s="108" t="str">
        <f>IF(LEN(B20)=0,"",IF(ISBLANK(E20),"Status Siswa Kosong",E20))</f>
        <v/>
      </c>
      <c r="T20" s="108" t="str">
        <f t="shared" si="2"/>
        <v/>
      </c>
      <c r="U20" s="108" t="str">
        <f t="shared" si="3"/>
        <v/>
      </c>
      <c r="V20" s="108" t="str">
        <f t="shared" si="3"/>
        <v/>
      </c>
      <c r="W20" s="108" t="str">
        <f t="shared" si="3"/>
        <v/>
      </c>
      <c r="X20" s="108" t="str">
        <f t="shared" si="3"/>
        <v/>
      </c>
      <c r="Y20" s="108" t="str">
        <f t="shared" si="3"/>
        <v/>
      </c>
      <c r="Z20" s="108" t="str">
        <f t="shared" si="3"/>
        <v/>
      </c>
      <c r="AA20" s="108" t="str">
        <f t="shared" si="3"/>
        <v/>
      </c>
      <c r="AB20" s="108" t="str" cm="1">
        <f t="array" ref="AB20">IF(LEN($B20)=0,"",IF(LEN(C20)=0,"Nama Siswa Kosong",IF($E20="","Status Siswa Kosong",IF(S20&lt;&gt;"Aktif","Siswa Tidak Aktif",
IF(OR(U20:AA20="Belum mengisi"),"Belum mengisi",IF(AND(U20:AA20="Sudah terbiasa"),"Sudah terbiasa","Belum terbiasa"))))))</f>
        <v/>
      </c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</row>
    <row r="21" spans="2:43" ht="15.75" hidden="1" customHeight="1" x14ac:dyDescent="0.3">
      <c r="B21" s="4" t="str">
        <f>IF(ROW(A9)&lt;=profilKelas!$F$14,ROW(A9),"")</f>
        <v/>
      </c>
      <c r="C21" s="94" t="str">
        <f>IF(ISBLANK(identitasMurid!C14),"",identitasMurid!C14)</f>
        <v/>
      </c>
      <c r="D21" s="6" t="str">
        <f>IF(ISBLANK(identitasMurid!D14),"",identitasMurid!D14)</f>
        <v/>
      </c>
      <c r="E21" s="95"/>
      <c r="F21" s="95"/>
      <c r="G21" s="95"/>
      <c r="H21" s="95"/>
      <c r="I21" s="95"/>
      <c r="J21" s="95"/>
      <c r="K21" s="95"/>
      <c r="L21" s="95"/>
      <c r="M21" s="95"/>
      <c r="Q21" s="5" t="str">
        <f>IF(ROW(A9)&lt;=profilKelas!$F$14,ROW(A9),"")</f>
        <v/>
      </c>
      <c r="R21" s="12" t="str">
        <f t="shared" si="0"/>
        <v/>
      </c>
      <c r="S21" s="108" t="str">
        <f t="shared" ref="S21:S57" si="4">IF(LEN(B21)=0,"",IF(ISBLANK(E21),"Status Siswa Kosong",E21))</f>
        <v/>
      </c>
      <c r="T21" s="108" t="str">
        <f t="shared" si="2"/>
        <v/>
      </c>
      <c r="U21" s="108" t="str">
        <f t="shared" si="3"/>
        <v/>
      </c>
      <c r="V21" s="108" t="str">
        <f t="shared" si="3"/>
        <v/>
      </c>
      <c r="W21" s="108" t="str">
        <f t="shared" si="3"/>
        <v/>
      </c>
      <c r="X21" s="108" t="str">
        <f t="shared" si="3"/>
        <v/>
      </c>
      <c r="Y21" s="108" t="str">
        <f t="shared" si="3"/>
        <v/>
      </c>
      <c r="Z21" s="108" t="str">
        <f t="shared" si="3"/>
        <v/>
      </c>
      <c r="AA21" s="108" t="str">
        <f t="shared" si="3"/>
        <v/>
      </c>
      <c r="AB21" s="108" t="str" cm="1">
        <f t="array" ref="AB21">IF(LEN($B21)=0,"",IF(LEN(C21)=0,"Nama Siswa Kosong",IF($E21="","Status Siswa Kosong",IF(S21&lt;&gt;"Aktif","Siswa Tidak Aktif",
IF(OR(U21:AA21="Belum mengisi"),"Belum mengisi",IF(AND(U21:AA21="Sudah terbiasa"),"Sudah terbiasa","Belum terbiasa"))))))</f>
        <v/>
      </c>
      <c r="AD21" s="13"/>
      <c r="AE21" s="13"/>
      <c r="AF21" s="13"/>
      <c r="AG21" s="173" t="s">
        <v>596</v>
      </c>
      <c r="AH21" s="174"/>
      <c r="AI21" s="174"/>
      <c r="AJ21" s="175"/>
      <c r="AK21" s="13"/>
      <c r="AL21" s="13"/>
      <c r="AM21" s="13"/>
      <c r="AN21" s="13"/>
      <c r="AO21" s="13"/>
      <c r="AP21" s="13"/>
      <c r="AQ21" s="13"/>
    </row>
    <row r="22" spans="2:43" hidden="1" x14ac:dyDescent="0.3">
      <c r="B22" s="4" t="str">
        <f>IF(ROW(A10)&lt;=profilKelas!$F$14,ROW(A10),"")</f>
        <v/>
      </c>
      <c r="C22" s="94" t="str">
        <f>IF(ISBLANK(identitasMurid!C15),"",identitasMurid!C15)</f>
        <v/>
      </c>
      <c r="D22" s="6" t="str">
        <f>IF(ISBLANK(identitasMurid!D15),"",identitasMurid!D15)</f>
        <v/>
      </c>
      <c r="E22" s="95"/>
      <c r="F22" s="95"/>
      <c r="G22" s="95"/>
      <c r="H22" s="95"/>
      <c r="I22" s="95"/>
      <c r="J22" s="95"/>
      <c r="K22" s="95"/>
      <c r="L22" s="95"/>
      <c r="M22" s="95"/>
      <c r="Q22" s="5" t="str">
        <f>IF(ROW(A10)&lt;=profilKelas!$F$14,ROW(A10),"")</f>
        <v/>
      </c>
      <c r="R22" s="12" t="str">
        <f t="shared" si="0"/>
        <v/>
      </c>
      <c r="S22" s="108" t="str">
        <f t="shared" si="4"/>
        <v/>
      </c>
      <c r="T22" s="108" t="str">
        <f t="shared" si="2"/>
        <v/>
      </c>
      <c r="U22" s="108" t="str">
        <f t="shared" si="3"/>
        <v/>
      </c>
      <c r="V22" s="108" t="str">
        <f t="shared" si="3"/>
        <v/>
      </c>
      <c r="W22" s="108" t="str">
        <f t="shared" si="3"/>
        <v/>
      </c>
      <c r="X22" s="108" t="str">
        <f t="shared" si="3"/>
        <v/>
      </c>
      <c r="Y22" s="108" t="str">
        <f t="shared" si="3"/>
        <v/>
      </c>
      <c r="Z22" s="108" t="str">
        <f t="shared" si="3"/>
        <v/>
      </c>
      <c r="AA22" s="108" t="str">
        <f t="shared" si="3"/>
        <v/>
      </c>
      <c r="AB22" s="108" t="str" cm="1">
        <f t="array" ref="AB22">IF(LEN($B22)=0,"",IF(LEN(C22)=0,"Nama Siswa Kosong",IF($E22="","Status Siswa Kosong",IF(S22&lt;&gt;"Aktif","Siswa Tidak Aktif",
IF(OR(U22:AA22="Belum mengisi"),"Belum mengisi",IF(AND(U22:AA22="Sudah terbiasa"),"Sudah terbiasa","Belum terbiasa"))))))</f>
        <v/>
      </c>
      <c r="AD22" s="98" t="s">
        <v>0</v>
      </c>
      <c r="AE22" s="148" t="s">
        <v>18</v>
      </c>
      <c r="AF22" s="148"/>
      <c r="AG22" s="148" t="s">
        <v>597</v>
      </c>
      <c r="AH22" s="148"/>
      <c r="AI22" s="171" t="s">
        <v>598</v>
      </c>
      <c r="AJ22" s="172"/>
      <c r="AK22" s="13"/>
      <c r="AL22" s="13"/>
      <c r="AM22" s="13"/>
      <c r="AN22" s="13"/>
      <c r="AO22" s="13"/>
      <c r="AP22" s="13"/>
      <c r="AQ22" s="13"/>
    </row>
    <row r="23" spans="2:43" hidden="1" x14ac:dyDescent="0.3">
      <c r="B23" s="4" t="str">
        <f>IF(ROW(A11)&lt;=profilKelas!$F$14,ROW(A11),"")</f>
        <v/>
      </c>
      <c r="C23" s="94" t="str">
        <f>IF(ISBLANK(identitasMurid!C16),"",identitasMurid!C16)</f>
        <v/>
      </c>
      <c r="D23" s="6" t="str">
        <f>IF(ISBLANK(identitasMurid!D16),"",identitasMurid!D16)</f>
        <v/>
      </c>
      <c r="E23" s="95"/>
      <c r="F23" s="95"/>
      <c r="G23" s="95"/>
      <c r="H23" s="95"/>
      <c r="I23" s="95"/>
      <c r="J23" s="95"/>
      <c r="K23" s="95"/>
      <c r="L23" s="95"/>
      <c r="M23" s="95"/>
      <c r="Q23" s="5" t="str">
        <f>IF(ROW(A11)&lt;=profilKelas!$F$14,ROW(A11),"")</f>
        <v/>
      </c>
      <c r="R23" s="12" t="str">
        <f t="shared" si="0"/>
        <v/>
      </c>
      <c r="S23" s="108" t="str">
        <f t="shared" si="4"/>
        <v/>
      </c>
      <c r="T23" s="108" t="str">
        <f t="shared" si="2"/>
        <v/>
      </c>
      <c r="U23" s="108" t="str">
        <f t="shared" si="3"/>
        <v/>
      </c>
      <c r="V23" s="108" t="str">
        <f t="shared" si="3"/>
        <v/>
      </c>
      <c r="W23" s="108" t="str">
        <f t="shared" si="3"/>
        <v/>
      </c>
      <c r="X23" s="108" t="str">
        <f t="shared" si="3"/>
        <v/>
      </c>
      <c r="Y23" s="108" t="str">
        <f t="shared" si="3"/>
        <v/>
      </c>
      <c r="Z23" s="108" t="str">
        <f t="shared" si="3"/>
        <v/>
      </c>
      <c r="AA23" s="108" t="str">
        <f t="shared" si="3"/>
        <v/>
      </c>
      <c r="AB23" s="108" t="str" cm="1">
        <f t="array" ref="AB23">IF(LEN($B23)=0,"",IF(LEN(C23)=0,"Nama Siswa Kosong",IF($E23="","Status Siswa Kosong",IF(S23&lt;&gt;"Aktif","Siswa Tidak Aktif",
IF(OR(U23:AA23="Belum mengisi"),"Belum mengisi",IF(AND(U23:AA23="Sudah terbiasa"),"Sudah terbiasa","Belum terbiasa"))))))</f>
        <v/>
      </c>
      <c r="AC23" s="99">
        <f t="shared" ref="AC23:AC29" si="5">RANK(AG23,$AG$23:$AG$29)</f>
        <v>1</v>
      </c>
      <c r="AD23" s="41">
        <v>1</v>
      </c>
      <c r="AE23" s="161" t="s">
        <v>2</v>
      </c>
      <c r="AF23" s="161"/>
      <c r="AG23" s="10">
        <f>COUNTIF(JulBangunPagi,SudahTerbiasa)</f>
        <v>0</v>
      </c>
      <c r="AH23" s="50">
        <f>COUNTIF(JulBangunPagi,SudahTerbiasa)/profilKelas!$F$14</f>
        <v>0</v>
      </c>
      <c r="AI23" s="10">
        <f>COUNTIF(JulBangunPagi,BelumTerbiasa)</f>
        <v>0</v>
      </c>
      <c r="AJ23" s="50">
        <f>AI23/profilKelas!$F$14</f>
        <v>0</v>
      </c>
      <c r="AK23" s="13"/>
      <c r="AL23" s="13"/>
      <c r="AM23" s="13"/>
      <c r="AN23" s="13"/>
      <c r="AO23" s="13"/>
      <c r="AP23" s="13"/>
      <c r="AQ23" s="13"/>
    </row>
    <row r="24" spans="2:43" hidden="1" x14ac:dyDescent="0.3">
      <c r="B24" s="4" t="str">
        <f>IF(ROW(A12)&lt;=profilKelas!$F$14,ROW(A12),"")</f>
        <v/>
      </c>
      <c r="C24" s="94" t="str">
        <f>IF(ISBLANK(identitasMurid!C17),"",identitasMurid!C17)</f>
        <v/>
      </c>
      <c r="D24" s="6" t="str">
        <f>IF(ISBLANK(identitasMurid!D17),"",identitasMurid!D17)</f>
        <v/>
      </c>
      <c r="E24" s="95"/>
      <c r="F24" s="95"/>
      <c r="G24" s="95"/>
      <c r="H24" s="95"/>
      <c r="I24" s="95"/>
      <c r="J24" s="95"/>
      <c r="K24" s="95"/>
      <c r="L24" s="95"/>
      <c r="M24" s="95"/>
      <c r="Q24" s="5" t="str">
        <f>IF(ROW(A12)&lt;=profilKelas!$F$14,ROW(A12),"")</f>
        <v/>
      </c>
      <c r="R24" s="12" t="str">
        <f t="shared" si="0"/>
        <v/>
      </c>
      <c r="S24" s="108" t="str">
        <f t="shared" si="4"/>
        <v/>
      </c>
      <c r="T24" s="108" t="str">
        <f t="shared" si="2"/>
        <v/>
      </c>
      <c r="U24" s="108" t="str">
        <f t="shared" si="3"/>
        <v/>
      </c>
      <c r="V24" s="108" t="str">
        <f t="shared" si="3"/>
        <v/>
      </c>
      <c r="W24" s="108" t="str">
        <f t="shared" si="3"/>
        <v/>
      </c>
      <c r="X24" s="108" t="str">
        <f t="shared" si="3"/>
        <v/>
      </c>
      <c r="Y24" s="108" t="str">
        <f t="shared" si="3"/>
        <v/>
      </c>
      <c r="Z24" s="108" t="str">
        <f t="shared" si="3"/>
        <v/>
      </c>
      <c r="AA24" s="108" t="str">
        <f t="shared" si="3"/>
        <v/>
      </c>
      <c r="AB24" s="108" t="str" cm="1">
        <f t="array" ref="AB24">IF(LEN($B24)=0,"",IF(LEN(C24)=0,"Nama Siswa Kosong",IF($E24="","Status Siswa Kosong",IF(S24&lt;&gt;"Aktif","Siswa Tidak Aktif",
IF(OR(U24:AA24="Belum mengisi"),"Belum mengisi",IF(AND(U24:AA24="Sudah terbiasa"),"Sudah terbiasa","Belum terbiasa"))))))</f>
        <v/>
      </c>
      <c r="AC24" s="99">
        <f t="shared" si="5"/>
        <v>1</v>
      </c>
      <c r="AD24" s="41">
        <v>2</v>
      </c>
      <c r="AE24" s="161" t="s">
        <v>3</v>
      </c>
      <c r="AF24" s="161"/>
      <c r="AG24" s="10">
        <f>COUNTIF(JulTaatBeribadah,SudahTerbiasa)</f>
        <v>0</v>
      </c>
      <c r="AH24" s="50">
        <f>AG24/profilKelas!$F$14</f>
        <v>0</v>
      </c>
      <c r="AI24" s="10">
        <f>COUNTIF(JulTaatBeribadah,BelumTerbiasa)</f>
        <v>0</v>
      </c>
      <c r="AJ24" s="50">
        <f>AI24/profilKelas!$F$14</f>
        <v>0</v>
      </c>
      <c r="AK24" s="13"/>
      <c r="AL24" s="13"/>
      <c r="AM24" s="13"/>
      <c r="AN24" s="13"/>
      <c r="AO24" s="13"/>
      <c r="AP24" s="13"/>
      <c r="AQ24" s="13"/>
    </row>
    <row r="25" spans="2:43" hidden="1" x14ac:dyDescent="0.3">
      <c r="B25" s="4" t="str">
        <f>IF(ROW(A13)&lt;=profilKelas!$F$14,ROW(A13),"")</f>
        <v/>
      </c>
      <c r="C25" s="94" t="str">
        <f>IF(ISBLANK(identitasMurid!C18),"",identitasMurid!C18)</f>
        <v/>
      </c>
      <c r="D25" s="6" t="str">
        <f>IF(ISBLANK(identitasMurid!D18),"",identitasMurid!D18)</f>
        <v/>
      </c>
      <c r="E25" s="95"/>
      <c r="F25" s="95"/>
      <c r="G25" s="95"/>
      <c r="H25" s="95"/>
      <c r="I25" s="95"/>
      <c r="J25" s="95"/>
      <c r="K25" s="95"/>
      <c r="L25" s="95"/>
      <c r="M25" s="95"/>
      <c r="Q25" s="5" t="str">
        <f>IF(ROW(A13)&lt;=profilKelas!$F$14,ROW(A13),"")</f>
        <v/>
      </c>
      <c r="R25" s="12" t="str">
        <f t="shared" si="0"/>
        <v/>
      </c>
      <c r="S25" s="108" t="str">
        <f t="shared" si="4"/>
        <v/>
      </c>
      <c r="T25" s="108" t="str">
        <f t="shared" si="2"/>
        <v/>
      </c>
      <c r="U25" s="108" t="str">
        <f t="shared" si="3"/>
        <v/>
      </c>
      <c r="V25" s="108" t="str">
        <f t="shared" si="3"/>
        <v/>
      </c>
      <c r="W25" s="108" t="str">
        <f t="shared" si="3"/>
        <v/>
      </c>
      <c r="X25" s="108" t="str">
        <f t="shared" si="3"/>
        <v/>
      </c>
      <c r="Y25" s="108" t="str">
        <f t="shared" si="3"/>
        <v/>
      </c>
      <c r="Z25" s="108" t="str">
        <f t="shared" si="3"/>
        <v/>
      </c>
      <c r="AA25" s="108" t="str">
        <f t="shared" si="3"/>
        <v/>
      </c>
      <c r="AB25" s="108" t="str" cm="1">
        <f t="array" ref="AB25">IF(LEN($B25)=0,"",IF(LEN(C25)=0,"Nama Siswa Kosong",IF($E25="","Status Siswa Kosong",IF(S25&lt;&gt;"Aktif","Siswa Tidak Aktif",
IF(OR(U25:AA25="Belum mengisi"),"Belum mengisi",IF(AND(U25:AA25="Sudah terbiasa"),"Sudah terbiasa","Belum terbiasa"))))))</f>
        <v/>
      </c>
      <c r="AC25" s="99">
        <f t="shared" si="5"/>
        <v>1</v>
      </c>
      <c r="AD25" s="41">
        <v>3</v>
      </c>
      <c r="AE25" s="161" t="s">
        <v>4</v>
      </c>
      <c r="AF25" s="161"/>
      <c r="AG25" s="10">
        <f>COUNTIF(JulBerolahraga,SudahTerbiasa)</f>
        <v>0</v>
      </c>
      <c r="AH25" s="50">
        <f>AG25/profilKelas!$F$14</f>
        <v>0</v>
      </c>
      <c r="AI25" s="10">
        <f>COUNTIF(JulBerolahraga,BelumTerbiasa)</f>
        <v>0</v>
      </c>
      <c r="AJ25" s="50">
        <f>AI25/profilKelas!$F$14</f>
        <v>0</v>
      </c>
      <c r="AK25" s="13"/>
      <c r="AL25" s="13"/>
      <c r="AM25" s="13"/>
      <c r="AN25" s="13"/>
      <c r="AO25" s="13"/>
      <c r="AP25" s="13"/>
      <c r="AQ25" s="13"/>
    </row>
    <row r="26" spans="2:43" hidden="1" x14ac:dyDescent="0.3">
      <c r="B26" s="4" t="str">
        <f>IF(ROW(A14)&lt;=profilKelas!$F$14,ROW(A14),"")</f>
        <v/>
      </c>
      <c r="C26" s="94" t="str">
        <f>IF(ISBLANK(identitasMurid!C19),"",identitasMurid!C19)</f>
        <v/>
      </c>
      <c r="D26" s="6" t="str">
        <f>IF(ISBLANK(identitasMurid!D19),"",identitasMurid!D19)</f>
        <v/>
      </c>
      <c r="E26" s="95"/>
      <c r="F26" s="95"/>
      <c r="G26" s="95"/>
      <c r="H26" s="95"/>
      <c r="I26" s="95"/>
      <c r="J26" s="95"/>
      <c r="K26" s="95"/>
      <c r="L26" s="95"/>
      <c r="M26" s="95"/>
      <c r="Q26" s="5" t="str">
        <f>IF(ROW(A14)&lt;=profilKelas!$F$14,ROW(A14),"")</f>
        <v/>
      </c>
      <c r="R26" s="12" t="str">
        <f t="shared" si="0"/>
        <v/>
      </c>
      <c r="S26" s="108" t="str">
        <f t="shared" si="4"/>
        <v/>
      </c>
      <c r="T26" s="108" t="str">
        <f t="shared" si="2"/>
        <v/>
      </c>
      <c r="U26" s="108" t="str">
        <f t="shared" si="3"/>
        <v/>
      </c>
      <c r="V26" s="108" t="str">
        <f t="shared" si="3"/>
        <v/>
      </c>
      <c r="W26" s="108" t="str">
        <f t="shared" si="3"/>
        <v/>
      </c>
      <c r="X26" s="108" t="str">
        <f t="shared" si="3"/>
        <v/>
      </c>
      <c r="Y26" s="108" t="str">
        <f t="shared" si="3"/>
        <v/>
      </c>
      <c r="Z26" s="108" t="str">
        <f t="shared" si="3"/>
        <v/>
      </c>
      <c r="AA26" s="108" t="str">
        <f t="shared" si="3"/>
        <v/>
      </c>
      <c r="AB26" s="108" t="str" cm="1">
        <f t="array" ref="AB26">IF(LEN($B26)=0,"",IF(LEN(C26)=0,"Nama Siswa Kosong",IF($E26="","Status Siswa Kosong",IF(S26&lt;&gt;"Aktif","Siswa Tidak Aktif",
IF(OR(U26:AA26="Belum mengisi"),"Belum mengisi",IF(AND(U26:AA26="Sudah terbiasa"),"Sudah terbiasa","Belum terbiasa"))))))</f>
        <v/>
      </c>
      <c r="AC26" s="99">
        <f t="shared" si="5"/>
        <v>1</v>
      </c>
      <c r="AD26" s="41">
        <v>4</v>
      </c>
      <c r="AE26" s="161" t="s">
        <v>5</v>
      </c>
      <c r="AF26" s="161"/>
      <c r="AG26" s="10">
        <f>COUNTIF(JulMakanSehatBergizi,SudahTerbiasa)</f>
        <v>0</v>
      </c>
      <c r="AH26" s="50">
        <f>AG26/profilKelas!$F$14</f>
        <v>0</v>
      </c>
      <c r="AI26" s="10">
        <f>COUNTIF(JulMakanSehatBergizi,BelumTerbiasa)</f>
        <v>0</v>
      </c>
      <c r="AJ26" s="50">
        <f>AI26/profilKelas!$F$14</f>
        <v>0</v>
      </c>
      <c r="AK26" s="13"/>
      <c r="AL26" s="13"/>
      <c r="AM26" s="13"/>
      <c r="AN26" s="13"/>
      <c r="AO26" s="13"/>
      <c r="AP26" s="13"/>
      <c r="AQ26" s="13"/>
    </row>
    <row r="27" spans="2:43" hidden="1" x14ac:dyDescent="0.3">
      <c r="B27" s="4" t="str">
        <f>IF(ROW(A15)&lt;=profilKelas!$F$14,ROW(A15),"")</f>
        <v/>
      </c>
      <c r="C27" s="94" t="str">
        <f>IF(ISBLANK(identitasMurid!C20),"",identitasMurid!C20)</f>
        <v/>
      </c>
      <c r="D27" s="6" t="str">
        <f>IF(ISBLANK(identitasMurid!D20),"",identitasMurid!D20)</f>
        <v/>
      </c>
      <c r="E27" s="95"/>
      <c r="F27" s="95"/>
      <c r="G27" s="95"/>
      <c r="H27" s="95"/>
      <c r="I27" s="95"/>
      <c r="J27" s="95"/>
      <c r="K27" s="95"/>
      <c r="L27" s="95"/>
      <c r="M27" s="95"/>
      <c r="Q27" s="5" t="str">
        <f>IF(ROW(A15)&lt;=profilKelas!$F$14,ROW(A15),"")</f>
        <v/>
      </c>
      <c r="R27" s="12" t="str">
        <f t="shared" si="0"/>
        <v/>
      </c>
      <c r="S27" s="108" t="str">
        <f t="shared" si="4"/>
        <v/>
      </c>
      <c r="T27" s="108" t="str">
        <f t="shared" si="2"/>
        <v/>
      </c>
      <c r="U27" s="108" t="str">
        <f t="shared" si="3"/>
        <v/>
      </c>
      <c r="V27" s="108" t="str">
        <f t="shared" si="3"/>
        <v/>
      </c>
      <c r="W27" s="108" t="str">
        <f t="shared" si="3"/>
        <v/>
      </c>
      <c r="X27" s="108" t="str">
        <f t="shared" si="3"/>
        <v/>
      </c>
      <c r="Y27" s="108" t="str">
        <f t="shared" si="3"/>
        <v/>
      </c>
      <c r="Z27" s="108" t="str">
        <f t="shared" si="3"/>
        <v/>
      </c>
      <c r="AA27" s="108" t="str">
        <f t="shared" si="3"/>
        <v/>
      </c>
      <c r="AB27" s="108" t="str" cm="1">
        <f t="array" ref="AB27">IF(LEN($B27)=0,"",IF(LEN(C27)=0,"Nama Siswa Kosong",IF($E27="","Status Siswa Kosong",IF(S27&lt;&gt;"Aktif","Siswa Tidak Aktif",
IF(OR(U27:AA27="Belum mengisi"),"Belum mengisi",IF(AND(U27:AA27="Sudah terbiasa"),"Sudah terbiasa","Belum terbiasa"))))))</f>
        <v/>
      </c>
      <c r="AC27" s="99">
        <f t="shared" si="5"/>
        <v>1</v>
      </c>
      <c r="AD27" s="41">
        <v>5</v>
      </c>
      <c r="AE27" s="161" t="s">
        <v>6</v>
      </c>
      <c r="AF27" s="161"/>
      <c r="AG27" s="10">
        <f>COUNTIF(JulGemarBelajar,SudahTerbiasa)</f>
        <v>0</v>
      </c>
      <c r="AH27" s="50">
        <f>AG27/profilKelas!$F$14</f>
        <v>0</v>
      </c>
      <c r="AI27" s="10">
        <f>COUNTIF(JulGemarBelajar,BelumTerbiasa)</f>
        <v>0</v>
      </c>
      <c r="AJ27" s="50">
        <f>AI27/profilKelas!$F$14</f>
        <v>0</v>
      </c>
      <c r="AK27" s="13"/>
      <c r="AL27" s="13"/>
      <c r="AM27" s="13"/>
      <c r="AN27" s="13"/>
      <c r="AO27" s="13"/>
      <c r="AP27" s="13"/>
      <c r="AQ27" s="13"/>
    </row>
    <row r="28" spans="2:43" hidden="1" x14ac:dyDescent="0.3">
      <c r="B28" s="4" t="str">
        <f>IF(ROW(A16)&lt;=profilKelas!$F$14,ROW(A16),"")</f>
        <v/>
      </c>
      <c r="C28" s="94" t="str">
        <f>IF(ISBLANK(identitasMurid!C21),"",identitasMurid!C21)</f>
        <v/>
      </c>
      <c r="D28" s="6" t="str">
        <f>IF(ISBLANK(identitasMurid!D21),"",identitasMurid!D21)</f>
        <v/>
      </c>
      <c r="E28" s="95"/>
      <c r="F28" s="95"/>
      <c r="G28" s="95"/>
      <c r="H28" s="95"/>
      <c r="I28" s="95"/>
      <c r="J28" s="95"/>
      <c r="K28" s="95"/>
      <c r="L28" s="95"/>
      <c r="M28" s="95"/>
      <c r="Q28" s="5" t="str">
        <f>IF(ROW(A16)&lt;=profilKelas!$F$14,ROW(A16),"")</f>
        <v/>
      </c>
      <c r="R28" s="12" t="str">
        <f t="shared" si="0"/>
        <v/>
      </c>
      <c r="S28" s="108" t="str">
        <f t="shared" si="4"/>
        <v/>
      </c>
      <c r="T28" s="108" t="str">
        <f t="shared" si="2"/>
        <v/>
      </c>
      <c r="U28" s="108" t="str">
        <f t="shared" si="3"/>
        <v/>
      </c>
      <c r="V28" s="108" t="str">
        <f t="shared" si="3"/>
        <v/>
      </c>
      <c r="W28" s="108" t="str">
        <f t="shared" si="3"/>
        <v/>
      </c>
      <c r="X28" s="108" t="str">
        <f t="shared" si="3"/>
        <v/>
      </c>
      <c r="Y28" s="108" t="str">
        <f t="shared" si="3"/>
        <v/>
      </c>
      <c r="Z28" s="108" t="str">
        <f t="shared" si="3"/>
        <v/>
      </c>
      <c r="AA28" s="108" t="str">
        <f t="shared" si="3"/>
        <v/>
      </c>
      <c r="AB28" s="108" t="str" cm="1">
        <f t="array" ref="AB28">IF(LEN($B28)=0,"",IF(LEN(C28)=0,"Nama Siswa Kosong",IF($E28="","Status Siswa Kosong",IF(S28&lt;&gt;"Aktif","Siswa Tidak Aktif",
IF(OR(U28:AA28="Belum mengisi"),"Belum mengisi",IF(AND(U28:AA28="Sudah terbiasa"),"Sudah terbiasa","Belum terbiasa"))))))</f>
        <v/>
      </c>
      <c r="AC28" s="99">
        <f t="shared" si="5"/>
        <v>1</v>
      </c>
      <c r="AD28" s="41">
        <v>6</v>
      </c>
      <c r="AE28" s="161" t="s">
        <v>7</v>
      </c>
      <c r="AF28" s="161"/>
      <c r="AG28" s="10">
        <f>COUNTIF(JulAktifBermasyarakat,SudahTerbiasa)</f>
        <v>0</v>
      </c>
      <c r="AH28" s="50">
        <f>AG28/profilKelas!$F$14</f>
        <v>0</v>
      </c>
      <c r="AI28" s="10">
        <f>COUNTIF(JulAktifBermasyarakat,BelumTerbiasa)</f>
        <v>0</v>
      </c>
      <c r="AJ28" s="50">
        <f>AI28/profilKelas!$F$14</f>
        <v>0</v>
      </c>
      <c r="AK28" s="13"/>
      <c r="AL28" s="43"/>
      <c r="AM28" s="43"/>
      <c r="AN28" s="43"/>
      <c r="AO28" s="43"/>
      <c r="AP28" s="43"/>
      <c r="AQ28" s="43"/>
    </row>
    <row r="29" spans="2:43" hidden="1" x14ac:dyDescent="0.3">
      <c r="B29" s="4" t="str">
        <f>IF(ROW(A17)&lt;=profilKelas!$F$14,ROW(A17),"")</f>
        <v/>
      </c>
      <c r="C29" s="94" t="str">
        <f>IF(ISBLANK(identitasMurid!C22),"",identitasMurid!C22)</f>
        <v/>
      </c>
      <c r="D29" s="6" t="str">
        <f>IF(ISBLANK(identitasMurid!D22),"",identitasMurid!D22)</f>
        <v/>
      </c>
      <c r="E29" s="95"/>
      <c r="F29" s="95"/>
      <c r="G29" s="95"/>
      <c r="H29" s="95"/>
      <c r="I29" s="95"/>
      <c r="J29" s="95"/>
      <c r="K29" s="95"/>
      <c r="L29" s="95"/>
      <c r="M29" s="95"/>
      <c r="Q29" s="5" t="str">
        <f>IF(ROW(A17)&lt;=profilKelas!$F$14,ROW(A17),"")</f>
        <v/>
      </c>
      <c r="R29" s="12" t="str">
        <f t="shared" si="0"/>
        <v/>
      </c>
      <c r="S29" s="108" t="str">
        <f t="shared" si="4"/>
        <v/>
      </c>
      <c r="T29" s="108" t="str">
        <f t="shared" si="2"/>
        <v/>
      </c>
      <c r="U29" s="108" t="str">
        <f t="shared" ref="U29:AA57" si="6">IF(LEN($B29)=0,"",IF(LEN($C29)=0,"Nama Siswa Kosong",IF($E29="","Status Siswa Kosong",IF($E29&lt;&gt;"Aktif","Siswa Tidak Aktif",
IF(ISBLANK(F29),"Belum mengisi",IF(F29&gt;=20,"Sudah terbiasa","Belum terbiasa"))))))</f>
        <v/>
      </c>
      <c r="V29" s="108" t="str">
        <f t="shared" si="6"/>
        <v/>
      </c>
      <c r="W29" s="108" t="str">
        <f t="shared" si="6"/>
        <v/>
      </c>
      <c r="X29" s="108" t="str">
        <f t="shared" si="6"/>
        <v/>
      </c>
      <c r="Y29" s="108" t="str">
        <f t="shared" si="6"/>
        <v/>
      </c>
      <c r="Z29" s="108" t="str">
        <f t="shared" si="6"/>
        <v/>
      </c>
      <c r="AA29" s="108" t="str">
        <f t="shared" si="6"/>
        <v/>
      </c>
      <c r="AB29" s="108" t="str" cm="1">
        <f t="array" ref="AB29">IF(LEN($B29)=0,"",IF(LEN(C29)=0,"Nama Siswa Kosong",IF($E29="","Status Siswa Kosong",IF(S29&lt;&gt;"Aktif","Siswa Tidak Aktif",
IF(OR(U29:AA29="Belum mengisi"),"Belum mengisi",IF(AND(U29:AA29="Sudah terbiasa"),"Sudah terbiasa","Belum terbiasa"))))))</f>
        <v/>
      </c>
      <c r="AC29" s="99">
        <f t="shared" si="5"/>
        <v>1</v>
      </c>
      <c r="AD29" s="41">
        <v>7</v>
      </c>
      <c r="AE29" s="161" t="s">
        <v>8</v>
      </c>
      <c r="AF29" s="161"/>
      <c r="AG29" s="10">
        <f>COUNTIF(JulTidurCepat,SudahTerbiasa)</f>
        <v>0</v>
      </c>
      <c r="AH29" s="50">
        <f>AG29/profilKelas!$F$14</f>
        <v>0</v>
      </c>
      <c r="AI29" s="10">
        <f>COUNTIF(JulTidurCepat,BelumTerbiasa)</f>
        <v>0</v>
      </c>
      <c r="AJ29" s="50">
        <f>AI29/profilKelas!$F$14</f>
        <v>0</v>
      </c>
      <c r="AK29" s="13"/>
      <c r="AL29" s="43"/>
      <c r="AM29" s="43"/>
      <c r="AN29" s="43"/>
      <c r="AO29" s="43"/>
      <c r="AP29" s="43"/>
      <c r="AQ29" s="43"/>
    </row>
    <row r="30" spans="2:43" hidden="1" x14ac:dyDescent="0.3">
      <c r="B30" s="4" t="str">
        <f>IF(ROW(A18)&lt;=profilKelas!$F$14,ROW(A18),"")</f>
        <v/>
      </c>
      <c r="C30" s="94" t="str">
        <f>IF(ISBLANK(identitasMurid!C23),"",identitasMurid!C23)</f>
        <v/>
      </c>
      <c r="D30" s="6" t="str">
        <f>IF(ISBLANK(identitasMurid!D23),"",identitasMurid!D23)</f>
        <v/>
      </c>
      <c r="E30" s="95"/>
      <c r="F30" s="95"/>
      <c r="G30" s="95"/>
      <c r="H30" s="95"/>
      <c r="I30" s="95"/>
      <c r="J30" s="95"/>
      <c r="K30" s="95"/>
      <c r="L30" s="95"/>
      <c r="M30" s="95"/>
      <c r="Q30" s="5" t="str">
        <f>IF(ROW(A18)&lt;=profilKelas!$F$14,ROW(A18),"")</f>
        <v/>
      </c>
      <c r="R30" s="12" t="str">
        <f t="shared" si="0"/>
        <v/>
      </c>
      <c r="S30" s="108" t="str">
        <f t="shared" si="4"/>
        <v/>
      </c>
      <c r="T30" s="108" t="str">
        <f t="shared" si="2"/>
        <v/>
      </c>
      <c r="U30" s="108" t="str">
        <f t="shared" si="6"/>
        <v/>
      </c>
      <c r="V30" s="108" t="str">
        <f t="shared" si="6"/>
        <v/>
      </c>
      <c r="W30" s="108" t="str">
        <f t="shared" si="6"/>
        <v/>
      </c>
      <c r="X30" s="108" t="str">
        <f t="shared" si="6"/>
        <v/>
      </c>
      <c r="Y30" s="108" t="str">
        <f t="shared" si="6"/>
        <v/>
      </c>
      <c r="Z30" s="108" t="str">
        <f t="shared" si="6"/>
        <v/>
      </c>
      <c r="AA30" s="108" t="str">
        <f t="shared" si="6"/>
        <v/>
      </c>
      <c r="AB30" s="108" t="str" cm="1">
        <f t="array" ref="AB30">IF(LEN($B30)=0,"",IF(LEN(C30)=0,"Nama Siswa Kosong",IF($E30="","Status Siswa Kosong",IF(S30&lt;&gt;"Aktif","Siswa Tidak Aktif",
IF(OR(U30:AA30="Belum mengisi"),"Belum mengisi",IF(AND(U30:AA30="Sudah terbiasa"),"Sudah terbiasa","Belum terbiasa"))))))</f>
        <v/>
      </c>
      <c r="AD30" s="13"/>
      <c r="AE30" s="13"/>
      <c r="AF30" s="13"/>
      <c r="AG30" s="13"/>
      <c r="AH30" s="13"/>
      <c r="AI30" s="13"/>
      <c r="AJ30" s="13"/>
      <c r="AK30" s="13"/>
      <c r="AL30" s="43"/>
      <c r="AM30" s="43"/>
      <c r="AN30" s="43"/>
      <c r="AO30" s="43"/>
      <c r="AP30" s="43"/>
      <c r="AQ30" s="43"/>
    </row>
    <row r="31" spans="2:43" hidden="1" x14ac:dyDescent="0.3">
      <c r="B31" s="4" t="str">
        <f>IF(ROW(A19)&lt;=profilKelas!$F$14,ROW(A19),"")</f>
        <v/>
      </c>
      <c r="C31" s="94" t="str">
        <f>IF(ISBLANK(identitasMurid!C24),"",identitasMurid!C24)</f>
        <v/>
      </c>
      <c r="D31" s="6" t="str">
        <f>IF(ISBLANK(identitasMurid!D24),"",identitasMurid!D24)</f>
        <v/>
      </c>
      <c r="E31" s="95"/>
      <c r="F31" s="95"/>
      <c r="G31" s="95"/>
      <c r="H31" s="95"/>
      <c r="I31" s="95"/>
      <c r="J31" s="95"/>
      <c r="K31" s="95"/>
      <c r="L31" s="95"/>
      <c r="M31" s="95"/>
      <c r="Q31" s="5" t="str">
        <f>IF(ROW(A19)&lt;=profilKelas!$F$14,ROW(A19),"")</f>
        <v/>
      </c>
      <c r="R31" s="12" t="str">
        <f t="shared" si="0"/>
        <v/>
      </c>
      <c r="S31" s="108" t="str">
        <f t="shared" si="4"/>
        <v/>
      </c>
      <c r="T31" s="108" t="str">
        <f t="shared" si="2"/>
        <v/>
      </c>
      <c r="U31" s="108" t="str">
        <f t="shared" si="6"/>
        <v/>
      </c>
      <c r="V31" s="108" t="str">
        <f t="shared" si="6"/>
        <v/>
      </c>
      <c r="W31" s="108" t="str">
        <f t="shared" si="6"/>
        <v/>
      </c>
      <c r="X31" s="108" t="str">
        <f t="shared" si="6"/>
        <v/>
      </c>
      <c r="Y31" s="108" t="str">
        <f t="shared" si="6"/>
        <v/>
      </c>
      <c r="Z31" s="108" t="str">
        <f t="shared" si="6"/>
        <v/>
      </c>
      <c r="AA31" s="108" t="str">
        <f t="shared" si="6"/>
        <v/>
      </c>
      <c r="AB31" s="108" t="str" cm="1">
        <f t="array" ref="AB31">IF(LEN($B31)=0,"",IF(LEN(C31)=0,"Nama Siswa Kosong",IF($E31="","Status Siswa Kosong",IF(S31&lt;&gt;"Aktif","Siswa Tidak Aktif",
IF(OR(U31:AA31="Belum mengisi"),"Belum mengisi",IF(AND(U31:AA31="Sudah terbiasa"),"Sudah terbiasa","Belum terbiasa"))))))</f>
        <v/>
      </c>
      <c r="AD31" s="13"/>
      <c r="AE31" s="13"/>
      <c r="AF31" s="13"/>
      <c r="AG31" s="148" t="s">
        <v>607</v>
      </c>
      <c r="AH31" s="148"/>
      <c r="AI31" s="148"/>
      <c r="AJ31" s="148"/>
      <c r="AK31" s="148" t="s">
        <v>608</v>
      </c>
      <c r="AL31" s="148"/>
      <c r="AM31" s="148"/>
      <c r="AN31" s="148"/>
      <c r="AO31" s="13"/>
      <c r="AP31" s="13"/>
      <c r="AQ31" s="13"/>
    </row>
    <row r="32" spans="2:43" hidden="1" x14ac:dyDescent="0.3">
      <c r="B32" s="4" t="str">
        <f>IF(ROW(A20)&lt;=profilKelas!$F$14,ROW(A20),"")</f>
        <v/>
      </c>
      <c r="C32" s="94" t="str">
        <f>IF(ISBLANK(identitasMurid!C25),"",identitasMurid!C25)</f>
        <v/>
      </c>
      <c r="D32" s="6" t="str">
        <f>IF(ISBLANK(identitasMurid!D25),"",identitasMurid!D25)</f>
        <v/>
      </c>
      <c r="E32" s="95"/>
      <c r="F32" s="95"/>
      <c r="G32" s="95"/>
      <c r="H32" s="95"/>
      <c r="I32" s="95"/>
      <c r="J32" s="95"/>
      <c r="K32" s="95"/>
      <c r="L32" s="95"/>
      <c r="M32" s="95"/>
      <c r="Q32" s="5" t="str">
        <f>IF(ROW(A20)&lt;=profilKelas!$F$14,ROW(A20),"")</f>
        <v/>
      </c>
      <c r="R32" s="12" t="str">
        <f t="shared" si="0"/>
        <v/>
      </c>
      <c r="S32" s="108" t="str">
        <f t="shared" si="4"/>
        <v/>
      </c>
      <c r="T32" s="108" t="str">
        <f t="shared" si="2"/>
        <v/>
      </c>
      <c r="U32" s="108" t="str">
        <f t="shared" si="6"/>
        <v/>
      </c>
      <c r="V32" s="108" t="str">
        <f t="shared" si="6"/>
        <v/>
      </c>
      <c r="W32" s="108" t="str">
        <f t="shared" si="6"/>
        <v/>
      </c>
      <c r="X32" s="108" t="str">
        <f t="shared" si="6"/>
        <v/>
      </c>
      <c r="Y32" s="108" t="str">
        <f t="shared" si="6"/>
        <v/>
      </c>
      <c r="Z32" s="108" t="str">
        <f t="shared" si="6"/>
        <v/>
      </c>
      <c r="AA32" s="108" t="str">
        <f t="shared" si="6"/>
        <v/>
      </c>
      <c r="AB32" s="108" t="str" cm="1">
        <f t="array" ref="AB32">IF(LEN($B32)=0,"",IF(LEN(C32)=0,"Nama Siswa Kosong",IF($E32="","Status Siswa Kosong",IF(S32&lt;&gt;"Aktif","Siswa Tidak Aktif",
IF(OR(U32:AA32="Belum mengisi"),"Belum mengisi",IF(AND(U32:AA32="Sudah terbiasa"),"Sudah terbiasa","Belum terbiasa"))))))</f>
        <v/>
      </c>
      <c r="AD32" s="98" t="s">
        <v>0</v>
      </c>
      <c r="AE32" s="148" t="s">
        <v>18</v>
      </c>
      <c r="AF32" s="148"/>
      <c r="AG32" s="148" t="s">
        <v>597</v>
      </c>
      <c r="AH32" s="148"/>
      <c r="AI32" s="148" t="s">
        <v>598</v>
      </c>
      <c r="AJ32" s="148"/>
      <c r="AK32" s="148" t="s">
        <v>597</v>
      </c>
      <c r="AL32" s="148"/>
      <c r="AM32" s="148" t="s">
        <v>598</v>
      </c>
      <c r="AN32" s="148"/>
      <c r="AO32" s="13"/>
      <c r="AP32" s="13"/>
      <c r="AQ32" s="13"/>
    </row>
    <row r="33" spans="2:43" hidden="1" x14ac:dyDescent="0.3">
      <c r="B33" s="4" t="str">
        <f>IF(ROW(A21)&lt;=profilKelas!$F$14,ROW(A21),"")</f>
        <v/>
      </c>
      <c r="C33" s="94" t="str">
        <f>IF(ISBLANK(identitasMurid!C26),"",identitasMurid!C26)</f>
        <v/>
      </c>
      <c r="D33" s="6" t="str">
        <f>IF(ISBLANK(identitasMurid!D26),"",identitasMurid!D26)</f>
        <v/>
      </c>
      <c r="E33" s="95"/>
      <c r="F33" s="95"/>
      <c r="G33" s="95"/>
      <c r="H33" s="95"/>
      <c r="I33" s="95"/>
      <c r="J33" s="95"/>
      <c r="K33" s="95"/>
      <c r="L33" s="95"/>
      <c r="M33" s="95"/>
      <c r="Q33" s="5" t="str">
        <f>IF(ROW(A21)&lt;=profilKelas!$F$14,ROW(A21),"")</f>
        <v/>
      </c>
      <c r="R33" s="12" t="str">
        <f t="shared" si="0"/>
        <v/>
      </c>
      <c r="S33" s="108" t="str">
        <f t="shared" si="4"/>
        <v/>
      </c>
      <c r="T33" s="108" t="str">
        <f t="shared" si="2"/>
        <v/>
      </c>
      <c r="U33" s="108" t="str">
        <f t="shared" si="6"/>
        <v/>
      </c>
      <c r="V33" s="108" t="str">
        <f t="shared" si="6"/>
        <v/>
      </c>
      <c r="W33" s="108" t="str">
        <f t="shared" si="6"/>
        <v/>
      </c>
      <c r="X33" s="108" t="str">
        <f t="shared" si="6"/>
        <v/>
      </c>
      <c r="Y33" s="108" t="str">
        <f t="shared" si="6"/>
        <v/>
      </c>
      <c r="Z33" s="108" t="str">
        <f t="shared" si="6"/>
        <v/>
      </c>
      <c r="AA33" s="108" t="str">
        <f t="shared" si="6"/>
        <v/>
      </c>
      <c r="AB33" s="108" t="str" cm="1">
        <f t="array" ref="AB33">IF(LEN($B33)=0,"",IF(LEN(C33)=0,"Nama Siswa Kosong",IF($E33="","Status Siswa Kosong",IF(S33&lt;&gt;"Aktif","Siswa Tidak Aktif",
IF(OR(U33:AA33="Belum mengisi"),"Belum mengisi",IF(AND(U33:AA33="Sudah terbiasa"),"Sudah terbiasa","Belum terbiasa"))))))</f>
        <v/>
      </c>
      <c r="AD33" s="41">
        <v>1</v>
      </c>
      <c r="AE33" s="161" t="s">
        <v>2</v>
      </c>
      <c r="AF33" s="161"/>
      <c r="AG33" s="51">
        <f>COUNTIFS(JulBangunPagi,SudahTerbiasa,JulPL,Perempuan)</f>
        <v>0</v>
      </c>
      <c r="AH33" s="52" t="str">
        <f>IFERROR(IF($AF$18=0,"",COUNTIFS(JulBangunPagi,SudahTerbiasa,JulPL,Perempuan)/COUNTIFS(JulPL,Perempuan)),)</f>
        <v/>
      </c>
      <c r="AI33" s="53">
        <f>COUNTIFS(JulBangunPagi,BelumTerbiasa,JulPL,Perempuan)</f>
        <v>0</v>
      </c>
      <c r="AJ33" s="54" t="str">
        <f>IFERROR(IF($AF$18=0,"",COUNTIFS(JulBangunPagi,BelumTerbiasa,JulPL,Perempuan)/COUNTIF(JulPL,Perempuan)),)</f>
        <v/>
      </c>
      <c r="AK33" s="55">
        <f>COUNTIFS(JulBangunPagi,SudahTerbiasa,JulPL,Laki_Laki)</f>
        <v>0</v>
      </c>
      <c r="AL33" s="56" t="str">
        <f>IFERROR(IF($AF$18=0,"",COUNTIFS(JulBangunPagi,SudahTerbiasa,JulPL,Laki_Laki)/COUNTIFS(JulPL,Laki_Laki)),)</f>
        <v/>
      </c>
      <c r="AM33" s="57">
        <f>COUNTIFS(JulBangunPagi,BelumTerbiasa,JulPL,Laki_Laki)</f>
        <v>0</v>
      </c>
      <c r="AN33" s="58" t="str">
        <f>IFERROR(IF($AF$18=0,"",COUNTIFS(JulBangunPagi,BelumTerbiasa,JulPL,Laki_Laki)/COUNTIFS(JulPL,Laki_Laki)),)</f>
        <v/>
      </c>
      <c r="AO33" s="13"/>
      <c r="AP33" s="13"/>
      <c r="AQ33" s="13"/>
    </row>
    <row r="34" spans="2:43" hidden="1" x14ac:dyDescent="0.3">
      <c r="B34" s="4" t="str">
        <f>IF(ROW(A22)&lt;=profilKelas!$F$14,ROW(A22),"")</f>
        <v/>
      </c>
      <c r="C34" s="94" t="str">
        <f>IF(ISBLANK(identitasMurid!C27),"",identitasMurid!C27)</f>
        <v/>
      </c>
      <c r="D34" s="6" t="str">
        <f>IF(ISBLANK(identitasMurid!D27),"",identitasMurid!D27)</f>
        <v/>
      </c>
      <c r="E34" s="95"/>
      <c r="F34" s="95"/>
      <c r="G34" s="95"/>
      <c r="H34" s="95"/>
      <c r="I34" s="95"/>
      <c r="J34" s="95"/>
      <c r="K34" s="95"/>
      <c r="L34" s="95"/>
      <c r="M34" s="95"/>
      <c r="Q34" s="5" t="str">
        <f>IF(ROW(A22)&lt;=profilKelas!$F$14,ROW(A22),"")</f>
        <v/>
      </c>
      <c r="R34" s="12" t="str">
        <f t="shared" si="0"/>
        <v/>
      </c>
      <c r="S34" s="108" t="str">
        <f t="shared" si="4"/>
        <v/>
      </c>
      <c r="T34" s="108" t="str">
        <f t="shared" si="2"/>
        <v/>
      </c>
      <c r="U34" s="108" t="str">
        <f t="shared" si="6"/>
        <v/>
      </c>
      <c r="V34" s="108" t="str">
        <f t="shared" si="6"/>
        <v/>
      </c>
      <c r="W34" s="108" t="str">
        <f t="shared" si="6"/>
        <v/>
      </c>
      <c r="X34" s="108" t="str">
        <f t="shared" si="6"/>
        <v/>
      </c>
      <c r="Y34" s="108" t="str">
        <f t="shared" si="6"/>
        <v/>
      </c>
      <c r="Z34" s="108" t="str">
        <f t="shared" si="6"/>
        <v/>
      </c>
      <c r="AA34" s="108" t="str">
        <f t="shared" si="6"/>
        <v/>
      </c>
      <c r="AB34" s="108" t="str" cm="1">
        <f t="array" ref="AB34">IF(LEN($B34)=0,"",IF(LEN(C34)=0,"Nama Siswa Kosong",IF($E34="","Status Siswa Kosong",IF(S34&lt;&gt;"Aktif","Siswa Tidak Aktif",
IF(OR(U34:AA34="Belum mengisi"),"Belum mengisi",IF(AND(U34:AA34="Sudah terbiasa"),"Sudah terbiasa","Belum terbiasa"))))))</f>
        <v/>
      </c>
      <c r="AD34" s="41">
        <v>2</v>
      </c>
      <c r="AE34" s="161" t="s">
        <v>3</v>
      </c>
      <c r="AF34" s="161"/>
      <c r="AG34" s="51">
        <f>COUNTIFS(JulTaatBeribadah,SudahTerbiasa,JulPL,Perempuan)</f>
        <v>0</v>
      </c>
      <c r="AH34" s="52" t="str">
        <f>IFERROR(IF($AF$18=0,"",COUNTIFS(JulTaatBeribadah,SudahTerbiasa,JulPL,Perempuan)/COUNTIFS(JulPL,Perempuan)),)</f>
        <v/>
      </c>
      <c r="AI34" s="53">
        <f>COUNTIFS(JulTaatBeribadah,BelumTerbiasa,JulPL,Perempuan)</f>
        <v>0</v>
      </c>
      <c r="AJ34" s="59" t="str">
        <f>IFERROR(IF($AF$18=0,"",COUNTIFS(JulTaatBeribadah,BelumTerbiasa,JulPL,Perempuan)/COUNTIFS(JulPL,Perempuan)),)</f>
        <v/>
      </c>
      <c r="AK34" s="55">
        <f>COUNTIFS(JulTaatBeribadah,SudahTerbiasa,JulPL,Laki_Laki)</f>
        <v>0</v>
      </c>
      <c r="AL34" s="56" t="str">
        <f>IFERROR(IF($AF$18=0,"",COUNTIFS(JulTaatBeribadah,SudahTerbiasa,JulPL,Laki_Laki)/COUNTIFS(JulPL,Laki_Laki)),)</f>
        <v/>
      </c>
      <c r="AM34" s="57">
        <f>COUNTIFS(JulTaatBeribadah,BelumTerbiasa,JulPL,Laki_Laki)</f>
        <v>0</v>
      </c>
      <c r="AN34" s="58" t="str">
        <f>IFERROR(IF($AF$18=0,"",COUNTIFS(JulTaatBeribadah,BelumTerbiasa,JulPL,Laki_Laki)/COUNTIFS(JulPL,Laki_Laki)),)</f>
        <v/>
      </c>
      <c r="AO34" s="13"/>
      <c r="AP34" s="13"/>
      <c r="AQ34" s="13"/>
    </row>
    <row r="35" spans="2:43" hidden="1" x14ac:dyDescent="0.3">
      <c r="B35" s="4" t="str">
        <f>IF(ROW(A23)&lt;=profilKelas!$F$14,ROW(A23),"")</f>
        <v/>
      </c>
      <c r="C35" s="94" t="str">
        <f>IF(ISBLANK(identitasMurid!C28),"",identitasMurid!C28)</f>
        <v/>
      </c>
      <c r="D35" s="6" t="str">
        <f>IF(ISBLANK(identitasMurid!D28),"",identitasMurid!D28)</f>
        <v/>
      </c>
      <c r="E35" s="95"/>
      <c r="F35" s="95"/>
      <c r="G35" s="95"/>
      <c r="H35" s="95"/>
      <c r="I35" s="95"/>
      <c r="J35" s="95"/>
      <c r="K35" s="95"/>
      <c r="L35" s="95"/>
      <c r="M35" s="95"/>
      <c r="Q35" s="5" t="str">
        <f>IF(ROW(A23)&lt;=profilKelas!$F$14,ROW(A23),"")</f>
        <v/>
      </c>
      <c r="R35" s="12" t="str">
        <f t="shared" si="0"/>
        <v/>
      </c>
      <c r="S35" s="108" t="str">
        <f t="shared" si="4"/>
        <v/>
      </c>
      <c r="T35" s="108" t="str">
        <f t="shared" si="2"/>
        <v/>
      </c>
      <c r="U35" s="108" t="str">
        <f t="shared" si="6"/>
        <v/>
      </c>
      <c r="V35" s="108" t="str">
        <f t="shared" si="6"/>
        <v/>
      </c>
      <c r="W35" s="108" t="str">
        <f t="shared" si="6"/>
        <v/>
      </c>
      <c r="X35" s="108" t="str">
        <f t="shared" si="6"/>
        <v/>
      </c>
      <c r="Y35" s="108" t="str">
        <f t="shared" si="6"/>
        <v/>
      </c>
      <c r="Z35" s="108" t="str">
        <f t="shared" si="6"/>
        <v/>
      </c>
      <c r="AA35" s="108" t="str">
        <f t="shared" si="6"/>
        <v/>
      </c>
      <c r="AB35" s="108" t="str" cm="1">
        <f t="array" ref="AB35">IF(LEN($B35)=0,"",IF(LEN(C35)=0,"Nama Siswa Kosong",IF($E35="","Status Siswa Kosong",IF(S35&lt;&gt;"Aktif","Siswa Tidak Aktif",
IF(OR(U35:AA35="Belum mengisi"),"Belum mengisi",IF(AND(U35:AA35="Sudah terbiasa"),"Sudah terbiasa","Belum terbiasa"))))))</f>
        <v/>
      </c>
      <c r="AD35" s="41">
        <v>3</v>
      </c>
      <c r="AE35" s="161" t="s">
        <v>4</v>
      </c>
      <c r="AF35" s="161"/>
      <c r="AG35" s="51">
        <f>COUNTIFS(JulBerolahraga,SudahTerbiasa,JulPL,Perempuan)</f>
        <v>0</v>
      </c>
      <c r="AH35" s="52" t="str">
        <f>IFERROR(IF($AF$18=0,"",COUNTIFS(JulBerolahraga,SudahTerbiasa,JulPL,Perempuan)/COUNTIFS(JulPL,Perempuan)),)</f>
        <v/>
      </c>
      <c r="AI35" s="53">
        <f>COUNTIFS(JulBerolahraga,BelumTerbiasa,JulPL,Perempuan)</f>
        <v>0</v>
      </c>
      <c r="AJ35" s="59" t="str">
        <f>IFERROR(IF($AF$18=0,"",COUNTIFS(JulBerolahraga,BelumTerbiasa,JulPL,Perempuan)/COUNTIFS(JulPL,Perempuan)),)</f>
        <v/>
      </c>
      <c r="AK35" s="55">
        <f>COUNTIFS(JulBerolahraga,SudahTerbiasa,JulPL,Laki_Laki)</f>
        <v>0</v>
      </c>
      <c r="AL35" s="56" t="str">
        <f>IFERROR(IF($AF$18=0,"",COUNTIFS(JulBerolahraga,SudahTerbiasa,JulPL,Laki_Laki)/COUNTIFS(JulPL,Laki_Laki)),)</f>
        <v/>
      </c>
      <c r="AM35" s="57">
        <f>COUNTIFS(JulBerolahraga,BelumTerbiasa,JulPL,Laki_Laki)</f>
        <v>0</v>
      </c>
      <c r="AN35" s="58" t="str">
        <f>IFERROR(IF($AF$18=0,"",COUNTIFS(JulBerolahraga,BelumTerbiasa,JulPL,Laki_Laki)/COUNTIFS(JulPL,Laki_Laki)),)</f>
        <v/>
      </c>
      <c r="AO35" s="13"/>
      <c r="AP35" s="13"/>
      <c r="AQ35" s="13"/>
    </row>
    <row r="36" spans="2:43" hidden="1" x14ac:dyDescent="0.3">
      <c r="B36" s="4" t="str">
        <f>IF(ROW(A24)&lt;=profilKelas!$F$14,ROW(A24),"")</f>
        <v/>
      </c>
      <c r="C36" s="94" t="str">
        <f>IF(ISBLANK(identitasMurid!C29),"",identitasMurid!C29)</f>
        <v/>
      </c>
      <c r="D36" s="6" t="str">
        <f>IF(ISBLANK(identitasMurid!D29),"",identitasMurid!D29)</f>
        <v/>
      </c>
      <c r="E36" s="95"/>
      <c r="F36" s="95"/>
      <c r="G36" s="95"/>
      <c r="H36" s="95"/>
      <c r="I36" s="95"/>
      <c r="J36" s="95"/>
      <c r="K36" s="95"/>
      <c r="L36" s="95"/>
      <c r="M36" s="95"/>
      <c r="Q36" s="5" t="str">
        <f>IF(ROW(A24)&lt;=profilKelas!$F$14,ROW(A24),"")</f>
        <v/>
      </c>
      <c r="R36" s="12" t="str">
        <f t="shared" si="0"/>
        <v/>
      </c>
      <c r="S36" s="108" t="str">
        <f t="shared" si="4"/>
        <v/>
      </c>
      <c r="T36" s="108" t="str">
        <f t="shared" si="2"/>
        <v/>
      </c>
      <c r="U36" s="108" t="str">
        <f t="shared" si="6"/>
        <v/>
      </c>
      <c r="V36" s="108" t="str">
        <f t="shared" si="6"/>
        <v/>
      </c>
      <c r="W36" s="108" t="str">
        <f t="shared" si="6"/>
        <v/>
      </c>
      <c r="X36" s="108" t="str">
        <f t="shared" si="6"/>
        <v/>
      </c>
      <c r="Y36" s="108" t="str">
        <f t="shared" si="6"/>
        <v/>
      </c>
      <c r="Z36" s="108" t="str">
        <f t="shared" si="6"/>
        <v/>
      </c>
      <c r="AA36" s="108" t="str">
        <f t="shared" si="6"/>
        <v/>
      </c>
      <c r="AB36" s="108" t="str" cm="1">
        <f t="array" ref="AB36">IF(LEN($B36)=0,"",IF(LEN(C36)=0,"Nama Siswa Kosong",IF($E36="","Status Siswa Kosong",IF(S36&lt;&gt;"Aktif","Siswa Tidak Aktif",
IF(OR(U36:AA36="Belum mengisi"),"Belum mengisi",IF(AND(U36:AA36="Sudah terbiasa"),"Sudah terbiasa","Belum terbiasa"))))))</f>
        <v/>
      </c>
      <c r="AD36" s="41">
        <v>4</v>
      </c>
      <c r="AE36" s="161" t="s">
        <v>5</v>
      </c>
      <c r="AF36" s="161"/>
      <c r="AG36" s="51">
        <f>COUNTIFS(JulMakanSehatBergizi,SudahTerbiasa,JulPL,Perempuan)</f>
        <v>0</v>
      </c>
      <c r="AH36" s="52" t="str">
        <f>IFERROR(IF($AF$18=0,"",COUNTIFS(JulMakanSehatBergizi,SudahTerbiasa,JulPL,Perempuan)/COUNTIFS(JulPL,Perempuan)),)</f>
        <v/>
      </c>
      <c r="AI36" s="53">
        <f>COUNTIFS(JulMakanSehatBergizi,BelumTerbiasa,JulPL,Perempuan)</f>
        <v>0</v>
      </c>
      <c r="AJ36" s="59" t="str">
        <f>IFERROR(IF($AF$18=0,"",COUNTIFS(JulMakanSehatBergizi,BelumTerbiasa,JulPL,Perempuan)/COUNTIFS(JulPL,Perempuan)),)</f>
        <v/>
      </c>
      <c r="AK36" s="55">
        <f>COUNTIFS(JulMakanSehatBergizi,SudahTerbiasa,JulPL,Laki_Laki)</f>
        <v>0</v>
      </c>
      <c r="AL36" s="56" t="str">
        <f>IFERROR(IF($AF$18=0,"",COUNTIFS(JulMakanSehatBergizi,SudahTerbiasa,JulPL,Laki_Laki)/COUNTIFS(JulPL,Laki_Laki)),)</f>
        <v/>
      </c>
      <c r="AM36" s="57">
        <f>COUNTIFS(JulMakanSehatBergizi,BelumTerbiasa,JulPL,Laki_Laki)</f>
        <v>0</v>
      </c>
      <c r="AN36" s="58" t="str">
        <f>IFERROR(IF($AF$18=0,"",COUNTIFS(JulMakanSehatBergizi,BelumTerbiasa,JulPL,Laki_Laki)/COUNTIFS(JulPL,Laki_Laki)),)</f>
        <v/>
      </c>
      <c r="AO36" s="13"/>
      <c r="AP36" s="13"/>
      <c r="AQ36" s="13"/>
    </row>
    <row r="37" spans="2:43" hidden="1" x14ac:dyDescent="0.3">
      <c r="B37" s="4" t="str">
        <f>IF(ROW(A25)&lt;=profilKelas!$F$14,ROW(A25),"")</f>
        <v/>
      </c>
      <c r="C37" s="94" t="str">
        <f>IF(ISBLANK(identitasMurid!C30),"",identitasMurid!C30)</f>
        <v/>
      </c>
      <c r="D37" s="6" t="str">
        <f>IF(ISBLANK(identitasMurid!D30),"",identitasMurid!D30)</f>
        <v/>
      </c>
      <c r="E37" s="95"/>
      <c r="F37" s="95"/>
      <c r="G37" s="95"/>
      <c r="H37" s="95"/>
      <c r="I37" s="95"/>
      <c r="J37" s="95"/>
      <c r="K37" s="95"/>
      <c r="L37" s="95"/>
      <c r="M37" s="95"/>
      <c r="Q37" s="5" t="str">
        <f>IF(ROW(A25)&lt;=profilKelas!$F$14,ROW(A25),"")</f>
        <v/>
      </c>
      <c r="R37" s="12" t="str">
        <f t="shared" si="0"/>
        <v/>
      </c>
      <c r="S37" s="108" t="str">
        <f t="shared" si="4"/>
        <v/>
      </c>
      <c r="T37" s="108" t="str">
        <f t="shared" si="2"/>
        <v/>
      </c>
      <c r="U37" s="108" t="str">
        <f t="shared" si="6"/>
        <v/>
      </c>
      <c r="V37" s="108" t="str">
        <f t="shared" si="6"/>
        <v/>
      </c>
      <c r="W37" s="108" t="str">
        <f t="shared" si="6"/>
        <v/>
      </c>
      <c r="X37" s="108" t="str">
        <f t="shared" si="6"/>
        <v/>
      </c>
      <c r="Y37" s="108" t="str">
        <f t="shared" si="6"/>
        <v/>
      </c>
      <c r="Z37" s="108" t="str">
        <f t="shared" si="6"/>
        <v/>
      </c>
      <c r="AA37" s="108" t="str">
        <f t="shared" si="6"/>
        <v/>
      </c>
      <c r="AB37" s="108" t="str" cm="1">
        <f t="array" ref="AB37">IF(LEN($B37)=0,"",IF(LEN(C37)=0,"Nama Siswa Kosong",IF($E37="","Status Siswa Kosong",IF(S37&lt;&gt;"Aktif","Siswa Tidak Aktif",
IF(OR(U37:AA37="Belum mengisi"),"Belum mengisi",IF(AND(U37:AA37="Sudah terbiasa"),"Sudah terbiasa","Belum terbiasa"))))))</f>
        <v/>
      </c>
      <c r="AD37" s="41">
        <v>5</v>
      </c>
      <c r="AE37" s="161" t="s">
        <v>6</v>
      </c>
      <c r="AF37" s="161"/>
      <c r="AG37" s="51">
        <f>COUNTIFS(JulGemarBelajar,SudahTerbiasa,JulPL,Perempuan)</f>
        <v>0</v>
      </c>
      <c r="AH37" s="52" t="str">
        <f>IFERROR(IF($AF$18=0,"",COUNTIFS(JulGemarBelajar,SudahTerbiasa,JulPL,Perempuan)/COUNTIFS(JulPL,Perempuan)),)</f>
        <v/>
      </c>
      <c r="AI37" s="53">
        <f>COUNTIFS(JulGemarBelajar,BelumTerbiasa,JulPL,Perempuan)</f>
        <v>0</v>
      </c>
      <c r="AJ37" s="59" t="str">
        <f>IFERROR(IF($AF$18=0,"",COUNTIFS(JulGemarBelajar,BelumTerbiasa,JulPL,Perempuan)/COUNTIFS(JulPL,Perempuan)),)</f>
        <v/>
      </c>
      <c r="AK37" s="55">
        <f>COUNTIFS(JulGemarBelajar,SudahTerbiasa,JulPL,Laki_Laki)</f>
        <v>0</v>
      </c>
      <c r="AL37" s="56" t="str">
        <f>IFERROR(IF($AF$18=0,"",COUNTIFS(JulGemarBelajar,SudahTerbiasa,JulPL,Laki_Laki)/COUNTIFS(JulPL,Laki_Laki)),)</f>
        <v/>
      </c>
      <c r="AM37" s="57">
        <f>COUNTIFS(JulGemarBelajar,BelumTerbiasa,JulPL,Laki_Laki)</f>
        <v>0</v>
      </c>
      <c r="AN37" s="58" t="str">
        <f>IFERROR(IF($AF$18=0,"",COUNTIFS(JulGemarBelajar,BelumTerbiasa,JulPL,Laki_Laki)/COUNTIFS(JulPL,Laki_Laki)),)</f>
        <v/>
      </c>
      <c r="AO37" s="13"/>
      <c r="AP37" s="13"/>
      <c r="AQ37" s="13"/>
    </row>
    <row r="38" spans="2:43" hidden="1" x14ac:dyDescent="0.3">
      <c r="B38" s="4" t="str">
        <f>IF(ROW(A26)&lt;=profilKelas!$F$14,ROW(A26),"")</f>
        <v/>
      </c>
      <c r="C38" s="94" t="str">
        <f>IF(ISBLANK(identitasMurid!C31),"",identitasMurid!C31)</f>
        <v/>
      </c>
      <c r="D38" s="6" t="str">
        <f>IF(ISBLANK(identitasMurid!D31),"",identitasMurid!D31)</f>
        <v/>
      </c>
      <c r="E38" s="95"/>
      <c r="F38" s="95"/>
      <c r="G38" s="95"/>
      <c r="H38" s="95"/>
      <c r="I38" s="95"/>
      <c r="J38" s="95"/>
      <c r="K38" s="95"/>
      <c r="L38" s="95"/>
      <c r="M38" s="95"/>
      <c r="Q38" s="5" t="str">
        <f>IF(ROW(A26)&lt;=profilKelas!$F$14,ROW(A26),"")</f>
        <v/>
      </c>
      <c r="R38" s="12" t="str">
        <f t="shared" si="0"/>
        <v/>
      </c>
      <c r="S38" s="108" t="str">
        <f t="shared" si="4"/>
        <v/>
      </c>
      <c r="T38" s="108" t="str">
        <f t="shared" si="2"/>
        <v/>
      </c>
      <c r="U38" s="108" t="str">
        <f t="shared" si="6"/>
        <v/>
      </c>
      <c r="V38" s="108" t="str">
        <f t="shared" si="6"/>
        <v/>
      </c>
      <c r="W38" s="108" t="str">
        <f t="shared" si="6"/>
        <v/>
      </c>
      <c r="X38" s="108" t="str">
        <f t="shared" si="6"/>
        <v/>
      </c>
      <c r="Y38" s="108" t="str">
        <f t="shared" si="6"/>
        <v/>
      </c>
      <c r="Z38" s="108" t="str">
        <f t="shared" si="6"/>
        <v/>
      </c>
      <c r="AA38" s="108" t="str">
        <f t="shared" si="6"/>
        <v/>
      </c>
      <c r="AB38" s="108" t="str" cm="1">
        <f t="array" ref="AB38">IF(LEN($B38)=0,"",IF(LEN(C38)=0,"Nama Siswa Kosong",IF($E38="","Status Siswa Kosong",IF(S38&lt;&gt;"Aktif","Siswa Tidak Aktif",
IF(OR(U38:AA38="Belum mengisi"),"Belum mengisi",IF(AND(U38:AA38="Sudah terbiasa"),"Sudah terbiasa","Belum terbiasa"))))))</f>
        <v/>
      </c>
      <c r="AD38" s="41">
        <v>6</v>
      </c>
      <c r="AE38" s="161" t="s">
        <v>7</v>
      </c>
      <c r="AF38" s="161"/>
      <c r="AG38" s="51">
        <f>COUNTIFS(JulAktifBermasyarakat,SudahTerbiasa,JulPL,Perempuan)</f>
        <v>0</v>
      </c>
      <c r="AH38" s="52" t="str">
        <f>IFERROR(IF($AF$18=0,"",COUNTIFS(JulAktifBermasyarakat,SudahTerbiasa,JulPL,Perempuan)/COUNTIFS(JulPL,Perempuan)),)</f>
        <v/>
      </c>
      <c r="AI38" s="53">
        <f>COUNTIFS(JulAktifBermasyarakat,BelumTerbiasa,JulPL,Perempuan)</f>
        <v>0</v>
      </c>
      <c r="AJ38" s="59" t="str">
        <f>IFERROR(IF($AF$18=0,"",COUNTIFS(JulAktifBermasyarakat,BelumTerbiasa,JulPL,Perempuan)/COUNTIFS(JulPL,Perempuan)),)</f>
        <v/>
      </c>
      <c r="AK38" s="55">
        <f>COUNTIFS(JulAktifBermasyarakat,SudahTerbiasa,JulPL,Laki_Laki)</f>
        <v>0</v>
      </c>
      <c r="AL38" s="56" t="str">
        <f>IFERROR(IF($AF$18=0,"",COUNTIFS(JulAktifBermasyarakat,SudahTerbiasa,JulPL,Laki_Laki)/COUNTIFS(JulPL,Laki_Laki)),)</f>
        <v/>
      </c>
      <c r="AM38" s="57">
        <f>COUNTIFS(JulAktifBermasyarakat,BelumTerbiasa,JulPL,Laki_Laki)</f>
        <v>0</v>
      </c>
      <c r="AN38" s="58" t="str">
        <f>IFERROR(IF($AF$18=0,"",COUNTIFS(JulAktifBermasyarakat,BelumTerbiasa,JulPL,Laki_Laki)/COUNTIFS(JulPL,Laki_Laki)),)</f>
        <v/>
      </c>
      <c r="AO38" s="13"/>
      <c r="AP38" s="13"/>
      <c r="AQ38" s="13"/>
    </row>
    <row r="39" spans="2:43" hidden="1" x14ac:dyDescent="0.3">
      <c r="B39" s="4" t="str">
        <f>IF(ROW(A27)&lt;=profilKelas!$F$14,ROW(A27),"")</f>
        <v/>
      </c>
      <c r="C39" s="94" t="str">
        <f>IF(ISBLANK(identitasMurid!C32),"",identitasMurid!C32)</f>
        <v/>
      </c>
      <c r="D39" s="6" t="str">
        <f>IF(ISBLANK(identitasMurid!D32),"",identitasMurid!D32)</f>
        <v/>
      </c>
      <c r="E39" s="95"/>
      <c r="F39" s="95"/>
      <c r="G39" s="95"/>
      <c r="H39" s="95"/>
      <c r="I39" s="95"/>
      <c r="J39" s="95"/>
      <c r="K39" s="95"/>
      <c r="L39" s="95"/>
      <c r="M39" s="95"/>
      <c r="Q39" s="5" t="str">
        <f>IF(ROW(A27)&lt;=profilKelas!$F$14,ROW(A27),"")</f>
        <v/>
      </c>
      <c r="R39" s="12" t="str">
        <f t="shared" si="0"/>
        <v/>
      </c>
      <c r="S39" s="108" t="str">
        <f t="shared" si="4"/>
        <v/>
      </c>
      <c r="T39" s="108" t="str">
        <f t="shared" si="2"/>
        <v/>
      </c>
      <c r="U39" s="108" t="str">
        <f t="shared" si="6"/>
        <v/>
      </c>
      <c r="V39" s="108" t="str">
        <f t="shared" si="6"/>
        <v/>
      </c>
      <c r="W39" s="108" t="str">
        <f t="shared" si="6"/>
        <v/>
      </c>
      <c r="X39" s="108" t="str">
        <f t="shared" si="6"/>
        <v/>
      </c>
      <c r="Y39" s="108" t="str">
        <f t="shared" si="6"/>
        <v/>
      </c>
      <c r="Z39" s="108" t="str">
        <f t="shared" si="6"/>
        <v/>
      </c>
      <c r="AA39" s="108" t="str">
        <f t="shared" si="6"/>
        <v/>
      </c>
      <c r="AB39" s="108" t="str" cm="1">
        <f t="array" ref="AB39">IF(LEN($B39)=0,"",IF(LEN(C39)=0,"Nama Siswa Kosong",IF($E39="","Status Siswa Kosong",IF(S39&lt;&gt;"Aktif","Siswa Tidak Aktif",
IF(OR(U39:AA39="Belum mengisi"),"Belum mengisi",IF(AND(U39:AA39="Sudah terbiasa"),"Sudah terbiasa","Belum terbiasa"))))))</f>
        <v/>
      </c>
      <c r="AD39" s="41">
        <v>7</v>
      </c>
      <c r="AE39" s="161" t="s">
        <v>8</v>
      </c>
      <c r="AF39" s="161"/>
      <c r="AG39" s="51">
        <f>COUNTIFS(JulTidurCepat,SudahTerbiasa,JulPL,Perempuan)</f>
        <v>0</v>
      </c>
      <c r="AH39" s="52" t="str">
        <f>IFERROR(IF($AF$18=0,"",COUNTIFS(JulTidurCepat,SudahTerbiasa,JulPL,Perempuan)/COUNTIFS(JulPL,Perempuan)),)</f>
        <v/>
      </c>
      <c r="AI39" s="53">
        <f>COUNTIFS(JulTidurCepat,BelumTerbiasa,JulPL,Perempuan)</f>
        <v>0</v>
      </c>
      <c r="AJ39" s="59" t="str">
        <f>IFERROR(IF($AF$18=0,"",COUNTIFS(JulTidurCepat,BelumTerbiasa,JulPL,Perempuan)/COUNTIFS(JulPL,Perempuan)),)</f>
        <v/>
      </c>
      <c r="AK39" s="55">
        <f>COUNTIFS(JulTidurCepat,SudahTerbiasa,JulPL,Laki_Laki)</f>
        <v>0</v>
      </c>
      <c r="AL39" s="56" t="str">
        <f>IFERROR(IF($AF$18=0,"",COUNTIFS(JulTidurCepat,SudahTerbiasa,JulPL,Laki_Laki)/COUNTIFS(JulPL,Laki_Laki)),)</f>
        <v/>
      </c>
      <c r="AM39" s="57">
        <f>COUNTIFS(JulTidurCepat,BelumTerbiasa,JulPL,Laki_Laki)</f>
        <v>0</v>
      </c>
      <c r="AN39" s="58" t="str">
        <f>IFERROR(IF($AF$18=0,"",COUNTIFS(JulTidurCepat,BelumTerbiasa,JulPL,Laki_Laki)/COUNTIFS(JulPL,Laki_Laki)),)</f>
        <v/>
      </c>
      <c r="AO39" s="13"/>
      <c r="AP39" s="13"/>
      <c r="AQ39" s="13"/>
    </row>
    <row r="40" spans="2:43" hidden="1" x14ac:dyDescent="0.3">
      <c r="B40" s="4" t="str">
        <f>IF(ROW(A28)&lt;=profilKelas!$F$14,ROW(A28),"")</f>
        <v/>
      </c>
      <c r="C40" s="94" t="str">
        <f>IF(ISBLANK(identitasMurid!C33),"",identitasMurid!C33)</f>
        <v/>
      </c>
      <c r="D40" s="6" t="str">
        <f>IF(ISBLANK(identitasMurid!D33),"",identitasMurid!D33)</f>
        <v/>
      </c>
      <c r="E40" s="95"/>
      <c r="F40" s="95"/>
      <c r="G40" s="95"/>
      <c r="H40" s="95"/>
      <c r="I40" s="95"/>
      <c r="J40" s="95"/>
      <c r="K40" s="95"/>
      <c r="L40" s="95"/>
      <c r="M40" s="95"/>
      <c r="Q40" s="5" t="str">
        <f>IF(ROW(A28)&lt;=profilKelas!$F$14,ROW(A28),"")</f>
        <v/>
      </c>
      <c r="R40" s="12" t="str">
        <f t="shared" si="0"/>
        <v/>
      </c>
      <c r="S40" s="108" t="str">
        <f t="shared" si="4"/>
        <v/>
      </c>
      <c r="T40" s="108" t="str">
        <f t="shared" si="2"/>
        <v/>
      </c>
      <c r="U40" s="108" t="str">
        <f t="shared" si="6"/>
        <v/>
      </c>
      <c r="V40" s="108" t="str">
        <f t="shared" si="6"/>
        <v/>
      </c>
      <c r="W40" s="108" t="str">
        <f t="shared" si="6"/>
        <v/>
      </c>
      <c r="X40" s="108" t="str">
        <f t="shared" si="6"/>
        <v/>
      </c>
      <c r="Y40" s="108" t="str">
        <f t="shared" si="6"/>
        <v/>
      </c>
      <c r="Z40" s="108" t="str">
        <f t="shared" si="6"/>
        <v/>
      </c>
      <c r="AA40" s="108" t="str">
        <f t="shared" si="6"/>
        <v/>
      </c>
      <c r="AB40" s="108" t="str" cm="1">
        <f t="array" ref="AB40">IF(LEN($B40)=0,"",IF(LEN(C40)=0,"Nama Siswa Kosong",IF($E40="","Status Siswa Kosong",IF(S40&lt;&gt;"Aktif","Siswa Tidak Aktif",
IF(OR(U40:AA40="Belum mengisi"),"Belum mengisi",IF(AND(U40:AA40="Sudah terbiasa"),"Sudah terbiasa","Belum terbiasa"))))))</f>
        <v/>
      </c>
    </row>
    <row r="41" spans="2:43" hidden="1" x14ac:dyDescent="0.3">
      <c r="B41" s="4" t="str">
        <f>IF(ROW(A29)&lt;=profilKelas!$F$14,ROW(A29),"")</f>
        <v/>
      </c>
      <c r="C41" s="94" t="str">
        <f>IF(ISBLANK(identitasMurid!C34),"",identitasMurid!C34)</f>
        <v/>
      </c>
      <c r="D41" s="6" t="str">
        <f>IF(ISBLANK(identitasMurid!D34),"",identitasMurid!D34)</f>
        <v/>
      </c>
      <c r="E41" s="95"/>
      <c r="F41" s="95"/>
      <c r="G41" s="95"/>
      <c r="H41" s="95"/>
      <c r="I41" s="95"/>
      <c r="J41" s="95"/>
      <c r="K41" s="95"/>
      <c r="L41" s="95"/>
      <c r="M41" s="95"/>
      <c r="Q41" s="5" t="str">
        <f>IF(ROW(A29)&lt;=profilKelas!$F$14,ROW(A29),"")</f>
        <v/>
      </c>
      <c r="R41" s="12" t="str">
        <f t="shared" si="0"/>
        <v/>
      </c>
      <c r="S41" s="108" t="str">
        <f t="shared" si="4"/>
        <v/>
      </c>
      <c r="T41" s="108" t="str">
        <f t="shared" si="2"/>
        <v/>
      </c>
      <c r="U41" s="108" t="str">
        <f t="shared" si="6"/>
        <v/>
      </c>
      <c r="V41" s="108" t="str">
        <f t="shared" si="6"/>
        <v/>
      </c>
      <c r="W41" s="108" t="str">
        <f t="shared" si="6"/>
        <v/>
      </c>
      <c r="X41" s="108" t="str">
        <f t="shared" si="6"/>
        <v/>
      </c>
      <c r="Y41" s="108" t="str">
        <f t="shared" si="6"/>
        <v/>
      </c>
      <c r="Z41" s="108" t="str">
        <f t="shared" si="6"/>
        <v/>
      </c>
      <c r="AA41" s="108" t="str">
        <f t="shared" si="6"/>
        <v/>
      </c>
      <c r="AB41" s="108" t="str" cm="1">
        <f t="array" ref="AB41">IF(LEN($B41)=0,"",IF(LEN(C41)=0,"Nama Siswa Kosong",IF($E41="","Status Siswa Kosong",IF(S41&lt;&gt;"Aktif","Siswa Tidak Aktif",
IF(OR(U41:AA41="Belum mengisi"),"Belum mengisi",IF(AND(U41:AA41="Sudah terbiasa"),"Sudah terbiasa","Belum terbiasa"))))))</f>
        <v/>
      </c>
    </row>
    <row r="42" spans="2:43" hidden="1" x14ac:dyDescent="0.3">
      <c r="B42" s="4" t="str">
        <f>IF(ROW(A30)&lt;=profilKelas!$F$14,ROW(A30),"")</f>
        <v/>
      </c>
      <c r="C42" s="94" t="str">
        <f>IF(ISBLANK(identitasMurid!C35),"",identitasMurid!C35)</f>
        <v/>
      </c>
      <c r="D42" s="6" t="str">
        <f>IF(ISBLANK(identitasMurid!D35),"",identitasMurid!D35)</f>
        <v/>
      </c>
      <c r="E42" s="95"/>
      <c r="F42" s="95"/>
      <c r="G42" s="95"/>
      <c r="H42" s="95"/>
      <c r="I42" s="95"/>
      <c r="J42" s="95"/>
      <c r="K42" s="95"/>
      <c r="L42" s="95"/>
      <c r="M42" s="95"/>
      <c r="Q42" s="5" t="str">
        <f>IF(ROW(A30)&lt;=profilKelas!$F$14,ROW(A30),"")</f>
        <v/>
      </c>
      <c r="R42" s="12" t="str">
        <f t="shared" si="0"/>
        <v/>
      </c>
      <c r="S42" s="108" t="str">
        <f t="shared" si="4"/>
        <v/>
      </c>
      <c r="T42" s="108" t="str">
        <f t="shared" si="2"/>
        <v/>
      </c>
      <c r="U42" s="108" t="str">
        <f t="shared" si="6"/>
        <v/>
      </c>
      <c r="V42" s="108" t="str">
        <f t="shared" si="6"/>
        <v/>
      </c>
      <c r="W42" s="108" t="str">
        <f t="shared" si="6"/>
        <v/>
      </c>
      <c r="X42" s="108" t="str">
        <f t="shared" si="6"/>
        <v/>
      </c>
      <c r="Y42" s="108" t="str">
        <f t="shared" si="6"/>
        <v/>
      </c>
      <c r="Z42" s="108" t="str">
        <f t="shared" si="6"/>
        <v/>
      </c>
      <c r="AA42" s="108" t="str">
        <f t="shared" si="6"/>
        <v/>
      </c>
      <c r="AB42" s="108" t="str" cm="1">
        <f t="array" ref="AB42">IF(LEN($B42)=0,"",IF(LEN(C42)=0,"Nama Siswa Kosong",IF($E42="","Status Siswa Kosong",IF(S42&lt;&gt;"Aktif","Siswa Tidak Aktif",
IF(OR(U42:AA42="Belum mengisi"),"Belum mengisi",IF(AND(U42:AA42="Sudah terbiasa"),"Sudah terbiasa","Belum terbiasa"))))))</f>
        <v/>
      </c>
    </row>
    <row r="43" spans="2:43" hidden="1" x14ac:dyDescent="0.3">
      <c r="B43" s="4" t="str">
        <f>IF(ROW(A31)&lt;=profilKelas!$F$14,ROW(A31),"")</f>
        <v/>
      </c>
      <c r="C43" s="94" t="str">
        <f>IF(ISBLANK(identitasMurid!C36),"",identitasMurid!C36)</f>
        <v/>
      </c>
      <c r="D43" s="6" t="str">
        <f>IF(ISBLANK(identitasMurid!D36),"",identitasMurid!D36)</f>
        <v/>
      </c>
      <c r="E43" s="95"/>
      <c r="F43" s="95"/>
      <c r="G43" s="95"/>
      <c r="H43" s="95"/>
      <c r="I43" s="95"/>
      <c r="J43" s="95"/>
      <c r="K43" s="95"/>
      <c r="L43" s="95"/>
      <c r="M43" s="95"/>
      <c r="Q43" s="5" t="str">
        <f>IF(ROW(A31)&lt;=profilKelas!$F$14,ROW(A31),"")</f>
        <v/>
      </c>
      <c r="R43" s="12" t="str">
        <f t="shared" si="0"/>
        <v/>
      </c>
      <c r="S43" s="108" t="str">
        <f t="shared" si="4"/>
        <v/>
      </c>
      <c r="T43" s="108" t="str">
        <f t="shared" si="2"/>
        <v/>
      </c>
      <c r="U43" s="108" t="str">
        <f t="shared" si="6"/>
        <v/>
      </c>
      <c r="V43" s="108" t="str">
        <f t="shared" si="6"/>
        <v/>
      </c>
      <c r="W43" s="108" t="str">
        <f t="shared" si="6"/>
        <v/>
      </c>
      <c r="X43" s="108" t="str">
        <f t="shared" si="6"/>
        <v/>
      </c>
      <c r="Y43" s="108" t="str">
        <f t="shared" si="6"/>
        <v/>
      </c>
      <c r="Z43" s="108" t="str">
        <f t="shared" si="6"/>
        <v/>
      </c>
      <c r="AA43" s="108" t="str">
        <f t="shared" si="6"/>
        <v/>
      </c>
      <c r="AB43" s="108" t="str" cm="1">
        <f t="array" ref="AB43">IF(LEN($B43)=0,"",IF(LEN(C43)=0,"Nama Siswa Kosong",IF($E43="","Status Siswa Kosong",IF(S43&lt;&gt;"Aktif","Siswa Tidak Aktif",
IF(OR(U43:AA43="Belum mengisi"),"Belum mengisi",IF(AND(U43:AA43="Sudah terbiasa"),"Sudah terbiasa","Belum terbiasa"))))))</f>
        <v/>
      </c>
    </row>
    <row r="44" spans="2:43" hidden="1" x14ac:dyDescent="0.3">
      <c r="B44" s="4" t="str">
        <f>IF(ROW(A32)&lt;=profilKelas!$F$14,ROW(A32),"")</f>
        <v/>
      </c>
      <c r="C44" s="94" t="str">
        <f>IF(ISBLANK(identitasMurid!C37),"",identitasMurid!C37)</f>
        <v/>
      </c>
      <c r="D44" s="6" t="str">
        <f>IF(ISBLANK(identitasMurid!D37),"",identitasMurid!D37)</f>
        <v/>
      </c>
      <c r="E44" s="95"/>
      <c r="F44" s="95"/>
      <c r="G44" s="95"/>
      <c r="H44" s="95"/>
      <c r="I44" s="95"/>
      <c r="J44" s="95"/>
      <c r="K44" s="95"/>
      <c r="L44" s="95"/>
      <c r="M44" s="95"/>
      <c r="Q44" s="5" t="str">
        <f>IF(ROW(A32)&lt;=profilKelas!$F$14,ROW(A32),"")</f>
        <v/>
      </c>
      <c r="R44" s="12" t="str">
        <f t="shared" si="0"/>
        <v/>
      </c>
      <c r="S44" s="108" t="str">
        <f t="shared" si="4"/>
        <v/>
      </c>
      <c r="T44" s="108" t="str">
        <f t="shared" si="2"/>
        <v/>
      </c>
      <c r="U44" s="108" t="str">
        <f t="shared" si="6"/>
        <v/>
      </c>
      <c r="V44" s="108" t="str">
        <f t="shared" si="6"/>
        <v/>
      </c>
      <c r="W44" s="108" t="str">
        <f t="shared" si="6"/>
        <v/>
      </c>
      <c r="X44" s="108" t="str">
        <f t="shared" si="6"/>
        <v/>
      </c>
      <c r="Y44" s="108" t="str">
        <f t="shared" si="6"/>
        <v/>
      </c>
      <c r="Z44" s="108" t="str">
        <f t="shared" si="6"/>
        <v/>
      </c>
      <c r="AA44" s="108" t="str">
        <f t="shared" si="6"/>
        <v/>
      </c>
      <c r="AB44" s="108" t="str" cm="1">
        <f t="array" ref="AB44">IF(LEN($B44)=0,"",IF(LEN(C44)=0,"Nama Siswa Kosong",IF($E44="","Status Siswa Kosong",IF(S44&lt;&gt;"Aktif","Siswa Tidak Aktif",
IF(OR(U44:AA44="Belum mengisi"),"Belum mengisi",IF(AND(U44:AA44="Sudah terbiasa"),"Sudah terbiasa","Belum terbiasa"))))))</f>
        <v/>
      </c>
    </row>
    <row r="45" spans="2:43" hidden="1" x14ac:dyDescent="0.3">
      <c r="B45" s="4" t="str">
        <f>IF(ROW(A33)&lt;=profilKelas!$F$14,ROW(A33),"")</f>
        <v/>
      </c>
      <c r="C45" s="94" t="str">
        <f>IF(ISBLANK(identitasMurid!C38),"",identitasMurid!C38)</f>
        <v/>
      </c>
      <c r="D45" s="6" t="str">
        <f>IF(ISBLANK(identitasMurid!D38),"",identitasMurid!D38)</f>
        <v/>
      </c>
      <c r="E45" s="95"/>
      <c r="F45" s="95"/>
      <c r="G45" s="95"/>
      <c r="H45" s="95"/>
      <c r="I45" s="95"/>
      <c r="J45" s="95"/>
      <c r="K45" s="95"/>
      <c r="L45" s="95"/>
      <c r="M45" s="95"/>
      <c r="Q45" s="5" t="str">
        <f>IF(ROW(A33)&lt;=profilKelas!$F$14,ROW(A33),"")</f>
        <v/>
      </c>
      <c r="R45" s="12" t="str">
        <f t="shared" si="0"/>
        <v/>
      </c>
      <c r="S45" s="108" t="str">
        <f t="shared" si="4"/>
        <v/>
      </c>
      <c r="T45" s="108" t="str">
        <f t="shared" si="2"/>
        <v/>
      </c>
      <c r="U45" s="108" t="str">
        <f t="shared" si="6"/>
        <v/>
      </c>
      <c r="V45" s="108" t="str">
        <f t="shared" si="6"/>
        <v/>
      </c>
      <c r="W45" s="108" t="str">
        <f t="shared" si="6"/>
        <v/>
      </c>
      <c r="X45" s="108" t="str">
        <f t="shared" si="6"/>
        <v/>
      </c>
      <c r="Y45" s="108" t="str">
        <f t="shared" si="6"/>
        <v/>
      </c>
      <c r="Z45" s="108" t="str">
        <f t="shared" si="6"/>
        <v/>
      </c>
      <c r="AA45" s="108" t="str">
        <f t="shared" si="6"/>
        <v/>
      </c>
      <c r="AB45" s="108" t="str" cm="1">
        <f t="array" ref="AB45">IF(LEN($B45)=0,"",IF(LEN(C45)=0,"Nama Siswa Kosong",IF($E45="","Status Siswa Kosong",IF(S45&lt;&gt;"Aktif","Siswa Tidak Aktif",
IF(OR(U45:AA45="Belum mengisi"),"Belum mengisi",IF(AND(U45:AA45="Sudah terbiasa"),"Sudah terbiasa","Belum terbiasa"))))))</f>
        <v/>
      </c>
    </row>
    <row r="46" spans="2:43" hidden="1" x14ac:dyDescent="0.3">
      <c r="B46" s="4" t="str">
        <f>IF(ROW(A34)&lt;=profilKelas!$F$14,ROW(A34),"")</f>
        <v/>
      </c>
      <c r="C46" s="94" t="str">
        <f>IF(ISBLANK(identitasMurid!C39),"",identitasMurid!C39)</f>
        <v/>
      </c>
      <c r="D46" s="6" t="str">
        <f>IF(ISBLANK(identitasMurid!D39),"",identitasMurid!D39)</f>
        <v/>
      </c>
      <c r="E46" s="95"/>
      <c r="F46" s="95"/>
      <c r="G46" s="95"/>
      <c r="H46" s="95"/>
      <c r="I46" s="95"/>
      <c r="J46" s="95"/>
      <c r="K46" s="95"/>
      <c r="L46" s="95"/>
      <c r="M46" s="95"/>
      <c r="Q46" s="5" t="str">
        <f>IF(ROW(A34)&lt;=profilKelas!$F$14,ROW(A34),"")</f>
        <v/>
      </c>
      <c r="R46" s="12" t="str">
        <f t="shared" si="0"/>
        <v/>
      </c>
      <c r="S46" s="108" t="str">
        <f t="shared" si="4"/>
        <v/>
      </c>
      <c r="T46" s="108" t="str">
        <f t="shared" si="2"/>
        <v/>
      </c>
      <c r="U46" s="108" t="str">
        <f t="shared" si="6"/>
        <v/>
      </c>
      <c r="V46" s="108" t="str">
        <f t="shared" si="6"/>
        <v/>
      </c>
      <c r="W46" s="108" t="str">
        <f t="shared" si="6"/>
        <v/>
      </c>
      <c r="X46" s="108" t="str">
        <f t="shared" si="6"/>
        <v/>
      </c>
      <c r="Y46" s="108" t="str">
        <f t="shared" si="6"/>
        <v/>
      </c>
      <c r="Z46" s="108" t="str">
        <f t="shared" si="6"/>
        <v/>
      </c>
      <c r="AA46" s="108" t="str">
        <f t="shared" si="6"/>
        <v/>
      </c>
      <c r="AB46" s="108" t="str" cm="1">
        <f t="array" ref="AB46">IF(LEN($B46)=0,"",IF(LEN(C46)=0,"Nama Siswa Kosong",IF($E46="","Status Siswa Kosong",IF(S46&lt;&gt;"Aktif","Siswa Tidak Aktif",
IF(OR(U46:AA46="Belum mengisi"),"Belum mengisi",IF(AND(U46:AA46="Sudah terbiasa"),"Sudah terbiasa","Belum terbiasa"))))))</f>
        <v/>
      </c>
    </row>
    <row r="47" spans="2:43" hidden="1" x14ac:dyDescent="0.3">
      <c r="B47" s="4" t="str">
        <f>IF(ROW(A35)&lt;=profilKelas!$F$14,ROW(A35),"")</f>
        <v/>
      </c>
      <c r="C47" s="94" t="str">
        <f>IF(ISBLANK(identitasMurid!C40),"",identitasMurid!C40)</f>
        <v/>
      </c>
      <c r="D47" s="6" t="str">
        <f>IF(ISBLANK(identitasMurid!D40),"",identitasMurid!D40)</f>
        <v/>
      </c>
      <c r="E47" s="95"/>
      <c r="F47" s="95"/>
      <c r="G47" s="95"/>
      <c r="H47" s="95"/>
      <c r="I47" s="95"/>
      <c r="J47" s="95"/>
      <c r="K47" s="95"/>
      <c r="L47" s="95"/>
      <c r="M47" s="95"/>
      <c r="Q47" s="5" t="str">
        <f>IF(ROW(A35)&lt;=profilKelas!$F$14,ROW(A35),"")</f>
        <v/>
      </c>
      <c r="R47" s="12" t="str">
        <f t="shared" si="0"/>
        <v/>
      </c>
      <c r="S47" s="108" t="str">
        <f t="shared" si="4"/>
        <v/>
      </c>
      <c r="T47" s="108" t="str">
        <f t="shared" si="2"/>
        <v/>
      </c>
      <c r="U47" s="108" t="str">
        <f t="shared" si="6"/>
        <v/>
      </c>
      <c r="V47" s="108" t="str">
        <f t="shared" si="6"/>
        <v/>
      </c>
      <c r="W47" s="108" t="str">
        <f t="shared" si="6"/>
        <v/>
      </c>
      <c r="X47" s="108" t="str">
        <f t="shared" si="6"/>
        <v/>
      </c>
      <c r="Y47" s="108" t="str">
        <f t="shared" si="6"/>
        <v/>
      </c>
      <c r="Z47" s="108" t="str">
        <f t="shared" si="6"/>
        <v/>
      </c>
      <c r="AA47" s="108" t="str">
        <f t="shared" si="6"/>
        <v/>
      </c>
      <c r="AB47" s="108" t="str" cm="1">
        <f t="array" ref="AB47">IF(LEN($B47)=0,"",IF(LEN(C47)=0,"Nama Siswa Kosong",IF($E47="","Status Siswa Kosong",IF(S47&lt;&gt;"Aktif","Siswa Tidak Aktif",
IF(OR(U47:AA47="Belum mengisi"),"Belum mengisi",IF(AND(U47:AA47="Sudah terbiasa"),"Sudah terbiasa","Belum terbiasa"))))))</f>
        <v/>
      </c>
    </row>
    <row r="48" spans="2:43" hidden="1" x14ac:dyDescent="0.3">
      <c r="B48" s="4" t="str">
        <f>IF(ROW(A36)&lt;=profilKelas!$F$14,ROW(A36),"")</f>
        <v/>
      </c>
      <c r="C48" s="94" t="str">
        <f>IF(ISBLANK(identitasMurid!C41),"",identitasMurid!C41)</f>
        <v/>
      </c>
      <c r="D48" s="6" t="str">
        <f>IF(ISBLANK(identitasMurid!D41),"",identitasMurid!D41)</f>
        <v/>
      </c>
      <c r="E48" s="95"/>
      <c r="F48" s="95"/>
      <c r="G48" s="95"/>
      <c r="H48" s="95"/>
      <c r="I48" s="95"/>
      <c r="J48" s="95"/>
      <c r="K48" s="95"/>
      <c r="L48" s="95"/>
      <c r="M48" s="30"/>
      <c r="Q48" s="5" t="str">
        <f>IF(ROW(A36)&lt;=profilKelas!$F$14,ROW(A36),"")</f>
        <v/>
      </c>
      <c r="R48" s="12" t="str">
        <f t="shared" si="0"/>
        <v/>
      </c>
      <c r="S48" s="108" t="str">
        <f t="shared" si="4"/>
        <v/>
      </c>
      <c r="T48" s="108" t="str">
        <f t="shared" si="2"/>
        <v/>
      </c>
      <c r="U48" s="108" t="str">
        <f t="shared" si="6"/>
        <v/>
      </c>
      <c r="V48" s="108" t="str">
        <f t="shared" si="6"/>
        <v/>
      </c>
      <c r="W48" s="108" t="str">
        <f t="shared" si="6"/>
        <v/>
      </c>
      <c r="X48" s="108" t="str">
        <f t="shared" si="6"/>
        <v/>
      </c>
      <c r="Y48" s="108" t="str">
        <f t="shared" si="6"/>
        <v/>
      </c>
      <c r="Z48" s="108" t="str">
        <f t="shared" si="6"/>
        <v/>
      </c>
      <c r="AA48" s="108" t="str">
        <f t="shared" si="6"/>
        <v/>
      </c>
      <c r="AB48" s="108" t="str" cm="1">
        <f t="array" ref="AB48">IF(LEN($B48)=0,"",IF(LEN(C48)=0,"Nama Siswa Kosong",IF($E48="","Status Siswa Kosong",IF(S48&lt;&gt;"Aktif","Siswa Tidak Aktif",
IF(OR(U48:AA48="Belum mengisi"),"Belum mengisi",IF(AND(U48:AA48="Sudah terbiasa"),"Sudah terbiasa","Belum terbiasa"))))))</f>
        <v/>
      </c>
    </row>
    <row r="49" spans="2:28" hidden="1" x14ac:dyDescent="0.3">
      <c r="B49" s="4" t="str">
        <f>IF(ROW(A37)&lt;=profilKelas!$F$14,ROW(A37),"")</f>
        <v/>
      </c>
      <c r="C49" s="94" t="str">
        <f>IF(ISBLANK(identitasMurid!C42),"",identitasMurid!C42)</f>
        <v/>
      </c>
      <c r="D49" s="6" t="str">
        <f>IF(ISBLANK(identitasMurid!D42),"",identitasMurid!D42)</f>
        <v/>
      </c>
      <c r="E49" s="95"/>
      <c r="F49" s="95"/>
      <c r="G49" s="95"/>
      <c r="H49" s="95"/>
      <c r="I49" s="95"/>
      <c r="J49" s="95"/>
      <c r="K49" s="95"/>
      <c r="L49" s="95"/>
      <c r="M49" s="30"/>
      <c r="Q49" s="5" t="str">
        <f>IF(ROW(A37)&lt;=profilKelas!$F$14,ROW(A37),"")</f>
        <v/>
      </c>
      <c r="R49" s="12" t="str">
        <f t="shared" si="0"/>
        <v/>
      </c>
      <c r="S49" s="108" t="str">
        <f t="shared" si="4"/>
        <v/>
      </c>
      <c r="T49" s="108" t="str">
        <f t="shared" si="2"/>
        <v/>
      </c>
      <c r="U49" s="108" t="str">
        <f t="shared" si="6"/>
        <v/>
      </c>
      <c r="V49" s="108" t="str">
        <f t="shared" si="6"/>
        <v/>
      </c>
      <c r="W49" s="108" t="str">
        <f t="shared" si="6"/>
        <v/>
      </c>
      <c r="X49" s="108" t="str">
        <f t="shared" si="6"/>
        <v/>
      </c>
      <c r="Y49" s="108" t="str">
        <f t="shared" si="6"/>
        <v/>
      </c>
      <c r="Z49" s="108" t="str">
        <f t="shared" si="6"/>
        <v/>
      </c>
      <c r="AA49" s="108" t="str">
        <f t="shared" si="6"/>
        <v/>
      </c>
      <c r="AB49" s="108" t="str" cm="1">
        <f t="array" ref="AB49">IF(LEN($B49)=0,"",IF(LEN(C49)=0,"Nama Siswa Kosong",IF($E49="","Status Siswa Kosong",IF(S49&lt;&gt;"Aktif","Siswa Tidak Aktif",
IF(OR(U49:AA49="Belum mengisi"),"Belum mengisi",IF(AND(U49:AA49="Sudah terbiasa"),"Sudah terbiasa","Belum terbiasa"))))))</f>
        <v/>
      </c>
    </row>
    <row r="50" spans="2:28" hidden="1" x14ac:dyDescent="0.3">
      <c r="B50" s="4" t="str">
        <f>IF(ROW(A38)&lt;=profilKelas!$F$14,ROW(A38),"")</f>
        <v/>
      </c>
      <c r="C50" s="94" t="str">
        <f>IF(ISBLANK(identitasMurid!C43),"",identitasMurid!C43)</f>
        <v/>
      </c>
      <c r="D50" s="6" t="str">
        <f>IF(ISBLANK(identitasMurid!D43),"",identitasMurid!D43)</f>
        <v/>
      </c>
      <c r="E50" s="95"/>
      <c r="F50" s="95"/>
      <c r="G50" s="95"/>
      <c r="H50" s="95"/>
      <c r="I50" s="95"/>
      <c r="J50" s="95"/>
      <c r="K50" s="95"/>
      <c r="L50" s="95"/>
      <c r="M50" s="30"/>
      <c r="Q50" s="5" t="str">
        <f>IF(ROW(A38)&lt;=profilKelas!$F$14,ROW(A38),"")</f>
        <v/>
      </c>
      <c r="R50" s="12" t="str">
        <f t="shared" si="0"/>
        <v/>
      </c>
      <c r="S50" s="108" t="str">
        <f t="shared" si="4"/>
        <v/>
      </c>
      <c r="T50" s="108" t="str">
        <f t="shared" si="2"/>
        <v/>
      </c>
      <c r="U50" s="108" t="str">
        <f t="shared" si="6"/>
        <v/>
      </c>
      <c r="V50" s="108" t="str">
        <f t="shared" si="6"/>
        <v/>
      </c>
      <c r="W50" s="108" t="str">
        <f t="shared" si="6"/>
        <v/>
      </c>
      <c r="X50" s="108" t="str">
        <f t="shared" si="6"/>
        <v/>
      </c>
      <c r="Y50" s="108" t="str">
        <f t="shared" si="6"/>
        <v/>
      </c>
      <c r="Z50" s="108" t="str">
        <f t="shared" si="6"/>
        <v/>
      </c>
      <c r="AA50" s="108" t="str">
        <f t="shared" si="6"/>
        <v/>
      </c>
      <c r="AB50" s="108" t="str" cm="1">
        <f t="array" ref="AB50">IF(LEN($B50)=0,"",IF(LEN(C50)=0,"Nama Siswa Kosong",IF($E50="","Status Siswa Kosong",IF(S50&lt;&gt;"Aktif","Siswa Tidak Aktif",
IF(OR(U50:AA50="Belum mengisi"),"Belum mengisi",IF(AND(U50:AA50="Sudah terbiasa"),"Sudah terbiasa","Belum terbiasa"))))))</f>
        <v/>
      </c>
    </row>
    <row r="51" spans="2:28" hidden="1" x14ac:dyDescent="0.3">
      <c r="B51" s="4" t="str">
        <f>IF(ROW(A39)&lt;=profilKelas!$F$14,ROW(A39),"")</f>
        <v/>
      </c>
      <c r="C51" s="94" t="str">
        <f>IF(ISBLANK(identitasMurid!C44),"",identitasMurid!C44)</f>
        <v/>
      </c>
      <c r="D51" s="6" t="str">
        <f>IF(ISBLANK(identitasMurid!D44),"",identitasMurid!D44)</f>
        <v/>
      </c>
      <c r="E51" s="95"/>
      <c r="F51" s="95"/>
      <c r="G51" s="95"/>
      <c r="H51" s="95"/>
      <c r="I51" s="95"/>
      <c r="J51" s="95"/>
      <c r="K51" s="95"/>
      <c r="L51" s="95"/>
      <c r="M51" s="30"/>
      <c r="Q51" s="5" t="str">
        <f>IF(ROW(A39)&lt;=profilKelas!$F$14,ROW(A39),"")</f>
        <v/>
      </c>
      <c r="R51" s="12" t="str">
        <f t="shared" si="0"/>
        <v/>
      </c>
      <c r="S51" s="108" t="str">
        <f t="shared" si="4"/>
        <v/>
      </c>
      <c r="T51" s="108" t="str">
        <f t="shared" si="2"/>
        <v/>
      </c>
      <c r="U51" s="108" t="str">
        <f t="shared" si="6"/>
        <v/>
      </c>
      <c r="V51" s="108" t="str">
        <f t="shared" si="6"/>
        <v/>
      </c>
      <c r="W51" s="108" t="str">
        <f t="shared" si="6"/>
        <v/>
      </c>
      <c r="X51" s="108" t="str">
        <f t="shared" si="6"/>
        <v/>
      </c>
      <c r="Y51" s="108" t="str">
        <f t="shared" si="6"/>
        <v/>
      </c>
      <c r="Z51" s="108" t="str">
        <f t="shared" si="6"/>
        <v/>
      </c>
      <c r="AA51" s="108" t="str">
        <f t="shared" si="6"/>
        <v/>
      </c>
      <c r="AB51" s="108" t="str" cm="1">
        <f t="array" ref="AB51">IF(LEN($B51)=0,"",IF(LEN(C51)=0,"Nama Siswa Kosong",IF($E51="","Status Siswa Kosong",IF(S51&lt;&gt;"Aktif","Siswa Tidak Aktif",
IF(OR(U51:AA51="Belum mengisi"),"Belum mengisi",IF(AND(U51:AA51="Sudah terbiasa"),"Sudah terbiasa","Belum terbiasa"))))))</f>
        <v/>
      </c>
    </row>
    <row r="52" spans="2:28" hidden="1" x14ac:dyDescent="0.3">
      <c r="B52" s="4" t="str">
        <f>IF(ROW(A40)&lt;=profilKelas!$F$14,ROW(A40),"")</f>
        <v/>
      </c>
      <c r="C52" s="94" t="str">
        <f>IF(ISBLANK(identitasMurid!C45),"",identitasMurid!C45)</f>
        <v/>
      </c>
      <c r="D52" s="6" t="str">
        <f>IF(ISBLANK(identitasMurid!D45),"",identitasMurid!D45)</f>
        <v/>
      </c>
      <c r="E52" s="95"/>
      <c r="F52" s="95"/>
      <c r="G52" s="95"/>
      <c r="H52" s="95"/>
      <c r="I52" s="95"/>
      <c r="J52" s="95"/>
      <c r="K52" s="95"/>
      <c r="L52" s="95"/>
      <c r="M52" s="30"/>
      <c r="Q52" s="5" t="str">
        <f>IF(ROW(A40)&lt;=profilKelas!$F$14,ROW(A40),"")</f>
        <v/>
      </c>
      <c r="R52" s="12" t="str">
        <f t="shared" si="0"/>
        <v/>
      </c>
      <c r="S52" s="108" t="str">
        <f t="shared" si="4"/>
        <v/>
      </c>
      <c r="T52" s="108" t="str">
        <f t="shared" si="2"/>
        <v/>
      </c>
      <c r="U52" s="108" t="str">
        <f t="shared" si="6"/>
        <v/>
      </c>
      <c r="V52" s="108" t="str">
        <f t="shared" si="6"/>
        <v/>
      </c>
      <c r="W52" s="108" t="str">
        <f t="shared" si="6"/>
        <v/>
      </c>
      <c r="X52" s="108" t="str">
        <f t="shared" si="6"/>
        <v/>
      </c>
      <c r="Y52" s="108" t="str">
        <f t="shared" si="6"/>
        <v/>
      </c>
      <c r="Z52" s="108" t="str">
        <f t="shared" si="6"/>
        <v/>
      </c>
      <c r="AA52" s="108" t="str">
        <f t="shared" si="6"/>
        <v/>
      </c>
      <c r="AB52" s="108" t="str" cm="1">
        <f t="array" ref="AB52">IF(LEN($B52)=0,"",IF(LEN(C52)=0,"Nama Siswa Kosong",IF($E52="","Status Siswa Kosong",IF(S52&lt;&gt;"Aktif","Siswa Tidak Aktif",
IF(OR(U52:AA52="Belum mengisi"),"Belum mengisi",IF(AND(U52:AA52="Sudah terbiasa"),"Sudah terbiasa","Belum terbiasa"))))))</f>
        <v/>
      </c>
    </row>
    <row r="53" spans="2:28" hidden="1" x14ac:dyDescent="0.3">
      <c r="B53" s="4" t="str">
        <f>IF(ROW(A41)&lt;=profilKelas!$F$14,ROW(A41),"")</f>
        <v/>
      </c>
      <c r="C53" s="94" t="str">
        <f>IF(ISBLANK(identitasMurid!C46),"",identitasMurid!C46)</f>
        <v/>
      </c>
      <c r="D53" s="6" t="str">
        <f>IF(ISBLANK(identitasMurid!D46),"",identitasMurid!D46)</f>
        <v/>
      </c>
      <c r="E53" s="95"/>
      <c r="F53" s="95"/>
      <c r="G53" s="95"/>
      <c r="H53" s="95"/>
      <c r="I53" s="95"/>
      <c r="J53" s="95"/>
      <c r="K53" s="95"/>
      <c r="L53" s="95"/>
      <c r="M53" s="30"/>
      <c r="Q53" s="5" t="str">
        <f>IF(ROW(A41)&lt;=profilKelas!$F$14,ROW(A41),"")</f>
        <v/>
      </c>
      <c r="R53" s="12" t="str">
        <f t="shared" si="0"/>
        <v/>
      </c>
      <c r="S53" s="108" t="str">
        <f t="shared" si="4"/>
        <v/>
      </c>
      <c r="T53" s="108" t="str">
        <f t="shared" si="2"/>
        <v/>
      </c>
      <c r="U53" s="108" t="str">
        <f t="shared" si="6"/>
        <v/>
      </c>
      <c r="V53" s="108" t="str">
        <f t="shared" si="6"/>
        <v/>
      </c>
      <c r="W53" s="108" t="str">
        <f t="shared" si="6"/>
        <v/>
      </c>
      <c r="X53" s="108" t="str">
        <f t="shared" si="6"/>
        <v/>
      </c>
      <c r="Y53" s="108" t="str">
        <f t="shared" si="6"/>
        <v/>
      </c>
      <c r="Z53" s="108" t="str">
        <f t="shared" si="6"/>
        <v/>
      </c>
      <c r="AA53" s="108" t="str">
        <f t="shared" si="6"/>
        <v/>
      </c>
      <c r="AB53" s="108" t="str" cm="1">
        <f t="array" ref="AB53">IF(LEN($B53)=0,"",IF(LEN(C53)=0,"Nama Siswa Kosong",IF($E53="","Status Siswa Kosong",IF(S53&lt;&gt;"Aktif","Siswa Tidak Aktif",
IF(OR(U53:AA53="Belum mengisi"),"Belum mengisi",IF(AND(U53:AA53="Sudah terbiasa"),"Sudah terbiasa","Belum terbiasa"))))))</f>
        <v/>
      </c>
    </row>
    <row r="54" spans="2:28" hidden="1" x14ac:dyDescent="0.3">
      <c r="B54" s="4" t="str">
        <f>IF(ROW(A42)&lt;=profilKelas!$F$14,ROW(A42),"")</f>
        <v/>
      </c>
      <c r="C54" s="94" t="str">
        <f>IF(ISBLANK(identitasMurid!C47),"",identitasMurid!C47)</f>
        <v/>
      </c>
      <c r="D54" s="6" t="str">
        <f>IF(ISBLANK(identitasMurid!D47),"",identitasMurid!D47)</f>
        <v/>
      </c>
      <c r="E54" s="95"/>
      <c r="F54" s="95"/>
      <c r="G54" s="95"/>
      <c r="H54" s="95"/>
      <c r="I54" s="95"/>
      <c r="J54" s="95"/>
      <c r="K54" s="95"/>
      <c r="L54" s="95"/>
      <c r="M54" s="30"/>
      <c r="Q54" s="5" t="str">
        <f>IF(ROW(A42)&lt;=profilKelas!$F$14,ROW(A42),"")</f>
        <v/>
      </c>
      <c r="R54" s="12" t="str">
        <f t="shared" si="0"/>
        <v/>
      </c>
      <c r="S54" s="108" t="str">
        <f t="shared" si="4"/>
        <v/>
      </c>
      <c r="T54" s="108" t="str">
        <f t="shared" si="2"/>
        <v/>
      </c>
      <c r="U54" s="108" t="str">
        <f t="shared" si="6"/>
        <v/>
      </c>
      <c r="V54" s="108" t="str">
        <f t="shared" si="6"/>
        <v/>
      </c>
      <c r="W54" s="108" t="str">
        <f t="shared" si="6"/>
        <v/>
      </c>
      <c r="X54" s="108" t="str">
        <f t="shared" si="6"/>
        <v/>
      </c>
      <c r="Y54" s="108" t="str">
        <f t="shared" si="6"/>
        <v/>
      </c>
      <c r="Z54" s="108" t="str">
        <f t="shared" si="6"/>
        <v/>
      </c>
      <c r="AA54" s="108" t="str">
        <f t="shared" si="6"/>
        <v/>
      </c>
      <c r="AB54" s="108" t="str" cm="1">
        <f t="array" ref="AB54">IF(LEN($B54)=0,"",IF(LEN(C54)=0,"Nama Siswa Kosong",IF($E54="","Status Siswa Kosong",IF(S54&lt;&gt;"Aktif","Siswa Tidak Aktif",
IF(OR(U54:AA54="Belum mengisi"),"Belum mengisi",IF(AND(U54:AA54="Sudah terbiasa"),"Sudah terbiasa","Belum terbiasa"))))))</f>
        <v/>
      </c>
    </row>
    <row r="55" spans="2:28" hidden="1" x14ac:dyDescent="0.3">
      <c r="B55" s="4" t="str">
        <f>IF(ROW(A43)&lt;=profilKelas!$F$14,ROW(A43),"")</f>
        <v/>
      </c>
      <c r="C55" s="94" t="str">
        <f>IF(ISBLANK(identitasMurid!C48),"",identitasMurid!C48)</f>
        <v/>
      </c>
      <c r="D55" s="6" t="str">
        <f>IF(ISBLANK(identitasMurid!D48),"",identitasMurid!D48)</f>
        <v/>
      </c>
      <c r="E55" s="95"/>
      <c r="F55" s="95"/>
      <c r="G55" s="95"/>
      <c r="H55" s="95"/>
      <c r="I55" s="95"/>
      <c r="J55" s="95"/>
      <c r="K55" s="95"/>
      <c r="L55" s="95"/>
      <c r="M55" s="30"/>
      <c r="Q55" s="5" t="str">
        <f>IF(ROW(A43)&lt;=profilKelas!$F$14,ROW(A43),"")</f>
        <v/>
      </c>
      <c r="R55" s="12" t="str">
        <f t="shared" si="0"/>
        <v/>
      </c>
      <c r="S55" s="108" t="str">
        <f t="shared" si="4"/>
        <v/>
      </c>
      <c r="T55" s="108" t="str">
        <f t="shared" si="2"/>
        <v/>
      </c>
      <c r="U55" s="108" t="str">
        <f t="shared" si="6"/>
        <v/>
      </c>
      <c r="V55" s="108" t="str">
        <f t="shared" si="6"/>
        <v/>
      </c>
      <c r="W55" s="108" t="str">
        <f t="shared" si="6"/>
        <v/>
      </c>
      <c r="X55" s="108" t="str">
        <f t="shared" si="6"/>
        <v/>
      </c>
      <c r="Y55" s="108" t="str">
        <f t="shared" si="6"/>
        <v/>
      </c>
      <c r="Z55" s="108" t="str">
        <f t="shared" si="6"/>
        <v/>
      </c>
      <c r="AA55" s="108" t="str">
        <f t="shared" si="6"/>
        <v/>
      </c>
      <c r="AB55" s="108" t="str" cm="1">
        <f t="array" ref="AB55">IF(LEN($B55)=0,"",IF(LEN(C55)=0,"Nama Siswa Kosong",IF($E55="","Status Siswa Kosong",IF(S55&lt;&gt;"Aktif","Siswa Tidak Aktif",
IF(OR(U55:AA55="Belum mengisi"),"Belum mengisi",IF(AND(U55:AA55="Sudah terbiasa"),"Sudah terbiasa","Belum terbiasa"))))))</f>
        <v/>
      </c>
    </row>
    <row r="56" spans="2:28" hidden="1" x14ac:dyDescent="0.3">
      <c r="B56" s="4" t="str">
        <f>IF(ROW(A44)&lt;=profilKelas!$F$14,ROW(A44),"")</f>
        <v/>
      </c>
      <c r="C56" s="94" t="str">
        <f>IF(ISBLANK(identitasMurid!C49),"",identitasMurid!C49)</f>
        <v/>
      </c>
      <c r="D56" s="6" t="str">
        <f>IF(ISBLANK(identitasMurid!D49),"",identitasMurid!D49)</f>
        <v/>
      </c>
      <c r="E56" s="95"/>
      <c r="F56" s="95"/>
      <c r="G56" s="95"/>
      <c r="H56" s="95"/>
      <c r="I56" s="95"/>
      <c r="J56" s="95"/>
      <c r="K56" s="95"/>
      <c r="L56" s="95"/>
      <c r="M56" s="30"/>
      <c r="Q56" s="5" t="str">
        <f>IF(ROW(A44)&lt;=profilKelas!$F$14,ROW(A44),"")</f>
        <v/>
      </c>
      <c r="R56" s="12" t="str">
        <f t="shared" si="0"/>
        <v/>
      </c>
      <c r="S56" s="108" t="str">
        <f t="shared" si="4"/>
        <v/>
      </c>
      <c r="T56" s="108" t="str">
        <f t="shared" si="2"/>
        <v/>
      </c>
      <c r="U56" s="108" t="str">
        <f t="shared" si="6"/>
        <v/>
      </c>
      <c r="V56" s="108" t="str">
        <f t="shared" si="6"/>
        <v/>
      </c>
      <c r="W56" s="108" t="str">
        <f t="shared" si="6"/>
        <v/>
      </c>
      <c r="X56" s="108" t="str">
        <f t="shared" si="6"/>
        <v/>
      </c>
      <c r="Y56" s="108" t="str">
        <f t="shared" si="6"/>
        <v/>
      </c>
      <c r="Z56" s="108" t="str">
        <f t="shared" si="6"/>
        <v/>
      </c>
      <c r="AA56" s="108" t="str">
        <f t="shared" si="6"/>
        <v/>
      </c>
      <c r="AB56" s="108" t="str" cm="1">
        <f t="array" ref="AB56">IF(LEN($B56)=0,"",IF(LEN(C56)=0,"Nama Siswa Kosong",IF($E56="","Status Siswa Kosong",IF(S56&lt;&gt;"Aktif","Siswa Tidak Aktif",
IF(OR(U56:AA56="Belum mengisi"),"Belum mengisi",IF(AND(U56:AA56="Sudah terbiasa"),"Sudah terbiasa","Belum terbiasa"))))))</f>
        <v/>
      </c>
    </row>
    <row r="57" spans="2:28" hidden="1" x14ac:dyDescent="0.3">
      <c r="B57" s="4" t="str">
        <f>IF(ROW(A45)&lt;=profilKelas!$F$14,ROW(A45),"")</f>
        <v/>
      </c>
      <c r="C57" s="94" t="str">
        <f>IF(ISBLANK(identitasMurid!C50),"",identitasMurid!C50)</f>
        <v/>
      </c>
      <c r="D57" s="6" t="str">
        <f>IF(ISBLANK(identitasMurid!D50),"",identitasMurid!D50)</f>
        <v/>
      </c>
      <c r="E57" s="95"/>
      <c r="F57" s="95"/>
      <c r="G57" s="95"/>
      <c r="H57" s="95"/>
      <c r="I57" s="95"/>
      <c r="J57" s="95"/>
      <c r="K57" s="95"/>
      <c r="L57" s="95"/>
      <c r="M57" s="30"/>
      <c r="Q57" s="5" t="str">
        <f>IF(ROW(A45)&lt;=profilKelas!$F$14,ROW(A45),"")</f>
        <v/>
      </c>
      <c r="R57" s="12" t="str">
        <f t="shared" si="0"/>
        <v/>
      </c>
      <c r="S57" s="108" t="str">
        <f t="shared" si="4"/>
        <v/>
      </c>
      <c r="T57" s="108" t="str">
        <f t="shared" si="2"/>
        <v/>
      </c>
      <c r="U57" s="108" t="str">
        <f t="shared" si="6"/>
        <v/>
      </c>
      <c r="V57" s="108" t="str">
        <f t="shared" si="6"/>
        <v/>
      </c>
      <c r="W57" s="108" t="str">
        <f t="shared" si="6"/>
        <v/>
      </c>
      <c r="X57" s="108" t="str">
        <f t="shared" si="6"/>
        <v/>
      </c>
      <c r="Y57" s="108" t="str">
        <f t="shared" si="6"/>
        <v/>
      </c>
      <c r="Z57" s="108" t="str">
        <f t="shared" si="6"/>
        <v/>
      </c>
      <c r="AA57" s="108" t="str">
        <f t="shared" si="6"/>
        <v/>
      </c>
      <c r="AB57" s="108" t="str" cm="1">
        <f t="array" ref="AB57">IF(LEN($B57)=0,"",IF(LEN(C57)=0,"Nama Siswa Kosong",IF($E57="","Status Siswa Kosong",IF(S57&lt;&gt;"Aktif","Siswa Tidak Aktif",
IF(OR(U57:AA57="Belum mengisi"),"Belum mengisi",IF(AND(U57:AA57="Sudah terbiasa"),"Sudah terbiasa","Belum terbiasa"))))))</f>
        <v/>
      </c>
    </row>
    <row r="58" spans="2:28" x14ac:dyDescent="0.3"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</row>
    <row r="59" spans="2:28" ht="16.2" x14ac:dyDescent="0.35">
      <c r="B59" s="13"/>
      <c r="C59" s="71"/>
      <c r="D59" s="71" t="s">
        <v>15</v>
      </c>
      <c r="E59" s="13"/>
      <c r="F59" s="13"/>
      <c r="G59" s="13"/>
      <c r="H59" s="13"/>
      <c r="I59" s="13"/>
      <c r="J59" s="13"/>
      <c r="K59" s="13" t="str">
        <f>profilKelas!F9&amp;", "&amp;O60</f>
        <v>, 29 Februari 2025</v>
      </c>
      <c r="L59" s="13"/>
      <c r="M59" s="13"/>
      <c r="O59" s="31" t="s">
        <v>860</v>
      </c>
      <c r="Q59" s="13"/>
      <c r="R59" s="13"/>
      <c r="S59" s="13" t="s">
        <v>15</v>
      </c>
      <c r="T59" s="13"/>
      <c r="U59" s="13"/>
      <c r="V59" s="13"/>
      <c r="W59" s="13"/>
      <c r="X59" s="13"/>
      <c r="Y59" s="13"/>
      <c r="Z59" s="13" t="str">
        <f>profilKelas!F9&amp;", "&amp;O60</f>
        <v>, 29 Februari 2025</v>
      </c>
      <c r="AA59" s="13"/>
      <c r="AB59" s="13"/>
    </row>
    <row r="60" spans="2:28" x14ac:dyDescent="0.3">
      <c r="B60" s="13"/>
      <c r="C60" s="71"/>
      <c r="D60" s="71" t="str">
        <f>IF(ISBLANK(profilKelas!B10),"",SUBSTITUTE(profilKelas!B10,"Nama ",""))</f>
        <v>Kepala Sekolah</v>
      </c>
      <c r="E60" s="13"/>
      <c r="F60" s="13"/>
      <c r="G60" s="13"/>
      <c r="H60" s="13"/>
      <c r="I60" s="13"/>
      <c r="J60" s="13"/>
      <c r="K60" s="13" t="str">
        <f>SUBSTITUTE(profilKelas!B15,"Nama ","")&amp;","</f>
        <v>Guru Wali Kelas,</v>
      </c>
      <c r="L60" s="13"/>
      <c r="M60" s="13"/>
      <c r="O60" s="100" t="s">
        <v>912</v>
      </c>
      <c r="Q60" s="13"/>
      <c r="R60" s="13"/>
      <c r="S60" s="13" t="str">
        <f>IF(ISBLANK(profilKelas!B10),"",profilKelas!B10)</f>
        <v>Nama Kepala Sekolah</v>
      </c>
      <c r="T60" s="13"/>
      <c r="U60" s="13"/>
      <c r="V60" s="13"/>
      <c r="W60" s="13"/>
      <c r="X60" s="13"/>
      <c r="Y60" s="13"/>
      <c r="Z60" s="13" t="str">
        <f>SUBSTITUTE(profilKelas!B15,"Nama ","")&amp;","</f>
        <v>Guru Wali Kelas,</v>
      </c>
      <c r="AA60" s="13"/>
      <c r="AB60" s="13"/>
    </row>
    <row r="61" spans="2:28" x14ac:dyDescent="0.3"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</row>
    <row r="62" spans="2:28" x14ac:dyDescent="0.3"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</row>
    <row r="63" spans="2:28" x14ac:dyDescent="0.3"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</row>
    <row r="64" spans="2:28" x14ac:dyDescent="0.3">
      <c r="B64" s="13"/>
      <c r="C64" s="13"/>
      <c r="D64" s="101" t="str">
        <f>IF(ISBLANK(profilKelas!F10),"",profilKelas!F10)</f>
        <v/>
      </c>
      <c r="E64" s="13"/>
      <c r="F64" s="13"/>
      <c r="G64" s="13"/>
      <c r="H64" s="13"/>
      <c r="I64" s="13"/>
      <c r="J64" s="13"/>
      <c r="K64" s="101" t="str">
        <f>IF(LEN(profilKelas!F15)=0,"",profilKelas!F15)</f>
        <v/>
      </c>
      <c r="L64" s="13"/>
      <c r="M64" s="13"/>
      <c r="Q64" s="13"/>
      <c r="R64" s="13"/>
      <c r="S64" s="101" t="str">
        <f>IF(ISBLANK(profilKelas!F10),"",profilKelas!F10)</f>
        <v/>
      </c>
      <c r="T64" s="13"/>
      <c r="U64" s="13"/>
      <c r="V64" s="13"/>
      <c r="W64" s="13"/>
      <c r="X64" s="13"/>
      <c r="Y64" s="13"/>
      <c r="Z64" s="101">
        <f>profilKelas!F15</f>
        <v>0</v>
      </c>
      <c r="AA64" s="13"/>
      <c r="AB64" s="13"/>
    </row>
    <row r="65" spans="2:28" x14ac:dyDescent="0.3">
      <c r="B65" s="13"/>
      <c r="C65" s="13"/>
      <c r="D65" s="13" t="str">
        <f>"NIP. "&amp;profilKelas!F11</f>
        <v xml:space="preserve">NIP. </v>
      </c>
      <c r="E65" s="13"/>
      <c r="F65" s="13"/>
      <c r="G65" s="13"/>
      <c r="H65" s="13"/>
      <c r="I65" s="13"/>
      <c r="J65" s="13"/>
      <c r="K65" s="13" t="str">
        <f>"NIP. "&amp;profilKelas!F16</f>
        <v xml:space="preserve">NIP. </v>
      </c>
      <c r="L65" s="13"/>
      <c r="M65" s="13"/>
      <c r="Q65" s="13"/>
      <c r="R65" s="13"/>
      <c r="S65" s="13" t="str">
        <f>"NIP. "&amp;profilKelas!F11</f>
        <v xml:space="preserve">NIP. </v>
      </c>
      <c r="T65" s="13"/>
      <c r="U65" s="13"/>
      <c r="V65" s="13"/>
      <c r="W65" s="13"/>
      <c r="X65" s="13"/>
      <c r="Y65" s="13"/>
      <c r="Z65" s="13" t="str">
        <f>"NIP. "&amp;profilKelas!F16</f>
        <v xml:space="preserve">NIP. </v>
      </c>
      <c r="AA65" s="13"/>
      <c r="AB65" s="13"/>
    </row>
    <row r="66" spans="2:28" x14ac:dyDescent="0.3"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</row>
    <row r="67" spans="2:28" x14ac:dyDescent="0.3">
      <c r="B67" s="13"/>
      <c r="C67" s="102" t="s">
        <v>10</v>
      </c>
      <c r="D67" s="71" t="s">
        <v>609</v>
      </c>
      <c r="E67" s="13"/>
      <c r="F67" s="13"/>
      <c r="G67" s="13"/>
      <c r="H67" s="13"/>
      <c r="I67" s="13"/>
      <c r="J67" s="13"/>
      <c r="K67" s="13"/>
      <c r="L67" s="13"/>
      <c r="M67" s="13"/>
      <c r="Q67" s="13"/>
      <c r="R67" s="102" t="s">
        <v>10</v>
      </c>
      <c r="S67" s="71" t="s">
        <v>609</v>
      </c>
      <c r="T67" s="13"/>
      <c r="U67" s="13"/>
      <c r="V67" s="13"/>
      <c r="W67" s="13"/>
      <c r="X67" s="13"/>
      <c r="Y67" s="13"/>
      <c r="Z67" s="13"/>
      <c r="AA67" s="13"/>
      <c r="AB67" s="13"/>
    </row>
    <row r="68" spans="2:28" ht="15.6" customHeight="1" x14ac:dyDescent="0.3"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63">
        <f>SUBTOTAL(109,N69)</f>
        <v>0</v>
      </c>
      <c r="O68" s="63" t="str">
        <f>IF(N68=0,"ATUR HALAMAN","TAMPILAN NORMAL")</f>
        <v>ATUR HALAMAN</v>
      </c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</row>
    <row r="69" spans="2:28" hidden="1" x14ac:dyDescent="0.3">
      <c r="N69" s="7">
        <v>1</v>
      </c>
    </row>
  </sheetData>
  <sheetProtection algorithmName="SHA-512" hashValue="eXDWt5wWyVbQytQyZOX5VdTH0r6opFBk0yWQFrwb5SP7agoRRMXEEf47OR2PFuqwYs+DxuSq6bwxm0GuIrQDCQ==" saltValue="dA+ugINUl43LRHaojMVfrw==" spinCount="100000" sheet="1" objects="1" scenarios="1" formatCells="0" formatColumns="0" formatRows="0" insertColumns="0" insertRows="0" insertHyperlinks="0" deleteColumns="0" deleteRows="0" autoFilter="0"/>
  <mergeCells count="41">
    <mergeCell ref="AL14:AQ18"/>
    <mergeCell ref="AG15:AH15"/>
    <mergeCell ref="AI15:AJ15"/>
    <mergeCell ref="AD18:AE18"/>
    <mergeCell ref="B6:M6"/>
    <mergeCell ref="Q6:AB6"/>
    <mergeCell ref="AD6:AQ7"/>
    <mergeCell ref="B10:B12"/>
    <mergeCell ref="C10:C12"/>
    <mergeCell ref="D10:D12"/>
    <mergeCell ref="E10:E12"/>
    <mergeCell ref="M10:M12"/>
    <mergeCell ref="AE24:AF24"/>
    <mergeCell ref="AD14:AD15"/>
    <mergeCell ref="AE14:AE15"/>
    <mergeCell ref="AF14:AF15"/>
    <mergeCell ref="AG14:AJ14"/>
    <mergeCell ref="AG21:AJ21"/>
    <mergeCell ref="AE22:AF22"/>
    <mergeCell ref="AG22:AH22"/>
    <mergeCell ref="AI22:AJ22"/>
    <mergeCell ref="AE23:AF23"/>
    <mergeCell ref="AE25:AF25"/>
    <mergeCell ref="AE26:AF26"/>
    <mergeCell ref="AE27:AF27"/>
    <mergeCell ref="AE28:AF28"/>
    <mergeCell ref="AE29:AF29"/>
    <mergeCell ref="AK31:AN31"/>
    <mergeCell ref="AE32:AF32"/>
    <mergeCell ref="AG32:AH32"/>
    <mergeCell ref="AI32:AJ32"/>
    <mergeCell ref="AK32:AL32"/>
    <mergeCell ref="AM32:AN32"/>
    <mergeCell ref="AG31:AJ31"/>
    <mergeCell ref="AE39:AF39"/>
    <mergeCell ref="AE33:AF33"/>
    <mergeCell ref="AE34:AF34"/>
    <mergeCell ref="AE35:AF35"/>
    <mergeCell ref="AE36:AF36"/>
    <mergeCell ref="AE37:AF37"/>
    <mergeCell ref="AE38:AF38"/>
  </mergeCells>
  <conditionalFormatting sqref="F17:F57">
    <cfRule type="expression" dxfId="69" priority="17">
      <formula>AND($C17="",$F17="")</formula>
    </cfRule>
  </conditionalFormatting>
  <conditionalFormatting sqref="E17:M57 B13:C57 M13:M16">
    <cfRule type="expression" dxfId="68" priority="16">
      <formula>$B13&lt;&gt;""</formula>
    </cfRule>
  </conditionalFormatting>
  <conditionalFormatting sqref="D13:D57">
    <cfRule type="expression" dxfId="67" priority="15">
      <formula>$B13&lt;&gt;""</formula>
    </cfRule>
  </conditionalFormatting>
  <conditionalFormatting sqref="R13:T57">
    <cfRule type="expression" dxfId="66" priority="14">
      <formula>$Q13&lt;&gt;""</formula>
    </cfRule>
  </conditionalFormatting>
  <conditionalFormatting sqref="Q13">
    <cfRule type="expression" dxfId="65" priority="13">
      <formula>$B13&lt;&gt;""</formula>
    </cfRule>
  </conditionalFormatting>
  <conditionalFormatting sqref="U13:AA57">
    <cfRule type="containsText" dxfId="64" priority="10" operator="containsText" text="Belum terbiasa">
      <formula>NOT(ISERROR(SEARCH("Belum terbiasa",U13)))</formula>
    </cfRule>
    <cfRule type="containsText" dxfId="63" priority="11" operator="containsText" text="Sudah terbiasa">
      <formula>NOT(ISERROR(SEARCH("Sudah terbiasa",U13)))</formula>
    </cfRule>
    <cfRule type="containsText" dxfId="62" priority="12" operator="containsText" text="Belum mengisi">
      <formula>NOT(ISERROR(SEARCH("Belum mengisi",U13)))</formula>
    </cfRule>
  </conditionalFormatting>
  <conditionalFormatting sqref="AB13:AB57">
    <cfRule type="containsText" dxfId="61" priority="7" operator="containsText" text="mengisi">
      <formula>NOT(ISERROR(SEARCH("mengisi",AB13)))</formula>
    </cfRule>
    <cfRule type="containsText" dxfId="60" priority="8" operator="containsText" text="Belum terbiasa">
      <formula>NOT(ISERROR(SEARCH("Belum terbiasa",AB13)))</formula>
    </cfRule>
    <cfRule type="containsText" dxfId="59" priority="9" operator="containsText" text="Sudah terbiasa">
      <formula>NOT(ISERROR(SEARCH("Sudah terbiasa",AB13)))</formula>
    </cfRule>
  </conditionalFormatting>
  <conditionalFormatting sqref="Q14:Q57">
    <cfRule type="expression" dxfId="58" priority="6">
      <formula>$B14&lt;&gt;""</formula>
    </cfRule>
  </conditionalFormatting>
  <conditionalFormatting sqref="F13:L16">
    <cfRule type="expression" dxfId="57" priority="2">
      <formula>AND($C13="",$F13="")</formula>
    </cfRule>
  </conditionalFormatting>
  <conditionalFormatting sqref="E13:L16">
    <cfRule type="expression" dxfId="56" priority="1">
      <formula>$B13&lt;&gt;""</formula>
    </cfRule>
  </conditionalFormatting>
  <dataValidations count="3">
    <dataValidation allowBlank="1" showInputMessage="1" showErrorMessage="1" promptTitle="Tanggal pengesahan" prompt="Contoh penulisan_x000a_31 Juli 2025" sqref="O60:P60" xr:uid="{00000000-0002-0000-1500-000000000000}"/>
    <dataValidation type="whole" allowBlank="1" showInputMessage="1" showErrorMessage="1" errorTitle="Angka" error="Isian hanya berupa angka 0 s.d. 29." promptTitle="Angka" prompt="Inputan angka dari 0 s.d. 29 sesuai bulan berjalan." sqref="F14:L57" xr:uid="{00000000-0002-0000-1500-000001000000}">
      <formula1>0</formula1>
      <formula2>29</formula2>
    </dataValidation>
    <dataValidation type="whole" allowBlank="1" showInputMessage="1" showErrorMessage="1" errorTitle="Angka" error="Isian hanya berupa angka 0 s.d. 31." promptTitle="Angka" prompt="Inputan angka dari 0 s.d. 31 sesuai bulan berjalan." sqref="F13:L13" xr:uid="{00000000-0002-0000-1500-000002000000}">
      <formula1>0</formula1>
      <formula2>31</formula2>
    </dataValidation>
  </dataValidations>
  <pageMargins left="0.19685039370078741" right="0.19685039370078741" top="0.74803149606299213" bottom="0.74803149606299213" header="0.31496062992125984" footer="0.31496062992125984"/>
  <pageSetup paperSize="9" scale="59" fitToHeight="0" orientation="landscape" r:id="rId1"/>
  <headerFooter>
    <oddHeader>&amp;C&amp;G</oddHeader>
  </headerFooter>
  <drawing r:id="rId2"/>
  <legacyDrawingHF r:id="rId3"/>
  <picture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Catatan" error="Harap dipilih." promptTitle="Catatan" prompt="Pilih keterangan siswa_x000a_aktif: aktif pada bulan berjalan_x000a_pindah: pada bulan berjalan sudah pindah_x000a_berhenti: pada bulan berjalan berhenti _x000a_meninggal: pada bulan berjalan meninggal_x000a__x000a_Jika terdapat penambahan siswa, keterangan bulan sebelumnya dipilih tidak." xr:uid="{00000000-0002-0000-1500-000003000000}">
          <x14:formula1>
            <xm:f>info!$AD$2:$AD$6</xm:f>
          </x14:formula1>
          <xm:sqref>E13:E57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mmMar"/>
  <dimension ref="A1:AQ69"/>
  <sheetViews>
    <sheetView showGridLines="0" showRowColHeaders="0" zoomScaleNormal="100" zoomScaleSheetLayoutView="100" zoomScalePageLayoutView="47" workbookViewId="0">
      <pane xSplit="1" ySplit="12" topLeftCell="B13" activePane="bottomRight" state="frozen"/>
      <selection pane="topRight" activeCell="B1" sqref="B1"/>
      <selection pane="bottomLeft" activeCell="A13" sqref="A13"/>
      <selection pane="bottomRight" activeCell="B6" sqref="B6:M6"/>
    </sheetView>
  </sheetViews>
  <sheetFormatPr defaultColWidth="0" defaultRowHeight="15.6" customHeight="1" zeroHeight="1" x14ac:dyDescent="0.3"/>
  <cols>
    <col min="1" max="1" width="9.109375" style="7" customWidth="1"/>
    <col min="2" max="2" width="3.5546875" style="7" bestFit="1" customWidth="1"/>
    <col min="3" max="3" width="31.5546875" style="7" customWidth="1"/>
    <col min="4" max="4" width="10" style="7" customWidth="1"/>
    <col min="5" max="5" width="11.5546875" style="7" customWidth="1"/>
    <col min="6" max="12" width="24" style="7" customWidth="1"/>
    <col min="13" max="13" width="18.33203125" style="7" customWidth="1"/>
    <col min="14" max="14" width="2.109375" style="7" customWidth="1"/>
    <col min="15" max="15" width="25.109375" style="7" bestFit="1" customWidth="1"/>
    <col min="16" max="16" width="9.109375" style="7" customWidth="1"/>
    <col min="17" max="17" width="3.5546875" style="7" hidden="1" customWidth="1"/>
    <col min="18" max="18" width="27.88671875" style="7" hidden="1" customWidth="1"/>
    <col min="19" max="19" width="8.6640625" style="7" hidden="1" customWidth="1"/>
    <col min="20" max="20" width="5.6640625" style="7" hidden="1" customWidth="1"/>
    <col min="21" max="28" width="21.33203125" style="7" hidden="1" customWidth="1"/>
    <col min="29" max="29" width="9.109375" style="7" hidden="1" customWidth="1"/>
    <col min="30" max="30" width="3.5546875" style="7" hidden="1" customWidth="1"/>
    <col min="31" max="31" width="20" style="7" hidden="1" customWidth="1"/>
    <col min="32" max="32" width="6.5546875" style="7" hidden="1" customWidth="1"/>
    <col min="33" max="36" width="9.6640625" style="7" hidden="1" customWidth="1"/>
    <col min="37" max="43" width="0" style="7" hidden="1" customWidth="1"/>
    <col min="44" max="16384" width="8.88671875" style="7" hidden="1"/>
  </cols>
  <sheetData>
    <row r="1" spans="1:43" x14ac:dyDescent="0.3">
      <c r="A1" s="63">
        <f>profilKelas!F14</f>
        <v>1</v>
      </c>
      <c r="D1" s="64" t="s">
        <v>890</v>
      </c>
      <c r="E1" s="65"/>
      <c r="F1" s="65"/>
      <c r="G1" s="65"/>
      <c r="H1" s="65"/>
      <c r="Q1" s="66" t="s">
        <v>859</v>
      </c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D1" s="66" t="s">
        <v>859</v>
      </c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</row>
    <row r="2" spans="1:43" x14ac:dyDescent="0.3">
      <c r="D2" s="67"/>
      <c r="E2" s="67"/>
      <c r="F2" s="67"/>
      <c r="G2" s="67"/>
      <c r="H2" s="67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</row>
    <row r="3" spans="1:43" ht="15.6" customHeight="1" x14ac:dyDescent="0.3"/>
    <row r="4" spans="1:43" ht="15.6" customHeight="1" x14ac:dyDescent="0.3"/>
    <row r="5" spans="1:43" x14ac:dyDescent="0.3">
      <c r="Q5" s="68"/>
      <c r="S5" s="69"/>
      <c r="T5" s="69"/>
      <c r="V5" s="69"/>
      <c r="X5" s="69"/>
      <c r="Z5" s="69"/>
      <c r="AL5" s="70"/>
    </row>
    <row r="6" spans="1:43" ht="15.6" customHeight="1" x14ac:dyDescent="0.3">
      <c r="B6" s="168" t="s">
        <v>882</v>
      </c>
      <c r="C6" s="168"/>
      <c r="D6" s="168"/>
      <c r="E6" s="168"/>
      <c r="F6" s="168"/>
      <c r="G6" s="168"/>
      <c r="H6" s="168"/>
      <c r="I6" s="168"/>
      <c r="J6" s="168"/>
      <c r="K6" s="168"/>
      <c r="L6" s="168"/>
      <c r="M6" s="168"/>
      <c r="Q6" s="168"/>
      <c r="R6" s="168"/>
      <c r="S6" s="168"/>
      <c r="T6" s="168"/>
      <c r="U6" s="168"/>
      <c r="V6" s="168"/>
      <c r="W6" s="168"/>
      <c r="X6" s="168"/>
      <c r="Y6" s="168"/>
      <c r="Z6" s="168"/>
      <c r="AA6" s="168"/>
      <c r="AB6" s="168"/>
      <c r="AD6" s="159" t="str">
        <f>"REKAPITULASI CATATAN HARIAN KELAS (RCHS) "&amp;CHAR(10)&amp;"SEMESTER "&amp;MID(J7,3,1)&amp;" BULAN"&amp;UPPER(MID(J7,SEARCH("/",J7)+1,99))&amp;" TAHUN "&amp;IF(ISBLANK(O11),profilKelas!F12,O11)</f>
        <v xml:space="preserve">REKAPITULASI CATATAN HARIAN KELAS (RCHS) 
SEMESTER I BULAN MARET TAHUN </v>
      </c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</row>
    <row r="7" spans="1:43" x14ac:dyDescent="0.3">
      <c r="B7" s="13"/>
      <c r="C7" s="13" t="s">
        <v>862</v>
      </c>
      <c r="D7" s="13" t="str">
        <f>": "&amp;IF(ISBLANK(profilKelas!F5),"",profilKelas!F5&amp;" ("&amp;profilKelas!F6&amp;")")</f>
        <v xml:space="preserve">: </v>
      </c>
      <c r="E7" s="13"/>
      <c r="F7" s="13"/>
      <c r="G7" s="13"/>
      <c r="H7" s="13"/>
      <c r="I7" s="13" t="s">
        <v>885</v>
      </c>
      <c r="J7" s="13" t="str">
        <f>": II / Maret"</f>
        <v>: II / Maret</v>
      </c>
      <c r="K7" s="13"/>
      <c r="L7" s="13"/>
      <c r="M7" s="71"/>
      <c r="O7"/>
      <c r="Q7" s="13"/>
      <c r="R7" s="13" t="s">
        <v>862</v>
      </c>
      <c r="S7" s="13" t="str">
        <f>": "&amp;IF(ISBLANK(profilKelas!F5),"",profilKelas!F5&amp;" ("&amp;profilKelas!F6&amp;")")</f>
        <v xml:space="preserve">: </v>
      </c>
      <c r="T7" s="13"/>
      <c r="U7" s="13"/>
      <c r="V7" s="13"/>
      <c r="W7" s="13"/>
      <c r="X7" s="13"/>
      <c r="Y7" s="13" t="s">
        <v>840</v>
      </c>
      <c r="Z7" s="13" t="str">
        <f>J7</f>
        <v>: II / Maret</v>
      </c>
      <c r="AA7" s="71"/>
      <c r="AB7" s="13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</row>
    <row r="8" spans="1:43" x14ac:dyDescent="0.3">
      <c r="B8" s="13"/>
      <c r="C8" s="13" t="s">
        <v>842</v>
      </c>
      <c r="D8" s="13" t="str">
        <f ca="1">": "&amp;IF(ISBLANK(profilKelas!H13),"",profilKelas!H13)</f>
        <v>: Pilih Kelas dan Rombel</v>
      </c>
      <c r="E8" s="13"/>
      <c r="F8" s="13"/>
      <c r="G8" s="13"/>
      <c r="H8" s="13"/>
      <c r="I8" s="13" t="s">
        <v>880</v>
      </c>
      <c r="J8" s="13" t="str">
        <f>": "&amp;IF(ISBLANK(profilKelas!F12),"Ketik Tahun Ajaran pada Profil Kelas",profilKelas!F12)</f>
        <v>: Ketik Tahun Ajaran pada Profil Kelas</v>
      </c>
      <c r="K8" s="13"/>
      <c r="L8" s="13"/>
      <c r="M8" s="71"/>
      <c r="O8"/>
      <c r="Q8" s="13"/>
      <c r="R8" s="13" t="s">
        <v>842</v>
      </c>
      <c r="S8" s="13" t="str">
        <f ca="1">": "&amp;IF(ISBLANK(profilKelas!H13),"",profilKelas!H13)</f>
        <v>: Pilih Kelas dan Rombel</v>
      </c>
      <c r="T8" s="13"/>
      <c r="U8" s="13"/>
      <c r="V8" s="13"/>
      <c r="W8" s="13"/>
      <c r="X8" s="13"/>
      <c r="Y8" s="13" t="s">
        <v>841</v>
      </c>
      <c r="Z8" s="13" t="str">
        <f>": "&amp;IF(ISBLANK(profilKelas!F12),"Ketik Tahun Ajaran pada Profil Kelas",IF(ISBLANK(O11),profilKelas!F12,O11))</f>
        <v>: Ketik Tahun Ajaran pada Profil Kelas</v>
      </c>
      <c r="AA8" s="71"/>
      <c r="AB8" s="13"/>
      <c r="AD8" s="72"/>
      <c r="AE8" s="72"/>
      <c r="AF8" s="72"/>
      <c r="AG8" s="72"/>
      <c r="AH8" s="72"/>
      <c r="AI8" s="72"/>
      <c r="AJ8" s="72"/>
      <c r="AK8" s="72"/>
      <c r="AL8" s="72"/>
      <c r="AM8" s="72"/>
      <c r="AN8" s="72"/>
      <c r="AO8" s="13"/>
      <c r="AP8" s="13"/>
      <c r="AQ8" s="13"/>
    </row>
    <row r="9" spans="1:43" x14ac:dyDescent="0.3"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71"/>
      <c r="Q9" s="13"/>
      <c r="R9" s="13"/>
      <c r="S9" s="13"/>
      <c r="T9" s="13"/>
      <c r="U9" s="13"/>
      <c r="V9" s="13"/>
      <c r="W9" s="13"/>
      <c r="X9" s="13"/>
      <c r="Y9" s="13"/>
      <c r="Z9" s="13"/>
      <c r="AA9" s="71"/>
      <c r="AB9" s="13"/>
      <c r="AD9" s="13" t="s">
        <v>862</v>
      </c>
      <c r="AE9" s="13"/>
      <c r="AF9" s="13" t="str">
        <f>UPPER(": "&amp;profilKelas!F5&amp;" ("&amp;profilKelas!F6&amp;")")</f>
        <v>:  ()</v>
      </c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</row>
    <row r="10" spans="1:43" x14ac:dyDescent="0.3">
      <c r="B10" s="162" t="s">
        <v>0</v>
      </c>
      <c r="C10" s="162" t="s">
        <v>858</v>
      </c>
      <c r="D10" s="164" t="s">
        <v>831</v>
      </c>
      <c r="E10" s="164" t="s">
        <v>987</v>
      </c>
      <c r="F10" s="44" t="s">
        <v>19</v>
      </c>
      <c r="G10" s="45"/>
      <c r="H10" s="45"/>
      <c r="I10" s="45"/>
      <c r="J10" s="45"/>
      <c r="K10" s="45"/>
      <c r="L10" s="46"/>
      <c r="M10" s="162" t="s">
        <v>9</v>
      </c>
      <c r="O10"/>
      <c r="Q10" s="73"/>
      <c r="R10" s="74"/>
      <c r="S10" s="74"/>
      <c r="T10" s="75"/>
      <c r="U10" s="76" t="s">
        <v>19</v>
      </c>
      <c r="V10" s="77"/>
      <c r="W10" s="77"/>
      <c r="X10" s="77"/>
      <c r="Y10" s="77"/>
      <c r="Z10" s="77"/>
      <c r="AA10" s="78"/>
      <c r="AB10" s="36"/>
      <c r="AD10" s="13" t="s">
        <v>863</v>
      </c>
      <c r="AE10" s="13"/>
      <c r="AF10" s="13" t="str">
        <f>UPPER(": "&amp;profilKelas!F9&amp;", Provinsi "&amp;profilKelas!F8)</f>
        <v xml:space="preserve">: , PROVINSI </v>
      </c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</row>
    <row r="11" spans="1:43" x14ac:dyDescent="0.3">
      <c r="B11" s="169"/>
      <c r="C11" s="169"/>
      <c r="D11" s="170"/>
      <c r="E11" s="170"/>
      <c r="F11" s="80" t="s">
        <v>2</v>
      </c>
      <c r="G11" s="80" t="s">
        <v>3</v>
      </c>
      <c r="H11" s="80" t="s">
        <v>4</v>
      </c>
      <c r="I11" s="81" t="s">
        <v>606</v>
      </c>
      <c r="J11" s="81" t="s">
        <v>6</v>
      </c>
      <c r="K11" s="81" t="s">
        <v>7</v>
      </c>
      <c r="L11" s="81" t="s">
        <v>8</v>
      </c>
      <c r="M11" s="169"/>
      <c r="O11"/>
      <c r="Q11" s="82"/>
      <c r="R11" s="83"/>
      <c r="S11" s="83"/>
      <c r="T11" s="84"/>
      <c r="U11" s="85" t="s">
        <v>14</v>
      </c>
      <c r="V11" s="86"/>
      <c r="W11" s="86"/>
      <c r="X11" s="86"/>
      <c r="Y11" s="86"/>
      <c r="Z11" s="86"/>
      <c r="AA11" s="87"/>
      <c r="AB11" s="79"/>
      <c r="AD11" s="13" t="str">
        <f>profilKelas!B10</f>
        <v>Nama Kepala Sekolah</v>
      </c>
      <c r="AE11" s="13"/>
      <c r="AF11" s="13" t="str">
        <f>UPPER(": "&amp;profilKelas!F10&amp;" (NIP."&amp;profilKelas!F11&amp;")")</f>
        <v>:  (NIP.)</v>
      </c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</row>
    <row r="12" spans="1:43" ht="16.2" x14ac:dyDescent="0.3">
      <c r="B12" s="163"/>
      <c r="C12" s="163"/>
      <c r="D12" s="165"/>
      <c r="E12" s="165"/>
      <c r="F12" s="88" t="s">
        <v>881</v>
      </c>
      <c r="G12" s="89"/>
      <c r="H12" s="89"/>
      <c r="I12" s="89"/>
      <c r="J12" s="89"/>
      <c r="K12" s="89"/>
      <c r="L12" s="90"/>
      <c r="M12" s="163"/>
      <c r="Q12" s="91" t="s">
        <v>0</v>
      </c>
      <c r="R12" s="92" t="s">
        <v>1</v>
      </c>
      <c r="S12" s="35" t="s">
        <v>596</v>
      </c>
      <c r="T12" s="35" t="s">
        <v>605</v>
      </c>
      <c r="U12" s="80" t="s">
        <v>599</v>
      </c>
      <c r="V12" s="80" t="s">
        <v>600</v>
      </c>
      <c r="W12" s="80" t="s">
        <v>4</v>
      </c>
      <c r="X12" s="81" t="s">
        <v>601</v>
      </c>
      <c r="Y12" s="81" t="s">
        <v>602</v>
      </c>
      <c r="Z12" s="81" t="s">
        <v>603</v>
      </c>
      <c r="AA12" s="93" t="s">
        <v>604</v>
      </c>
      <c r="AB12" s="36" t="s">
        <v>11</v>
      </c>
      <c r="AD12" s="34" t="str">
        <f ca="1">SUBSTITUTE(profilKelas!B15,"Nama ","")&amp;" "&amp;IF(ISBLANK(profilKelas!H13),"",profilKelas!H13)</f>
        <v>Guru Wali Kelas Pilih Kelas dan Rombel</v>
      </c>
      <c r="AE12" s="34"/>
      <c r="AF12" s="34" t="str">
        <f>UPPER(": "&amp;profilKelas!F15)</f>
        <v xml:space="preserve">: </v>
      </c>
      <c r="AG12" s="34"/>
      <c r="AH12" s="34"/>
      <c r="AI12" s="34"/>
      <c r="AJ12" s="34"/>
      <c r="AK12" s="34"/>
      <c r="AL12" s="34"/>
      <c r="AM12" s="34"/>
      <c r="AN12" s="34"/>
      <c r="AO12" s="34"/>
      <c r="AP12" s="13"/>
      <c r="AQ12" s="13"/>
    </row>
    <row r="13" spans="1:43" x14ac:dyDescent="0.3">
      <c r="B13" s="4">
        <f>IF(ROW(A1)&lt;=profilKelas!$F$14,ROW(A1),"")</f>
        <v>1</v>
      </c>
      <c r="C13" s="94" t="str">
        <f>IF(ISBLANK(identitasMurid!C6),"",identitasMurid!C6)</f>
        <v/>
      </c>
      <c r="D13" s="6" t="str">
        <f>IF(ISBLANK(identitasMurid!D6),"",identitasMurid!D6)</f>
        <v/>
      </c>
      <c r="E13" s="95"/>
      <c r="F13" s="95"/>
      <c r="G13" s="95"/>
      <c r="H13" s="95"/>
      <c r="I13" s="95"/>
      <c r="J13" s="95"/>
      <c r="K13" s="95"/>
      <c r="L13" s="95"/>
      <c r="M13" s="95"/>
      <c r="Q13" s="5">
        <f>IF(ROW(A1)&lt;=profilKelas!$F$14,ROW(A1),"")</f>
        <v>1</v>
      </c>
      <c r="R13" s="12" t="str">
        <f t="shared" ref="R13:R57" si="0">C13</f>
        <v/>
      </c>
      <c r="S13" s="108" t="str">
        <f t="shared" ref="S13:S19" si="1">IF(LEN(B13)=0,"",IF(ISBLANK(E13),"Status Siswa Kosong",E13))</f>
        <v>Status Siswa Kosong</v>
      </c>
      <c r="T13" s="108" t="str">
        <f t="shared" ref="T13:T57" si="2">IF(ISBLANK(D13),"",D13)</f>
        <v/>
      </c>
      <c r="U13" s="108" t="str">
        <f t="shared" ref="U13:AA28" si="3">IF(LEN($B13)=0,"",IF(LEN($C13)=0,"Nama Siswa Kosong",IF($E13="","Status Siswa Kosong",IF($E13&lt;&gt;"Aktif","Siswa Tidak Aktif",
IF(ISBLANK(F13),"Belum mengisi",IF(F13&gt;=20,"Sudah terbiasa","Belum terbiasa"))))))</f>
        <v>Nama Siswa Kosong</v>
      </c>
      <c r="V13" s="108" t="str">
        <f t="shared" si="3"/>
        <v>Nama Siswa Kosong</v>
      </c>
      <c r="W13" s="108" t="str">
        <f t="shared" si="3"/>
        <v>Nama Siswa Kosong</v>
      </c>
      <c r="X13" s="108" t="str">
        <f t="shared" si="3"/>
        <v>Nama Siswa Kosong</v>
      </c>
      <c r="Y13" s="108" t="str">
        <f t="shared" si="3"/>
        <v>Nama Siswa Kosong</v>
      </c>
      <c r="Z13" s="108" t="str">
        <f t="shared" si="3"/>
        <v>Nama Siswa Kosong</v>
      </c>
      <c r="AA13" s="108" t="str">
        <f t="shared" si="3"/>
        <v>Nama Siswa Kosong</v>
      </c>
      <c r="AB13" s="108" t="str" cm="1">
        <f t="array" ref="AB13">IF(LEN($B13)=0,"",IF(LEN(C13)=0,"Nama Siswa Kosong",IF($E13="","Status Siswa Kosong",IF(S13&lt;&gt;"Aktif","Siswa Tidak Aktif",
IF(OR(U13:AA13="Belum mengisi"),"Belum mengisi",IF(AND(U13:AA13="Sudah terbiasa"),"Sudah terbiasa","Belum terbiasa"))))))</f>
        <v>Nama Siswa Kosong</v>
      </c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</row>
    <row r="14" spans="1:43" ht="15.6" hidden="1" customHeight="1" x14ac:dyDescent="0.3">
      <c r="B14" s="4" t="str">
        <f>IF(ROW(A2)&lt;=profilKelas!$F$14,ROW(A2),"")</f>
        <v/>
      </c>
      <c r="C14" s="94" t="str">
        <f>IF(ISBLANK(identitasMurid!C7),"",identitasMurid!C7)</f>
        <v/>
      </c>
      <c r="D14" s="6" t="str">
        <f>IF(ISBLANK(identitasMurid!D7),"",identitasMurid!D7)</f>
        <v/>
      </c>
      <c r="E14" s="95"/>
      <c r="F14" s="95"/>
      <c r="G14" s="95"/>
      <c r="H14" s="95"/>
      <c r="I14" s="95"/>
      <c r="J14" s="95"/>
      <c r="K14" s="95"/>
      <c r="L14" s="95"/>
      <c r="M14" s="95"/>
      <c r="Q14" s="5" t="str">
        <f>IF(ROW(A2)&lt;=profilKelas!$F$14,ROW(A2),"")</f>
        <v/>
      </c>
      <c r="R14" s="12" t="str">
        <f t="shared" si="0"/>
        <v/>
      </c>
      <c r="S14" s="108" t="str">
        <f t="shared" si="1"/>
        <v/>
      </c>
      <c r="T14" s="108" t="str">
        <f t="shared" si="2"/>
        <v/>
      </c>
      <c r="U14" s="108" t="str">
        <f t="shared" si="3"/>
        <v/>
      </c>
      <c r="V14" s="108" t="str">
        <f t="shared" si="3"/>
        <v/>
      </c>
      <c r="W14" s="108" t="str">
        <f t="shared" si="3"/>
        <v/>
      </c>
      <c r="X14" s="108" t="str">
        <f t="shared" si="3"/>
        <v/>
      </c>
      <c r="Y14" s="108" t="str">
        <f t="shared" si="3"/>
        <v/>
      </c>
      <c r="Z14" s="108" t="str">
        <f t="shared" si="3"/>
        <v/>
      </c>
      <c r="AA14" s="108" t="str">
        <f t="shared" si="3"/>
        <v/>
      </c>
      <c r="AB14" s="108" t="str" cm="1">
        <f t="array" ref="AB14">IF(LEN($B14)=0,"",IF(LEN(C14)=0,"Nama Siswa Kosong",IF($E14="","Status Siswa Kosong",IF(S14&lt;&gt;"Aktif","Siswa Tidak Aktif",
IF(OR(U14:AA14="Belum mengisi"),"Belum mengisi",IF(AND(U14:AA14="Sudah terbiasa"),"Sudah terbiasa","Belum terbiasa"))))))</f>
        <v/>
      </c>
      <c r="AD14" s="162" t="s">
        <v>0</v>
      </c>
      <c r="AE14" s="162" t="s">
        <v>831</v>
      </c>
      <c r="AF14" s="164" t="s">
        <v>833</v>
      </c>
      <c r="AG14" s="173" t="s">
        <v>596</v>
      </c>
      <c r="AH14" s="174"/>
      <c r="AI14" s="174"/>
      <c r="AJ14" s="175"/>
      <c r="AK14" s="13"/>
      <c r="AL14" s="158"/>
      <c r="AM14" s="158"/>
      <c r="AN14" s="158"/>
      <c r="AO14" s="158"/>
      <c r="AP14" s="158"/>
      <c r="AQ14" s="158"/>
    </row>
    <row r="15" spans="1:43" ht="15.6" hidden="1" customHeight="1" x14ac:dyDescent="0.3">
      <c r="B15" s="4" t="str">
        <f>IF(ROW(A3)&lt;=profilKelas!$F$14,ROW(A3),"")</f>
        <v/>
      </c>
      <c r="C15" s="94" t="str">
        <f>IF(ISBLANK(identitasMurid!C8),"",identitasMurid!C8)</f>
        <v/>
      </c>
      <c r="D15" s="6" t="str">
        <f>IF(ISBLANK(identitasMurid!D8),"",identitasMurid!D8)</f>
        <v/>
      </c>
      <c r="E15" s="95"/>
      <c r="F15" s="95"/>
      <c r="G15" s="95"/>
      <c r="H15" s="95"/>
      <c r="I15" s="95"/>
      <c r="J15" s="95"/>
      <c r="K15" s="95"/>
      <c r="L15" s="95"/>
      <c r="M15" s="95"/>
      <c r="Q15" s="5" t="str">
        <f>IF(ROW(A3)&lt;=profilKelas!$F$14,ROW(A3),"")</f>
        <v/>
      </c>
      <c r="R15" s="12" t="str">
        <f t="shared" si="0"/>
        <v/>
      </c>
      <c r="S15" s="108" t="str">
        <f t="shared" si="1"/>
        <v/>
      </c>
      <c r="T15" s="108" t="str">
        <f t="shared" si="2"/>
        <v/>
      </c>
      <c r="U15" s="108" t="str">
        <f t="shared" si="3"/>
        <v/>
      </c>
      <c r="V15" s="108" t="str">
        <f t="shared" si="3"/>
        <v/>
      </c>
      <c r="W15" s="108" t="str">
        <f t="shared" si="3"/>
        <v/>
      </c>
      <c r="X15" s="108" t="str">
        <f t="shared" si="3"/>
        <v/>
      </c>
      <c r="Y15" s="108" t="str">
        <f t="shared" si="3"/>
        <v/>
      </c>
      <c r="Z15" s="108" t="str">
        <f t="shared" si="3"/>
        <v/>
      </c>
      <c r="AA15" s="108" t="str">
        <f t="shared" si="3"/>
        <v/>
      </c>
      <c r="AB15" s="108" t="str" cm="1">
        <f t="array" ref="AB15">IF(LEN($B15)=0,"",IF(LEN(C15)=0,"Nama Siswa Kosong",IF($E15="","Status Siswa Kosong",IF(S15&lt;&gt;"Aktif","Siswa Tidak Aktif",
IF(OR(U15:AA15="Belum mengisi"),"Belum mengisi",IF(AND(U15:AA15="Sudah terbiasa"),"Sudah terbiasa","Belum terbiasa"))))))</f>
        <v/>
      </c>
      <c r="AD15" s="163"/>
      <c r="AE15" s="163"/>
      <c r="AF15" s="165"/>
      <c r="AG15" s="148" t="s">
        <v>597</v>
      </c>
      <c r="AH15" s="148"/>
      <c r="AI15" s="148" t="s">
        <v>598</v>
      </c>
      <c r="AJ15" s="148"/>
      <c r="AK15" s="13"/>
      <c r="AL15" s="158"/>
      <c r="AM15" s="158"/>
      <c r="AN15" s="158"/>
      <c r="AO15" s="158"/>
      <c r="AP15" s="158"/>
      <c r="AQ15" s="158"/>
    </row>
    <row r="16" spans="1:43" hidden="1" x14ac:dyDescent="0.3">
      <c r="B16" s="4" t="str">
        <f>IF(ROW(A4)&lt;=profilKelas!$F$14,ROW(A4),"")</f>
        <v/>
      </c>
      <c r="C16" s="94" t="str">
        <f>IF(ISBLANK(identitasMurid!C9),"",identitasMurid!C9)</f>
        <v/>
      </c>
      <c r="D16" s="6" t="str">
        <f>IF(ISBLANK(identitasMurid!D9),"",identitasMurid!D9)</f>
        <v/>
      </c>
      <c r="E16" s="95"/>
      <c r="F16" s="95"/>
      <c r="G16" s="95"/>
      <c r="H16" s="95"/>
      <c r="I16" s="95"/>
      <c r="J16" s="95"/>
      <c r="K16" s="95"/>
      <c r="L16" s="95"/>
      <c r="M16" s="95"/>
      <c r="Q16" s="5" t="str">
        <f>IF(ROW(A4)&lt;=profilKelas!$F$14,ROW(A4),"")</f>
        <v/>
      </c>
      <c r="R16" s="12" t="str">
        <f t="shared" si="0"/>
        <v/>
      </c>
      <c r="S16" s="108" t="str">
        <f t="shared" si="1"/>
        <v/>
      </c>
      <c r="T16" s="108" t="str">
        <f t="shared" si="2"/>
        <v/>
      </c>
      <c r="U16" s="108" t="str">
        <f t="shared" si="3"/>
        <v/>
      </c>
      <c r="V16" s="108" t="str">
        <f t="shared" si="3"/>
        <v/>
      </c>
      <c r="W16" s="108" t="str">
        <f t="shared" si="3"/>
        <v/>
      </c>
      <c r="X16" s="108" t="str">
        <f t="shared" si="3"/>
        <v/>
      </c>
      <c r="Y16" s="108" t="str">
        <f t="shared" si="3"/>
        <v/>
      </c>
      <c r="Z16" s="108" t="str">
        <f t="shared" si="3"/>
        <v/>
      </c>
      <c r="AA16" s="108" t="str">
        <f t="shared" si="3"/>
        <v/>
      </c>
      <c r="AB16" s="108" t="str" cm="1">
        <f t="array" ref="AB16">IF(LEN($B16)=0,"",IF(LEN(C16)=0,"Nama Siswa Kosong",IF($E16="","Status Siswa Kosong",IF(S16&lt;&gt;"Aktif","Siswa Tidak Aktif",
IF(OR(U16:AA16="Belum mengisi"),"Belum mengisi",IF(AND(U16:AA16="Sudah terbiasa"),"Sudah terbiasa","Belum terbiasa"))))))</f>
        <v/>
      </c>
      <c r="AD16" s="41">
        <v>1</v>
      </c>
      <c r="AE16" s="41" t="s">
        <v>607</v>
      </c>
      <c r="AF16" s="10">
        <f>COUNTIF(JulPL,Perempuan)</f>
        <v>0</v>
      </c>
      <c r="AG16" s="96">
        <f>COUNTIFS(JulKategoriAkhir,SudahTerbiasa,JulPL,Perempuan)</f>
        <v>0</v>
      </c>
      <c r="AH16" s="96"/>
      <c r="AI16" s="96">
        <f>COUNTIFS(JulKategoriAkhir,BelumTerbiasa,JulPL,Perempuan)</f>
        <v>0</v>
      </c>
      <c r="AJ16" s="96"/>
      <c r="AK16" s="13"/>
      <c r="AL16" s="158"/>
      <c r="AM16" s="158"/>
      <c r="AN16" s="158"/>
      <c r="AO16" s="158"/>
      <c r="AP16" s="158"/>
      <c r="AQ16" s="158"/>
    </row>
    <row r="17" spans="2:43" hidden="1" x14ac:dyDescent="0.3">
      <c r="B17" s="4" t="str">
        <f>IF(ROW(A5)&lt;=profilKelas!$F$14,ROW(A5),"")</f>
        <v/>
      </c>
      <c r="C17" s="94" t="str">
        <f>IF(ISBLANK(identitasMurid!C10),"",identitasMurid!C10)</f>
        <v/>
      </c>
      <c r="D17" s="6" t="str">
        <f>IF(ISBLANK(identitasMurid!D10),"",identitasMurid!D10)</f>
        <v/>
      </c>
      <c r="E17" s="95"/>
      <c r="F17" s="95"/>
      <c r="G17" s="95"/>
      <c r="H17" s="95"/>
      <c r="I17" s="95"/>
      <c r="J17" s="95"/>
      <c r="K17" s="95"/>
      <c r="L17" s="95"/>
      <c r="M17" s="95"/>
      <c r="Q17" s="5" t="str">
        <f>IF(ROW(A5)&lt;=profilKelas!$F$14,ROW(A5),"")</f>
        <v/>
      </c>
      <c r="R17" s="12" t="str">
        <f t="shared" si="0"/>
        <v/>
      </c>
      <c r="S17" s="108" t="str">
        <f t="shared" si="1"/>
        <v/>
      </c>
      <c r="T17" s="108" t="str">
        <f t="shared" si="2"/>
        <v/>
      </c>
      <c r="U17" s="108" t="str">
        <f t="shared" si="3"/>
        <v/>
      </c>
      <c r="V17" s="108" t="str">
        <f t="shared" si="3"/>
        <v/>
      </c>
      <c r="W17" s="108" t="str">
        <f t="shared" si="3"/>
        <v/>
      </c>
      <c r="X17" s="108" t="str">
        <f t="shared" si="3"/>
        <v/>
      </c>
      <c r="Y17" s="108" t="str">
        <f t="shared" si="3"/>
        <v/>
      </c>
      <c r="Z17" s="108" t="str">
        <f t="shared" si="3"/>
        <v/>
      </c>
      <c r="AA17" s="108" t="str">
        <f t="shared" si="3"/>
        <v/>
      </c>
      <c r="AB17" s="108" t="str" cm="1">
        <f t="array" ref="AB17">IF(LEN($B17)=0,"",IF(LEN(C17)=0,"Nama Siswa Kosong",IF($E17="","Status Siswa Kosong",IF(S17&lt;&gt;"Aktif","Siswa Tidak Aktif",
IF(OR(U17:AA17="Belum mengisi"),"Belum mengisi",IF(AND(U17:AA17="Sudah terbiasa"),"Sudah terbiasa","Belum terbiasa"))))))</f>
        <v/>
      </c>
      <c r="AD17" s="41">
        <v>2</v>
      </c>
      <c r="AE17" s="41" t="s">
        <v>608</v>
      </c>
      <c r="AF17" s="97">
        <f>COUNTIF(JulPL,Laki_Laki)</f>
        <v>0</v>
      </c>
      <c r="AG17" s="96">
        <f>COUNTIFS(JulKategoriAkhir,SudahTerbiasa,JulPL,Laki_Laki)</f>
        <v>0</v>
      </c>
      <c r="AH17" s="96"/>
      <c r="AI17" s="96">
        <f>COUNTIFS(JulKategoriAkhir,BelumTerbiasa,JulPL,Laki_Laki)</f>
        <v>0</v>
      </c>
      <c r="AJ17" s="96"/>
      <c r="AK17" s="13"/>
      <c r="AL17" s="158"/>
      <c r="AM17" s="158"/>
      <c r="AN17" s="158"/>
      <c r="AO17" s="158"/>
      <c r="AP17" s="158"/>
      <c r="AQ17" s="158"/>
    </row>
    <row r="18" spans="2:43" hidden="1" x14ac:dyDescent="0.3">
      <c r="B18" s="4" t="str">
        <f>IF(ROW(A6)&lt;=profilKelas!$F$14,ROW(A6),"")</f>
        <v/>
      </c>
      <c r="C18" s="94" t="str">
        <f>IF(ISBLANK(identitasMurid!C11),"",identitasMurid!C11)</f>
        <v/>
      </c>
      <c r="D18" s="6" t="str">
        <f>IF(ISBLANK(identitasMurid!D11),"",identitasMurid!D11)</f>
        <v/>
      </c>
      <c r="E18" s="95"/>
      <c r="F18" s="95"/>
      <c r="G18" s="95"/>
      <c r="H18" s="95"/>
      <c r="I18" s="95"/>
      <c r="J18" s="95"/>
      <c r="K18" s="95"/>
      <c r="L18" s="95"/>
      <c r="M18" s="95"/>
      <c r="Q18" s="5" t="str">
        <f>IF(ROW(A6)&lt;=profilKelas!$F$14,ROW(A6),"")</f>
        <v/>
      </c>
      <c r="R18" s="12" t="str">
        <f t="shared" si="0"/>
        <v/>
      </c>
      <c r="S18" s="108" t="str">
        <f t="shared" si="1"/>
        <v/>
      </c>
      <c r="T18" s="108" t="str">
        <f t="shared" si="2"/>
        <v/>
      </c>
      <c r="U18" s="108" t="str">
        <f t="shared" si="3"/>
        <v/>
      </c>
      <c r="V18" s="108" t="str">
        <f t="shared" si="3"/>
        <v/>
      </c>
      <c r="W18" s="108" t="str">
        <f t="shared" si="3"/>
        <v/>
      </c>
      <c r="X18" s="108" t="str">
        <f t="shared" si="3"/>
        <v/>
      </c>
      <c r="Y18" s="108" t="str">
        <f t="shared" si="3"/>
        <v/>
      </c>
      <c r="Z18" s="108" t="str">
        <f t="shared" si="3"/>
        <v/>
      </c>
      <c r="AA18" s="108" t="str">
        <f t="shared" si="3"/>
        <v/>
      </c>
      <c r="AB18" s="108" t="str" cm="1">
        <f t="array" ref="AB18">IF(LEN($B18)=0,"",IF(LEN(C18)=0,"Nama Siswa Kosong",IF($E18="","Status Siswa Kosong",IF(S18&lt;&gt;"Aktif","Siswa Tidak Aktif",
IF(OR(U18:AA18="Belum mengisi"),"Belum mengisi",IF(AND(U18:AA18="Sudah terbiasa"),"Sudah terbiasa","Belum terbiasa"))))))</f>
        <v/>
      </c>
      <c r="AD18" s="160" t="s">
        <v>832</v>
      </c>
      <c r="AE18" s="160"/>
      <c r="AF18" s="3">
        <f>SUM(AF16:AF17)</f>
        <v>0</v>
      </c>
      <c r="AG18" s="96">
        <f>SUM(AG16:AG17)</f>
        <v>0</v>
      </c>
      <c r="AH18" s="96"/>
      <c r="AI18" s="96">
        <f>SUM(AI16:AI17)</f>
        <v>0</v>
      </c>
      <c r="AJ18" s="96"/>
      <c r="AK18" s="13"/>
      <c r="AL18" s="158"/>
      <c r="AM18" s="158"/>
      <c r="AN18" s="158"/>
      <c r="AO18" s="158"/>
      <c r="AP18" s="158"/>
      <c r="AQ18" s="158"/>
    </row>
    <row r="19" spans="2:43" hidden="1" x14ac:dyDescent="0.3">
      <c r="B19" s="4" t="str">
        <f>IF(ROW(A7)&lt;=profilKelas!$F$14,ROW(A7),"")</f>
        <v/>
      </c>
      <c r="C19" s="94" t="str">
        <f>IF(ISBLANK(identitasMurid!C12),"",identitasMurid!C12)</f>
        <v/>
      </c>
      <c r="D19" s="6" t="str">
        <f>IF(ISBLANK(identitasMurid!D12),"",identitasMurid!D12)</f>
        <v/>
      </c>
      <c r="E19" s="95"/>
      <c r="F19" s="95"/>
      <c r="G19" s="95"/>
      <c r="H19" s="95"/>
      <c r="I19" s="95"/>
      <c r="J19" s="95"/>
      <c r="K19" s="95"/>
      <c r="L19" s="95"/>
      <c r="M19" s="95"/>
      <c r="Q19" s="5" t="str">
        <f>IF(ROW(A7)&lt;=profilKelas!$F$14,ROW(A7),"")</f>
        <v/>
      </c>
      <c r="R19" s="12" t="str">
        <f t="shared" si="0"/>
        <v/>
      </c>
      <c r="S19" s="108" t="str">
        <f t="shared" si="1"/>
        <v/>
      </c>
      <c r="T19" s="108" t="str">
        <f t="shared" si="2"/>
        <v/>
      </c>
      <c r="U19" s="108" t="str">
        <f t="shared" si="3"/>
        <v/>
      </c>
      <c r="V19" s="108" t="str">
        <f t="shared" si="3"/>
        <v/>
      </c>
      <c r="W19" s="108" t="str">
        <f t="shared" si="3"/>
        <v/>
      </c>
      <c r="X19" s="108" t="str">
        <f t="shared" si="3"/>
        <v/>
      </c>
      <c r="Y19" s="108" t="str">
        <f t="shared" si="3"/>
        <v/>
      </c>
      <c r="Z19" s="108" t="str">
        <f t="shared" si="3"/>
        <v/>
      </c>
      <c r="AA19" s="108" t="str">
        <f t="shared" si="3"/>
        <v/>
      </c>
      <c r="AB19" s="108" t="str" cm="1">
        <f t="array" ref="AB19">IF(LEN($B19)=0,"",IF(LEN(C19)=0,"Nama Siswa Kosong",IF($E19="","Status Siswa Kosong",IF(S19&lt;&gt;"Aktif","Siswa Tidak Aktif",
IF(OR(U19:AA19="Belum mengisi"),"Belum mengisi",IF(AND(U19:AA19="Sudah terbiasa"),"Sudah terbiasa","Belum terbiasa"))))))</f>
        <v/>
      </c>
      <c r="AD19" s="13"/>
      <c r="AE19" s="13"/>
      <c r="AF19" s="13"/>
      <c r="AG19" s="13"/>
      <c r="AH19" s="13"/>
      <c r="AI19" s="13"/>
      <c r="AJ19" s="13"/>
      <c r="AK19" s="13"/>
      <c r="AL19" s="43"/>
      <c r="AM19" s="43"/>
      <c r="AN19" s="43"/>
      <c r="AO19" s="43"/>
      <c r="AP19" s="43"/>
      <c r="AQ19" s="43"/>
    </row>
    <row r="20" spans="2:43" hidden="1" x14ac:dyDescent="0.3">
      <c r="B20" s="4" t="str">
        <f>IF(ROW(A8)&lt;=profilKelas!$F$14,ROW(A8),"")</f>
        <v/>
      </c>
      <c r="C20" s="94" t="str">
        <f>IF(ISBLANK(identitasMurid!C13),"",identitasMurid!C13)</f>
        <v/>
      </c>
      <c r="D20" s="6" t="str">
        <f>IF(ISBLANK(identitasMurid!D13),"",identitasMurid!D13)</f>
        <v/>
      </c>
      <c r="E20" s="95"/>
      <c r="F20" s="95"/>
      <c r="G20" s="95"/>
      <c r="H20" s="95"/>
      <c r="I20" s="95"/>
      <c r="J20" s="95"/>
      <c r="K20" s="95"/>
      <c r="L20" s="95"/>
      <c r="M20" s="95"/>
      <c r="Q20" s="5" t="str">
        <f>IF(ROW(A8)&lt;=profilKelas!$F$14,ROW(A8),"")</f>
        <v/>
      </c>
      <c r="R20" s="12" t="str">
        <f t="shared" si="0"/>
        <v/>
      </c>
      <c r="S20" s="108" t="str">
        <f>IF(LEN(B20)=0,"",IF(ISBLANK(E20),"Status Siswa Kosong",E20))</f>
        <v/>
      </c>
      <c r="T20" s="108" t="str">
        <f t="shared" si="2"/>
        <v/>
      </c>
      <c r="U20" s="108" t="str">
        <f t="shared" si="3"/>
        <v/>
      </c>
      <c r="V20" s="108" t="str">
        <f t="shared" si="3"/>
        <v/>
      </c>
      <c r="W20" s="108" t="str">
        <f t="shared" si="3"/>
        <v/>
      </c>
      <c r="X20" s="108" t="str">
        <f t="shared" si="3"/>
        <v/>
      </c>
      <c r="Y20" s="108" t="str">
        <f t="shared" si="3"/>
        <v/>
      </c>
      <c r="Z20" s="108" t="str">
        <f t="shared" si="3"/>
        <v/>
      </c>
      <c r="AA20" s="108" t="str">
        <f t="shared" si="3"/>
        <v/>
      </c>
      <c r="AB20" s="108" t="str" cm="1">
        <f t="array" ref="AB20">IF(LEN($B20)=0,"",IF(LEN(C20)=0,"Nama Siswa Kosong",IF($E20="","Status Siswa Kosong",IF(S20&lt;&gt;"Aktif","Siswa Tidak Aktif",
IF(OR(U20:AA20="Belum mengisi"),"Belum mengisi",IF(AND(U20:AA20="Sudah terbiasa"),"Sudah terbiasa","Belum terbiasa"))))))</f>
        <v/>
      </c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</row>
    <row r="21" spans="2:43" ht="15.75" hidden="1" customHeight="1" x14ac:dyDescent="0.3">
      <c r="B21" s="4" t="str">
        <f>IF(ROW(A9)&lt;=profilKelas!$F$14,ROW(A9),"")</f>
        <v/>
      </c>
      <c r="C21" s="94" t="str">
        <f>IF(ISBLANK(identitasMurid!C14),"",identitasMurid!C14)</f>
        <v/>
      </c>
      <c r="D21" s="6" t="str">
        <f>IF(ISBLANK(identitasMurid!D14),"",identitasMurid!D14)</f>
        <v/>
      </c>
      <c r="E21" s="95"/>
      <c r="F21" s="95"/>
      <c r="G21" s="95"/>
      <c r="H21" s="95"/>
      <c r="I21" s="95"/>
      <c r="J21" s="95"/>
      <c r="K21" s="95"/>
      <c r="L21" s="95"/>
      <c r="M21" s="95"/>
      <c r="Q21" s="5" t="str">
        <f>IF(ROW(A9)&lt;=profilKelas!$F$14,ROW(A9),"")</f>
        <v/>
      </c>
      <c r="R21" s="12" t="str">
        <f t="shared" si="0"/>
        <v/>
      </c>
      <c r="S21" s="108" t="str">
        <f t="shared" ref="S21:S57" si="4">IF(LEN(B21)=0,"",IF(ISBLANK(E21),"Status Siswa Kosong",E21))</f>
        <v/>
      </c>
      <c r="T21" s="108" t="str">
        <f t="shared" si="2"/>
        <v/>
      </c>
      <c r="U21" s="108" t="str">
        <f t="shared" si="3"/>
        <v/>
      </c>
      <c r="V21" s="108" t="str">
        <f t="shared" si="3"/>
        <v/>
      </c>
      <c r="W21" s="108" t="str">
        <f t="shared" si="3"/>
        <v/>
      </c>
      <c r="X21" s="108" t="str">
        <f t="shared" si="3"/>
        <v/>
      </c>
      <c r="Y21" s="108" t="str">
        <f t="shared" si="3"/>
        <v/>
      </c>
      <c r="Z21" s="108" t="str">
        <f t="shared" si="3"/>
        <v/>
      </c>
      <c r="AA21" s="108" t="str">
        <f t="shared" si="3"/>
        <v/>
      </c>
      <c r="AB21" s="108" t="str" cm="1">
        <f t="array" ref="AB21">IF(LEN($B21)=0,"",IF(LEN(C21)=0,"Nama Siswa Kosong",IF($E21="","Status Siswa Kosong",IF(S21&lt;&gt;"Aktif","Siswa Tidak Aktif",
IF(OR(U21:AA21="Belum mengisi"),"Belum mengisi",IF(AND(U21:AA21="Sudah terbiasa"),"Sudah terbiasa","Belum terbiasa"))))))</f>
        <v/>
      </c>
      <c r="AD21" s="13"/>
      <c r="AE21" s="13"/>
      <c r="AF21" s="13"/>
      <c r="AG21" s="173" t="s">
        <v>596</v>
      </c>
      <c r="AH21" s="174"/>
      <c r="AI21" s="174"/>
      <c r="AJ21" s="175"/>
      <c r="AK21" s="13"/>
      <c r="AL21" s="13"/>
      <c r="AM21" s="13"/>
      <c r="AN21" s="13"/>
      <c r="AO21" s="13"/>
      <c r="AP21" s="13"/>
      <c r="AQ21" s="13"/>
    </row>
    <row r="22" spans="2:43" hidden="1" x14ac:dyDescent="0.3">
      <c r="B22" s="4" t="str">
        <f>IF(ROW(A10)&lt;=profilKelas!$F$14,ROW(A10),"")</f>
        <v/>
      </c>
      <c r="C22" s="94" t="str">
        <f>IF(ISBLANK(identitasMurid!C15),"",identitasMurid!C15)</f>
        <v/>
      </c>
      <c r="D22" s="6" t="str">
        <f>IF(ISBLANK(identitasMurid!D15),"",identitasMurid!D15)</f>
        <v/>
      </c>
      <c r="E22" s="95"/>
      <c r="F22" s="95"/>
      <c r="G22" s="95"/>
      <c r="H22" s="95"/>
      <c r="I22" s="95"/>
      <c r="J22" s="95"/>
      <c r="K22" s="95"/>
      <c r="L22" s="95"/>
      <c r="M22" s="95"/>
      <c r="Q22" s="5" t="str">
        <f>IF(ROW(A10)&lt;=profilKelas!$F$14,ROW(A10),"")</f>
        <v/>
      </c>
      <c r="R22" s="12" t="str">
        <f t="shared" si="0"/>
        <v/>
      </c>
      <c r="S22" s="108" t="str">
        <f t="shared" si="4"/>
        <v/>
      </c>
      <c r="T22" s="108" t="str">
        <f t="shared" si="2"/>
        <v/>
      </c>
      <c r="U22" s="108" t="str">
        <f t="shared" si="3"/>
        <v/>
      </c>
      <c r="V22" s="108" t="str">
        <f t="shared" si="3"/>
        <v/>
      </c>
      <c r="W22" s="108" t="str">
        <f t="shared" si="3"/>
        <v/>
      </c>
      <c r="X22" s="108" t="str">
        <f t="shared" si="3"/>
        <v/>
      </c>
      <c r="Y22" s="108" t="str">
        <f t="shared" si="3"/>
        <v/>
      </c>
      <c r="Z22" s="108" t="str">
        <f t="shared" si="3"/>
        <v/>
      </c>
      <c r="AA22" s="108" t="str">
        <f t="shared" si="3"/>
        <v/>
      </c>
      <c r="AB22" s="108" t="str" cm="1">
        <f t="array" ref="AB22">IF(LEN($B22)=0,"",IF(LEN(C22)=0,"Nama Siswa Kosong",IF($E22="","Status Siswa Kosong",IF(S22&lt;&gt;"Aktif","Siswa Tidak Aktif",
IF(OR(U22:AA22="Belum mengisi"),"Belum mengisi",IF(AND(U22:AA22="Sudah terbiasa"),"Sudah terbiasa","Belum terbiasa"))))))</f>
        <v/>
      </c>
      <c r="AD22" s="98" t="s">
        <v>0</v>
      </c>
      <c r="AE22" s="148" t="s">
        <v>18</v>
      </c>
      <c r="AF22" s="148"/>
      <c r="AG22" s="148" t="s">
        <v>597</v>
      </c>
      <c r="AH22" s="148"/>
      <c r="AI22" s="171" t="s">
        <v>598</v>
      </c>
      <c r="AJ22" s="172"/>
      <c r="AK22" s="13"/>
      <c r="AL22" s="13"/>
      <c r="AM22" s="13"/>
      <c r="AN22" s="13"/>
      <c r="AO22" s="13"/>
      <c r="AP22" s="13"/>
      <c r="AQ22" s="13"/>
    </row>
    <row r="23" spans="2:43" hidden="1" x14ac:dyDescent="0.3">
      <c r="B23" s="4" t="str">
        <f>IF(ROW(A11)&lt;=profilKelas!$F$14,ROW(A11),"")</f>
        <v/>
      </c>
      <c r="C23" s="94" t="str">
        <f>IF(ISBLANK(identitasMurid!C16),"",identitasMurid!C16)</f>
        <v/>
      </c>
      <c r="D23" s="6" t="str">
        <f>IF(ISBLANK(identitasMurid!D16),"",identitasMurid!D16)</f>
        <v/>
      </c>
      <c r="E23" s="95"/>
      <c r="F23" s="95"/>
      <c r="G23" s="95"/>
      <c r="H23" s="95"/>
      <c r="I23" s="95"/>
      <c r="J23" s="95"/>
      <c r="K23" s="95"/>
      <c r="L23" s="95"/>
      <c r="M23" s="95"/>
      <c r="Q23" s="5" t="str">
        <f>IF(ROW(A11)&lt;=profilKelas!$F$14,ROW(A11),"")</f>
        <v/>
      </c>
      <c r="R23" s="12" t="str">
        <f t="shared" si="0"/>
        <v/>
      </c>
      <c r="S23" s="108" t="str">
        <f t="shared" si="4"/>
        <v/>
      </c>
      <c r="T23" s="108" t="str">
        <f t="shared" si="2"/>
        <v/>
      </c>
      <c r="U23" s="108" t="str">
        <f t="shared" si="3"/>
        <v/>
      </c>
      <c r="V23" s="108" t="str">
        <f t="shared" si="3"/>
        <v/>
      </c>
      <c r="W23" s="108" t="str">
        <f t="shared" si="3"/>
        <v/>
      </c>
      <c r="X23" s="108" t="str">
        <f t="shared" si="3"/>
        <v/>
      </c>
      <c r="Y23" s="108" t="str">
        <f t="shared" si="3"/>
        <v/>
      </c>
      <c r="Z23" s="108" t="str">
        <f t="shared" si="3"/>
        <v/>
      </c>
      <c r="AA23" s="108" t="str">
        <f t="shared" si="3"/>
        <v/>
      </c>
      <c r="AB23" s="108" t="str" cm="1">
        <f t="array" ref="AB23">IF(LEN($B23)=0,"",IF(LEN(C23)=0,"Nama Siswa Kosong",IF($E23="","Status Siswa Kosong",IF(S23&lt;&gt;"Aktif","Siswa Tidak Aktif",
IF(OR(U23:AA23="Belum mengisi"),"Belum mengisi",IF(AND(U23:AA23="Sudah terbiasa"),"Sudah terbiasa","Belum terbiasa"))))))</f>
        <v/>
      </c>
      <c r="AC23" s="99">
        <f t="shared" ref="AC23:AC29" si="5">RANK(AG23,$AG$23:$AG$29)</f>
        <v>1</v>
      </c>
      <c r="AD23" s="41">
        <v>1</v>
      </c>
      <c r="AE23" s="161" t="s">
        <v>2</v>
      </c>
      <c r="AF23" s="161"/>
      <c r="AG23" s="10">
        <f>COUNTIF(JulBangunPagi,SudahTerbiasa)</f>
        <v>0</v>
      </c>
      <c r="AH23" s="50">
        <f>COUNTIF(JulBangunPagi,SudahTerbiasa)/profilKelas!$F$14</f>
        <v>0</v>
      </c>
      <c r="AI23" s="10">
        <f>COUNTIF(JulBangunPagi,BelumTerbiasa)</f>
        <v>0</v>
      </c>
      <c r="AJ23" s="50">
        <f>AI23/profilKelas!$F$14</f>
        <v>0</v>
      </c>
      <c r="AK23" s="13"/>
      <c r="AL23" s="13"/>
      <c r="AM23" s="13"/>
      <c r="AN23" s="13"/>
      <c r="AO23" s="13"/>
      <c r="AP23" s="13"/>
      <c r="AQ23" s="13"/>
    </row>
    <row r="24" spans="2:43" hidden="1" x14ac:dyDescent="0.3">
      <c r="B24" s="4" t="str">
        <f>IF(ROW(A12)&lt;=profilKelas!$F$14,ROW(A12),"")</f>
        <v/>
      </c>
      <c r="C24" s="94" t="str">
        <f>IF(ISBLANK(identitasMurid!C17),"",identitasMurid!C17)</f>
        <v/>
      </c>
      <c r="D24" s="6" t="str">
        <f>IF(ISBLANK(identitasMurid!D17),"",identitasMurid!D17)</f>
        <v/>
      </c>
      <c r="E24" s="95"/>
      <c r="F24" s="95"/>
      <c r="G24" s="95"/>
      <c r="H24" s="95"/>
      <c r="I24" s="95"/>
      <c r="J24" s="95"/>
      <c r="K24" s="95"/>
      <c r="L24" s="95"/>
      <c r="M24" s="95"/>
      <c r="Q24" s="5" t="str">
        <f>IF(ROW(A12)&lt;=profilKelas!$F$14,ROW(A12),"")</f>
        <v/>
      </c>
      <c r="R24" s="12" t="str">
        <f t="shared" si="0"/>
        <v/>
      </c>
      <c r="S24" s="108" t="str">
        <f t="shared" si="4"/>
        <v/>
      </c>
      <c r="T24" s="108" t="str">
        <f t="shared" si="2"/>
        <v/>
      </c>
      <c r="U24" s="108" t="str">
        <f t="shared" si="3"/>
        <v/>
      </c>
      <c r="V24" s="108" t="str">
        <f t="shared" si="3"/>
        <v/>
      </c>
      <c r="W24" s="108" t="str">
        <f t="shared" si="3"/>
        <v/>
      </c>
      <c r="X24" s="108" t="str">
        <f t="shared" si="3"/>
        <v/>
      </c>
      <c r="Y24" s="108" t="str">
        <f t="shared" si="3"/>
        <v/>
      </c>
      <c r="Z24" s="108" t="str">
        <f t="shared" si="3"/>
        <v/>
      </c>
      <c r="AA24" s="108" t="str">
        <f t="shared" si="3"/>
        <v/>
      </c>
      <c r="AB24" s="108" t="str" cm="1">
        <f t="array" ref="AB24">IF(LEN($B24)=0,"",IF(LEN(C24)=0,"Nama Siswa Kosong",IF($E24="","Status Siswa Kosong",IF(S24&lt;&gt;"Aktif","Siswa Tidak Aktif",
IF(OR(U24:AA24="Belum mengisi"),"Belum mengisi",IF(AND(U24:AA24="Sudah terbiasa"),"Sudah terbiasa","Belum terbiasa"))))))</f>
        <v/>
      </c>
      <c r="AC24" s="99">
        <f t="shared" si="5"/>
        <v>1</v>
      </c>
      <c r="AD24" s="41">
        <v>2</v>
      </c>
      <c r="AE24" s="161" t="s">
        <v>3</v>
      </c>
      <c r="AF24" s="161"/>
      <c r="AG24" s="10">
        <f>COUNTIF(JulTaatBeribadah,SudahTerbiasa)</f>
        <v>0</v>
      </c>
      <c r="AH24" s="50">
        <f>AG24/profilKelas!$F$14</f>
        <v>0</v>
      </c>
      <c r="AI24" s="10">
        <f>COUNTIF(JulTaatBeribadah,BelumTerbiasa)</f>
        <v>0</v>
      </c>
      <c r="AJ24" s="50">
        <f>AI24/profilKelas!$F$14</f>
        <v>0</v>
      </c>
      <c r="AK24" s="13"/>
      <c r="AL24" s="13"/>
      <c r="AM24" s="13"/>
      <c r="AN24" s="13"/>
      <c r="AO24" s="13"/>
      <c r="AP24" s="13"/>
      <c r="AQ24" s="13"/>
    </row>
    <row r="25" spans="2:43" hidden="1" x14ac:dyDescent="0.3">
      <c r="B25" s="4" t="str">
        <f>IF(ROW(A13)&lt;=profilKelas!$F$14,ROW(A13),"")</f>
        <v/>
      </c>
      <c r="C25" s="94" t="str">
        <f>IF(ISBLANK(identitasMurid!C18),"",identitasMurid!C18)</f>
        <v/>
      </c>
      <c r="D25" s="6" t="str">
        <f>IF(ISBLANK(identitasMurid!D18),"",identitasMurid!D18)</f>
        <v/>
      </c>
      <c r="E25" s="95"/>
      <c r="F25" s="95"/>
      <c r="G25" s="95"/>
      <c r="H25" s="95"/>
      <c r="I25" s="95"/>
      <c r="J25" s="95"/>
      <c r="K25" s="95"/>
      <c r="L25" s="95"/>
      <c r="M25" s="95"/>
      <c r="Q25" s="5" t="str">
        <f>IF(ROW(A13)&lt;=profilKelas!$F$14,ROW(A13),"")</f>
        <v/>
      </c>
      <c r="R25" s="12" t="str">
        <f t="shared" si="0"/>
        <v/>
      </c>
      <c r="S25" s="108" t="str">
        <f t="shared" si="4"/>
        <v/>
      </c>
      <c r="T25" s="108" t="str">
        <f t="shared" si="2"/>
        <v/>
      </c>
      <c r="U25" s="108" t="str">
        <f t="shared" si="3"/>
        <v/>
      </c>
      <c r="V25" s="108" t="str">
        <f t="shared" si="3"/>
        <v/>
      </c>
      <c r="W25" s="108" t="str">
        <f t="shared" si="3"/>
        <v/>
      </c>
      <c r="X25" s="108" t="str">
        <f t="shared" si="3"/>
        <v/>
      </c>
      <c r="Y25" s="108" t="str">
        <f t="shared" si="3"/>
        <v/>
      </c>
      <c r="Z25" s="108" t="str">
        <f t="shared" si="3"/>
        <v/>
      </c>
      <c r="AA25" s="108" t="str">
        <f t="shared" si="3"/>
        <v/>
      </c>
      <c r="AB25" s="108" t="str" cm="1">
        <f t="array" ref="AB25">IF(LEN($B25)=0,"",IF(LEN(C25)=0,"Nama Siswa Kosong",IF($E25="","Status Siswa Kosong",IF(S25&lt;&gt;"Aktif","Siswa Tidak Aktif",
IF(OR(U25:AA25="Belum mengisi"),"Belum mengisi",IF(AND(U25:AA25="Sudah terbiasa"),"Sudah terbiasa","Belum terbiasa"))))))</f>
        <v/>
      </c>
      <c r="AC25" s="99">
        <f t="shared" si="5"/>
        <v>1</v>
      </c>
      <c r="AD25" s="41">
        <v>3</v>
      </c>
      <c r="AE25" s="161" t="s">
        <v>4</v>
      </c>
      <c r="AF25" s="161"/>
      <c r="AG25" s="10">
        <f>COUNTIF(JulBerolahraga,SudahTerbiasa)</f>
        <v>0</v>
      </c>
      <c r="AH25" s="50">
        <f>AG25/profilKelas!$F$14</f>
        <v>0</v>
      </c>
      <c r="AI25" s="10">
        <f>COUNTIF(JulBerolahraga,BelumTerbiasa)</f>
        <v>0</v>
      </c>
      <c r="AJ25" s="50">
        <f>AI25/profilKelas!$F$14</f>
        <v>0</v>
      </c>
      <c r="AK25" s="13"/>
      <c r="AL25" s="13"/>
      <c r="AM25" s="13"/>
      <c r="AN25" s="13"/>
      <c r="AO25" s="13"/>
      <c r="AP25" s="13"/>
      <c r="AQ25" s="13"/>
    </row>
    <row r="26" spans="2:43" hidden="1" x14ac:dyDescent="0.3">
      <c r="B26" s="4" t="str">
        <f>IF(ROW(A14)&lt;=profilKelas!$F$14,ROW(A14),"")</f>
        <v/>
      </c>
      <c r="C26" s="94" t="str">
        <f>IF(ISBLANK(identitasMurid!C19),"",identitasMurid!C19)</f>
        <v/>
      </c>
      <c r="D26" s="6" t="str">
        <f>IF(ISBLANK(identitasMurid!D19),"",identitasMurid!D19)</f>
        <v/>
      </c>
      <c r="E26" s="95"/>
      <c r="F26" s="95"/>
      <c r="G26" s="95"/>
      <c r="H26" s="95"/>
      <c r="I26" s="95"/>
      <c r="J26" s="95"/>
      <c r="K26" s="95"/>
      <c r="L26" s="95"/>
      <c r="M26" s="95"/>
      <c r="Q26" s="5" t="str">
        <f>IF(ROW(A14)&lt;=profilKelas!$F$14,ROW(A14),"")</f>
        <v/>
      </c>
      <c r="R26" s="12" t="str">
        <f t="shared" si="0"/>
        <v/>
      </c>
      <c r="S26" s="108" t="str">
        <f t="shared" si="4"/>
        <v/>
      </c>
      <c r="T26" s="108" t="str">
        <f t="shared" si="2"/>
        <v/>
      </c>
      <c r="U26" s="108" t="str">
        <f t="shared" si="3"/>
        <v/>
      </c>
      <c r="V26" s="108" t="str">
        <f t="shared" si="3"/>
        <v/>
      </c>
      <c r="W26" s="108" t="str">
        <f t="shared" si="3"/>
        <v/>
      </c>
      <c r="X26" s="108" t="str">
        <f t="shared" si="3"/>
        <v/>
      </c>
      <c r="Y26" s="108" t="str">
        <f t="shared" si="3"/>
        <v/>
      </c>
      <c r="Z26" s="108" t="str">
        <f t="shared" si="3"/>
        <v/>
      </c>
      <c r="AA26" s="108" t="str">
        <f t="shared" si="3"/>
        <v/>
      </c>
      <c r="AB26" s="108" t="str" cm="1">
        <f t="array" ref="AB26">IF(LEN($B26)=0,"",IF(LEN(C26)=0,"Nama Siswa Kosong",IF($E26="","Status Siswa Kosong",IF(S26&lt;&gt;"Aktif","Siswa Tidak Aktif",
IF(OR(U26:AA26="Belum mengisi"),"Belum mengisi",IF(AND(U26:AA26="Sudah terbiasa"),"Sudah terbiasa","Belum terbiasa"))))))</f>
        <v/>
      </c>
      <c r="AC26" s="99">
        <f t="shared" si="5"/>
        <v>1</v>
      </c>
      <c r="AD26" s="41">
        <v>4</v>
      </c>
      <c r="AE26" s="161" t="s">
        <v>5</v>
      </c>
      <c r="AF26" s="161"/>
      <c r="AG26" s="10">
        <f>COUNTIF(JulMakanSehatBergizi,SudahTerbiasa)</f>
        <v>0</v>
      </c>
      <c r="AH26" s="50">
        <f>AG26/profilKelas!$F$14</f>
        <v>0</v>
      </c>
      <c r="AI26" s="10">
        <f>COUNTIF(JulMakanSehatBergizi,BelumTerbiasa)</f>
        <v>0</v>
      </c>
      <c r="AJ26" s="50">
        <f>AI26/profilKelas!$F$14</f>
        <v>0</v>
      </c>
      <c r="AK26" s="13"/>
      <c r="AL26" s="13"/>
      <c r="AM26" s="13"/>
      <c r="AN26" s="13"/>
      <c r="AO26" s="13"/>
      <c r="AP26" s="13"/>
      <c r="AQ26" s="13"/>
    </row>
    <row r="27" spans="2:43" hidden="1" x14ac:dyDescent="0.3">
      <c r="B27" s="4" t="str">
        <f>IF(ROW(A15)&lt;=profilKelas!$F$14,ROW(A15),"")</f>
        <v/>
      </c>
      <c r="C27" s="94" t="str">
        <f>IF(ISBLANK(identitasMurid!C20),"",identitasMurid!C20)</f>
        <v/>
      </c>
      <c r="D27" s="6" t="str">
        <f>IF(ISBLANK(identitasMurid!D20),"",identitasMurid!D20)</f>
        <v/>
      </c>
      <c r="E27" s="95"/>
      <c r="F27" s="95"/>
      <c r="G27" s="95"/>
      <c r="H27" s="95"/>
      <c r="I27" s="95"/>
      <c r="J27" s="95"/>
      <c r="K27" s="95"/>
      <c r="L27" s="95"/>
      <c r="M27" s="95"/>
      <c r="Q27" s="5" t="str">
        <f>IF(ROW(A15)&lt;=profilKelas!$F$14,ROW(A15),"")</f>
        <v/>
      </c>
      <c r="R27" s="12" t="str">
        <f t="shared" si="0"/>
        <v/>
      </c>
      <c r="S27" s="108" t="str">
        <f t="shared" si="4"/>
        <v/>
      </c>
      <c r="T27" s="108" t="str">
        <f t="shared" si="2"/>
        <v/>
      </c>
      <c r="U27" s="108" t="str">
        <f t="shared" si="3"/>
        <v/>
      </c>
      <c r="V27" s="108" t="str">
        <f t="shared" si="3"/>
        <v/>
      </c>
      <c r="W27" s="108" t="str">
        <f t="shared" si="3"/>
        <v/>
      </c>
      <c r="X27" s="108" t="str">
        <f t="shared" si="3"/>
        <v/>
      </c>
      <c r="Y27" s="108" t="str">
        <f t="shared" si="3"/>
        <v/>
      </c>
      <c r="Z27" s="108" t="str">
        <f t="shared" si="3"/>
        <v/>
      </c>
      <c r="AA27" s="108" t="str">
        <f t="shared" si="3"/>
        <v/>
      </c>
      <c r="AB27" s="108" t="str" cm="1">
        <f t="array" ref="AB27">IF(LEN($B27)=0,"",IF(LEN(C27)=0,"Nama Siswa Kosong",IF($E27="","Status Siswa Kosong",IF(S27&lt;&gt;"Aktif","Siswa Tidak Aktif",
IF(OR(U27:AA27="Belum mengisi"),"Belum mengisi",IF(AND(U27:AA27="Sudah terbiasa"),"Sudah terbiasa","Belum terbiasa"))))))</f>
        <v/>
      </c>
      <c r="AC27" s="99">
        <f t="shared" si="5"/>
        <v>1</v>
      </c>
      <c r="AD27" s="41">
        <v>5</v>
      </c>
      <c r="AE27" s="161" t="s">
        <v>6</v>
      </c>
      <c r="AF27" s="161"/>
      <c r="AG27" s="10">
        <f>COUNTIF(JulGemarBelajar,SudahTerbiasa)</f>
        <v>0</v>
      </c>
      <c r="AH27" s="50">
        <f>AG27/profilKelas!$F$14</f>
        <v>0</v>
      </c>
      <c r="AI27" s="10">
        <f>COUNTIF(JulGemarBelajar,BelumTerbiasa)</f>
        <v>0</v>
      </c>
      <c r="AJ27" s="50">
        <f>AI27/profilKelas!$F$14</f>
        <v>0</v>
      </c>
      <c r="AK27" s="13"/>
      <c r="AL27" s="13"/>
      <c r="AM27" s="13"/>
      <c r="AN27" s="13"/>
      <c r="AO27" s="13"/>
      <c r="AP27" s="13"/>
      <c r="AQ27" s="13"/>
    </row>
    <row r="28" spans="2:43" hidden="1" x14ac:dyDescent="0.3">
      <c r="B28" s="4" t="str">
        <f>IF(ROW(A16)&lt;=profilKelas!$F$14,ROW(A16),"")</f>
        <v/>
      </c>
      <c r="C28" s="94" t="str">
        <f>IF(ISBLANK(identitasMurid!C21),"",identitasMurid!C21)</f>
        <v/>
      </c>
      <c r="D28" s="6" t="str">
        <f>IF(ISBLANK(identitasMurid!D21),"",identitasMurid!D21)</f>
        <v/>
      </c>
      <c r="E28" s="95"/>
      <c r="F28" s="95"/>
      <c r="G28" s="95"/>
      <c r="H28" s="95"/>
      <c r="I28" s="95"/>
      <c r="J28" s="95"/>
      <c r="K28" s="95"/>
      <c r="L28" s="95"/>
      <c r="M28" s="95"/>
      <c r="Q28" s="5" t="str">
        <f>IF(ROW(A16)&lt;=profilKelas!$F$14,ROW(A16),"")</f>
        <v/>
      </c>
      <c r="R28" s="12" t="str">
        <f t="shared" si="0"/>
        <v/>
      </c>
      <c r="S28" s="108" t="str">
        <f t="shared" si="4"/>
        <v/>
      </c>
      <c r="T28" s="108" t="str">
        <f t="shared" si="2"/>
        <v/>
      </c>
      <c r="U28" s="108" t="str">
        <f t="shared" si="3"/>
        <v/>
      </c>
      <c r="V28" s="108" t="str">
        <f t="shared" si="3"/>
        <v/>
      </c>
      <c r="W28" s="108" t="str">
        <f t="shared" si="3"/>
        <v/>
      </c>
      <c r="X28" s="108" t="str">
        <f t="shared" si="3"/>
        <v/>
      </c>
      <c r="Y28" s="108" t="str">
        <f t="shared" si="3"/>
        <v/>
      </c>
      <c r="Z28" s="108" t="str">
        <f t="shared" si="3"/>
        <v/>
      </c>
      <c r="AA28" s="108" t="str">
        <f t="shared" si="3"/>
        <v/>
      </c>
      <c r="AB28" s="108" t="str" cm="1">
        <f t="array" ref="AB28">IF(LEN($B28)=0,"",IF(LEN(C28)=0,"Nama Siswa Kosong",IF($E28="","Status Siswa Kosong",IF(S28&lt;&gt;"Aktif","Siswa Tidak Aktif",
IF(OR(U28:AA28="Belum mengisi"),"Belum mengisi",IF(AND(U28:AA28="Sudah terbiasa"),"Sudah terbiasa","Belum terbiasa"))))))</f>
        <v/>
      </c>
      <c r="AC28" s="99">
        <f t="shared" si="5"/>
        <v>1</v>
      </c>
      <c r="AD28" s="41">
        <v>6</v>
      </c>
      <c r="AE28" s="161" t="s">
        <v>7</v>
      </c>
      <c r="AF28" s="161"/>
      <c r="AG28" s="10">
        <f>COUNTIF(JulAktifBermasyarakat,SudahTerbiasa)</f>
        <v>0</v>
      </c>
      <c r="AH28" s="50">
        <f>AG28/profilKelas!$F$14</f>
        <v>0</v>
      </c>
      <c r="AI28" s="10">
        <f>COUNTIF(JulAktifBermasyarakat,BelumTerbiasa)</f>
        <v>0</v>
      </c>
      <c r="AJ28" s="50">
        <f>AI28/profilKelas!$F$14</f>
        <v>0</v>
      </c>
      <c r="AK28" s="13"/>
      <c r="AL28" s="43"/>
      <c r="AM28" s="43"/>
      <c r="AN28" s="43"/>
      <c r="AO28" s="43"/>
      <c r="AP28" s="43"/>
      <c r="AQ28" s="43"/>
    </row>
    <row r="29" spans="2:43" hidden="1" x14ac:dyDescent="0.3">
      <c r="B29" s="4" t="str">
        <f>IF(ROW(A17)&lt;=profilKelas!$F$14,ROW(A17),"")</f>
        <v/>
      </c>
      <c r="C29" s="94" t="str">
        <f>IF(ISBLANK(identitasMurid!C22),"",identitasMurid!C22)</f>
        <v/>
      </c>
      <c r="D29" s="6" t="str">
        <f>IF(ISBLANK(identitasMurid!D22),"",identitasMurid!D22)</f>
        <v/>
      </c>
      <c r="E29" s="95"/>
      <c r="F29" s="95"/>
      <c r="G29" s="95"/>
      <c r="H29" s="95"/>
      <c r="I29" s="95"/>
      <c r="J29" s="95"/>
      <c r="K29" s="95"/>
      <c r="L29" s="95"/>
      <c r="M29" s="95"/>
      <c r="Q29" s="5" t="str">
        <f>IF(ROW(A17)&lt;=profilKelas!$F$14,ROW(A17),"")</f>
        <v/>
      </c>
      <c r="R29" s="12" t="str">
        <f t="shared" si="0"/>
        <v/>
      </c>
      <c r="S29" s="108" t="str">
        <f t="shared" si="4"/>
        <v/>
      </c>
      <c r="T29" s="108" t="str">
        <f t="shared" si="2"/>
        <v/>
      </c>
      <c r="U29" s="108" t="str">
        <f t="shared" ref="U29:AA57" si="6">IF(LEN($B29)=0,"",IF(LEN($C29)=0,"Nama Siswa Kosong",IF($E29="","Status Siswa Kosong",IF($E29&lt;&gt;"Aktif","Siswa Tidak Aktif",
IF(ISBLANK(F29),"Belum mengisi",IF(F29&gt;=20,"Sudah terbiasa","Belum terbiasa"))))))</f>
        <v/>
      </c>
      <c r="V29" s="108" t="str">
        <f t="shared" si="6"/>
        <v/>
      </c>
      <c r="W29" s="108" t="str">
        <f t="shared" si="6"/>
        <v/>
      </c>
      <c r="X29" s="108" t="str">
        <f t="shared" si="6"/>
        <v/>
      </c>
      <c r="Y29" s="108" t="str">
        <f t="shared" si="6"/>
        <v/>
      </c>
      <c r="Z29" s="108" t="str">
        <f t="shared" si="6"/>
        <v/>
      </c>
      <c r="AA29" s="108" t="str">
        <f t="shared" si="6"/>
        <v/>
      </c>
      <c r="AB29" s="108" t="str" cm="1">
        <f t="array" ref="AB29">IF(LEN($B29)=0,"",IF(LEN(C29)=0,"Nama Siswa Kosong",IF($E29="","Status Siswa Kosong",IF(S29&lt;&gt;"Aktif","Siswa Tidak Aktif",
IF(OR(U29:AA29="Belum mengisi"),"Belum mengisi",IF(AND(U29:AA29="Sudah terbiasa"),"Sudah terbiasa","Belum terbiasa"))))))</f>
        <v/>
      </c>
      <c r="AC29" s="99">
        <f t="shared" si="5"/>
        <v>1</v>
      </c>
      <c r="AD29" s="41">
        <v>7</v>
      </c>
      <c r="AE29" s="161" t="s">
        <v>8</v>
      </c>
      <c r="AF29" s="161"/>
      <c r="AG29" s="10">
        <f>COUNTIF(JulTidurCepat,SudahTerbiasa)</f>
        <v>0</v>
      </c>
      <c r="AH29" s="50">
        <f>AG29/profilKelas!$F$14</f>
        <v>0</v>
      </c>
      <c r="AI29" s="10">
        <f>COUNTIF(JulTidurCepat,BelumTerbiasa)</f>
        <v>0</v>
      </c>
      <c r="AJ29" s="50">
        <f>AI29/profilKelas!$F$14</f>
        <v>0</v>
      </c>
      <c r="AK29" s="13"/>
      <c r="AL29" s="43"/>
      <c r="AM29" s="43"/>
      <c r="AN29" s="43"/>
      <c r="AO29" s="43"/>
      <c r="AP29" s="43"/>
      <c r="AQ29" s="43"/>
    </row>
    <row r="30" spans="2:43" hidden="1" x14ac:dyDescent="0.3">
      <c r="B30" s="4" t="str">
        <f>IF(ROW(A18)&lt;=profilKelas!$F$14,ROW(A18),"")</f>
        <v/>
      </c>
      <c r="C30" s="94" t="str">
        <f>IF(ISBLANK(identitasMurid!C23),"",identitasMurid!C23)</f>
        <v/>
      </c>
      <c r="D30" s="6" t="str">
        <f>IF(ISBLANK(identitasMurid!D23),"",identitasMurid!D23)</f>
        <v/>
      </c>
      <c r="E30" s="95"/>
      <c r="F30" s="95"/>
      <c r="G30" s="95"/>
      <c r="H30" s="95"/>
      <c r="I30" s="95"/>
      <c r="J30" s="95"/>
      <c r="K30" s="95"/>
      <c r="L30" s="95"/>
      <c r="M30" s="95"/>
      <c r="Q30" s="5" t="str">
        <f>IF(ROW(A18)&lt;=profilKelas!$F$14,ROW(A18),"")</f>
        <v/>
      </c>
      <c r="R30" s="12" t="str">
        <f t="shared" si="0"/>
        <v/>
      </c>
      <c r="S30" s="108" t="str">
        <f t="shared" si="4"/>
        <v/>
      </c>
      <c r="T30" s="108" t="str">
        <f t="shared" si="2"/>
        <v/>
      </c>
      <c r="U30" s="108" t="str">
        <f t="shared" si="6"/>
        <v/>
      </c>
      <c r="V30" s="108" t="str">
        <f t="shared" si="6"/>
        <v/>
      </c>
      <c r="W30" s="108" t="str">
        <f t="shared" si="6"/>
        <v/>
      </c>
      <c r="X30" s="108" t="str">
        <f t="shared" si="6"/>
        <v/>
      </c>
      <c r="Y30" s="108" t="str">
        <f t="shared" si="6"/>
        <v/>
      </c>
      <c r="Z30" s="108" t="str">
        <f t="shared" si="6"/>
        <v/>
      </c>
      <c r="AA30" s="108" t="str">
        <f t="shared" si="6"/>
        <v/>
      </c>
      <c r="AB30" s="108" t="str" cm="1">
        <f t="array" ref="AB30">IF(LEN($B30)=0,"",IF(LEN(C30)=0,"Nama Siswa Kosong",IF($E30="","Status Siswa Kosong",IF(S30&lt;&gt;"Aktif","Siswa Tidak Aktif",
IF(OR(U30:AA30="Belum mengisi"),"Belum mengisi",IF(AND(U30:AA30="Sudah terbiasa"),"Sudah terbiasa","Belum terbiasa"))))))</f>
        <v/>
      </c>
      <c r="AD30" s="13"/>
      <c r="AE30" s="13"/>
      <c r="AF30" s="13"/>
      <c r="AG30" s="13"/>
      <c r="AH30" s="13"/>
      <c r="AI30" s="13"/>
      <c r="AJ30" s="13"/>
      <c r="AK30" s="13"/>
      <c r="AL30" s="43"/>
      <c r="AM30" s="43"/>
      <c r="AN30" s="43"/>
      <c r="AO30" s="43"/>
      <c r="AP30" s="43"/>
      <c r="AQ30" s="43"/>
    </row>
    <row r="31" spans="2:43" hidden="1" x14ac:dyDescent="0.3">
      <c r="B31" s="4" t="str">
        <f>IF(ROW(A19)&lt;=profilKelas!$F$14,ROW(A19),"")</f>
        <v/>
      </c>
      <c r="C31" s="94" t="str">
        <f>IF(ISBLANK(identitasMurid!C24),"",identitasMurid!C24)</f>
        <v/>
      </c>
      <c r="D31" s="6" t="str">
        <f>IF(ISBLANK(identitasMurid!D24),"",identitasMurid!D24)</f>
        <v/>
      </c>
      <c r="E31" s="95"/>
      <c r="F31" s="95"/>
      <c r="G31" s="95"/>
      <c r="H31" s="95"/>
      <c r="I31" s="95"/>
      <c r="J31" s="95"/>
      <c r="K31" s="95"/>
      <c r="L31" s="95"/>
      <c r="M31" s="95"/>
      <c r="Q31" s="5" t="str">
        <f>IF(ROW(A19)&lt;=profilKelas!$F$14,ROW(A19),"")</f>
        <v/>
      </c>
      <c r="R31" s="12" t="str">
        <f t="shared" si="0"/>
        <v/>
      </c>
      <c r="S31" s="108" t="str">
        <f t="shared" si="4"/>
        <v/>
      </c>
      <c r="T31" s="108" t="str">
        <f t="shared" si="2"/>
        <v/>
      </c>
      <c r="U31" s="108" t="str">
        <f t="shared" si="6"/>
        <v/>
      </c>
      <c r="V31" s="108" t="str">
        <f t="shared" si="6"/>
        <v/>
      </c>
      <c r="W31" s="108" t="str">
        <f t="shared" si="6"/>
        <v/>
      </c>
      <c r="X31" s="108" t="str">
        <f t="shared" si="6"/>
        <v/>
      </c>
      <c r="Y31" s="108" t="str">
        <f t="shared" si="6"/>
        <v/>
      </c>
      <c r="Z31" s="108" t="str">
        <f t="shared" si="6"/>
        <v/>
      </c>
      <c r="AA31" s="108" t="str">
        <f t="shared" si="6"/>
        <v/>
      </c>
      <c r="AB31" s="108" t="str" cm="1">
        <f t="array" ref="AB31">IF(LEN($B31)=0,"",IF(LEN(C31)=0,"Nama Siswa Kosong",IF($E31="","Status Siswa Kosong",IF(S31&lt;&gt;"Aktif","Siswa Tidak Aktif",
IF(OR(U31:AA31="Belum mengisi"),"Belum mengisi",IF(AND(U31:AA31="Sudah terbiasa"),"Sudah terbiasa","Belum terbiasa"))))))</f>
        <v/>
      </c>
      <c r="AD31" s="13"/>
      <c r="AE31" s="13"/>
      <c r="AF31" s="13"/>
      <c r="AG31" s="148" t="s">
        <v>607</v>
      </c>
      <c r="AH31" s="148"/>
      <c r="AI31" s="148"/>
      <c r="AJ31" s="148"/>
      <c r="AK31" s="148" t="s">
        <v>608</v>
      </c>
      <c r="AL31" s="148"/>
      <c r="AM31" s="148"/>
      <c r="AN31" s="148"/>
      <c r="AO31" s="13"/>
      <c r="AP31" s="13"/>
      <c r="AQ31" s="13"/>
    </row>
    <row r="32" spans="2:43" hidden="1" x14ac:dyDescent="0.3">
      <c r="B32" s="4" t="str">
        <f>IF(ROW(A20)&lt;=profilKelas!$F$14,ROW(A20),"")</f>
        <v/>
      </c>
      <c r="C32" s="94" t="str">
        <f>IF(ISBLANK(identitasMurid!C25),"",identitasMurid!C25)</f>
        <v/>
      </c>
      <c r="D32" s="6" t="str">
        <f>IF(ISBLANK(identitasMurid!D25),"",identitasMurid!D25)</f>
        <v/>
      </c>
      <c r="E32" s="95"/>
      <c r="F32" s="95"/>
      <c r="G32" s="95"/>
      <c r="H32" s="95"/>
      <c r="I32" s="95"/>
      <c r="J32" s="95"/>
      <c r="K32" s="95"/>
      <c r="L32" s="95"/>
      <c r="M32" s="95"/>
      <c r="Q32" s="5" t="str">
        <f>IF(ROW(A20)&lt;=profilKelas!$F$14,ROW(A20),"")</f>
        <v/>
      </c>
      <c r="R32" s="12" t="str">
        <f t="shared" si="0"/>
        <v/>
      </c>
      <c r="S32" s="108" t="str">
        <f t="shared" si="4"/>
        <v/>
      </c>
      <c r="T32" s="108" t="str">
        <f t="shared" si="2"/>
        <v/>
      </c>
      <c r="U32" s="108" t="str">
        <f t="shared" si="6"/>
        <v/>
      </c>
      <c r="V32" s="108" t="str">
        <f t="shared" si="6"/>
        <v/>
      </c>
      <c r="W32" s="108" t="str">
        <f t="shared" si="6"/>
        <v/>
      </c>
      <c r="X32" s="108" t="str">
        <f t="shared" si="6"/>
        <v/>
      </c>
      <c r="Y32" s="108" t="str">
        <f t="shared" si="6"/>
        <v/>
      </c>
      <c r="Z32" s="108" t="str">
        <f t="shared" si="6"/>
        <v/>
      </c>
      <c r="AA32" s="108" t="str">
        <f t="shared" si="6"/>
        <v/>
      </c>
      <c r="AB32" s="108" t="str" cm="1">
        <f t="array" ref="AB32">IF(LEN($B32)=0,"",IF(LEN(C32)=0,"Nama Siswa Kosong",IF($E32="","Status Siswa Kosong",IF(S32&lt;&gt;"Aktif","Siswa Tidak Aktif",
IF(OR(U32:AA32="Belum mengisi"),"Belum mengisi",IF(AND(U32:AA32="Sudah terbiasa"),"Sudah terbiasa","Belum terbiasa"))))))</f>
        <v/>
      </c>
      <c r="AD32" s="98" t="s">
        <v>0</v>
      </c>
      <c r="AE32" s="148" t="s">
        <v>18</v>
      </c>
      <c r="AF32" s="148"/>
      <c r="AG32" s="148" t="s">
        <v>597</v>
      </c>
      <c r="AH32" s="148"/>
      <c r="AI32" s="148" t="s">
        <v>598</v>
      </c>
      <c r="AJ32" s="148"/>
      <c r="AK32" s="148" t="s">
        <v>597</v>
      </c>
      <c r="AL32" s="148"/>
      <c r="AM32" s="148" t="s">
        <v>598</v>
      </c>
      <c r="AN32" s="148"/>
      <c r="AO32" s="13"/>
      <c r="AP32" s="13"/>
      <c r="AQ32" s="13"/>
    </row>
    <row r="33" spans="2:43" hidden="1" x14ac:dyDescent="0.3">
      <c r="B33" s="4" t="str">
        <f>IF(ROW(A21)&lt;=profilKelas!$F$14,ROW(A21),"")</f>
        <v/>
      </c>
      <c r="C33" s="94" t="str">
        <f>IF(ISBLANK(identitasMurid!C26),"",identitasMurid!C26)</f>
        <v/>
      </c>
      <c r="D33" s="6" t="str">
        <f>IF(ISBLANK(identitasMurid!D26),"",identitasMurid!D26)</f>
        <v/>
      </c>
      <c r="E33" s="95"/>
      <c r="F33" s="95"/>
      <c r="G33" s="95"/>
      <c r="H33" s="95"/>
      <c r="I33" s="95"/>
      <c r="J33" s="95"/>
      <c r="K33" s="95"/>
      <c r="L33" s="95"/>
      <c r="M33" s="95"/>
      <c r="Q33" s="5" t="str">
        <f>IF(ROW(A21)&lt;=profilKelas!$F$14,ROW(A21),"")</f>
        <v/>
      </c>
      <c r="R33" s="12" t="str">
        <f t="shared" si="0"/>
        <v/>
      </c>
      <c r="S33" s="108" t="str">
        <f t="shared" si="4"/>
        <v/>
      </c>
      <c r="T33" s="108" t="str">
        <f t="shared" si="2"/>
        <v/>
      </c>
      <c r="U33" s="108" t="str">
        <f t="shared" si="6"/>
        <v/>
      </c>
      <c r="V33" s="108" t="str">
        <f t="shared" si="6"/>
        <v/>
      </c>
      <c r="W33" s="108" t="str">
        <f t="shared" si="6"/>
        <v/>
      </c>
      <c r="X33" s="108" t="str">
        <f t="shared" si="6"/>
        <v/>
      </c>
      <c r="Y33" s="108" t="str">
        <f t="shared" si="6"/>
        <v/>
      </c>
      <c r="Z33" s="108" t="str">
        <f t="shared" si="6"/>
        <v/>
      </c>
      <c r="AA33" s="108" t="str">
        <f t="shared" si="6"/>
        <v/>
      </c>
      <c r="AB33" s="108" t="str" cm="1">
        <f t="array" ref="AB33">IF(LEN($B33)=0,"",IF(LEN(C33)=0,"Nama Siswa Kosong",IF($E33="","Status Siswa Kosong",IF(S33&lt;&gt;"Aktif","Siswa Tidak Aktif",
IF(OR(U33:AA33="Belum mengisi"),"Belum mengisi",IF(AND(U33:AA33="Sudah terbiasa"),"Sudah terbiasa","Belum terbiasa"))))))</f>
        <v/>
      </c>
      <c r="AD33" s="41">
        <v>1</v>
      </c>
      <c r="AE33" s="161" t="s">
        <v>2</v>
      </c>
      <c r="AF33" s="161"/>
      <c r="AG33" s="51">
        <f>COUNTIFS(JulBangunPagi,SudahTerbiasa,JulPL,Perempuan)</f>
        <v>0</v>
      </c>
      <c r="AH33" s="52" t="str">
        <f>IFERROR(IF($AF$18=0,"",COUNTIFS(JulBangunPagi,SudahTerbiasa,JulPL,Perempuan)/COUNTIFS(JulPL,Perempuan)),)</f>
        <v/>
      </c>
      <c r="AI33" s="53">
        <f>COUNTIFS(JulBangunPagi,BelumTerbiasa,JulPL,Perempuan)</f>
        <v>0</v>
      </c>
      <c r="AJ33" s="54" t="str">
        <f>IFERROR(IF($AF$18=0,"",COUNTIFS(JulBangunPagi,BelumTerbiasa,JulPL,Perempuan)/COUNTIF(JulPL,Perempuan)),)</f>
        <v/>
      </c>
      <c r="AK33" s="55">
        <f>COUNTIFS(JulBangunPagi,SudahTerbiasa,JulPL,Laki_Laki)</f>
        <v>0</v>
      </c>
      <c r="AL33" s="56" t="str">
        <f>IFERROR(IF($AF$18=0,"",COUNTIFS(JulBangunPagi,SudahTerbiasa,JulPL,Laki_Laki)/COUNTIFS(JulPL,Laki_Laki)),)</f>
        <v/>
      </c>
      <c r="AM33" s="57">
        <f>COUNTIFS(JulBangunPagi,BelumTerbiasa,JulPL,Laki_Laki)</f>
        <v>0</v>
      </c>
      <c r="AN33" s="58" t="str">
        <f>IFERROR(IF($AF$18=0,"",COUNTIFS(JulBangunPagi,BelumTerbiasa,JulPL,Laki_Laki)/COUNTIFS(JulPL,Laki_Laki)),)</f>
        <v/>
      </c>
      <c r="AO33" s="13"/>
      <c r="AP33" s="13"/>
      <c r="AQ33" s="13"/>
    </row>
    <row r="34" spans="2:43" hidden="1" x14ac:dyDescent="0.3">
      <c r="B34" s="4" t="str">
        <f>IF(ROW(A22)&lt;=profilKelas!$F$14,ROW(A22),"")</f>
        <v/>
      </c>
      <c r="C34" s="94" t="str">
        <f>IF(ISBLANK(identitasMurid!C27),"",identitasMurid!C27)</f>
        <v/>
      </c>
      <c r="D34" s="6" t="str">
        <f>IF(ISBLANK(identitasMurid!D27),"",identitasMurid!D27)</f>
        <v/>
      </c>
      <c r="E34" s="95"/>
      <c r="F34" s="95"/>
      <c r="G34" s="95"/>
      <c r="H34" s="95"/>
      <c r="I34" s="95"/>
      <c r="J34" s="95"/>
      <c r="K34" s="95"/>
      <c r="L34" s="95"/>
      <c r="M34" s="95"/>
      <c r="Q34" s="5" t="str">
        <f>IF(ROW(A22)&lt;=profilKelas!$F$14,ROW(A22),"")</f>
        <v/>
      </c>
      <c r="R34" s="12" t="str">
        <f t="shared" si="0"/>
        <v/>
      </c>
      <c r="S34" s="108" t="str">
        <f t="shared" si="4"/>
        <v/>
      </c>
      <c r="T34" s="108" t="str">
        <f t="shared" si="2"/>
        <v/>
      </c>
      <c r="U34" s="108" t="str">
        <f t="shared" si="6"/>
        <v/>
      </c>
      <c r="V34" s="108" t="str">
        <f t="shared" si="6"/>
        <v/>
      </c>
      <c r="W34" s="108" t="str">
        <f t="shared" si="6"/>
        <v/>
      </c>
      <c r="X34" s="108" t="str">
        <f t="shared" si="6"/>
        <v/>
      </c>
      <c r="Y34" s="108" t="str">
        <f t="shared" si="6"/>
        <v/>
      </c>
      <c r="Z34" s="108" t="str">
        <f t="shared" si="6"/>
        <v/>
      </c>
      <c r="AA34" s="108" t="str">
        <f t="shared" si="6"/>
        <v/>
      </c>
      <c r="AB34" s="108" t="str" cm="1">
        <f t="array" ref="AB34">IF(LEN($B34)=0,"",IF(LEN(C34)=0,"Nama Siswa Kosong",IF($E34="","Status Siswa Kosong",IF(S34&lt;&gt;"Aktif","Siswa Tidak Aktif",
IF(OR(U34:AA34="Belum mengisi"),"Belum mengisi",IF(AND(U34:AA34="Sudah terbiasa"),"Sudah terbiasa","Belum terbiasa"))))))</f>
        <v/>
      </c>
      <c r="AD34" s="41">
        <v>2</v>
      </c>
      <c r="AE34" s="161" t="s">
        <v>3</v>
      </c>
      <c r="AF34" s="161"/>
      <c r="AG34" s="51">
        <f>COUNTIFS(JulTaatBeribadah,SudahTerbiasa,JulPL,Perempuan)</f>
        <v>0</v>
      </c>
      <c r="AH34" s="52" t="str">
        <f>IFERROR(IF($AF$18=0,"",COUNTIFS(JulTaatBeribadah,SudahTerbiasa,JulPL,Perempuan)/COUNTIFS(JulPL,Perempuan)),)</f>
        <v/>
      </c>
      <c r="AI34" s="53">
        <f>COUNTIFS(JulTaatBeribadah,BelumTerbiasa,JulPL,Perempuan)</f>
        <v>0</v>
      </c>
      <c r="AJ34" s="59" t="str">
        <f>IFERROR(IF($AF$18=0,"",COUNTIFS(JulTaatBeribadah,BelumTerbiasa,JulPL,Perempuan)/COUNTIFS(JulPL,Perempuan)),)</f>
        <v/>
      </c>
      <c r="AK34" s="55">
        <f>COUNTIFS(JulTaatBeribadah,SudahTerbiasa,JulPL,Laki_Laki)</f>
        <v>0</v>
      </c>
      <c r="AL34" s="56" t="str">
        <f>IFERROR(IF($AF$18=0,"",COUNTIFS(JulTaatBeribadah,SudahTerbiasa,JulPL,Laki_Laki)/COUNTIFS(JulPL,Laki_Laki)),)</f>
        <v/>
      </c>
      <c r="AM34" s="57">
        <f>COUNTIFS(JulTaatBeribadah,BelumTerbiasa,JulPL,Laki_Laki)</f>
        <v>0</v>
      </c>
      <c r="AN34" s="58" t="str">
        <f>IFERROR(IF($AF$18=0,"",COUNTIFS(JulTaatBeribadah,BelumTerbiasa,JulPL,Laki_Laki)/COUNTIFS(JulPL,Laki_Laki)),)</f>
        <v/>
      </c>
      <c r="AO34" s="13"/>
      <c r="AP34" s="13"/>
      <c r="AQ34" s="13"/>
    </row>
    <row r="35" spans="2:43" hidden="1" x14ac:dyDescent="0.3">
      <c r="B35" s="4" t="str">
        <f>IF(ROW(A23)&lt;=profilKelas!$F$14,ROW(A23),"")</f>
        <v/>
      </c>
      <c r="C35" s="94" t="str">
        <f>IF(ISBLANK(identitasMurid!C28),"",identitasMurid!C28)</f>
        <v/>
      </c>
      <c r="D35" s="6" t="str">
        <f>IF(ISBLANK(identitasMurid!D28),"",identitasMurid!D28)</f>
        <v/>
      </c>
      <c r="E35" s="95"/>
      <c r="F35" s="95"/>
      <c r="G35" s="95"/>
      <c r="H35" s="95"/>
      <c r="I35" s="95"/>
      <c r="J35" s="95"/>
      <c r="K35" s="95"/>
      <c r="L35" s="95"/>
      <c r="M35" s="95"/>
      <c r="Q35" s="5" t="str">
        <f>IF(ROW(A23)&lt;=profilKelas!$F$14,ROW(A23),"")</f>
        <v/>
      </c>
      <c r="R35" s="12" t="str">
        <f t="shared" si="0"/>
        <v/>
      </c>
      <c r="S35" s="108" t="str">
        <f t="shared" si="4"/>
        <v/>
      </c>
      <c r="T35" s="108" t="str">
        <f t="shared" si="2"/>
        <v/>
      </c>
      <c r="U35" s="108" t="str">
        <f t="shared" si="6"/>
        <v/>
      </c>
      <c r="V35" s="108" t="str">
        <f t="shared" si="6"/>
        <v/>
      </c>
      <c r="W35" s="108" t="str">
        <f t="shared" si="6"/>
        <v/>
      </c>
      <c r="X35" s="108" t="str">
        <f t="shared" si="6"/>
        <v/>
      </c>
      <c r="Y35" s="108" t="str">
        <f t="shared" si="6"/>
        <v/>
      </c>
      <c r="Z35" s="108" t="str">
        <f t="shared" si="6"/>
        <v/>
      </c>
      <c r="AA35" s="108" t="str">
        <f t="shared" si="6"/>
        <v/>
      </c>
      <c r="AB35" s="108" t="str" cm="1">
        <f t="array" ref="AB35">IF(LEN($B35)=0,"",IF(LEN(C35)=0,"Nama Siswa Kosong",IF($E35="","Status Siswa Kosong",IF(S35&lt;&gt;"Aktif","Siswa Tidak Aktif",
IF(OR(U35:AA35="Belum mengisi"),"Belum mengisi",IF(AND(U35:AA35="Sudah terbiasa"),"Sudah terbiasa","Belum terbiasa"))))))</f>
        <v/>
      </c>
      <c r="AD35" s="41">
        <v>3</v>
      </c>
      <c r="AE35" s="161" t="s">
        <v>4</v>
      </c>
      <c r="AF35" s="161"/>
      <c r="AG35" s="51">
        <f>COUNTIFS(JulBerolahraga,SudahTerbiasa,JulPL,Perempuan)</f>
        <v>0</v>
      </c>
      <c r="AH35" s="52" t="str">
        <f>IFERROR(IF($AF$18=0,"",COUNTIFS(JulBerolahraga,SudahTerbiasa,JulPL,Perempuan)/COUNTIFS(JulPL,Perempuan)),)</f>
        <v/>
      </c>
      <c r="AI35" s="53">
        <f>COUNTIFS(JulBerolahraga,BelumTerbiasa,JulPL,Perempuan)</f>
        <v>0</v>
      </c>
      <c r="AJ35" s="59" t="str">
        <f>IFERROR(IF($AF$18=0,"",COUNTIFS(JulBerolahraga,BelumTerbiasa,JulPL,Perempuan)/COUNTIFS(JulPL,Perempuan)),)</f>
        <v/>
      </c>
      <c r="AK35" s="55">
        <f>COUNTIFS(JulBerolahraga,SudahTerbiasa,JulPL,Laki_Laki)</f>
        <v>0</v>
      </c>
      <c r="AL35" s="56" t="str">
        <f>IFERROR(IF($AF$18=0,"",COUNTIFS(JulBerolahraga,SudahTerbiasa,JulPL,Laki_Laki)/COUNTIFS(JulPL,Laki_Laki)),)</f>
        <v/>
      </c>
      <c r="AM35" s="57">
        <f>COUNTIFS(JulBerolahraga,BelumTerbiasa,JulPL,Laki_Laki)</f>
        <v>0</v>
      </c>
      <c r="AN35" s="58" t="str">
        <f>IFERROR(IF($AF$18=0,"",COUNTIFS(JulBerolahraga,BelumTerbiasa,JulPL,Laki_Laki)/COUNTIFS(JulPL,Laki_Laki)),)</f>
        <v/>
      </c>
      <c r="AO35" s="13"/>
      <c r="AP35" s="13"/>
      <c r="AQ35" s="13"/>
    </row>
    <row r="36" spans="2:43" hidden="1" x14ac:dyDescent="0.3">
      <c r="B36" s="4" t="str">
        <f>IF(ROW(A24)&lt;=profilKelas!$F$14,ROW(A24),"")</f>
        <v/>
      </c>
      <c r="C36" s="94" t="str">
        <f>IF(ISBLANK(identitasMurid!C29),"",identitasMurid!C29)</f>
        <v/>
      </c>
      <c r="D36" s="6" t="str">
        <f>IF(ISBLANK(identitasMurid!D29),"",identitasMurid!D29)</f>
        <v/>
      </c>
      <c r="E36" s="95"/>
      <c r="F36" s="95"/>
      <c r="G36" s="95"/>
      <c r="H36" s="95"/>
      <c r="I36" s="95"/>
      <c r="J36" s="95"/>
      <c r="K36" s="95"/>
      <c r="L36" s="95"/>
      <c r="M36" s="95"/>
      <c r="Q36" s="5" t="str">
        <f>IF(ROW(A24)&lt;=profilKelas!$F$14,ROW(A24),"")</f>
        <v/>
      </c>
      <c r="R36" s="12" t="str">
        <f t="shared" si="0"/>
        <v/>
      </c>
      <c r="S36" s="108" t="str">
        <f t="shared" si="4"/>
        <v/>
      </c>
      <c r="T36" s="108" t="str">
        <f t="shared" si="2"/>
        <v/>
      </c>
      <c r="U36" s="108" t="str">
        <f t="shared" si="6"/>
        <v/>
      </c>
      <c r="V36" s="108" t="str">
        <f t="shared" si="6"/>
        <v/>
      </c>
      <c r="W36" s="108" t="str">
        <f t="shared" si="6"/>
        <v/>
      </c>
      <c r="X36" s="108" t="str">
        <f t="shared" si="6"/>
        <v/>
      </c>
      <c r="Y36" s="108" t="str">
        <f t="shared" si="6"/>
        <v/>
      </c>
      <c r="Z36" s="108" t="str">
        <f t="shared" si="6"/>
        <v/>
      </c>
      <c r="AA36" s="108" t="str">
        <f t="shared" si="6"/>
        <v/>
      </c>
      <c r="AB36" s="108" t="str" cm="1">
        <f t="array" ref="AB36">IF(LEN($B36)=0,"",IF(LEN(C36)=0,"Nama Siswa Kosong",IF($E36="","Status Siswa Kosong",IF(S36&lt;&gt;"Aktif","Siswa Tidak Aktif",
IF(OR(U36:AA36="Belum mengisi"),"Belum mengisi",IF(AND(U36:AA36="Sudah terbiasa"),"Sudah terbiasa","Belum terbiasa"))))))</f>
        <v/>
      </c>
      <c r="AD36" s="41">
        <v>4</v>
      </c>
      <c r="AE36" s="161" t="s">
        <v>5</v>
      </c>
      <c r="AF36" s="161"/>
      <c r="AG36" s="51">
        <f>COUNTIFS(JulMakanSehatBergizi,SudahTerbiasa,JulPL,Perempuan)</f>
        <v>0</v>
      </c>
      <c r="AH36" s="52" t="str">
        <f>IFERROR(IF($AF$18=0,"",COUNTIFS(JulMakanSehatBergizi,SudahTerbiasa,JulPL,Perempuan)/COUNTIFS(JulPL,Perempuan)),)</f>
        <v/>
      </c>
      <c r="AI36" s="53">
        <f>COUNTIFS(JulMakanSehatBergizi,BelumTerbiasa,JulPL,Perempuan)</f>
        <v>0</v>
      </c>
      <c r="AJ36" s="59" t="str">
        <f>IFERROR(IF($AF$18=0,"",COUNTIFS(JulMakanSehatBergizi,BelumTerbiasa,JulPL,Perempuan)/COUNTIFS(JulPL,Perempuan)),)</f>
        <v/>
      </c>
      <c r="AK36" s="55">
        <f>COUNTIFS(JulMakanSehatBergizi,SudahTerbiasa,JulPL,Laki_Laki)</f>
        <v>0</v>
      </c>
      <c r="AL36" s="56" t="str">
        <f>IFERROR(IF($AF$18=0,"",COUNTIFS(JulMakanSehatBergizi,SudahTerbiasa,JulPL,Laki_Laki)/COUNTIFS(JulPL,Laki_Laki)),)</f>
        <v/>
      </c>
      <c r="AM36" s="57">
        <f>COUNTIFS(JulMakanSehatBergizi,BelumTerbiasa,JulPL,Laki_Laki)</f>
        <v>0</v>
      </c>
      <c r="AN36" s="58" t="str">
        <f>IFERROR(IF($AF$18=0,"",COUNTIFS(JulMakanSehatBergizi,BelumTerbiasa,JulPL,Laki_Laki)/COUNTIFS(JulPL,Laki_Laki)),)</f>
        <v/>
      </c>
      <c r="AO36" s="13"/>
      <c r="AP36" s="13"/>
      <c r="AQ36" s="13"/>
    </row>
    <row r="37" spans="2:43" hidden="1" x14ac:dyDescent="0.3">
      <c r="B37" s="4" t="str">
        <f>IF(ROW(A25)&lt;=profilKelas!$F$14,ROW(A25),"")</f>
        <v/>
      </c>
      <c r="C37" s="94" t="str">
        <f>IF(ISBLANK(identitasMurid!C30),"",identitasMurid!C30)</f>
        <v/>
      </c>
      <c r="D37" s="6" t="str">
        <f>IF(ISBLANK(identitasMurid!D30),"",identitasMurid!D30)</f>
        <v/>
      </c>
      <c r="E37" s="95"/>
      <c r="F37" s="95"/>
      <c r="G37" s="95"/>
      <c r="H37" s="95"/>
      <c r="I37" s="95"/>
      <c r="J37" s="95"/>
      <c r="K37" s="95"/>
      <c r="L37" s="95"/>
      <c r="M37" s="95"/>
      <c r="Q37" s="5" t="str">
        <f>IF(ROW(A25)&lt;=profilKelas!$F$14,ROW(A25),"")</f>
        <v/>
      </c>
      <c r="R37" s="12" t="str">
        <f t="shared" si="0"/>
        <v/>
      </c>
      <c r="S37" s="108" t="str">
        <f t="shared" si="4"/>
        <v/>
      </c>
      <c r="T37" s="108" t="str">
        <f t="shared" si="2"/>
        <v/>
      </c>
      <c r="U37" s="108" t="str">
        <f t="shared" si="6"/>
        <v/>
      </c>
      <c r="V37" s="108" t="str">
        <f t="shared" si="6"/>
        <v/>
      </c>
      <c r="W37" s="108" t="str">
        <f t="shared" si="6"/>
        <v/>
      </c>
      <c r="X37" s="108" t="str">
        <f t="shared" si="6"/>
        <v/>
      </c>
      <c r="Y37" s="108" t="str">
        <f t="shared" si="6"/>
        <v/>
      </c>
      <c r="Z37" s="108" t="str">
        <f t="shared" si="6"/>
        <v/>
      </c>
      <c r="AA37" s="108" t="str">
        <f t="shared" si="6"/>
        <v/>
      </c>
      <c r="AB37" s="108" t="str" cm="1">
        <f t="array" ref="AB37">IF(LEN($B37)=0,"",IF(LEN(C37)=0,"Nama Siswa Kosong",IF($E37="","Status Siswa Kosong",IF(S37&lt;&gt;"Aktif","Siswa Tidak Aktif",
IF(OR(U37:AA37="Belum mengisi"),"Belum mengisi",IF(AND(U37:AA37="Sudah terbiasa"),"Sudah terbiasa","Belum terbiasa"))))))</f>
        <v/>
      </c>
      <c r="AD37" s="41">
        <v>5</v>
      </c>
      <c r="AE37" s="161" t="s">
        <v>6</v>
      </c>
      <c r="AF37" s="161"/>
      <c r="AG37" s="51">
        <f>COUNTIFS(JulGemarBelajar,SudahTerbiasa,JulPL,Perempuan)</f>
        <v>0</v>
      </c>
      <c r="AH37" s="52" t="str">
        <f>IFERROR(IF($AF$18=0,"",COUNTIFS(JulGemarBelajar,SudahTerbiasa,JulPL,Perempuan)/COUNTIFS(JulPL,Perempuan)),)</f>
        <v/>
      </c>
      <c r="AI37" s="53">
        <f>COUNTIFS(JulGemarBelajar,BelumTerbiasa,JulPL,Perempuan)</f>
        <v>0</v>
      </c>
      <c r="AJ37" s="59" t="str">
        <f>IFERROR(IF($AF$18=0,"",COUNTIFS(JulGemarBelajar,BelumTerbiasa,JulPL,Perempuan)/COUNTIFS(JulPL,Perempuan)),)</f>
        <v/>
      </c>
      <c r="AK37" s="55">
        <f>COUNTIFS(JulGemarBelajar,SudahTerbiasa,JulPL,Laki_Laki)</f>
        <v>0</v>
      </c>
      <c r="AL37" s="56" t="str">
        <f>IFERROR(IF($AF$18=0,"",COUNTIFS(JulGemarBelajar,SudahTerbiasa,JulPL,Laki_Laki)/COUNTIFS(JulPL,Laki_Laki)),)</f>
        <v/>
      </c>
      <c r="AM37" s="57">
        <f>COUNTIFS(JulGemarBelajar,BelumTerbiasa,JulPL,Laki_Laki)</f>
        <v>0</v>
      </c>
      <c r="AN37" s="58" t="str">
        <f>IFERROR(IF($AF$18=0,"",COUNTIFS(JulGemarBelajar,BelumTerbiasa,JulPL,Laki_Laki)/COUNTIFS(JulPL,Laki_Laki)),)</f>
        <v/>
      </c>
      <c r="AO37" s="13"/>
      <c r="AP37" s="13"/>
      <c r="AQ37" s="13"/>
    </row>
    <row r="38" spans="2:43" hidden="1" x14ac:dyDescent="0.3">
      <c r="B38" s="4" t="str">
        <f>IF(ROW(A26)&lt;=profilKelas!$F$14,ROW(A26),"")</f>
        <v/>
      </c>
      <c r="C38" s="94" t="str">
        <f>IF(ISBLANK(identitasMurid!C31),"",identitasMurid!C31)</f>
        <v/>
      </c>
      <c r="D38" s="6" t="str">
        <f>IF(ISBLANK(identitasMurid!D31),"",identitasMurid!D31)</f>
        <v/>
      </c>
      <c r="E38" s="95"/>
      <c r="F38" s="95"/>
      <c r="G38" s="95"/>
      <c r="H38" s="95"/>
      <c r="I38" s="95"/>
      <c r="J38" s="95"/>
      <c r="K38" s="95"/>
      <c r="L38" s="95"/>
      <c r="M38" s="95"/>
      <c r="Q38" s="5" t="str">
        <f>IF(ROW(A26)&lt;=profilKelas!$F$14,ROW(A26),"")</f>
        <v/>
      </c>
      <c r="R38" s="12" t="str">
        <f t="shared" si="0"/>
        <v/>
      </c>
      <c r="S38" s="108" t="str">
        <f t="shared" si="4"/>
        <v/>
      </c>
      <c r="T38" s="108" t="str">
        <f t="shared" si="2"/>
        <v/>
      </c>
      <c r="U38" s="108" t="str">
        <f t="shared" si="6"/>
        <v/>
      </c>
      <c r="V38" s="108" t="str">
        <f t="shared" si="6"/>
        <v/>
      </c>
      <c r="W38" s="108" t="str">
        <f t="shared" si="6"/>
        <v/>
      </c>
      <c r="X38" s="108" t="str">
        <f t="shared" si="6"/>
        <v/>
      </c>
      <c r="Y38" s="108" t="str">
        <f t="shared" si="6"/>
        <v/>
      </c>
      <c r="Z38" s="108" t="str">
        <f t="shared" si="6"/>
        <v/>
      </c>
      <c r="AA38" s="108" t="str">
        <f t="shared" si="6"/>
        <v/>
      </c>
      <c r="AB38" s="108" t="str" cm="1">
        <f t="array" ref="AB38">IF(LEN($B38)=0,"",IF(LEN(C38)=0,"Nama Siswa Kosong",IF($E38="","Status Siswa Kosong",IF(S38&lt;&gt;"Aktif","Siswa Tidak Aktif",
IF(OR(U38:AA38="Belum mengisi"),"Belum mengisi",IF(AND(U38:AA38="Sudah terbiasa"),"Sudah terbiasa","Belum terbiasa"))))))</f>
        <v/>
      </c>
      <c r="AD38" s="41">
        <v>6</v>
      </c>
      <c r="AE38" s="161" t="s">
        <v>7</v>
      </c>
      <c r="AF38" s="161"/>
      <c r="AG38" s="51">
        <f>COUNTIFS(JulAktifBermasyarakat,SudahTerbiasa,JulPL,Perempuan)</f>
        <v>0</v>
      </c>
      <c r="AH38" s="52" t="str">
        <f>IFERROR(IF($AF$18=0,"",COUNTIFS(JulAktifBermasyarakat,SudahTerbiasa,JulPL,Perempuan)/COUNTIFS(JulPL,Perempuan)),)</f>
        <v/>
      </c>
      <c r="AI38" s="53">
        <f>COUNTIFS(JulAktifBermasyarakat,BelumTerbiasa,JulPL,Perempuan)</f>
        <v>0</v>
      </c>
      <c r="AJ38" s="59" t="str">
        <f>IFERROR(IF($AF$18=0,"",COUNTIFS(JulAktifBermasyarakat,BelumTerbiasa,JulPL,Perempuan)/COUNTIFS(JulPL,Perempuan)),)</f>
        <v/>
      </c>
      <c r="AK38" s="55">
        <f>COUNTIFS(JulAktifBermasyarakat,SudahTerbiasa,JulPL,Laki_Laki)</f>
        <v>0</v>
      </c>
      <c r="AL38" s="56" t="str">
        <f>IFERROR(IF($AF$18=0,"",COUNTIFS(JulAktifBermasyarakat,SudahTerbiasa,JulPL,Laki_Laki)/COUNTIFS(JulPL,Laki_Laki)),)</f>
        <v/>
      </c>
      <c r="AM38" s="57">
        <f>COUNTIFS(JulAktifBermasyarakat,BelumTerbiasa,JulPL,Laki_Laki)</f>
        <v>0</v>
      </c>
      <c r="AN38" s="58" t="str">
        <f>IFERROR(IF($AF$18=0,"",COUNTIFS(JulAktifBermasyarakat,BelumTerbiasa,JulPL,Laki_Laki)/COUNTIFS(JulPL,Laki_Laki)),)</f>
        <v/>
      </c>
      <c r="AO38" s="13"/>
      <c r="AP38" s="13"/>
      <c r="AQ38" s="13"/>
    </row>
    <row r="39" spans="2:43" hidden="1" x14ac:dyDescent="0.3">
      <c r="B39" s="4" t="str">
        <f>IF(ROW(A27)&lt;=profilKelas!$F$14,ROW(A27),"")</f>
        <v/>
      </c>
      <c r="C39" s="94" t="str">
        <f>IF(ISBLANK(identitasMurid!C32),"",identitasMurid!C32)</f>
        <v/>
      </c>
      <c r="D39" s="6" t="str">
        <f>IF(ISBLANK(identitasMurid!D32),"",identitasMurid!D32)</f>
        <v/>
      </c>
      <c r="E39" s="95"/>
      <c r="F39" s="95"/>
      <c r="G39" s="95"/>
      <c r="H39" s="95"/>
      <c r="I39" s="95"/>
      <c r="J39" s="95"/>
      <c r="K39" s="95"/>
      <c r="L39" s="95"/>
      <c r="M39" s="95"/>
      <c r="Q39" s="5" t="str">
        <f>IF(ROW(A27)&lt;=profilKelas!$F$14,ROW(A27),"")</f>
        <v/>
      </c>
      <c r="R39" s="12" t="str">
        <f t="shared" si="0"/>
        <v/>
      </c>
      <c r="S39" s="108" t="str">
        <f t="shared" si="4"/>
        <v/>
      </c>
      <c r="T39" s="108" t="str">
        <f t="shared" si="2"/>
        <v/>
      </c>
      <c r="U39" s="108" t="str">
        <f t="shared" si="6"/>
        <v/>
      </c>
      <c r="V39" s="108" t="str">
        <f t="shared" si="6"/>
        <v/>
      </c>
      <c r="W39" s="108" t="str">
        <f t="shared" si="6"/>
        <v/>
      </c>
      <c r="X39" s="108" t="str">
        <f t="shared" si="6"/>
        <v/>
      </c>
      <c r="Y39" s="108" t="str">
        <f t="shared" si="6"/>
        <v/>
      </c>
      <c r="Z39" s="108" t="str">
        <f t="shared" si="6"/>
        <v/>
      </c>
      <c r="AA39" s="108" t="str">
        <f t="shared" si="6"/>
        <v/>
      </c>
      <c r="AB39" s="108" t="str" cm="1">
        <f t="array" ref="AB39">IF(LEN($B39)=0,"",IF(LEN(C39)=0,"Nama Siswa Kosong",IF($E39="","Status Siswa Kosong",IF(S39&lt;&gt;"Aktif","Siswa Tidak Aktif",
IF(OR(U39:AA39="Belum mengisi"),"Belum mengisi",IF(AND(U39:AA39="Sudah terbiasa"),"Sudah terbiasa","Belum terbiasa"))))))</f>
        <v/>
      </c>
      <c r="AD39" s="41">
        <v>7</v>
      </c>
      <c r="AE39" s="161" t="s">
        <v>8</v>
      </c>
      <c r="AF39" s="161"/>
      <c r="AG39" s="51">
        <f>COUNTIFS(JulTidurCepat,SudahTerbiasa,JulPL,Perempuan)</f>
        <v>0</v>
      </c>
      <c r="AH39" s="52" t="str">
        <f>IFERROR(IF($AF$18=0,"",COUNTIFS(JulTidurCepat,SudahTerbiasa,JulPL,Perempuan)/COUNTIFS(JulPL,Perempuan)),)</f>
        <v/>
      </c>
      <c r="AI39" s="53">
        <f>COUNTIFS(JulTidurCepat,BelumTerbiasa,JulPL,Perempuan)</f>
        <v>0</v>
      </c>
      <c r="AJ39" s="59" t="str">
        <f>IFERROR(IF($AF$18=0,"",COUNTIFS(JulTidurCepat,BelumTerbiasa,JulPL,Perempuan)/COUNTIFS(JulPL,Perempuan)),)</f>
        <v/>
      </c>
      <c r="AK39" s="55">
        <f>COUNTIFS(JulTidurCepat,SudahTerbiasa,JulPL,Laki_Laki)</f>
        <v>0</v>
      </c>
      <c r="AL39" s="56" t="str">
        <f>IFERROR(IF($AF$18=0,"",COUNTIFS(JulTidurCepat,SudahTerbiasa,JulPL,Laki_Laki)/COUNTIFS(JulPL,Laki_Laki)),)</f>
        <v/>
      </c>
      <c r="AM39" s="57">
        <f>COUNTIFS(JulTidurCepat,BelumTerbiasa,JulPL,Laki_Laki)</f>
        <v>0</v>
      </c>
      <c r="AN39" s="58" t="str">
        <f>IFERROR(IF($AF$18=0,"",COUNTIFS(JulTidurCepat,BelumTerbiasa,JulPL,Laki_Laki)/COUNTIFS(JulPL,Laki_Laki)),)</f>
        <v/>
      </c>
      <c r="AO39" s="13"/>
      <c r="AP39" s="13"/>
      <c r="AQ39" s="13"/>
    </row>
    <row r="40" spans="2:43" hidden="1" x14ac:dyDescent="0.3">
      <c r="B40" s="4" t="str">
        <f>IF(ROW(A28)&lt;=profilKelas!$F$14,ROW(A28),"")</f>
        <v/>
      </c>
      <c r="C40" s="94" t="str">
        <f>IF(ISBLANK(identitasMurid!C33),"",identitasMurid!C33)</f>
        <v/>
      </c>
      <c r="D40" s="6" t="str">
        <f>IF(ISBLANK(identitasMurid!D33),"",identitasMurid!D33)</f>
        <v/>
      </c>
      <c r="E40" s="95"/>
      <c r="F40" s="95"/>
      <c r="G40" s="95"/>
      <c r="H40" s="95"/>
      <c r="I40" s="95"/>
      <c r="J40" s="95"/>
      <c r="K40" s="95"/>
      <c r="L40" s="95"/>
      <c r="M40" s="95"/>
      <c r="Q40" s="5" t="str">
        <f>IF(ROW(A28)&lt;=profilKelas!$F$14,ROW(A28),"")</f>
        <v/>
      </c>
      <c r="R40" s="12" t="str">
        <f t="shared" si="0"/>
        <v/>
      </c>
      <c r="S40" s="108" t="str">
        <f t="shared" si="4"/>
        <v/>
      </c>
      <c r="T40" s="108" t="str">
        <f t="shared" si="2"/>
        <v/>
      </c>
      <c r="U40" s="108" t="str">
        <f t="shared" si="6"/>
        <v/>
      </c>
      <c r="V40" s="108" t="str">
        <f t="shared" si="6"/>
        <v/>
      </c>
      <c r="W40" s="108" t="str">
        <f t="shared" si="6"/>
        <v/>
      </c>
      <c r="X40" s="108" t="str">
        <f t="shared" si="6"/>
        <v/>
      </c>
      <c r="Y40" s="108" t="str">
        <f t="shared" si="6"/>
        <v/>
      </c>
      <c r="Z40" s="108" t="str">
        <f t="shared" si="6"/>
        <v/>
      </c>
      <c r="AA40" s="108" t="str">
        <f t="shared" si="6"/>
        <v/>
      </c>
      <c r="AB40" s="108" t="str" cm="1">
        <f t="array" ref="AB40">IF(LEN($B40)=0,"",IF(LEN(C40)=0,"Nama Siswa Kosong",IF($E40="","Status Siswa Kosong",IF(S40&lt;&gt;"Aktif","Siswa Tidak Aktif",
IF(OR(U40:AA40="Belum mengisi"),"Belum mengisi",IF(AND(U40:AA40="Sudah terbiasa"),"Sudah terbiasa","Belum terbiasa"))))))</f>
        <v/>
      </c>
    </row>
    <row r="41" spans="2:43" hidden="1" x14ac:dyDescent="0.3">
      <c r="B41" s="4" t="str">
        <f>IF(ROW(A29)&lt;=profilKelas!$F$14,ROW(A29),"")</f>
        <v/>
      </c>
      <c r="C41" s="94" t="str">
        <f>IF(ISBLANK(identitasMurid!C34),"",identitasMurid!C34)</f>
        <v/>
      </c>
      <c r="D41" s="6" t="str">
        <f>IF(ISBLANK(identitasMurid!D34),"",identitasMurid!D34)</f>
        <v/>
      </c>
      <c r="E41" s="95"/>
      <c r="F41" s="95"/>
      <c r="G41" s="95"/>
      <c r="H41" s="95"/>
      <c r="I41" s="95"/>
      <c r="J41" s="95"/>
      <c r="K41" s="95"/>
      <c r="L41" s="95"/>
      <c r="M41" s="95"/>
      <c r="Q41" s="5" t="str">
        <f>IF(ROW(A29)&lt;=profilKelas!$F$14,ROW(A29),"")</f>
        <v/>
      </c>
      <c r="R41" s="12" t="str">
        <f t="shared" si="0"/>
        <v/>
      </c>
      <c r="S41" s="108" t="str">
        <f t="shared" si="4"/>
        <v/>
      </c>
      <c r="T41" s="108" t="str">
        <f t="shared" si="2"/>
        <v/>
      </c>
      <c r="U41" s="108" t="str">
        <f t="shared" si="6"/>
        <v/>
      </c>
      <c r="V41" s="108" t="str">
        <f t="shared" si="6"/>
        <v/>
      </c>
      <c r="W41" s="108" t="str">
        <f t="shared" si="6"/>
        <v/>
      </c>
      <c r="X41" s="108" t="str">
        <f t="shared" si="6"/>
        <v/>
      </c>
      <c r="Y41" s="108" t="str">
        <f t="shared" si="6"/>
        <v/>
      </c>
      <c r="Z41" s="108" t="str">
        <f t="shared" si="6"/>
        <v/>
      </c>
      <c r="AA41" s="108" t="str">
        <f t="shared" si="6"/>
        <v/>
      </c>
      <c r="AB41" s="108" t="str" cm="1">
        <f t="array" ref="AB41">IF(LEN($B41)=0,"",IF(LEN(C41)=0,"Nama Siswa Kosong",IF($E41="","Status Siswa Kosong",IF(S41&lt;&gt;"Aktif","Siswa Tidak Aktif",
IF(OR(U41:AA41="Belum mengisi"),"Belum mengisi",IF(AND(U41:AA41="Sudah terbiasa"),"Sudah terbiasa","Belum terbiasa"))))))</f>
        <v/>
      </c>
    </row>
    <row r="42" spans="2:43" hidden="1" x14ac:dyDescent="0.3">
      <c r="B42" s="4" t="str">
        <f>IF(ROW(A30)&lt;=profilKelas!$F$14,ROW(A30),"")</f>
        <v/>
      </c>
      <c r="C42" s="94" t="str">
        <f>IF(ISBLANK(identitasMurid!C35),"",identitasMurid!C35)</f>
        <v/>
      </c>
      <c r="D42" s="6" t="str">
        <f>IF(ISBLANK(identitasMurid!D35),"",identitasMurid!D35)</f>
        <v/>
      </c>
      <c r="E42" s="95"/>
      <c r="F42" s="95"/>
      <c r="G42" s="95"/>
      <c r="H42" s="95"/>
      <c r="I42" s="95"/>
      <c r="J42" s="95"/>
      <c r="K42" s="95"/>
      <c r="L42" s="95"/>
      <c r="M42" s="95"/>
      <c r="Q42" s="5" t="str">
        <f>IF(ROW(A30)&lt;=profilKelas!$F$14,ROW(A30),"")</f>
        <v/>
      </c>
      <c r="R42" s="12" t="str">
        <f t="shared" si="0"/>
        <v/>
      </c>
      <c r="S42" s="108" t="str">
        <f t="shared" si="4"/>
        <v/>
      </c>
      <c r="T42" s="108" t="str">
        <f t="shared" si="2"/>
        <v/>
      </c>
      <c r="U42" s="108" t="str">
        <f t="shared" si="6"/>
        <v/>
      </c>
      <c r="V42" s="108" t="str">
        <f t="shared" si="6"/>
        <v/>
      </c>
      <c r="W42" s="108" t="str">
        <f t="shared" si="6"/>
        <v/>
      </c>
      <c r="X42" s="108" t="str">
        <f t="shared" si="6"/>
        <v/>
      </c>
      <c r="Y42" s="108" t="str">
        <f t="shared" si="6"/>
        <v/>
      </c>
      <c r="Z42" s="108" t="str">
        <f t="shared" si="6"/>
        <v/>
      </c>
      <c r="AA42" s="108" t="str">
        <f t="shared" si="6"/>
        <v/>
      </c>
      <c r="AB42" s="108" t="str" cm="1">
        <f t="array" ref="AB42">IF(LEN($B42)=0,"",IF(LEN(C42)=0,"Nama Siswa Kosong",IF($E42="","Status Siswa Kosong",IF(S42&lt;&gt;"Aktif","Siswa Tidak Aktif",
IF(OR(U42:AA42="Belum mengisi"),"Belum mengisi",IF(AND(U42:AA42="Sudah terbiasa"),"Sudah terbiasa","Belum terbiasa"))))))</f>
        <v/>
      </c>
    </row>
    <row r="43" spans="2:43" hidden="1" x14ac:dyDescent="0.3">
      <c r="B43" s="4" t="str">
        <f>IF(ROW(A31)&lt;=profilKelas!$F$14,ROW(A31),"")</f>
        <v/>
      </c>
      <c r="C43" s="94" t="str">
        <f>IF(ISBLANK(identitasMurid!C36),"",identitasMurid!C36)</f>
        <v/>
      </c>
      <c r="D43" s="6" t="str">
        <f>IF(ISBLANK(identitasMurid!D36),"",identitasMurid!D36)</f>
        <v/>
      </c>
      <c r="E43" s="95"/>
      <c r="F43" s="95"/>
      <c r="G43" s="95"/>
      <c r="H43" s="95"/>
      <c r="I43" s="95"/>
      <c r="J43" s="95"/>
      <c r="K43" s="95"/>
      <c r="L43" s="95"/>
      <c r="M43" s="95"/>
      <c r="Q43" s="5" t="str">
        <f>IF(ROW(A31)&lt;=profilKelas!$F$14,ROW(A31),"")</f>
        <v/>
      </c>
      <c r="R43" s="12" t="str">
        <f t="shared" si="0"/>
        <v/>
      </c>
      <c r="S43" s="108" t="str">
        <f t="shared" si="4"/>
        <v/>
      </c>
      <c r="T43" s="108" t="str">
        <f t="shared" si="2"/>
        <v/>
      </c>
      <c r="U43" s="108" t="str">
        <f t="shared" si="6"/>
        <v/>
      </c>
      <c r="V43" s="108" t="str">
        <f t="shared" si="6"/>
        <v/>
      </c>
      <c r="W43" s="108" t="str">
        <f t="shared" si="6"/>
        <v/>
      </c>
      <c r="X43" s="108" t="str">
        <f t="shared" si="6"/>
        <v/>
      </c>
      <c r="Y43" s="108" t="str">
        <f t="shared" si="6"/>
        <v/>
      </c>
      <c r="Z43" s="108" t="str">
        <f t="shared" si="6"/>
        <v/>
      </c>
      <c r="AA43" s="108" t="str">
        <f t="shared" si="6"/>
        <v/>
      </c>
      <c r="AB43" s="108" t="str" cm="1">
        <f t="array" ref="AB43">IF(LEN($B43)=0,"",IF(LEN(C43)=0,"Nama Siswa Kosong",IF($E43="","Status Siswa Kosong",IF(S43&lt;&gt;"Aktif","Siswa Tidak Aktif",
IF(OR(U43:AA43="Belum mengisi"),"Belum mengisi",IF(AND(U43:AA43="Sudah terbiasa"),"Sudah terbiasa","Belum terbiasa"))))))</f>
        <v/>
      </c>
    </row>
    <row r="44" spans="2:43" hidden="1" x14ac:dyDescent="0.3">
      <c r="B44" s="4" t="str">
        <f>IF(ROW(A32)&lt;=profilKelas!$F$14,ROW(A32),"")</f>
        <v/>
      </c>
      <c r="C44" s="94" t="str">
        <f>IF(ISBLANK(identitasMurid!C37),"",identitasMurid!C37)</f>
        <v/>
      </c>
      <c r="D44" s="6" t="str">
        <f>IF(ISBLANK(identitasMurid!D37),"",identitasMurid!D37)</f>
        <v/>
      </c>
      <c r="E44" s="95"/>
      <c r="F44" s="95"/>
      <c r="G44" s="95"/>
      <c r="H44" s="95"/>
      <c r="I44" s="95"/>
      <c r="J44" s="95"/>
      <c r="K44" s="95"/>
      <c r="L44" s="95"/>
      <c r="M44" s="95"/>
      <c r="Q44" s="5" t="str">
        <f>IF(ROW(A32)&lt;=profilKelas!$F$14,ROW(A32),"")</f>
        <v/>
      </c>
      <c r="R44" s="12" t="str">
        <f t="shared" si="0"/>
        <v/>
      </c>
      <c r="S44" s="108" t="str">
        <f t="shared" si="4"/>
        <v/>
      </c>
      <c r="T44" s="108" t="str">
        <f t="shared" si="2"/>
        <v/>
      </c>
      <c r="U44" s="108" t="str">
        <f t="shared" si="6"/>
        <v/>
      </c>
      <c r="V44" s="108" t="str">
        <f t="shared" si="6"/>
        <v/>
      </c>
      <c r="W44" s="108" t="str">
        <f t="shared" si="6"/>
        <v/>
      </c>
      <c r="X44" s="108" t="str">
        <f t="shared" si="6"/>
        <v/>
      </c>
      <c r="Y44" s="108" t="str">
        <f t="shared" si="6"/>
        <v/>
      </c>
      <c r="Z44" s="108" t="str">
        <f t="shared" si="6"/>
        <v/>
      </c>
      <c r="AA44" s="108" t="str">
        <f t="shared" si="6"/>
        <v/>
      </c>
      <c r="AB44" s="108" t="str" cm="1">
        <f t="array" ref="AB44">IF(LEN($B44)=0,"",IF(LEN(C44)=0,"Nama Siswa Kosong",IF($E44="","Status Siswa Kosong",IF(S44&lt;&gt;"Aktif","Siswa Tidak Aktif",
IF(OR(U44:AA44="Belum mengisi"),"Belum mengisi",IF(AND(U44:AA44="Sudah terbiasa"),"Sudah terbiasa","Belum terbiasa"))))))</f>
        <v/>
      </c>
    </row>
    <row r="45" spans="2:43" hidden="1" x14ac:dyDescent="0.3">
      <c r="B45" s="4" t="str">
        <f>IF(ROW(A33)&lt;=profilKelas!$F$14,ROW(A33),"")</f>
        <v/>
      </c>
      <c r="C45" s="94" t="str">
        <f>IF(ISBLANK(identitasMurid!C38),"",identitasMurid!C38)</f>
        <v/>
      </c>
      <c r="D45" s="6" t="str">
        <f>IF(ISBLANK(identitasMurid!D38),"",identitasMurid!D38)</f>
        <v/>
      </c>
      <c r="E45" s="95"/>
      <c r="F45" s="95"/>
      <c r="G45" s="95"/>
      <c r="H45" s="95"/>
      <c r="I45" s="95"/>
      <c r="J45" s="95"/>
      <c r="K45" s="95"/>
      <c r="L45" s="95"/>
      <c r="M45" s="95"/>
      <c r="Q45" s="5" t="str">
        <f>IF(ROW(A33)&lt;=profilKelas!$F$14,ROW(A33),"")</f>
        <v/>
      </c>
      <c r="R45" s="12" t="str">
        <f t="shared" si="0"/>
        <v/>
      </c>
      <c r="S45" s="108" t="str">
        <f t="shared" si="4"/>
        <v/>
      </c>
      <c r="T45" s="108" t="str">
        <f t="shared" si="2"/>
        <v/>
      </c>
      <c r="U45" s="108" t="str">
        <f t="shared" si="6"/>
        <v/>
      </c>
      <c r="V45" s="108" t="str">
        <f t="shared" si="6"/>
        <v/>
      </c>
      <c r="W45" s="108" t="str">
        <f t="shared" si="6"/>
        <v/>
      </c>
      <c r="X45" s="108" t="str">
        <f t="shared" si="6"/>
        <v/>
      </c>
      <c r="Y45" s="108" t="str">
        <f t="shared" si="6"/>
        <v/>
      </c>
      <c r="Z45" s="108" t="str">
        <f t="shared" si="6"/>
        <v/>
      </c>
      <c r="AA45" s="108" t="str">
        <f t="shared" si="6"/>
        <v/>
      </c>
      <c r="AB45" s="108" t="str" cm="1">
        <f t="array" ref="AB45">IF(LEN($B45)=0,"",IF(LEN(C45)=0,"Nama Siswa Kosong",IF($E45="","Status Siswa Kosong",IF(S45&lt;&gt;"Aktif","Siswa Tidak Aktif",
IF(OR(U45:AA45="Belum mengisi"),"Belum mengisi",IF(AND(U45:AA45="Sudah terbiasa"),"Sudah terbiasa","Belum terbiasa"))))))</f>
        <v/>
      </c>
    </row>
    <row r="46" spans="2:43" hidden="1" x14ac:dyDescent="0.3">
      <c r="B46" s="4" t="str">
        <f>IF(ROW(A34)&lt;=profilKelas!$F$14,ROW(A34),"")</f>
        <v/>
      </c>
      <c r="C46" s="94" t="str">
        <f>IF(ISBLANK(identitasMurid!C39),"",identitasMurid!C39)</f>
        <v/>
      </c>
      <c r="D46" s="6" t="str">
        <f>IF(ISBLANK(identitasMurid!D39),"",identitasMurid!D39)</f>
        <v/>
      </c>
      <c r="E46" s="95"/>
      <c r="F46" s="95"/>
      <c r="G46" s="95"/>
      <c r="H46" s="95"/>
      <c r="I46" s="95"/>
      <c r="J46" s="95"/>
      <c r="K46" s="95"/>
      <c r="L46" s="95"/>
      <c r="M46" s="95"/>
      <c r="Q46" s="5" t="str">
        <f>IF(ROW(A34)&lt;=profilKelas!$F$14,ROW(A34),"")</f>
        <v/>
      </c>
      <c r="R46" s="12" t="str">
        <f t="shared" si="0"/>
        <v/>
      </c>
      <c r="S46" s="108" t="str">
        <f t="shared" si="4"/>
        <v/>
      </c>
      <c r="T46" s="108" t="str">
        <f t="shared" si="2"/>
        <v/>
      </c>
      <c r="U46" s="108" t="str">
        <f t="shared" si="6"/>
        <v/>
      </c>
      <c r="V46" s="108" t="str">
        <f t="shared" si="6"/>
        <v/>
      </c>
      <c r="W46" s="108" t="str">
        <f t="shared" si="6"/>
        <v/>
      </c>
      <c r="X46" s="108" t="str">
        <f t="shared" si="6"/>
        <v/>
      </c>
      <c r="Y46" s="108" t="str">
        <f t="shared" si="6"/>
        <v/>
      </c>
      <c r="Z46" s="108" t="str">
        <f t="shared" si="6"/>
        <v/>
      </c>
      <c r="AA46" s="108" t="str">
        <f t="shared" si="6"/>
        <v/>
      </c>
      <c r="AB46" s="108" t="str" cm="1">
        <f t="array" ref="AB46">IF(LEN($B46)=0,"",IF(LEN(C46)=0,"Nama Siswa Kosong",IF($E46="","Status Siswa Kosong",IF(S46&lt;&gt;"Aktif","Siswa Tidak Aktif",
IF(OR(U46:AA46="Belum mengisi"),"Belum mengisi",IF(AND(U46:AA46="Sudah terbiasa"),"Sudah terbiasa","Belum terbiasa"))))))</f>
        <v/>
      </c>
    </row>
    <row r="47" spans="2:43" hidden="1" x14ac:dyDescent="0.3">
      <c r="B47" s="4" t="str">
        <f>IF(ROW(A35)&lt;=profilKelas!$F$14,ROW(A35),"")</f>
        <v/>
      </c>
      <c r="C47" s="94" t="str">
        <f>IF(ISBLANK(identitasMurid!C40),"",identitasMurid!C40)</f>
        <v/>
      </c>
      <c r="D47" s="6" t="str">
        <f>IF(ISBLANK(identitasMurid!D40),"",identitasMurid!D40)</f>
        <v/>
      </c>
      <c r="E47" s="95"/>
      <c r="F47" s="95"/>
      <c r="G47" s="95"/>
      <c r="H47" s="95"/>
      <c r="I47" s="95"/>
      <c r="J47" s="95"/>
      <c r="K47" s="95"/>
      <c r="L47" s="95"/>
      <c r="M47" s="95"/>
      <c r="Q47" s="5" t="str">
        <f>IF(ROW(A35)&lt;=profilKelas!$F$14,ROW(A35),"")</f>
        <v/>
      </c>
      <c r="R47" s="12" t="str">
        <f t="shared" si="0"/>
        <v/>
      </c>
      <c r="S47" s="108" t="str">
        <f t="shared" si="4"/>
        <v/>
      </c>
      <c r="T47" s="108" t="str">
        <f t="shared" si="2"/>
        <v/>
      </c>
      <c r="U47" s="108" t="str">
        <f t="shared" si="6"/>
        <v/>
      </c>
      <c r="V47" s="108" t="str">
        <f t="shared" si="6"/>
        <v/>
      </c>
      <c r="W47" s="108" t="str">
        <f t="shared" si="6"/>
        <v/>
      </c>
      <c r="X47" s="108" t="str">
        <f t="shared" si="6"/>
        <v/>
      </c>
      <c r="Y47" s="108" t="str">
        <f t="shared" si="6"/>
        <v/>
      </c>
      <c r="Z47" s="108" t="str">
        <f t="shared" si="6"/>
        <v/>
      </c>
      <c r="AA47" s="108" t="str">
        <f t="shared" si="6"/>
        <v/>
      </c>
      <c r="AB47" s="108" t="str" cm="1">
        <f t="array" ref="AB47">IF(LEN($B47)=0,"",IF(LEN(C47)=0,"Nama Siswa Kosong",IF($E47="","Status Siswa Kosong",IF(S47&lt;&gt;"Aktif","Siswa Tidak Aktif",
IF(OR(U47:AA47="Belum mengisi"),"Belum mengisi",IF(AND(U47:AA47="Sudah terbiasa"),"Sudah terbiasa","Belum terbiasa"))))))</f>
        <v/>
      </c>
    </row>
    <row r="48" spans="2:43" hidden="1" x14ac:dyDescent="0.3">
      <c r="B48" s="4" t="str">
        <f>IF(ROW(A36)&lt;=profilKelas!$F$14,ROW(A36),"")</f>
        <v/>
      </c>
      <c r="C48" s="94" t="str">
        <f>IF(ISBLANK(identitasMurid!C41),"",identitasMurid!C41)</f>
        <v/>
      </c>
      <c r="D48" s="6" t="str">
        <f>IF(ISBLANK(identitasMurid!D41),"",identitasMurid!D41)</f>
        <v/>
      </c>
      <c r="E48" s="95"/>
      <c r="F48" s="95"/>
      <c r="G48" s="95"/>
      <c r="H48" s="95"/>
      <c r="I48" s="95"/>
      <c r="J48" s="95"/>
      <c r="K48" s="95"/>
      <c r="L48" s="95"/>
      <c r="M48" s="30"/>
      <c r="Q48" s="5" t="str">
        <f>IF(ROW(A36)&lt;=profilKelas!$F$14,ROW(A36),"")</f>
        <v/>
      </c>
      <c r="R48" s="12" t="str">
        <f t="shared" si="0"/>
        <v/>
      </c>
      <c r="S48" s="108" t="str">
        <f t="shared" si="4"/>
        <v/>
      </c>
      <c r="T48" s="108" t="str">
        <f t="shared" si="2"/>
        <v/>
      </c>
      <c r="U48" s="108" t="str">
        <f t="shared" si="6"/>
        <v/>
      </c>
      <c r="V48" s="108" t="str">
        <f t="shared" si="6"/>
        <v/>
      </c>
      <c r="W48" s="108" t="str">
        <f t="shared" si="6"/>
        <v/>
      </c>
      <c r="X48" s="108" t="str">
        <f t="shared" si="6"/>
        <v/>
      </c>
      <c r="Y48" s="108" t="str">
        <f t="shared" si="6"/>
        <v/>
      </c>
      <c r="Z48" s="108" t="str">
        <f t="shared" si="6"/>
        <v/>
      </c>
      <c r="AA48" s="108" t="str">
        <f t="shared" si="6"/>
        <v/>
      </c>
      <c r="AB48" s="108" t="str" cm="1">
        <f t="array" ref="AB48">IF(LEN($B48)=0,"",IF(LEN(C48)=0,"Nama Siswa Kosong",IF($E48="","Status Siswa Kosong",IF(S48&lt;&gt;"Aktif","Siswa Tidak Aktif",
IF(OR(U48:AA48="Belum mengisi"),"Belum mengisi",IF(AND(U48:AA48="Sudah terbiasa"),"Sudah terbiasa","Belum terbiasa"))))))</f>
        <v/>
      </c>
    </row>
    <row r="49" spans="2:28" hidden="1" x14ac:dyDescent="0.3">
      <c r="B49" s="4" t="str">
        <f>IF(ROW(A37)&lt;=profilKelas!$F$14,ROW(A37),"")</f>
        <v/>
      </c>
      <c r="C49" s="94" t="str">
        <f>IF(ISBLANK(identitasMurid!C42),"",identitasMurid!C42)</f>
        <v/>
      </c>
      <c r="D49" s="6" t="str">
        <f>IF(ISBLANK(identitasMurid!D42),"",identitasMurid!D42)</f>
        <v/>
      </c>
      <c r="E49" s="95"/>
      <c r="F49" s="95"/>
      <c r="G49" s="95"/>
      <c r="H49" s="95"/>
      <c r="I49" s="95"/>
      <c r="J49" s="95"/>
      <c r="K49" s="95"/>
      <c r="L49" s="95"/>
      <c r="M49" s="30"/>
      <c r="Q49" s="5" t="str">
        <f>IF(ROW(A37)&lt;=profilKelas!$F$14,ROW(A37),"")</f>
        <v/>
      </c>
      <c r="R49" s="12" t="str">
        <f t="shared" si="0"/>
        <v/>
      </c>
      <c r="S49" s="108" t="str">
        <f t="shared" si="4"/>
        <v/>
      </c>
      <c r="T49" s="108" t="str">
        <f t="shared" si="2"/>
        <v/>
      </c>
      <c r="U49" s="108" t="str">
        <f t="shared" si="6"/>
        <v/>
      </c>
      <c r="V49" s="108" t="str">
        <f t="shared" si="6"/>
        <v/>
      </c>
      <c r="W49" s="108" t="str">
        <f t="shared" si="6"/>
        <v/>
      </c>
      <c r="X49" s="108" t="str">
        <f t="shared" si="6"/>
        <v/>
      </c>
      <c r="Y49" s="108" t="str">
        <f t="shared" si="6"/>
        <v/>
      </c>
      <c r="Z49" s="108" t="str">
        <f t="shared" si="6"/>
        <v/>
      </c>
      <c r="AA49" s="108" t="str">
        <f t="shared" si="6"/>
        <v/>
      </c>
      <c r="AB49" s="108" t="str" cm="1">
        <f t="array" ref="AB49">IF(LEN($B49)=0,"",IF(LEN(C49)=0,"Nama Siswa Kosong",IF($E49="","Status Siswa Kosong",IF(S49&lt;&gt;"Aktif","Siswa Tidak Aktif",
IF(OR(U49:AA49="Belum mengisi"),"Belum mengisi",IF(AND(U49:AA49="Sudah terbiasa"),"Sudah terbiasa","Belum terbiasa"))))))</f>
        <v/>
      </c>
    </row>
    <row r="50" spans="2:28" hidden="1" x14ac:dyDescent="0.3">
      <c r="B50" s="4" t="str">
        <f>IF(ROW(A38)&lt;=profilKelas!$F$14,ROW(A38),"")</f>
        <v/>
      </c>
      <c r="C50" s="94" t="str">
        <f>IF(ISBLANK(identitasMurid!C43),"",identitasMurid!C43)</f>
        <v/>
      </c>
      <c r="D50" s="6" t="str">
        <f>IF(ISBLANK(identitasMurid!D43),"",identitasMurid!D43)</f>
        <v/>
      </c>
      <c r="E50" s="95"/>
      <c r="F50" s="95"/>
      <c r="G50" s="95"/>
      <c r="H50" s="95"/>
      <c r="I50" s="95"/>
      <c r="J50" s="95"/>
      <c r="K50" s="95"/>
      <c r="L50" s="95"/>
      <c r="M50" s="30"/>
      <c r="Q50" s="5" t="str">
        <f>IF(ROW(A38)&lt;=profilKelas!$F$14,ROW(A38),"")</f>
        <v/>
      </c>
      <c r="R50" s="12" t="str">
        <f t="shared" si="0"/>
        <v/>
      </c>
      <c r="S50" s="108" t="str">
        <f t="shared" si="4"/>
        <v/>
      </c>
      <c r="T50" s="108" t="str">
        <f t="shared" si="2"/>
        <v/>
      </c>
      <c r="U50" s="108" t="str">
        <f t="shared" si="6"/>
        <v/>
      </c>
      <c r="V50" s="108" t="str">
        <f t="shared" si="6"/>
        <v/>
      </c>
      <c r="W50" s="108" t="str">
        <f t="shared" si="6"/>
        <v/>
      </c>
      <c r="X50" s="108" t="str">
        <f t="shared" si="6"/>
        <v/>
      </c>
      <c r="Y50" s="108" t="str">
        <f t="shared" si="6"/>
        <v/>
      </c>
      <c r="Z50" s="108" t="str">
        <f t="shared" si="6"/>
        <v/>
      </c>
      <c r="AA50" s="108" t="str">
        <f t="shared" si="6"/>
        <v/>
      </c>
      <c r="AB50" s="108" t="str" cm="1">
        <f t="array" ref="AB50">IF(LEN($B50)=0,"",IF(LEN(C50)=0,"Nama Siswa Kosong",IF($E50="","Status Siswa Kosong",IF(S50&lt;&gt;"Aktif","Siswa Tidak Aktif",
IF(OR(U50:AA50="Belum mengisi"),"Belum mengisi",IF(AND(U50:AA50="Sudah terbiasa"),"Sudah terbiasa","Belum terbiasa"))))))</f>
        <v/>
      </c>
    </row>
    <row r="51" spans="2:28" hidden="1" x14ac:dyDescent="0.3">
      <c r="B51" s="4" t="str">
        <f>IF(ROW(A39)&lt;=profilKelas!$F$14,ROW(A39),"")</f>
        <v/>
      </c>
      <c r="C51" s="94" t="str">
        <f>IF(ISBLANK(identitasMurid!C44),"",identitasMurid!C44)</f>
        <v/>
      </c>
      <c r="D51" s="6" t="str">
        <f>IF(ISBLANK(identitasMurid!D44),"",identitasMurid!D44)</f>
        <v/>
      </c>
      <c r="E51" s="95"/>
      <c r="F51" s="95"/>
      <c r="G51" s="95"/>
      <c r="H51" s="95"/>
      <c r="I51" s="95"/>
      <c r="J51" s="95"/>
      <c r="K51" s="95"/>
      <c r="L51" s="95"/>
      <c r="M51" s="30"/>
      <c r="Q51" s="5" t="str">
        <f>IF(ROW(A39)&lt;=profilKelas!$F$14,ROW(A39),"")</f>
        <v/>
      </c>
      <c r="R51" s="12" t="str">
        <f t="shared" si="0"/>
        <v/>
      </c>
      <c r="S51" s="108" t="str">
        <f t="shared" si="4"/>
        <v/>
      </c>
      <c r="T51" s="108" t="str">
        <f t="shared" si="2"/>
        <v/>
      </c>
      <c r="U51" s="108" t="str">
        <f t="shared" si="6"/>
        <v/>
      </c>
      <c r="V51" s="108" t="str">
        <f t="shared" si="6"/>
        <v/>
      </c>
      <c r="W51" s="108" t="str">
        <f t="shared" si="6"/>
        <v/>
      </c>
      <c r="X51" s="108" t="str">
        <f t="shared" si="6"/>
        <v/>
      </c>
      <c r="Y51" s="108" t="str">
        <f t="shared" si="6"/>
        <v/>
      </c>
      <c r="Z51" s="108" t="str">
        <f t="shared" si="6"/>
        <v/>
      </c>
      <c r="AA51" s="108" t="str">
        <f t="shared" si="6"/>
        <v/>
      </c>
      <c r="AB51" s="108" t="str" cm="1">
        <f t="array" ref="AB51">IF(LEN($B51)=0,"",IF(LEN(C51)=0,"Nama Siswa Kosong",IF($E51="","Status Siswa Kosong",IF(S51&lt;&gt;"Aktif","Siswa Tidak Aktif",
IF(OR(U51:AA51="Belum mengisi"),"Belum mengisi",IF(AND(U51:AA51="Sudah terbiasa"),"Sudah terbiasa","Belum terbiasa"))))))</f>
        <v/>
      </c>
    </row>
    <row r="52" spans="2:28" hidden="1" x14ac:dyDescent="0.3">
      <c r="B52" s="4" t="str">
        <f>IF(ROW(A40)&lt;=profilKelas!$F$14,ROW(A40),"")</f>
        <v/>
      </c>
      <c r="C52" s="94" t="str">
        <f>IF(ISBLANK(identitasMurid!C45),"",identitasMurid!C45)</f>
        <v/>
      </c>
      <c r="D52" s="6" t="str">
        <f>IF(ISBLANK(identitasMurid!D45),"",identitasMurid!D45)</f>
        <v/>
      </c>
      <c r="E52" s="95"/>
      <c r="F52" s="95"/>
      <c r="G52" s="95"/>
      <c r="H52" s="95"/>
      <c r="I52" s="95"/>
      <c r="J52" s="95"/>
      <c r="K52" s="95"/>
      <c r="L52" s="95"/>
      <c r="M52" s="30"/>
      <c r="Q52" s="5" t="str">
        <f>IF(ROW(A40)&lt;=profilKelas!$F$14,ROW(A40),"")</f>
        <v/>
      </c>
      <c r="R52" s="12" t="str">
        <f t="shared" si="0"/>
        <v/>
      </c>
      <c r="S52" s="108" t="str">
        <f t="shared" si="4"/>
        <v/>
      </c>
      <c r="T52" s="108" t="str">
        <f t="shared" si="2"/>
        <v/>
      </c>
      <c r="U52" s="108" t="str">
        <f t="shared" si="6"/>
        <v/>
      </c>
      <c r="V52" s="108" t="str">
        <f t="shared" si="6"/>
        <v/>
      </c>
      <c r="W52" s="108" t="str">
        <f t="shared" si="6"/>
        <v/>
      </c>
      <c r="X52" s="108" t="str">
        <f t="shared" si="6"/>
        <v/>
      </c>
      <c r="Y52" s="108" t="str">
        <f t="shared" si="6"/>
        <v/>
      </c>
      <c r="Z52" s="108" t="str">
        <f t="shared" si="6"/>
        <v/>
      </c>
      <c r="AA52" s="108" t="str">
        <f t="shared" si="6"/>
        <v/>
      </c>
      <c r="AB52" s="108" t="str" cm="1">
        <f t="array" ref="AB52">IF(LEN($B52)=0,"",IF(LEN(C52)=0,"Nama Siswa Kosong",IF($E52="","Status Siswa Kosong",IF(S52&lt;&gt;"Aktif","Siswa Tidak Aktif",
IF(OR(U52:AA52="Belum mengisi"),"Belum mengisi",IF(AND(U52:AA52="Sudah terbiasa"),"Sudah terbiasa","Belum terbiasa"))))))</f>
        <v/>
      </c>
    </row>
    <row r="53" spans="2:28" hidden="1" x14ac:dyDescent="0.3">
      <c r="B53" s="4" t="str">
        <f>IF(ROW(A41)&lt;=profilKelas!$F$14,ROW(A41),"")</f>
        <v/>
      </c>
      <c r="C53" s="94" t="str">
        <f>IF(ISBLANK(identitasMurid!C46),"",identitasMurid!C46)</f>
        <v/>
      </c>
      <c r="D53" s="6" t="str">
        <f>IF(ISBLANK(identitasMurid!D46),"",identitasMurid!D46)</f>
        <v/>
      </c>
      <c r="E53" s="95"/>
      <c r="F53" s="95"/>
      <c r="G53" s="95"/>
      <c r="H53" s="95"/>
      <c r="I53" s="95"/>
      <c r="J53" s="95"/>
      <c r="K53" s="95"/>
      <c r="L53" s="95"/>
      <c r="M53" s="30"/>
      <c r="Q53" s="5" t="str">
        <f>IF(ROW(A41)&lt;=profilKelas!$F$14,ROW(A41),"")</f>
        <v/>
      </c>
      <c r="R53" s="12" t="str">
        <f t="shared" si="0"/>
        <v/>
      </c>
      <c r="S53" s="108" t="str">
        <f t="shared" si="4"/>
        <v/>
      </c>
      <c r="T53" s="108" t="str">
        <f t="shared" si="2"/>
        <v/>
      </c>
      <c r="U53" s="108" t="str">
        <f t="shared" si="6"/>
        <v/>
      </c>
      <c r="V53" s="108" t="str">
        <f t="shared" si="6"/>
        <v/>
      </c>
      <c r="W53" s="108" t="str">
        <f t="shared" si="6"/>
        <v/>
      </c>
      <c r="X53" s="108" t="str">
        <f t="shared" si="6"/>
        <v/>
      </c>
      <c r="Y53" s="108" t="str">
        <f t="shared" si="6"/>
        <v/>
      </c>
      <c r="Z53" s="108" t="str">
        <f t="shared" si="6"/>
        <v/>
      </c>
      <c r="AA53" s="108" t="str">
        <f t="shared" si="6"/>
        <v/>
      </c>
      <c r="AB53" s="108" t="str" cm="1">
        <f t="array" ref="AB53">IF(LEN($B53)=0,"",IF(LEN(C53)=0,"Nama Siswa Kosong",IF($E53="","Status Siswa Kosong",IF(S53&lt;&gt;"Aktif","Siswa Tidak Aktif",
IF(OR(U53:AA53="Belum mengisi"),"Belum mengisi",IF(AND(U53:AA53="Sudah terbiasa"),"Sudah terbiasa","Belum terbiasa"))))))</f>
        <v/>
      </c>
    </row>
    <row r="54" spans="2:28" hidden="1" x14ac:dyDescent="0.3">
      <c r="B54" s="4" t="str">
        <f>IF(ROW(A42)&lt;=profilKelas!$F$14,ROW(A42),"")</f>
        <v/>
      </c>
      <c r="C54" s="94" t="str">
        <f>IF(ISBLANK(identitasMurid!C47),"",identitasMurid!C47)</f>
        <v/>
      </c>
      <c r="D54" s="6" t="str">
        <f>IF(ISBLANK(identitasMurid!D47),"",identitasMurid!D47)</f>
        <v/>
      </c>
      <c r="E54" s="95"/>
      <c r="F54" s="95"/>
      <c r="G54" s="95"/>
      <c r="H54" s="95"/>
      <c r="I54" s="95"/>
      <c r="J54" s="95"/>
      <c r="K54" s="95"/>
      <c r="L54" s="95"/>
      <c r="M54" s="30"/>
      <c r="Q54" s="5" t="str">
        <f>IF(ROW(A42)&lt;=profilKelas!$F$14,ROW(A42),"")</f>
        <v/>
      </c>
      <c r="R54" s="12" t="str">
        <f t="shared" si="0"/>
        <v/>
      </c>
      <c r="S54" s="108" t="str">
        <f t="shared" si="4"/>
        <v/>
      </c>
      <c r="T54" s="108" t="str">
        <f t="shared" si="2"/>
        <v/>
      </c>
      <c r="U54" s="108" t="str">
        <f t="shared" si="6"/>
        <v/>
      </c>
      <c r="V54" s="108" t="str">
        <f t="shared" si="6"/>
        <v/>
      </c>
      <c r="W54" s="108" t="str">
        <f t="shared" si="6"/>
        <v/>
      </c>
      <c r="X54" s="108" t="str">
        <f t="shared" si="6"/>
        <v/>
      </c>
      <c r="Y54" s="108" t="str">
        <f t="shared" si="6"/>
        <v/>
      </c>
      <c r="Z54" s="108" t="str">
        <f t="shared" si="6"/>
        <v/>
      </c>
      <c r="AA54" s="108" t="str">
        <f t="shared" si="6"/>
        <v/>
      </c>
      <c r="AB54" s="108" t="str" cm="1">
        <f t="array" ref="AB54">IF(LEN($B54)=0,"",IF(LEN(C54)=0,"Nama Siswa Kosong",IF($E54="","Status Siswa Kosong",IF(S54&lt;&gt;"Aktif","Siswa Tidak Aktif",
IF(OR(U54:AA54="Belum mengisi"),"Belum mengisi",IF(AND(U54:AA54="Sudah terbiasa"),"Sudah terbiasa","Belum terbiasa"))))))</f>
        <v/>
      </c>
    </row>
    <row r="55" spans="2:28" hidden="1" x14ac:dyDescent="0.3">
      <c r="B55" s="4" t="str">
        <f>IF(ROW(A43)&lt;=profilKelas!$F$14,ROW(A43),"")</f>
        <v/>
      </c>
      <c r="C55" s="94" t="str">
        <f>IF(ISBLANK(identitasMurid!C48),"",identitasMurid!C48)</f>
        <v/>
      </c>
      <c r="D55" s="6" t="str">
        <f>IF(ISBLANK(identitasMurid!D48),"",identitasMurid!D48)</f>
        <v/>
      </c>
      <c r="E55" s="95"/>
      <c r="F55" s="95"/>
      <c r="G55" s="95"/>
      <c r="H55" s="95"/>
      <c r="I55" s="95"/>
      <c r="J55" s="95"/>
      <c r="K55" s="95"/>
      <c r="L55" s="95"/>
      <c r="M55" s="30"/>
      <c r="Q55" s="5" t="str">
        <f>IF(ROW(A43)&lt;=profilKelas!$F$14,ROW(A43),"")</f>
        <v/>
      </c>
      <c r="R55" s="12" t="str">
        <f t="shared" si="0"/>
        <v/>
      </c>
      <c r="S55" s="108" t="str">
        <f t="shared" si="4"/>
        <v/>
      </c>
      <c r="T55" s="108" t="str">
        <f t="shared" si="2"/>
        <v/>
      </c>
      <c r="U55" s="108" t="str">
        <f t="shared" si="6"/>
        <v/>
      </c>
      <c r="V55" s="108" t="str">
        <f t="shared" si="6"/>
        <v/>
      </c>
      <c r="W55" s="108" t="str">
        <f t="shared" si="6"/>
        <v/>
      </c>
      <c r="X55" s="108" t="str">
        <f t="shared" si="6"/>
        <v/>
      </c>
      <c r="Y55" s="108" t="str">
        <f t="shared" si="6"/>
        <v/>
      </c>
      <c r="Z55" s="108" t="str">
        <f t="shared" si="6"/>
        <v/>
      </c>
      <c r="AA55" s="108" t="str">
        <f t="shared" si="6"/>
        <v/>
      </c>
      <c r="AB55" s="108" t="str" cm="1">
        <f t="array" ref="AB55">IF(LEN($B55)=0,"",IF(LEN(C55)=0,"Nama Siswa Kosong",IF($E55="","Status Siswa Kosong",IF(S55&lt;&gt;"Aktif","Siswa Tidak Aktif",
IF(OR(U55:AA55="Belum mengisi"),"Belum mengisi",IF(AND(U55:AA55="Sudah terbiasa"),"Sudah terbiasa","Belum terbiasa"))))))</f>
        <v/>
      </c>
    </row>
    <row r="56" spans="2:28" hidden="1" x14ac:dyDescent="0.3">
      <c r="B56" s="4" t="str">
        <f>IF(ROW(A44)&lt;=profilKelas!$F$14,ROW(A44),"")</f>
        <v/>
      </c>
      <c r="C56" s="94" t="str">
        <f>IF(ISBLANK(identitasMurid!C49),"",identitasMurid!C49)</f>
        <v/>
      </c>
      <c r="D56" s="6" t="str">
        <f>IF(ISBLANK(identitasMurid!D49),"",identitasMurid!D49)</f>
        <v/>
      </c>
      <c r="E56" s="95"/>
      <c r="F56" s="95"/>
      <c r="G56" s="95"/>
      <c r="H56" s="95"/>
      <c r="I56" s="95"/>
      <c r="J56" s="95"/>
      <c r="K56" s="95"/>
      <c r="L56" s="95"/>
      <c r="M56" s="30"/>
      <c r="Q56" s="5" t="str">
        <f>IF(ROW(A44)&lt;=profilKelas!$F$14,ROW(A44),"")</f>
        <v/>
      </c>
      <c r="R56" s="12" t="str">
        <f t="shared" si="0"/>
        <v/>
      </c>
      <c r="S56" s="108" t="str">
        <f t="shared" si="4"/>
        <v/>
      </c>
      <c r="T56" s="108" t="str">
        <f t="shared" si="2"/>
        <v/>
      </c>
      <c r="U56" s="108" t="str">
        <f t="shared" si="6"/>
        <v/>
      </c>
      <c r="V56" s="108" t="str">
        <f t="shared" si="6"/>
        <v/>
      </c>
      <c r="W56" s="108" t="str">
        <f t="shared" si="6"/>
        <v/>
      </c>
      <c r="X56" s="108" t="str">
        <f t="shared" si="6"/>
        <v/>
      </c>
      <c r="Y56" s="108" t="str">
        <f t="shared" si="6"/>
        <v/>
      </c>
      <c r="Z56" s="108" t="str">
        <f t="shared" si="6"/>
        <v/>
      </c>
      <c r="AA56" s="108" t="str">
        <f t="shared" si="6"/>
        <v/>
      </c>
      <c r="AB56" s="108" t="str" cm="1">
        <f t="array" ref="AB56">IF(LEN($B56)=0,"",IF(LEN(C56)=0,"Nama Siswa Kosong",IF($E56="","Status Siswa Kosong",IF(S56&lt;&gt;"Aktif","Siswa Tidak Aktif",
IF(OR(U56:AA56="Belum mengisi"),"Belum mengisi",IF(AND(U56:AA56="Sudah terbiasa"),"Sudah terbiasa","Belum terbiasa"))))))</f>
        <v/>
      </c>
    </row>
    <row r="57" spans="2:28" hidden="1" x14ac:dyDescent="0.3">
      <c r="B57" s="4" t="str">
        <f>IF(ROW(A45)&lt;=profilKelas!$F$14,ROW(A45),"")</f>
        <v/>
      </c>
      <c r="C57" s="94" t="str">
        <f>IF(ISBLANK(identitasMurid!C50),"",identitasMurid!C50)</f>
        <v/>
      </c>
      <c r="D57" s="6" t="str">
        <f>IF(ISBLANK(identitasMurid!D50),"",identitasMurid!D50)</f>
        <v/>
      </c>
      <c r="E57" s="95"/>
      <c r="F57" s="95"/>
      <c r="G57" s="95"/>
      <c r="H57" s="95"/>
      <c r="I57" s="95"/>
      <c r="J57" s="95"/>
      <c r="K57" s="95"/>
      <c r="L57" s="95"/>
      <c r="M57" s="30"/>
      <c r="Q57" s="5" t="str">
        <f>IF(ROW(A45)&lt;=profilKelas!$F$14,ROW(A45),"")</f>
        <v/>
      </c>
      <c r="R57" s="12" t="str">
        <f t="shared" si="0"/>
        <v/>
      </c>
      <c r="S57" s="108" t="str">
        <f t="shared" si="4"/>
        <v/>
      </c>
      <c r="T57" s="108" t="str">
        <f t="shared" si="2"/>
        <v/>
      </c>
      <c r="U57" s="108" t="str">
        <f t="shared" si="6"/>
        <v/>
      </c>
      <c r="V57" s="108" t="str">
        <f t="shared" si="6"/>
        <v/>
      </c>
      <c r="W57" s="108" t="str">
        <f t="shared" si="6"/>
        <v/>
      </c>
      <c r="X57" s="108" t="str">
        <f t="shared" si="6"/>
        <v/>
      </c>
      <c r="Y57" s="108" t="str">
        <f t="shared" si="6"/>
        <v/>
      </c>
      <c r="Z57" s="108" t="str">
        <f t="shared" si="6"/>
        <v/>
      </c>
      <c r="AA57" s="108" t="str">
        <f t="shared" si="6"/>
        <v/>
      </c>
      <c r="AB57" s="108" t="str" cm="1">
        <f t="array" ref="AB57">IF(LEN($B57)=0,"",IF(LEN(C57)=0,"Nama Siswa Kosong",IF($E57="","Status Siswa Kosong",IF(S57&lt;&gt;"Aktif","Siswa Tidak Aktif",
IF(OR(U57:AA57="Belum mengisi"),"Belum mengisi",IF(AND(U57:AA57="Sudah terbiasa"),"Sudah terbiasa","Belum terbiasa"))))))</f>
        <v/>
      </c>
    </row>
    <row r="58" spans="2:28" x14ac:dyDescent="0.3"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</row>
    <row r="59" spans="2:28" ht="16.2" x14ac:dyDescent="0.35">
      <c r="B59" s="13"/>
      <c r="C59" s="71"/>
      <c r="D59" s="71" t="s">
        <v>15</v>
      </c>
      <c r="E59" s="13"/>
      <c r="F59" s="13"/>
      <c r="G59" s="13"/>
      <c r="H59" s="13"/>
      <c r="I59" s="13"/>
      <c r="J59" s="13"/>
      <c r="K59" s="13" t="str">
        <f>profilKelas!F9&amp;", "&amp;O60</f>
        <v>, 31 Maret 2025</v>
      </c>
      <c r="L59" s="13"/>
      <c r="M59" s="13"/>
      <c r="O59" s="31" t="s">
        <v>860</v>
      </c>
      <c r="Q59" s="13"/>
      <c r="R59" s="13"/>
      <c r="S59" s="13" t="s">
        <v>15</v>
      </c>
      <c r="T59" s="13"/>
      <c r="U59" s="13"/>
      <c r="V59" s="13"/>
      <c r="W59" s="13"/>
      <c r="X59" s="13"/>
      <c r="Y59" s="13"/>
      <c r="Z59" s="13" t="str">
        <f>profilKelas!F9&amp;", "&amp;O60</f>
        <v>, 31 Maret 2025</v>
      </c>
      <c r="AA59" s="13"/>
      <c r="AB59" s="13"/>
    </row>
    <row r="60" spans="2:28" x14ac:dyDescent="0.3">
      <c r="B60" s="13"/>
      <c r="C60" s="71"/>
      <c r="D60" s="71" t="str">
        <f>IF(ISBLANK(profilKelas!B10),"",SUBSTITUTE(profilKelas!B10,"Nama ",""))</f>
        <v>Kepala Sekolah</v>
      </c>
      <c r="E60" s="13"/>
      <c r="F60" s="13"/>
      <c r="G60" s="13"/>
      <c r="H60" s="13"/>
      <c r="I60" s="13"/>
      <c r="J60" s="13"/>
      <c r="K60" s="13" t="str">
        <f>SUBSTITUTE(profilKelas!B15,"Nama ","")&amp;","</f>
        <v>Guru Wali Kelas,</v>
      </c>
      <c r="L60" s="13"/>
      <c r="M60" s="13"/>
      <c r="O60" s="100" t="s">
        <v>913</v>
      </c>
      <c r="Q60" s="13"/>
      <c r="R60" s="13"/>
      <c r="S60" s="13" t="str">
        <f>IF(ISBLANK(profilKelas!B10),"",profilKelas!B10)</f>
        <v>Nama Kepala Sekolah</v>
      </c>
      <c r="T60" s="13"/>
      <c r="U60" s="13"/>
      <c r="V60" s="13"/>
      <c r="W60" s="13"/>
      <c r="X60" s="13"/>
      <c r="Y60" s="13"/>
      <c r="Z60" s="13" t="str">
        <f>SUBSTITUTE(profilKelas!B15,"Nama ","")&amp;","</f>
        <v>Guru Wali Kelas,</v>
      </c>
      <c r="AA60" s="13"/>
      <c r="AB60" s="13"/>
    </row>
    <row r="61" spans="2:28" x14ac:dyDescent="0.3"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</row>
    <row r="62" spans="2:28" x14ac:dyDescent="0.3"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</row>
    <row r="63" spans="2:28" x14ac:dyDescent="0.3"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</row>
    <row r="64" spans="2:28" x14ac:dyDescent="0.3">
      <c r="B64" s="13"/>
      <c r="C64" s="13"/>
      <c r="D64" s="101" t="str">
        <f>IF(ISBLANK(profilKelas!F10),"",profilKelas!F10)</f>
        <v/>
      </c>
      <c r="E64" s="13"/>
      <c r="F64" s="13"/>
      <c r="G64" s="13"/>
      <c r="H64" s="13"/>
      <c r="I64" s="13"/>
      <c r="J64" s="13"/>
      <c r="K64" s="101" t="str">
        <f>IF(LEN(profilKelas!F15)=0,"",profilKelas!F15)</f>
        <v/>
      </c>
      <c r="L64" s="13"/>
      <c r="M64" s="13"/>
      <c r="Q64" s="13"/>
      <c r="R64" s="13"/>
      <c r="S64" s="101" t="str">
        <f>IF(ISBLANK(profilKelas!F10),"",profilKelas!F10)</f>
        <v/>
      </c>
      <c r="T64" s="13"/>
      <c r="U64" s="13"/>
      <c r="V64" s="13"/>
      <c r="W64" s="13"/>
      <c r="X64" s="13"/>
      <c r="Y64" s="13"/>
      <c r="Z64" s="101">
        <f>profilKelas!F15</f>
        <v>0</v>
      </c>
      <c r="AA64" s="13"/>
      <c r="AB64" s="13"/>
    </row>
    <row r="65" spans="2:28" x14ac:dyDescent="0.3">
      <c r="B65" s="13"/>
      <c r="C65" s="13"/>
      <c r="D65" s="13" t="str">
        <f>"NIP. "&amp;profilKelas!F11</f>
        <v xml:space="preserve">NIP. </v>
      </c>
      <c r="E65" s="13"/>
      <c r="F65" s="13"/>
      <c r="G65" s="13"/>
      <c r="H65" s="13"/>
      <c r="I65" s="13"/>
      <c r="J65" s="13"/>
      <c r="K65" s="13" t="str">
        <f>"NIP. "&amp;profilKelas!F16</f>
        <v xml:space="preserve">NIP. </v>
      </c>
      <c r="L65" s="13"/>
      <c r="M65" s="13"/>
      <c r="Q65" s="13"/>
      <c r="R65" s="13"/>
      <c r="S65" s="13" t="str">
        <f>"NIP. "&amp;profilKelas!F11</f>
        <v xml:space="preserve">NIP. </v>
      </c>
      <c r="T65" s="13"/>
      <c r="U65" s="13"/>
      <c r="V65" s="13"/>
      <c r="W65" s="13"/>
      <c r="X65" s="13"/>
      <c r="Y65" s="13"/>
      <c r="Z65" s="13" t="str">
        <f>"NIP. "&amp;profilKelas!F16</f>
        <v xml:space="preserve">NIP. </v>
      </c>
      <c r="AA65" s="13"/>
      <c r="AB65" s="13"/>
    </row>
    <row r="66" spans="2:28" x14ac:dyDescent="0.3"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</row>
    <row r="67" spans="2:28" x14ac:dyDescent="0.3">
      <c r="B67" s="13"/>
      <c r="C67" s="102" t="s">
        <v>10</v>
      </c>
      <c r="D67" s="71" t="s">
        <v>609</v>
      </c>
      <c r="E67" s="13"/>
      <c r="F67" s="13"/>
      <c r="G67" s="13"/>
      <c r="H67" s="13"/>
      <c r="I67" s="13"/>
      <c r="J67" s="13"/>
      <c r="K67" s="13"/>
      <c r="L67" s="13"/>
      <c r="M67" s="13"/>
      <c r="Q67" s="13"/>
      <c r="R67" s="102" t="s">
        <v>10</v>
      </c>
      <c r="S67" s="71" t="s">
        <v>609</v>
      </c>
      <c r="T67" s="13"/>
      <c r="U67" s="13"/>
      <c r="V67" s="13"/>
      <c r="W67" s="13"/>
      <c r="X67" s="13"/>
      <c r="Y67" s="13"/>
      <c r="Z67" s="13"/>
      <c r="AA67" s="13"/>
      <c r="AB67" s="13"/>
    </row>
    <row r="68" spans="2:28" ht="15.6" customHeight="1" x14ac:dyDescent="0.3"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63">
        <f>SUBTOTAL(109,N69)</f>
        <v>0</v>
      </c>
      <c r="O68" s="63" t="str">
        <f>IF(N68=0,"ATUR HALAMAN","TAMPILAN NORMAL")</f>
        <v>ATUR HALAMAN</v>
      </c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</row>
    <row r="69" spans="2:28" hidden="1" x14ac:dyDescent="0.3">
      <c r="N69" s="7">
        <v>1</v>
      </c>
    </row>
  </sheetData>
  <sheetProtection algorithmName="SHA-512" hashValue="JfeJiatRi5w/w7cPdy4fS34/q+D4FM99z7rpeNup4ur9+Odb2iNbHB3avYUBuM8cO4I90W+3YmuccLAriP0hng==" saltValue="u5Rl7vg0VsEZf6tebCtmbQ==" spinCount="100000" sheet="1" objects="1" scenarios="1" formatCells="0" formatColumns="0" formatRows="0" insertColumns="0" insertRows="0" insertHyperlinks="0" deleteColumns="0" deleteRows="0" autoFilter="0"/>
  <mergeCells count="41">
    <mergeCell ref="AL14:AQ18"/>
    <mergeCell ref="AG15:AH15"/>
    <mergeCell ref="AI15:AJ15"/>
    <mergeCell ref="AD18:AE18"/>
    <mergeCell ref="B6:M6"/>
    <mergeCell ref="Q6:AB6"/>
    <mergeCell ref="AD6:AQ7"/>
    <mergeCell ref="B10:B12"/>
    <mergeCell ref="C10:C12"/>
    <mergeCell ref="D10:D12"/>
    <mergeCell ref="E10:E12"/>
    <mergeCell ref="M10:M12"/>
    <mergeCell ref="AE24:AF24"/>
    <mergeCell ref="AD14:AD15"/>
    <mergeCell ref="AE14:AE15"/>
    <mergeCell ref="AF14:AF15"/>
    <mergeCell ref="AG14:AJ14"/>
    <mergeCell ref="AG21:AJ21"/>
    <mergeCell ref="AE22:AF22"/>
    <mergeCell ref="AG22:AH22"/>
    <mergeCell ref="AI22:AJ22"/>
    <mergeCell ref="AE23:AF23"/>
    <mergeCell ref="AE25:AF25"/>
    <mergeCell ref="AE26:AF26"/>
    <mergeCell ref="AE27:AF27"/>
    <mergeCell ref="AE28:AF28"/>
    <mergeCell ref="AE29:AF29"/>
    <mergeCell ref="AK31:AN31"/>
    <mergeCell ref="AE32:AF32"/>
    <mergeCell ref="AG32:AH32"/>
    <mergeCell ref="AI32:AJ32"/>
    <mergeCell ref="AK32:AL32"/>
    <mergeCell ref="AM32:AN32"/>
    <mergeCell ref="AG31:AJ31"/>
    <mergeCell ref="AE39:AF39"/>
    <mergeCell ref="AE33:AF33"/>
    <mergeCell ref="AE34:AF34"/>
    <mergeCell ref="AE35:AF35"/>
    <mergeCell ref="AE36:AF36"/>
    <mergeCell ref="AE37:AF37"/>
    <mergeCell ref="AE38:AF38"/>
  </mergeCells>
  <conditionalFormatting sqref="F17:F57">
    <cfRule type="expression" dxfId="55" priority="14">
      <formula>AND($C17="",$F17="")</formula>
    </cfRule>
  </conditionalFormatting>
  <conditionalFormatting sqref="E17:M57 B13:C57 M13:M16">
    <cfRule type="expression" dxfId="54" priority="13">
      <formula>$B13&lt;&gt;""</formula>
    </cfRule>
  </conditionalFormatting>
  <conditionalFormatting sqref="D13:D57">
    <cfRule type="expression" dxfId="53" priority="12">
      <formula>$B13&lt;&gt;""</formula>
    </cfRule>
  </conditionalFormatting>
  <conditionalFormatting sqref="R13:T57">
    <cfRule type="expression" dxfId="52" priority="11">
      <formula>$Q13&lt;&gt;""</formula>
    </cfRule>
  </conditionalFormatting>
  <conditionalFormatting sqref="Q13">
    <cfRule type="expression" dxfId="51" priority="10">
      <formula>$B13&lt;&gt;""</formula>
    </cfRule>
  </conditionalFormatting>
  <conditionalFormatting sqref="U13:AA57">
    <cfRule type="containsText" dxfId="50" priority="7" operator="containsText" text="Belum terbiasa">
      <formula>NOT(ISERROR(SEARCH("Belum terbiasa",U13)))</formula>
    </cfRule>
    <cfRule type="containsText" dxfId="49" priority="8" operator="containsText" text="Sudah terbiasa">
      <formula>NOT(ISERROR(SEARCH("Sudah terbiasa",U13)))</formula>
    </cfRule>
    <cfRule type="containsText" dxfId="48" priority="9" operator="containsText" text="Belum mengisi">
      <formula>NOT(ISERROR(SEARCH("Belum mengisi",U13)))</formula>
    </cfRule>
  </conditionalFormatting>
  <conditionalFormatting sqref="AB13:AB57">
    <cfRule type="containsText" dxfId="47" priority="4" operator="containsText" text="mengisi">
      <formula>NOT(ISERROR(SEARCH("mengisi",AB13)))</formula>
    </cfRule>
    <cfRule type="containsText" dxfId="46" priority="5" operator="containsText" text="Belum terbiasa">
      <formula>NOT(ISERROR(SEARCH("Belum terbiasa",AB13)))</formula>
    </cfRule>
    <cfRule type="containsText" dxfId="45" priority="6" operator="containsText" text="Sudah terbiasa">
      <formula>NOT(ISERROR(SEARCH("Sudah terbiasa",AB13)))</formula>
    </cfRule>
  </conditionalFormatting>
  <conditionalFormatting sqref="Q14:Q57">
    <cfRule type="expression" dxfId="44" priority="3">
      <formula>$B14&lt;&gt;""</formula>
    </cfRule>
  </conditionalFormatting>
  <conditionalFormatting sqref="F13:L16">
    <cfRule type="expression" dxfId="43" priority="2">
      <formula>AND($C13="",$F13="")</formula>
    </cfRule>
  </conditionalFormatting>
  <conditionalFormatting sqref="E13:L16">
    <cfRule type="expression" dxfId="42" priority="1">
      <formula>$B13&lt;&gt;""</formula>
    </cfRule>
  </conditionalFormatting>
  <dataValidations count="2">
    <dataValidation allowBlank="1" showInputMessage="1" showErrorMessage="1" promptTitle="Tanggal pengesahan" prompt="Contoh penulisan_x000a_31 Juli 2025" sqref="O60:P60" xr:uid="{00000000-0002-0000-1600-000000000000}"/>
    <dataValidation type="whole" allowBlank="1" showInputMessage="1" showErrorMessage="1" errorTitle="Angka" error="Isian hanya berupa angka 0 s.d. 31." promptTitle="Angka" prompt="Inputan angka dari 0 s.d. 31 sesuai bulan berjalan." sqref="F13:L57" xr:uid="{00000000-0002-0000-1600-000001000000}">
      <formula1>0</formula1>
      <formula2>31</formula2>
    </dataValidation>
  </dataValidations>
  <pageMargins left="0.19685039370078741" right="0.19685039370078741" top="0.74803149606299213" bottom="0.74803149606299213" header="0.31496062992125984" footer="0.31496062992125984"/>
  <pageSetup paperSize="9" scale="59" fitToHeight="0" orientation="landscape" r:id="rId1"/>
  <headerFooter>
    <oddHeader>&amp;C&amp;G</oddHeader>
  </headerFooter>
  <drawing r:id="rId2"/>
  <legacyDrawingHF r:id="rId3"/>
  <picture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Catatan" error="Harap dipilih." promptTitle="Catatan" prompt="Pilih keterangan siswa_x000a_aktif: aktif pada bulan berjalan_x000a_pindah: pada bulan berjalan sudah pindah_x000a_berhenti: pada bulan berjalan berhenti _x000a_meninggal: pada bulan berjalan meninggal_x000a__x000a_Jika terdapat penambahan siswa, keterangan bulan sebelumnya dipilih tidak." xr:uid="{00000000-0002-0000-1600-000002000000}">
          <x14:formula1>
            <xm:f>info!$AD$2:$AD$6</xm:f>
          </x14:formula1>
          <xm:sqref>E13:E57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mmApr"/>
  <dimension ref="A1:AQ69"/>
  <sheetViews>
    <sheetView showGridLines="0" showRowColHeaders="0" zoomScaleNormal="100" zoomScaleSheetLayoutView="100" zoomScalePageLayoutView="47" workbookViewId="0">
      <pane xSplit="1" ySplit="12" topLeftCell="B13" activePane="bottomRight" state="frozen"/>
      <selection pane="topRight" activeCell="B1" sqref="B1"/>
      <selection pane="bottomLeft" activeCell="A13" sqref="A13"/>
      <selection pane="bottomRight" activeCell="B6" sqref="B6:M6"/>
    </sheetView>
  </sheetViews>
  <sheetFormatPr defaultColWidth="0" defaultRowHeight="15.6" customHeight="1" zeroHeight="1" x14ac:dyDescent="0.3"/>
  <cols>
    <col min="1" max="1" width="9.109375" style="7" customWidth="1"/>
    <col min="2" max="2" width="3.5546875" style="7" bestFit="1" customWidth="1"/>
    <col min="3" max="3" width="31.5546875" style="7" customWidth="1"/>
    <col min="4" max="4" width="10" style="7" customWidth="1"/>
    <col min="5" max="5" width="11.5546875" style="7" customWidth="1"/>
    <col min="6" max="12" width="24" style="7" customWidth="1"/>
    <col min="13" max="13" width="18.33203125" style="7" customWidth="1"/>
    <col min="14" max="14" width="2.109375" style="7" customWidth="1"/>
    <col min="15" max="15" width="25.109375" style="7" bestFit="1" customWidth="1"/>
    <col min="16" max="16" width="9.109375" style="7" customWidth="1"/>
    <col min="17" max="17" width="3.5546875" style="7" hidden="1" customWidth="1"/>
    <col min="18" max="18" width="27.88671875" style="7" hidden="1" customWidth="1"/>
    <col min="19" max="19" width="8.6640625" style="7" hidden="1" customWidth="1"/>
    <col min="20" max="20" width="5.6640625" style="7" hidden="1" customWidth="1"/>
    <col min="21" max="28" width="21.33203125" style="7" hidden="1" customWidth="1"/>
    <col min="29" max="29" width="9.109375" style="7" hidden="1" customWidth="1"/>
    <col min="30" max="30" width="3.5546875" style="7" hidden="1" customWidth="1"/>
    <col min="31" max="31" width="20" style="7" hidden="1" customWidth="1"/>
    <col min="32" max="32" width="6.5546875" style="7" hidden="1" customWidth="1"/>
    <col min="33" max="36" width="9.6640625" style="7" hidden="1" customWidth="1"/>
    <col min="37" max="43" width="0" style="7" hidden="1" customWidth="1"/>
    <col min="44" max="16384" width="8.88671875" style="7" hidden="1"/>
  </cols>
  <sheetData>
    <row r="1" spans="1:43" x14ac:dyDescent="0.3">
      <c r="A1" s="63">
        <f>profilKelas!F14</f>
        <v>1</v>
      </c>
      <c r="D1" s="64" t="s">
        <v>890</v>
      </c>
      <c r="E1" s="65"/>
      <c r="F1" s="65"/>
      <c r="G1" s="65"/>
      <c r="H1" s="65"/>
      <c r="Q1" s="66" t="s">
        <v>859</v>
      </c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D1" s="66" t="s">
        <v>859</v>
      </c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</row>
    <row r="2" spans="1:43" x14ac:dyDescent="0.3">
      <c r="D2" s="67"/>
      <c r="E2" s="67"/>
      <c r="F2" s="67"/>
      <c r="G2" s="67"/>
      <c r="H2" s="67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</row>
    <row r="3" spans="1:43" ht="15.6" customHeight="1" x14ac:dyDescent="0.3"/>
    <row r="4" spans="1:43" ht="15.6" customHeight="1" x14ac:dyDescent="0.3"/>
    <row r="5" spans="1:43" x14ac:dyDescent="0.3">
      <c r="Q5" s="68"/>
      <c r="S5" s="69"/>
      <c r="T5" s="69"/>
      <c r="V5" s="69"/>
      <c r="X5" s="69"/>
      <c r="Z5" s="69"/>
      <c r="AL5" s="70"/>
    </row>
    <row r="6" spans="1:43" ht="15.6" customHeight="1" x14ac:dyDescent="0.3">
      <c r="B6" s="168" t="s">
        <v>882</v>
      </c>
      <c r="C6" s="168"/>
      <c r="D6" s="168"/>
      <c r="E6" s="168"/>
      <c r="F6" s="168"/>
      <c r="G6" s="168"/>
      <c r="H6" s="168"/>
      <c r="I6" s="168"/>
      <c r="J6" s="168"/>
      <c r="K6" s="168"/>
      <c r="L6" s="168"/>
      <c r="M6" s="168"/>
      <c r="Q6" s="168"/>
      <c r="R6" s="168"/>
      <c r="S6" s="168"/>
      <c r="T6" s="168"/>
      <c r="U6" s="168"/>
      <c r="V6" s="168"/>
      <c r="W6" s="168"/>
      <c r="X6" s="168"/>
      <c r="Y6" s="168"/>
      <c r="Z6" s="168"/>
      <c r="AA6" s="168"/>
      <c r="AB6" s="168"/>
      <c r="AD6" s="159" t="str">
        <f>"REKAPITULASI CATATAN HARIAN KELAS (RCHS) "&amp;CHAR(10)&amp;"SEMESTER "&amp;MID(J7,3,1)&amp;" BULAN"&amp;UPPER(MID(J7,SEARCH("/",J7)+1,99))&amp;" TAHUN "&amp;IF(ISBLANK(O11),profilKelas!F12,O11)</f>
        <v xml:space="preserve">REKAPITULASI CATATAN HARIAN KELAS (RCHS) 
SEMESTER I BULAN APRIL TAHUN </v>
      </c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</row>
    <row r="7" spans="1:43" x14ac:dyDescent="0.3">
      <c r="B7" s="13"/>
      <c r="C7" s="13" t="s">
        <v>862</v>
      </c>
      <c r="D7" s="13" t="str">
        <f>": "&amp;IF(ISBLANK(profilKelas!F5),"",profilKelas!F5&amp;" ("&amp;profilKelas!F6&amp;")")</f>
        <v xml:space="preserve">: </v>
      </c>
      <c r="E7" s="13"/>
      <c r="F7" s="13"/>
      <c r="G7" s="13"/>
      <c r="H7" s="13"/>
      <c r="I7" s="13" t="s">
        <v>885</v>
      </c>
      <c r="J7" s="13" t="str">
        <f>": II / April"</f>
        <v>: II / April</v>
      </c>
      <c r="K7" s="13"/>
      <c r="L7" s="13"/>
      <c r="M7" s="71"/>
      <c r="O7"/>
      <c r="Q7" s="13"/>
      <c r="R7" s="13" t="s">
        <v>862</v>
      </c>
      <c r="S7" s="13" t="str">
        <f>": "&amp;IF(ISBLANK(profilKelas!F5),"",profilKelas!F5&amp;" ("&amp;profilKelas!F6&amp;")")</f>
        <v xml:space="preserve">: </v>
      </c>
      <c r="T7" s="13"/>
      <c r="U7" s="13"/>
      <c r="V7" s="13"/>
      <c r="W7" s="13"/>
      <c r="X7" s="13"/>
      <c r="Y7" s="13" t="s">
        <v>840</v>
      </c>
      <c r="Z7" s="13" t="str">
        <f>J7</f>
        <v>: II / April</v>
      </c>
      <c r="AA7" s="71"/>
      <c r="AB7" s="13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</row>
    <row r="8" spans="1:43" x14ac:dyDescent="0.3">
      <c r="B8" s="13"/>
      <c r="C8" s="13" t="s">
        <v>842</v>
      </c>
      <c r="D8" s="13" t="str">
        <f ca="1">": "&amp;IF(ISBLANK(profilKelas!H13),"",profilKelas!H13)</f>
        <v>: Pilih Kelas dan Rombel</v>
      </c>
      <c r="E8" s="13"/>
      <c r="F8" s="13"/>
      <c r="G8" s="13"/>
      <c r="H8" s="13"/>
      <c r="I8" s="13" t="s">
        <v>880</v>
      </c>
      <c r="J8" s="13" t="str">
        <f>": "&amp;IF(ISBLANK(profilKelas!F12),"Ketik Tahun Ajaran pada Profil Kelas",profilKelas!F12)</f>
        <v>: Ketik Tahun Ajaran pada Profil Kelas</v>
      </c>
      <c r="K8" s="13"/>
      <c r="L8" s="13"/>
      <c r="M8" s="71"/>
      <c r="O8"/>
      <c r="Q8" s="13"/>
      <c r="R8" s="13" t="s">
        <v>842</v>
      </c>
      <c r="S8" s="13" t="str">
        <f ca="1">": "&amp;IF(ISBLANK(profilKelas!H13),"",profilKelas!H13)</f>
        <v>: Pilih Kelas dan Rombel</v>
      </c>
      <c r="T8" s="13"/>
      <c r="U8" s="13"/>
      <c r="V8" s="13"/>
      <c r="W8" s="13"/>
      <c r="X8" s="13"/>
      <c r="Y8" s="13" t="s">
        <v>841</v>
      </c>
      <c r="Z8" s="13" t="str">
        <f>": "&amp;IF(ISBLANK(profilKelas!F12),"Ketik Tahun Ajaran pada Profil Kelas",IF(ISBLANK(O11),profilKelas!F12,O11))</f>
        <v>: Ketik Tahun Ajaran pada Profil Kelas</v>
      </c>
      <c r="AA8" s="71"/>
      <c r="AB8" s="13"/>
      <c r="AD8" s="72"/>
      <c r="AE8" s="72"/>
      <c r="AF8" s="72"/>
      <c r="AG8" s="72"/>
      <c r="AH8" s="72"/>
      <c r="AI8" s="72"/>
      <c r="AJ8" s="72"/>
      <c r="AK8" s="72"/>
      <c r="AL8" s="72"/>
      <c r="AM8" s="72"/>
      <c r="AN8" s="72"/>
      <c r="AO8" s="13"/>
      <c r="AP8" s="13"/>
      <c r="AQ8" s="13"/>
    </row>
    <row r="9" spans="1:43" x14ac:dyDescent="0.3"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71"/>
      <c r="Q9" s="13"/>
      <c r="R9" s="13"/>
      <c r="S9" s="13"/>
      <c r="T9" s="13"/>
      <c r="U9" s="13"/>
      <c r="V9" s="13"/>
      <c r="W9" s="13"/>
      <c r="X9" s="13"/>
      <c r="Y9" s="13"/>
      <c r="Z9" s="13"/>
      <c r="AA9" s="71"/>
      <c r="AB9" s="13"/>
      <c r="AD9" s="13" t="s">
        <v>862</v>
      </c>
      <c r="AE9" s="13"/>
      <c r="AF9" s="13" t="str">
        <f>UPPER(": "&amp;profilKelas!F5&amp;" ("&amp;profilKelas!F6&amp;")")</f>
        <v>:  ()</v>
      </c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</row>
    <row r="10" spans="1:43" x14ac:dyDescent="0.3">
      <c r="B10" s="162" t="s">
        <v>0</v>
      </c>
      <c r="C10" s="162" t="s">
        <v>858</v>
      </c>
      <c r="D10" s="164" t="s">
        <v>831</v>
      </c>
      <c r="E10" s="164" t="s">
        <v>987</v>
      </c>
      <c r="F10" s="44" t="s">
        <v>19</v>
      </c>
      <c r="G10" s="45"/>
      <c r="H10" s="45"/>
      <c r="I10" s="45"/>
      <c r="J10" s="45"/>
      <c r="K10" s="45"/>
      <c r="L10" s="46"/>
      <c r="M10" s="162" t="s">
        <v>9</v>
      </c>
      <c r="O10"/>
      <c r="Q10" s="73"/>
      <c r="R10" s="74"/>
      <c r="S10" s="74"/>
      <c r="T10" s="75"/>
      <c r="U10" s="76" t="s">
        <v>19</v>
      </c>
      <c r="V10" s="77"/>
      <c r="W10" s="77"/>
      <c r="X10" s="77"/>
      <c r="Y10" s="77"/>
      <c r="Z10" s="77"/>
      <c r="AA10" s="78"/>
      <c r="AB10" s="36"/>
      <c r="AD10" s="13" t="s">
        <v>863</v>
      </c>
      <c r="AE10" s="13"/>
      <c r="AF10" s="13" t="str">
        <f>UPPER(": "&amp;profilKelas!F9&amp;", Provinsi "&amp;profilKelas!F8)</f>
        <v xml:space="preserve">: , PROVINSI </v>
      </c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</row>
    <row r="11" spans="1:43" x14ac:dyDescent="0.3">
      <c r="B11" s="169"/>
      <c r="C11" s="169"/>
      <c r="D11" s="170"/>
      <c r="E11" s="170"/>
      <c r="F11" s="80" t="s">
        <v>2</v>
      </c>
      <c r="G11" s="80" t="s">
        <v>3</v>
      </c>
      <c r="H11" s="80" t="s">
        <v>4</v>
      </c>
      <c r="I11" s="81" t="s">
        <v>606</v>
      </c>
      <c r="J11" s="81" t="s">
        <v>6</v>
      </c>
      <c r="K11" s="81" t="s">
        <v>7</v>
      </c>
      <c r="L11" s="81" t="s">
        <v>8</v>
      </c>
      <c r="M11" s="169"/>
      <c r="O11"/>
      <c r="Q11" s="82"/>
      <c r="R11" s="83"/>
      <c r="S11" s="83"/>
      <c r="T11" s="84"/>
      <c r="U11" s="85" t="s">
        <v>14</v>
      </c>
      <c r="V11" s="86"/>
      <c r="W11" s="86"/>
      <c r="X11" s="86"/>
      <c r="Y11" s="86"/>
      <c r="Z11" s="86"/>
      <c r="AA11" s="87"/>
      <c r="AB11" s="79"/>
      <c r="AD11" s="13" t="str">
        <f>profilKelas!B10</f>
        <v>Nama Kepala Sekolah</v>
      </c>
      <c r="AE11" s="13"/>
      <c r="AF11" s="13" t="str">
        <f>UPPER(": "&amp;profilKelas!F10&amp;" (NIP."&amp;profilKelas!F11&amp;")")</f>
        <v>:  (NIP.)</v>
      </c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</row>
    <row r="12" spans="1:43" ht="16.2" x14ac:dyDescent="0.3">
      <c r="B12" s="163"/>
      <c r="C12" s="163"/>
      <c r="D12" s="165"/>
      <c r="E12" s="165"/>
      <c r="F12" s="88" t="s">
        <v>881</v>
      </c>
      <c r="G12" s="89"/>
      <c r="H12" s="89"/>
      <c r="I12" s="89"/>
      <c r="J12" s="89"/>
      <c r="K12" s="89"/>
      <c r="L12" s="90"/>
      <c r="M12" s="163"/>
      <c r="Q12" s="91" t="s">
        <v>0</v>
      </c>
      <c r="R12" s="92" t="s">
        <v>1</v>
      </c>
      <c r="S12" s="35" t="s">
        <v>596</v>
      </c>
      <c r="T12" s="35" t="s">
        <v>605</v>
      </c>
      <c r="U12" s="80" t="s">
        <v>599</v>
      </c>
      <c r="V12" s="80" t="s">
        <v>600</v>
      </c>
      <c r="W12" s="80" t="s">
        <v>4</v>
      </c>
      <c r="X12" s="81" t="s">
        <v>601</v>
      </c>
      <c r="Y12" s="81" t="s">
        <v>602</v>
      </c>
      <c r="Z12" s="81" t="s">
        <v>603</v>
      </c>
      <c r="AA12" s="93" t="s">
        <v>604</v>
      </c>
      <c r="AB12" s="36" t="s">
        <v>11</v>
      </c>
      <c r="AD12" s="34" t="str">
        <f ca="1">SUBSTITUTE(profilKelas!B15,"Nama ","")&amp;" "&amp;IF(ISBLANK(profilKelas!H13),"",profilKelas!H13)</f>
        <v>Guru Wali Kelas Pilih Kelas dan Rombel</v>
      </c>
      <c r="AE12" s="34"/>
      <c r="AF12" s="34" t="str">
        <f>UPPER(": "&amp;profilKelas!F15)</f>
        <v xml:space="preserve">: </v>
      </c>
      <c r="AG12" s="34"/>
      <c r="AH12" s="34"/>
      <c r="AI12" s="34"/>
      <c r="AJ12" s="34"/>
      <c r="AK12" s="34"/>
      <c r="AL12" s="34"/>
      <c r="AM12" s="34"/>
      <c r="AN12" s="34"/>
      <c r="AO12" s="34"/>
      <c r="AP12" s="13"/>
      <c r="AQ12" s="13"/>
    </row>
    <row r="13" spans="1:43" x14ac:dyDescent="0.3">
      <c r="B13" s="4">
        <f>IF(ROW(A1)&lt;=profilKelas!$F$14,ROW(A1),"")</f>
        <v>1</v>
      </c>
      <c r="C13" s="94" t="str">
        <f>IF(ISBLANK(identitasMurid!C6),"",identitasMurid!C6)</f>
        <v/>
      </c>
      <c r="D13" s="6" t="str">
        <f>IF(ISBLANK(identitasMurid!D6),"",identitasMurid!D6)</f>
        <v/>
      </c>
      <c r="E13" s="95"/>
      <c r="F13" s="95"/>
      <c r="G13" s="95"/>
      <c r="H13" s="95"/>
      <c r="I13" s="95"/>
      <c r="J13" s="95"/>
      <c r="K13" s="95"/>
      <c r="L13" s="95"/>
      <c r="M13" s="95"/>
      <c r="Q13" s="5">
        <f>IF(ROW(A1)&lt;=profilKelas!$F$14,ROW(A1),"")</f>
        <v>1</v>
      </c>
      <c r="R13" s="12" t="str">
        <f t="shared" ref="R13:R57" si="0">C13</f>
        <v/>
      </c>
      <c r="S13" s="108" t="str">
        <f t="shared" ref="S13:S19" si="1">IF(LEN(B13)=0,"",IF(ISBLANK(E13),"Status Siswa Kosong",E13))</f>
        <v>Status Siswa Kosong</v>
      </c>
      <c r="T13" s="108" t="str">
        <f t="shared" ref="T13:T57" si="2">IF(ISBLANK(D13),"",D13)</f>
        <v/>
      </c>
      <c r="U13" s="108" t="str">
        <f t="shared" ref="U13:AA28" si="3">IF(LEN($B13)=0,"",IF(LEN($C13)=0,"Nama Siswa Kosong",IF($E13="","Status Siswa Kosong",IF($E13&lt;&gt;"Aktif","Siswa Tidak Aktif",
IF(ISBLANK(F13),"Belum mengisi",IF(F13&gt;=20,"Sudah terbiasa","Belum terbiasa"))))))</f>
        <v>Nama Siswa Kosong</v>
      </c>
      <c r="V13" s="108" t="str">
        <f t="shared" si="3"/>
        <v>Nama Siswa Kosong</v>
      </c>
      <c r="W13" s="108" t="str">
        <f t="shared" si="3"/>
        <v>Nama Siswa Kosong</v>
      </c>
      <c r="X13" s="108" t="str">
        <f t="shared" si="3"/>
        <v>Nama Siswa Kosong</v>
      </c>
      <c r="Y13" s="108" t="str">
        <f t="shared" si="3"/>
        <v>Nama Siswa Kosong</v>
      </c>
      <c r="Z13" s="108" t="str">
        <f t="shared" si="3"/>
        <v>Nama Siswa Kosong</v>
      </c>
      <c r="AA13" s="108" t="str">
        <f t="shared" si="3"/>
        <v>Nama Siswa Kosong</v>
      </c>
      <c r="AB13" s="108" t="str" cm="1">
        <f t="array" ref="AB13">IF(LEN($B13)=0,"",IF(LEN(C13)=0,"Nama Siswa Kosong",IF($E13="","Status Siswa Kosong",IF(S13&lt;&gt;"Aktif","Siswa Tidak Aktif",
IF(OR(U13:AA13="Belum mengisi"),"Belum mengisi",IF(AND(U13:AA13="Sudah terbiasa"),"Sudah terbiasa","Belum terbiasa"))))))</f>
        <v>Nama Siswa Kosong</v>
      </c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</row>
    <row r="14" spans="1:43" ht="15.6" hidden="1" customHeight="1" x14ac:dyDescent="0.3">
      <c r="B14" s="4" t="str">
        <f>IF(ROW(A2)&lt;=profilKelas!$F$14,ROW(A2),"")</f>
        <v/>
      </c>
      <c r="C14" s="94" t="str">
        <f>IF(ISBLANK(identitasMurid!C7),"",identitasMurid!C7)</f>
        <v/>
      </c>
      <c r="D14" s="6" t="str">
        <f>IF(ISBLANK(identitasMurid!D7),"",identitasMurid!D7)</f>
        <v/>
      </c>
      <c r="E14" s="95"/>
      <c r="F14" s="95"/>
      <c r="G14" s="95"/>
      <c r="H14" s="95"/>
      <c r="I14" s="95"/>
      <c r="J14" s="95"/>
      <c r="K14" s="95"/>
      <c r="L14" s="95"/>
      <c r="M14" s="95"/>
      <c r="Q14" s="5" t="str">
        <f>IF(ROW(A2)&lt;=profilKelas!$F$14,ROW(A2),"")</f>
        <v/>
      </c>
      <c r="R14" s="12" t="str">
        <f t="shared" si="0"/>
        <v/>
      </c>
      <c r="S14" s="108" t="str">
        <f t="shared" si="1"/>
        <v/>
      </c>
      <c r="T14" s="108" t="str">
        <f t="shared" si="2"/>
        <v/>
      </c>
      <c r="U14" s="108" t="str">
        <f t="shared" si="3"/>
        <v/>
      </c>
      <c r="V14" s="108" t="str">
        <f t="shared" si="3"/>
        <v/>
      </c>
      <c r="W14" s="108" t="str">
        <f t="shared" si="3"/>
        <v/>
      </c>
      <c r="X14" s="108" t="str">
        <f t="shared" si="3"/>
        <v/>
      </c>
      <c r="Y14" s="108" t="str">
        <f t="shared" si="3"/>
        <v/>
      </c>
      <c r="Z14" s="108" t="str">
        <f t="shared" si="3"/>
        <v/>
      </c>
      <c r="AA14" s="108" t="str">
        <f t="shared" si="3"/>
        <v/>
      </c>
      <c r="AB14" s="108" t="str" cm="1">
        <f t="array" ref="AB14">IF(LEN($B14)=0,"",IF(LEN(C14)=0,"Nama Siswa Kosong",IF($E14="","Status Siswa Kosong",IF(S14&lt;&gt;"Aktif","Siswa Tidak Aktif",
IF(OR(U14:AA14="Belum mengisi"),"Belum mengisi",IF(AND(U14:AA14="Sudah terbiasa"),"Sudah terbiasa","Belum terbiasa"))))))</f>
        <v/>
      </c>
      <c r="AD14" s="162" t="s">
        <v>0</v>
      </c>
      <c r="AE14" s="162" t="s">
        <v>831</v>
      </c>
      <c r="AF14" s="164" t="s">
        <v>833</v>
      </c>
      <c r="AG14" s="173" t="s">
        <v>596</v>
      </c>
      <c r="AH14" s="174"/>
      <c r="AI14" s="174"/>
      <c r="AJ14" s="175"/>
      <c r="AK14" s="13"/>
      <c r="AL14" s="158"/>
      <c r="AM14" s="158"/>
      <c r="AN14" s="158"/>
      <c r="AO14" s="158"/>
      <c r="AP14" s="158"/>
      <c r="AQ14" s="158"/>
    </row>
    <row r="15" spans="1:43" ht="15.6" hidden="1" customHeight="1" x14ac:dyDescent="0.3">
      <c r="B15" s="4" t="str">
        <f>IF(ROW(A3)&lt;=profilKelas!$F$14,ROW(A3),"")</f>
        <v/>
      </c>
      <c r="C15" s="94" t="str">
        <f>IF(ISBLANK(identitasMurid!C8),"",identitasMurid!C8)</f>
        <v/>
      </c>
      <c r="D15" s="6" t="str">
        <f>IF(ISBLANK(identitasMurid!D8),"",identitasMurid!D8)</f>
        <v/>
      </c>
      <c r="E15" s="95"/>
      <c r="F15" s="95"/>
      <c r="G15" s="95"/>
      <c r="H15" s="95"/>
      <c r="I15" s="95"/>
      <c r="J15" s="95"/>
      <c r="K15" s="95"/>
      <c r="L15" s="95"/>
      <c r="M15" s="95"/>
      <c r="Q15" s="5" t="str">
        <f>IF(ROW(A3)&lt;=profilKelas!$F$14,ROW(A3),"")</f>
        <v/>
      </c>
      <c r="R15" s="12" t="str">
        <f t="shared" si="0"/>
        <v/>
      </c>
      <c r="S15" s="108" t="str">
        <f t="shared" si="1"/>
        <v/>
      </c>
      <c r="T15" s="108" t="str">
        <f t="shared" si="2"/>
        <v/>
      </c>
      <c r="U15" s="108" t="str">
        <f t="shared" si="3"/>
        <v/>
      </c>
      <c r="V15" s="108" t="str">
        <f t="shared" si="3"/>
        <v/>
      </c>
      <c r="W15" s="108" t="str">
        <f t="shared" si="3"/>
        <v/>
      </c>
      <c r="X15" s="108" t="str">
        <f t="shared" si="3"/>
        <v/>
      </c>
      <c r="Y15" s="108" t="str">
        <f t="shared" si="3"/>
        <v/>
      </c>
      <c r="Z15" s="108" t="str">
        <f t="shared" si="3"/>
        <v/>
      </c>
      <c r="AA15" s="108" t="str">
        <f t="shared" si="3"/>
        <v/>
      </c>
      <c r="AB15" s="108" t="str" cm="1">
        <f t="array" ref="AB15">IF(LEN($B15)=0,"",IF(LEN(C15)=0,"Nama Siswa Kosong",IF($E15="","Status Siswa Kosong",IF(S15&lt;&gt;"Aktif","Siswa Tidak Aktif",
IF(OR(U15:AA15="Belum mengisi"),"Belum mengisi",IF(AND(U15:AA15="Sudah terbiasa"),"Sudah terbiasa","Belum terbiasa"))))))</f>
        <v/>
      </c>
      <c r="AD15" s="163"/>
      <c r="AE15" s="163"/>
      <c r="AF15" s="165"/>
      <c r="AG15" s="148" t="s">
        <v>597</v>
      </c>
      <c r="AH15" s="148"/>
      <c r="AI15" s="148" t="s">
        <v>598</v>
      </c>
      <c r="AJ15" s="148"/>
      <c r="AK15" s="13"/>
      <c r="AL15" s="158"/>
      <c r="AM15" s="158"/>
      <c r="AN15" s="158"/>
      <c r="AO15" s="158"/>
      <c r="AP15" s="158"/>
      <c r="AQ15" s="158"/>
    </row>
    <row r="16" spans="1:43" hidden="1" x14ac:dyDescent="0.3">
      <c r="B16" s="4" t="str">
        <f>IF(ROW(A4)&lt;=profilKelas!$F$14,ROW(A4),"")</f>
        <v/>
      </c>
      <c r="C16" s="94" t="str">
        <f>IF(ISBLANK(identitasMurid!C9),"",identitasMurid!C9)</f>
        <v/>
      </c>
      <c r="D16" s="6" t="str">
        <f>IF(ISBLANK(identitasMurid!D9),"",identitasMurid!D9)</f>
        <v/>
      </c>
      <c r="E16" s="95"/>
      <c r="F16" s="95"/>
      <c r="G16" s="95"/>
      <c r="H16" s="95"/>
      <c r="I16" s="95"/>
      <c r="J16" s="95"/>
      <c r="K16" s="95"/>
      <c r="L16" s="95"/>
      <c r="M16" s="95"/>
      <c r="Q16" s="5" t="str">
        <f>IF(ROW(A4)&lt;=profilKelas!$F$14,ROW(A4),"")</f>
        <v/>
      </c>
      <c r="R16" s="12" t="str">
        <f t="shared" si="0"/>
        <v/>
      </c>
      <c r="S16" s="108" t="str">
        <f t="shared" si="1"/>
        <v/>
      </c>
      <c r="T16" s="108" t="str">
        <f t="shared" si="2"/>
        <v/>
      </c>
      <c r="U16" s="108" t="str">
        <f t="shared" si="3"/>
        <v/>
      </c>
      <c r="V16" s="108" t="str">
        <f t="shared" si="3"/>
        <v/>
      </c>
      <c r="W16" s="108" t="str">
        <f t="shared" si="3"/>
        <v/>
      </c>
      <c r="X16" s="108" t="str">
        <f t="shared" si="3"/>
        <v/>
      </c>
      <c r="Y16" s="108" t="str">
        <f t="shared" si="3"/>
        <v/>
      </c>
      <c r="Z16" s="108" t="str">
        <f t="shared" si="3"/>
        <v/>
      </c>
      <c r="AA16" s="108" t="str">
        <f t="shared" si="3"/>
        <v/>
      </c>
      <c r="AB16" s="108" t="str" cm="1">
        <f t="array" ref="AB16">IF(LEN($B16)=0,"",IF(LEN(C16)=0,"Nama Siswa Kosong",IF($E16="","Status Siswa Kosong",IF(S16&lt;&gt;"Aktif","Siswa Tidak Aktif",
IF(OR(U16:AA16="Belum mengisi"),"Belum mengisi",IF(AND(U16:AA16="Sudah terbiasa"),"Sudah terbiasa","Belum terbiasa"))))))</f>
        <v/>
      </c>
      <c r="AD16" s="41">
        <v>1</v>
      </c>
      <c r="AE16" s="41" t="s">
        <v>607</v>
      </c>
      <c r="AF16" s="10">
        <f>COUNTIF(JulPL,Perempuan)</f>
        <v>0</v>
      </c>
      <c r="AG16" s="96">
        <f>COUNTIFS(JulKategoriAkhir,SudahTerbiasa,JulPL,Perempuan)</f>
        <v>0</v>
      </c>
      <c r="AH16" s="96"/>
      <c r="AI16" s="96">
        <f>COUNTIFS(JulKategoriAkhir,BelumTerbiasa,JulPL,Perempuan)</f>
        <v>0</v>
      </c>
      <c r="AJ16" s="96"/>
      <c r="AK16" s="13"/>
      <c r="AL16" s="158"/>
      <c r="AM16" s="158"/>
      <c r="AN16" s="158"/>
      <c r="AO16" s="158"/>
      <c r="AP16" s="158"/>
      <c r="AQ16" s="158"/>
    </row>
    <row r="17" spans="2:43" hidden="1" x14ac:dyDescent="0.3">
      <c r="B17" s="4" t="str">
        <f>IF(ROW(A5)&lt;=profilKelas!$F$14,ROW(A5),"")</f>
        <v/>
      </c>
      <c r="C17" s="94" t="str">
        <f>IF(ISBLANK(identitasMurid!C10),"",identitasMurid!C10)</f>
        <v/>
      </c>
      <c r="D17" s="6" t="str">
        <f>IF(ISBLANK(identitasMurid!D10),"",identitasMurid!D10)</f>
        <v/>
      </c>
      <c r="E17" s="95"/>
      <c r="F17" s="95"/>
      <c r="G17" s="95"/>
      <c r="H17" s="95"/>
      <c r="I17" s="95"/>
      <c r="J17" s="95"/>
      <c r="K17" s="95"/>
      <c r="L17" s="95"/>
      <c r="M17" s="95"/>
      <c r="Q17" s="5" t="str">
        <f>IF(ROW(A5)&lt;=profilKelas!$F$14,ROW(A5),"")</f>
        <v/>
      </c>
      <c r="R17" s="12" t="str">
        <f t="shared" si="0"/>
        <v/>
      </c>
      <c r="S17" s="108" t="str">
        <f t="shared" si="1"/>
        <v/>
      </c>
      <c r="T17" s="108" t="str">
        <f t="shared" si="2"/>
        <v/>
      </c>
      <c r="U17" s="108" t="str">
        <f t="shared" si="3"/>
        <v/>
      </c>
      <c r="V17" s="108" t="str">
        <f t="shared" si="3"/>
        <v/>
      </c>
      <c r="W17" s="108" t="str">
        <f t="shared" si="3"/>
        <v/>
      </c>
      <c r="X17" s="108" t="str">
        <f t="shared" si="3"/>
        <v/>
      </c>
      <c r="Y17" s="108" t="str">
        <f t="shared" si="3"/>
        <v/>
      </c>
      <c r="Z17" s="108" t="str">
        <f t="shared" si="3"/>
        <v/>
      </c>
      <c r="AA17" s="108" t="str">
        <f t="shared" si="3"/>
        <v/>
      </c>
      <c r="AB17" s="108" t="str" cm="1">
        <f t="array" ref="AB17">IF(LEN($B17)=0,"",IF(LEN(C17)=0,"Nama Siswa Kosong",IF($E17="","Status Siswa Kosong",IF(S17&lt;&gt;"Aktif","Siswa Tidak Aktif",
IF(OR(U17:AA17="Belum mengisi"),"Belum mengisi",IF(AND(U17:AA17="Sudah terbiasa"),"Sudah terbiasa","Belum terbiasa"))))))</f>
        <v/>
      </c>
      <c r="AD17" s="41">
        <v>2</v>
      </c>
      <c r="AE17" s="41" t="s">
        <v>608</v>
      </c>
      <c r="AF17" s="97">
        <f>COUNTIF(JulPL,Laki_Laki)</f>
        <v>0</v>
      </c>
      <c r="AG17" s="96">
        <f>COUNTIFS(JulKategoriAkhir,SudahTerbiasa,JulPL,Laki_Laki)</f>
        <v>0</v>
      </c>
      <c r="AH17" s="96"/>
      <c r="AI17" s="96">
        <f>COUNTIFS(JulKategoriAkhir,BelumTerbiasa,JulPL,Laki_Laki)</f>
        <v>0</v>
      </c>
      <c r="AJ17" s="96"/>
      <c r="AK17" s="13"/>
      <c r="AL17" s="158"/>
      <c r="AM17" s="158"/>
      <c r="AN17" s="158"/>
      <c r="AO17" s="158"/>
      <c r="AP17" s="158"/>
      <c r="AQ17" s="158"/>
    </row>
    <row r="18" spans="2:43" hidden="1" x14ac:dyDescent="0.3">
      <c r="B18" s="4" t="str">
        <f>IF(ROW(A6)&lt;=profilKelas!$F$14,ROW(A6),"")</f>
        <v/>
      </c>
      <c r="C18" s="94" t="str">
        <f>IF(ISBLANK(identitasMurid!C11),"",identitasMurid!C11)</f>
        <v/>
      </c>
      <c r="D18" s="6" t="str">
        <f>IF(ISBLANK(identitasMurid!D11),"",identitasMurid!D11)</f>
        <v/>
      </c>
      <c r="E18" s="95"/>
      <c r="F18" s="95"/>
      <c r="G18" s="95"/>
      <c r="H18" s="95"/>
      <c r="I18" s="95"/>
      <c r="J18" s="95"/>
      <c r="K18" s="95"/>
      <c r="L18" s="95"/>
      <c r="M18" s="95"/>
      <c r="Q18" s="5" t="str">
        <f>IF(ROW(A6)&lt;=profilKelas!$F$14,ROW(A6),"")</f>
        <v/>
      </c>
      <c r="R18" s="12" t="str">
        <f t="shared" si="0"/>
        <v/>
      </c>
      <c r="S18" s="108" t="str">
        <f t="shared" si="1"/>
        <v/>
      </c>
      <c r="T18" s="108" t="str">
        <f t="shared" si="2"/>
        <v/>
      </c>
      <c r="U18" s="108" t="str">
        <f t="shared" si="3"/>
        <v/>
      </c>
      <c r="V18" s="108" t="str">
        <f t="shared" si="3"/>
        <v/>
      </c>
      <c r="W18" s="108" t="str">
        <f t="shared" si="3"/>
        <v/>
      </c>
      <c r="X18" s="108" t="str">
        <f t="shared" si="3"/>
        <v/>
      </c>
      <c r="Y18" s="108" t="str">
        <f t="shared" si="3"/>
        <v/>
      </c>
      <c r="Z18" s="108" t="str">
        <f t="shared" si="3"/>
        <v/>
      </c>
      <c r="AA18" s="108" t="str">
        <f t="shared" si="3"/>
        <v/>
      </c>
      <c r="AB18" s="108" t="str" cm="1">
        <f t="array" ref="AB18">IF(LEN($B18)=0,"",IF(LEN(C18)=0,"Nama Siswa Kosong",IF($E18="","Status Siswa Kosong",IF(S18&lt;&gt;"Aktif","Siswa Tidak Aktif",
IF(OR(U18:AA18="Belum mengisi"),"Belum mengisi",IF(AND(U18:AA18="Sudah terbiasa"),"Sudah terbiasa","Belum terbiasa"))))))</f>
        <v/>
      </c>
      <c r="AD18" s="160" t="s">
        <v>832</v>
      </c>
      <c r="AE18" s="160"/>
      <c r="AF18" s="3">
        <f>SUM(AF16:AF17)</f>
        <v>0</v>
      </c>
      <c r="AG18" s="96">
        <f>SUM(AG16:AG17)</f>
        <v>0</v>
      </c>
      <c r="AH18" s="96"/>
      <c r="AI18" s="96">
        <f>SUM(AI16:AI17)</f>
        <v>0</v>
      </c>
      <c r="AJ18" s="96"/>
      <c r="AK18" s="13"/>
      <c r="AL18" s="158"/>
      <c r="AM18" s="158"/>
      <c r="AN18" s="158"/>
      <c r="AO18" s="158"/>
      <c r="AP18" s="158"/>
      <c r="AQ18" s="158"/>
    </row>
    <row r="19" spans="2:43" hidden="1" x14ac:dyDescent="0.3">
      <c r="B19" s="4" t="str">
        <f>IF(ROW(A7)&lt;=profilKelas!$F$14,ROW(A7),"")</f>
        <v/>
      </c>
      <c r="C19" s="94" t="str">
        <f>IF(ISBLANK(identitasMurid!C12),"",identitasMurid!C12)</f>
        <v/>
      </c>
      <c r="D19" s="6" t="str">
        <f>IF(ISBLANK(identitasMurid!D12),"",identitasMurid!D12)</f>
        <v/>
      </c>
      <c r="E19" s="95"/>
      <c r="F19" s="95"/>
      <c r="G19" s="95"/>
      <c r="H19" s="95"/>
      <c r="I19" s="95"/>
      <c r="J19" s="95"/>
      <c r="K19" s="95"/>
      <c r="L19" s="95"/>
      <c r="M19" s="95"/>
      <c r="Q19" s="5" t="str">
        <f>IF(ROW(A7)&lt;=profilKelas!$F$14,ROW(A7),"")</f>
        <v/>
      </c>
      <c r="R19" s="12" t="str">
        <f t="shared" si="0"/>
        <v/>
      </c>
      <c r="S19" s="108" t="str">
        <f t="shared" si="1"/>
        <v/>
      </c>
      <c r="T19" s="108" t="str">
        <f t="shared" si="2"/>
        <v/>
      </c>
      <c r="U19" s="108" t="str">
        <f t="shared" si="3"/>
        <v/>
      </c>
      <c r="V19" s="108" t="str">
        <f t="shared" si="3"/>
        <v/>
      </c>
      <c r="W19" s="108" t="str">
        <f t="shared" si="3"/>
        <v/>
      </c>
      <c r="X19" s="108" t="str">
        <f t="shared" si="3"/>
        <v/>
      </c>
      <c r="Y19" s="108" t="str">
        <f t="shared" si="3"/>
        <v/>
      </c>
      <c r="Z19" s="108" t="str">
        <f t="shared" si="3"/>
        <v/>
      </c>
      <c r="AA19" s="108" t="str">
        <f t="shared" si="3"/>
        <v/>
      </c>
      <c r="AB19" s="108" t="str" cm="1">
        <f t="array" ref="AB19">IF(LEN($B19)=0,"",IF(LEN(C19)=0,"Nama Siswa Kosong",IF($E19="","Status Siswa Kosong",IF(S19&lt;&gt;"Aktif","Siswa Tidak Aktif",
IF(OR(U19:AA19="Belum mengisi"),"Belum mengisi",IF(AND(U19:AA19="Sudah terbiasa"),"Sudah terbiasa","Belum terbiasa"))))))</f>
        <v/>
      </c>
      <c r="AD19" s="13"/>
      <c r="AE19" s="13"/>
      <c r="AF19" s="13"/>
      <c r="AG19" s="13"/>
      <c r="AH19" s="13"/>
      <c r="AI19" s="13"/>
      <c r="AJ19" s="13"/>
      <c r="AK19" s="13"/>
      <c r="AL19" s="43"/>
      <c r="AM19" s="43"/>
      <c r="AN19" s="43"/>
      <c r="AO19" s="43"/>
      <c r="AP19" s="43"/>
      <c r="AQ19" s="43"/>
    </row>
    <row r="20" spans="2:43" hidden="1" x14ac:dyDescent="0.3">
      <c r="B20" s="4" t="str">
        <f>IF(ROW(A8)&lt;=profilKelas!$F$14,ROW(A8),"")</f>
        <v/>
      </c>
      <c r="C20" s="94" t="str">
        <f>IF(ISBLANK(identitasMurid!C13),"",identitasMurid!C13)</f>
        <v/>
      </c>
      <c r="D20" s="6" t="str">
        <f>IF(ISBLANK(identitasMurid!D13),"",identitasMurid!D13)</f>
        <v/>
      </c>
      <c r="E20" s="95"/>
      <c r="F20" s="95"/>
      <c r="G20" s="95"/>
      <c r="H20" s="95"/>
      <c r="I20" s="95"/>
      <c r="J20" s="95"/>
      <c r="K20" s="95"/>
      <c r="L20" s="95"/>
      <c r="M20" s="95"/>
      <c r="Q20" s="5" t="str">
        <f>IF(ROW(A8)&lt;=profilKelas!$F$14,ROW(A8),"")</f>
        <v/>
      </c>
      <c r="R20" s="12" t="str">
        <f t="shared" si="0"/>
        <v/>
      </c>
      <c r="S20" s="108" t="str">
        <f>IF(LEN(B20)=0,"",IF(ISBLANK(E20),"Status Siswa Kosong",E20))</f>
        <v/>
      </c>
      <c r="T20" s="108" t="str">
        <f t="shared" si="2"/>
        <v/>
      </c>
      <c r="U20" s="108" t="str">
        <f t="shared" si="3"/>
        <v/>
      </c>
      <c r="V20" s="108" t="str">
        <f t="shared" si="3"/>
        <v/>
      </c>
      <c r="W20" s="108" t="str">
        <f t="shared" si="3"/>
        <v/>
      </c>
      <c r="X20" s="108" t="str">
        <f t="shared" si="3"/>
        <v/>
      </c>
      <c r="Y20" s="108" t="str">
        <f t="shared" si="3"/>
        <v/>
      </c>
      <c r="Z20" s="108" t="str">
        <f t="shared" si="3"/>
        <v/>
      </c>
      <c r="AA20" s="108" t="str">
        <f t="shared" si="3"/>
        <v/>
      </c>
      <c r="AB20" s="108" t="str" cm="1">
        <f t="array" ref="AB20">IF(LEN($B20)=0,"",IF(LEN(C20)=0,"Nama Siswa Kosong",IF($E20="","Status Siswa Kosong",IF(S20&lt;&gt;"Aktif","Siswa Tidak Aktif",
IF(OR(U20:AA20="Belum mengisi"),"Belum mengisi",IF(AND(U20:AA20="Sudah terbiasa"),"Sudah terbiasa","Belum terbiasa"))))))</f>
        <v/>
      </c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</row>
    <row r="21" spans="2:43" ht="15.75" hidden="1" customHeight="1" x14ac:dyDescent="0.3">
      <c r="B21" s="4" t="str">
        <f>IF(ROW(A9)&lt;=profilKelas!$F$14,ROW(A9),"")</f>
        <v/>
      </c>
      <c r="C21" s="94" t="str">
        <f>IF(ISBLANK(identitasMurid!C14),"",identitasMurid!C14)</f>
        <v/>
      </c>
      <c r="D21" s="6" t="str">
        <f>IF(ISBLANK(identitasMurid!D14),"",identitasMurid!D14)</f>
        <v/>
      </c>
      <c r="E21" s="95"/>
      <c r="F21" s="95"/>
      <c r="G21" s="95"/>
      <c r="H21" s="95"/>
      <c r="I21" s="95"/>
      <c r="J21" s="95"/>
      <c r="K21" s="95"/>
      <c r="L21" s="95"/>
      <c r="M21" s="95"/>
      <c r="Q21" s="5" t="str">
        <f>IF(ROW(A9)&lt;=profilKelas!$F$14,ROW(A9),"")</f>
        <v/>
      </c>
      <c r="R21" s="12" t="str">
        <f t="shared" si="0"/>
        <v/>
      </c>
      <c r="S21" s="108" t="str">
        <f t="shared" ref="S21:S57" si="4">IF(LEN(B21)=0,"",IF(ISBLANK(E21),"Status Siswa Kosong",E21))</f>
        <v/>
      </c>
      <c r="T21" s="108" t="str">
        <f t="shared" si="2"/>
        <v/>
      </c>
      <c r="U21" s="108" t="str">
        <f t="shared" si="3"/>
        <v/>
      </c>
      <c r="V21" s="108" t="str">
        <f t="shared" si="3"/>
        <v/>
      </c>
      <c r="W21" s="108" t="str">
        <f t="shared" si="3"/>
        <v/>
      </c>
      <c r="X21" s="108" t="str">
        <f t="shared" si="3"/>
        <v/>
      </c>
      <c r="Y21" s="108" t="str">
        <f t="shared" si="3"/>
        <v/>
      </c>
      <c r="Z21" s="108" t="str">
        <f t="shared" si="3"/>
        <v/>
      </c>
      <c r="AA21" s="108" t="str">
        <f t="shared" si="3"/>
        <v/>
      </c>
      <c r="AB21" s="108" t="str" cm="1">
        <f t="array" ref="AB21">IF(LEN($B21)=0,"",IF(LEN(C21)=0,"Nama Siswa Kosong",IF($E21="","Status Siswa Kosong",IF(S21&lt;&gt;"Aktif","Siswa Tidak Aktif",
IF(OR(U21:AA21="Belum mengisi"),"Belum mengisi",IF(AND(U21:AA21="Sudah terbiasa"),"Sudah terbiasa","Belum terbiasa"))))))</f>
        <v/>
      </c>
      <c r="AD21" s="13"/>
      <c r="AE21" s="13"/>
      <c r="AF21" s="13"/>
      <c r="AG21" s="173" t="s">
        <v>596</v>
      </c>
      <c r="AH21" s="174"/>
      <c r="AI21" s="174"/>
      <c r="AJ21" s="175"/>
      <c r="AK21" s="13"/>
      <c r="AL21" s="13"/>
      <c r="AM21" s="13"/>
      <c r="AN21" s="13"/>
      <c r="AO21" s="13"/>
      <c r="AP21" s="13"/>
      <c r="AQ21" s="13"/>
    </row>
    <row r="22" spans="2:43" hidden="1" x14ac:dyDescent="0.3">
      <c r="B22" s="4" t="str">
        <f>IF(ROW(A10)&lt;=profilKelas!$F$14,ROW(A10),"")</f>
        <v/>
      </c>
      <c r="C22" s="94" t="str">
        <f>IF(ISBLANK(identitasMurid!C15),"",identitasMurid!C15)</f>
        <v/>
      </c>
      <c r="D22" s="6" t="str">
        <f>IF(ISBLANK(identitasMurid!D15),"",identitasMurid!D15)</f>
        <v/>
      </c>
      <c r="E22" s="95"/>
      <c r="F22" s="95"/>
      <c r="G22" s="95"/>
      <c r="H22" s="95"/>
      <c r="I22" s="95"/>
      <c r="J22" s="95"/>
      <c r="K22" s="95"/>
      <c r="L22" s="95"/>
      <c r="M22" s="95"/>
      <c r="Q22" s="5" t="str">
        <f>IF(ROW(A10)&lt;=profilKelas!$F$14,ROW(A10),"")</f>
        <v/>
      </c>
      <c r="R22" s="12" t="str">
        <f t="shared" si="0"/>
        <v/>
      </c>
      <c r="S22" s="108" t="str">
        <f t="shared" si="4"/>
        <v/>
      </c>
      <c r="T22" s="108" t="str">
        <f t="shared" si="2"/>
        <v/>
      </c>
      <c r="U22" s="108" t="str">
        <f t="shared" si="3"/>
        <v/>
      </c>
      <c r="V22" s="108" t="str">
        <f t="shared" si="3"/>
        <v/>
      </c>
      <c r="W22" s="108" t="str">
        <f t="shared" si="3"/>
        <v/>
      </c>
      <c r="X22" s="108" t="str">
        <f t="shared" si="3"/>
        <v/>
      </c>
      <c r="Y22" s="108" t="str">
        <f t="shared" si="3"/>
        <v/>
      </c>
      <c r="Z22" s="108" t="str">
        <f t="shared" si="3"/>
        <v/>
      </c>
      <c r="AA22" s="108" t="str">
        <f t="shared" si="3"/>
        <v/>
      </c>
      <c r="AB22" s="108" t="str" cm="1">
        <f t="array" ref="AB22">IF(LEN($B22)=0,"",IF(LEN(C22)=0,"Nama Siswa Kosong",IF($E22="","Status Siswa Kosong",IF(S22&lt;&gt;"Aktif","Siswa Tidak Aktif",
IF(OR(U22:AA22="Belum mengisi"),"Belum mengisi",IF(AND(U22:AA22="Sudah terbiasa"),"Sudah terbiasa","Belum terbiasa"))))))</f>
        <v/>
      </c>
      <c r="AD22" s="98" t="s">
        <v>0</v>
      </c>
      <c r="AE22" s="148" t="s">
        <v>18</v>
      </c>
      <c r="AF22" s="148"/>
      <c r="AG22" s="148" t="s">
        <v>597</v>
      </c>
      <c r="AH22" s="148"/>
      <c r="AI22" s="171" t="s">
        <v>598</v>
      </c>
      <c r="AJ22" s="172"/>
      <c r="AK22" s="13"/>
      <c r="AL22" s="13"/>
      <c r="AM22" s="13"/>
      <c r="AN22" s="13"/>
      <c r="AO22" s="13"/>
      <c r="AP22" s="13"/>
      <c r="AQ22" s="13"/>
    </row>
    <row r="23" spans="2:43" hidden="1" x14ac:dyDescent="0.3">
      <c r="B23" s="4" t="str">
        <f>IF(ROW(A11)&lt;=profilKelas!$F$14,ROW(A11),"")</f>
        <v/>
      </c>
      <c r="C23" s="94" t="str">
        <f>IF(ISBLANK(identitasMurid!C16),"",identitasMurid!C16)</f>
        <v/>
      </c>
      <c r="D23" s="6" t="str">
        <f>IF(ISBLANK(identitasMurid!D16),"",identitasMurid!D16)</f>
        <v/>
      </c>
      <c r="E23" s="95"/>
      <c r="F23" s="95"/>
      <c r="G23" s="95"/>
      <c r="H23" s="95"/>
      <c r="I23" s="95"/>
      <c r="J23" s="95"/>
      <c r="K23" s="95"/>
      <c r="L23" s="95"/>
      <c r="M23" s="95"/>
      <c r="Q23" s="5" t="str">
        <f>IF(ROW(A11)&lt;=profilKelas!$F$14,ROW(A11),"")</f>
        <v/>
      </c>
      <c r="R23" s="12" t="str">
        <f t="shared" si="0"/>
        <v/>
      </c>
      <c r="S23" s="108" t="str">
        <f t="shared" si="4"/>
        <v/>
      </c>
      <c r="T23" s="108" t="str">
        <f t="shared" si="2"/>
        <v/>
      </c>
      <c r="U23" s="108" t="str">
        <f t="shared" si="3"/>
        <v/>
      </c>
      <c r="V23" s="108" t="str">
        <f t="shared" si="3"/>
        <v/>
      </c>
      <c r="W23" s="108" t="str">
        <f t="shared" si="3"/>
        <v/>
      </c>
      <c r="X23" s="108" t="str">
        <f t="shared" si="3"/>
        <v/>
      </c>
      <c r="Y23" s="108" t="str">
        <f t="shared" si="3"/>
        <v/>
      </c>
      <c r="Z23" s="108" t="str">
        <f t="shared" si="3"/>
        <v/>
      </c>
      <c r="AA23" s="108" t="str">
        <f t="shared" si="3"/>
        <v/>
      </c>
      <c r="AB23" s="108" t="str" cm="1">
        <f t="array" ref="AB23">IF(LEN($B23)=0,"",IF(LEN(C23)=0,"Nama Siswa Kosong",IF($E23="","Status Siswa Kosong",IF(S23&lt;&gt;"Aktif","Siswa Tidak Aktif",
IF(OR(U23:AA23="Belum mengisi"),"Belum mengisi",IF(AND(U23:AA23="Sudah terbiasa"),"Sudah terbiasa","Belum terbiasa"))))))</f>
        <v/>
      </c>
      <c r="AC23" s="99">
        <f t="shared" ref="AC23:AC29" si="5">RANK(AG23,$AG$23:$AG$29)</f>
        <v>1</v>
      </c>
      <c r="AD23" s="41">
        <v>1</v>
      </c>
      <c r="AE23" s="161" t="s">
        <v>2</v>
      </c>
      <c r="AF23" s="161"/>
      <c r="AG23" s="10">
        <f>COUNTIF(JulBangunPagi,SudahTerbiasa)</f>
        <v>0</v>
      </c>
      <c r="AH23" s="50">
        <f>COUNTIF(JulBangunPagi,SudahTerbiasa)/profilKelas!$F$14</f>
        <v>0</v>
      </c>
      <c r="AI23" s="10">
        <f>COUNTIF(JulBangunPagi,BelumTerbiasa)</f>
        <v>0</v>
      </c>
      <c r="AJ23" s="50">
        <f>AI23/profilKelas!$F$14</f>
        <v>0</v>
      </c>
      <c r="AK23" s="13"/>
      <c r="AL23" s="13"/>
      <c r="AM23" s="13"/>
      <c r="AN23" s="13"/>
      <c r="AO23" s="13"/>
      <c r="AP23" s="13"/>
      <c r="AQ23" s="13"/>
    </row>
    <row r="24" spans="2:43" hidden="1" x14ac:dyDescent="0.3">
      <c r="B24" s="4" t="str">
        <f>IF(ROW(A12)&lt;=profilKelas!$F$14,ROW(A12),"")</f>
        <v/>
      </c>
      <c r="C24" s="94" t="str">
        <f>IF(ISBLANK(identitasMurid!C17),"",identitasMurid!C17)</f>
        <v/>
      </c>
      <c r="D24" s="6" t="str">
        <f>IF(ISBLANK(identitasMurid!D17),"",identitasMurid!D17)</f>
        <v/>
      </c>
      <c r="E24" s="95"/>
      <c r="F24" s="95"/>
      <c r="G24" s="95"/>
      <c r="H24" s="95"/>
      <c r="I24" s="95"/>
      <c r="J24" s="95"/>
      <c r="K24" s="95"/>
      <c r="L24" s="95"/>
      <c r="M24" s="95"/>
      <c r="Q24" s="5" t="str">
        <f>IF(ROW(A12)&lt;=profilKelas!$F$14,ROW(A12),"")</f>
        <v/>
      </c>
      <c r="R24" s="12" t="str">
        <f t="shared" si="0"/>
        <v/>
      </c>
      <c r="S24" s="108" t="str">
        <f t="shared" si="4"/>
        <v/>
      </c>
      <c r="T24" s="108" t="str">
        <f t="shared" si="2"/>
        <v/>
      </c>
      <c r="U24" s="108" t="str">
        <f t="shared" si="3"/>
        <v/>
      </c>
      <c r="V24" s="108" t="str">
        <f t="shared" si="3"/>
        <v/>
      </c>
      <c r="W24" s="108" t="str">
        <f t="shared" si="3"/>
        <v/>
      </c>
      <c r="X24" s="108" t="str">
        <f t="shared" si="3"/>
        <v/>
      </c>
      <c r="Y24" s="108" t="str">
        <f t="shared" si="3"/>
        <v/>
      </c>
      <c r="Z24" s="108" t="str">
        <f t="shared" si="3"/>
        <v/>
      </c>
      <c r="AA24" s="108" t="str">
        <f t="shared" si="3"/>
        <v/>
      </c>
      <c r="AB24" s="108" t="str" cm="1">
        <f t="array" ref="AB24">IF(LEN($B24)=0,"",IF(LEN(C24)=0,"Nama Siswa Kosong",IF($E24="","Status Siswa Kosong",IF(S24&lt;&gt;"Aktif","Siswa Tidak Aktif",
IF(OR(U24:AA24="Belum mengisi"),"Belum mengisi",IF(AND(U24:AA24="Sudah terbiasa"),"Sudah terbiasa","Belum terbiasa"))))))</f>
        <v/>
      </c>
      <c r="AC24" s="99">
        <f t="shared" si="5"/>
        <v>1</v>
      </c>
      <c r="AD24" s="41">
        <v>2</v>
      </c>
      <c r="AE24" s="161" t="s">
        <v>3</v>
      </c>
      <c r="AF24" s="161"/>
      <c r="AG24" s="10">
        <f>COUNTIF(JulTaatBeribadah,SudahTerbiasa)</f>
        <v>0</v>
      </c>
      <c r="AH24" s="50">
        <f>AG24/profilKelas!$F$14</f>
        <v>0</v>
      </c>
      <c r="AI24" s="10">
        <f>COUNTIF(JulTaatBeribadah,BelumTerbiasa)</f>
        <v>0</v>
      </c>
      <c r="AJ24" s="50">
        <f>AI24/profilKelas!$F$14</f>
        <v>0</v>
      </c>
      <c r="AK24" s="13"/>
      <c r="AL24" s="13"/>
      <c r="AM24" s="13"/>
      <c r="AN24" s="13"/>
      <c r="AO24" s="13"/>
      <c r="AP24" s="13"/>
      <c r="AQ24" s="13"/>
    </row>
    <row r="25" spans="2:43" hidden="1" x14ac:dyDescent="0.3">
      <c r="B25" s="4" t="str">
        <f>IF(ROW(A13)&lt;=profilKelas!$F$14,ROW(A13),"")</f>
        <v/>
      </c>
      <c r="C25" s="94" t="str">
        <f>IF(ISBLANK(identitasMurid!C18),"",identitasMurid!C18)</f>
        <v/>
      </c>
      <c r="D25" s="6" t="str">
        <f>IF(ISBLANK(identitasMurid!D18),"",identitasMurid!D18)</f>
        <v/>
      </c>
      <c r="E25" s="95"/>
      <c r="F25" s="95"/>
      <c r="G25" s="95"/>
      <c r="H25" s="95"/>
      <c r="I25" s="95"/>
      <c r="J25" s="95"/>
      <c r="K25" s="95"/>
      <c r="L25" s="95"/>
      <c r="M25" s="95"/>
      <c r="Q25" s="5" t="str">
        <f>IF(ROW(A13)&lt;=profilKelas!$F$14,ROW(A13),"")</f>
        <v/>
      </c>
      <c r="R25" s="12" t="str">
        <f t="shared" si="0"/>
        <v/>
      </c>
      <c r="S25" s="108" t="str">
        <f t="shared" si="4"/>
        <v/>
      </c>
      <c r="T25" s="108" t="str">
        <f t="shared" si="2"/>
        <v/>
      </c>
      <c r="U25" s="108" t="str">
        <f t="shared" si="3"/>
        <v/>
      </c>
      <c r="V25" s="108" t="str">
        <f t="shared" si="3"/>
        <v/>
      </c>
      <c r="W25" s="108" t="str">
        <f t="shared" si="3"/>
        <v/>
      </c>
      <c r="X25" s="108" t="str">
        <f t="shared" si="3"/>
        <v/>
      </c>
      <c r="Y25" s="108" t="str">
        <f t="shared" si="3"/>
        <v/>
      </c>
      <c r="Z25" s="108" t="str">
        <f t="shared" si="3"/>
        <v/>
      </c>
      <c r="AA25" s="108" t="str">
        <f t="shared" si="3"/>
        <v/>
      </c>
      <c r="AB25" s="108" t="str" cm="1">
        <f t="array" ref="AB25">IF(LEN($B25)=0,"",IF(LEN(C25)=0,"Nama Siswa Kosong",IF($E25="","Status Siswa Kosong",IF(S25&lt;&gt;"Aktif","Siswa Tidak Aktif",
IF(OR(U25:AA25="Belum mengisi"),"Belum mengisi",IF(AND(U25:AA25="Sudah terbiasa"),"Sudah terbiasa","Belum terbiasa"))))))</f>
        <v/>
      </c>
      <c r="AC25" s="99">
        <f t="shared" si="5"/>
        <v>1</v>
      </c>
      <c r="AD25" s="41">
        <v>3</v>
      </c>
      <c r="AE25" s="161" t="s">
        <v>4</v>
      </c>
      <c r="AF25" s="161"/>
      <c r="AG25" s="10">
        <f>COUNTIF(JulBerolahraga,SudahTerbiasa)</f>
        <v>0</v>
      </c>
      <c r="AH25" s="50">
        <f>AG25/profilKelas!$F$14</f>
        <v>0</v>
      </c>
      <c r="AI25" s="10">
        <f>COUNTIF(JulBerolahraga,BelumTerbiasa)</f>
        <v>0</v>
      </c>
      <c r="AJ25" s="50">
        <f>AI25/profilKelas!$F$14</f>
        <v>0</v>
      </c>
      <c r="AK25" s="13"/>
      <c r="AL25" s="13"/>
      <c r="AM25" s="13"/>
      <c r="AN25" s="13"/>
      <c r="AO25" s="13"/>
      <c r="AP25" s="13"/>
      <c r="AQ25" s="13"/>
    </row>
    <row r="26" spans="2:43" hidden="1" x14ac:dyDescent="0.3">
      <c r="B26" s="4" t="str">
        <f>IF(ROW(A14)&lt;=profilKelas!$F$14,ROW(A14),"")</f>
        <v/>
      </c>
      <c r="C26" s="94" t="str">
        <f>IF(ISBLANK(identitasMurid!C19),"",identitasMurid!C19)</f>
        <v/>
      </c>
      <c r="D26" s="6" t="str">
        <f>IF(ISBLANK(identitasMurid!D19),"",identitasMurid!D19)</f>
        <v/>
      </c>
      <c r="E26" s="95"/>
      <c r="F26" s="95"/>
      <c r="G26" s="95"/>
      <c r="H26" s="95"/>
      <c r="I26" s="95"/>
      <c r="J26" s="95"/>
      <c r="K26" s="95"/>
      <c r="L26" s="95"/>
      <c r="M26" s="95"/>
      <c r="Q26" s="5" t="str">
        <f>IF(ROW(A14)&lt;=profilKelas!$F$14,ROW(A14),"")</f>
        <v/>
      </c>
      <c r="R26" s="12" t="str">
        <f t="shared" si="0"/>
        <v/>
      </c>
      <c r="S26" s="108" t="str">
        <f t="shared" si="4"/>
        <v/>
      </c>
      <c r="T26" s="108" t="str">
        <f t="shared" si="2"/>
        <v/>
      </c>
      <c r="U26" s="108" t="str">
        <f t="shared" si="3"/>
        <v/>
      </c>
      <c r="V26" s="108" t="str">
        <f t="shared" si="3"/>
        <v/>
      </c>
      <c r="W26" s="108" t="str">
        <f t="shared" si="3"/>
        <v/>
      </c>
      <c r="X26" s="108" t="str">
        <f t="shared" si="3"/>
        <v/>
      </c>
      <c r="Y26" s="108" t="str">
        <f t="shared" si="3"/>
        <v/>
      </c>
      <c r="Z26" s="108" t="str">
        <f t="shared" si="3"/>
        <v/>
      </c>
      <c r="AA26" s="108" t="str">
        <f t="shared" si="3"/>
        <v/>
      </c>
      <c r="AB26" s="108" t="str" cm="1">
        <f t="array" ref="AB26">IF(LEN($B26)=0,"",IF(LEN(C26)=0,"Nama Siswa Kosong",IF($E26="","Status Siswa Kosong",IF(S26&lt;&gt;"Aktif","Siswa Tidak Aktif",
IF(OR(U26:AA26="Belum mengisi"),"Belum mengisi",IF(AND(U26:AA26="Sudah terbiasa"),"Sudah terbiasa","Belum terbiasa"))))))</f>
        <v/>
      </c>
      <c r="AC26" s="99">
        <f t="shared" si="5"/>
        <v>1</v>
      </c>
      <c r="AD26" s="41">
        <v>4</v>
      </c>
      <c r="AE26" s="161" t="s">
        <v>5</v>
      </c>
      <c r="AF26" s="161"/>
      <c r="AG26" s="10">
        <f>COUNTIF(JulMakanSehatBergizi,SudahTerbiasa)</f>
        <v>0</v>
      </c>
      <c r="AH26" s="50">
        <f>AG26/profilKelas!$F$14</f>
        <v>0</v>
      </c>
      <c r="AI26" s="10">
        <f>COUNTIF(JulMakanSehatBergizi,BelumTerbiasa)</f>
        <v>0</v>
      </c>
      <c r="AJ26" s="50">
        <f>AI26/profilKelas!$F$14</f>
        <v>0</v>
      </c>
      <c r="AK26" s="13"/>
      <c r="AL26" s="13"/>
      <c r="AM26" s="13"/>
      <c r="AN26" s="13"/>
      <c r="AO26" s="13"/>
      <c r="AP26" s="13"/>
      <c r="AQ26" s="13"/>
    </row>
    <row r="27" spans="2:43" hidden="1" x14ac:dyDescent="0.3">
      <c r="B27" s="4" t="str">
        <f>IF(ROW(A15)&lt;=profilKelas!$F$14,ROW(A15),"")</f>
        <v/>
      </c>
      <c r="C27" s="94" t="str">
        <f>IF(ISBLANK(identitasMurid!C20),"",identitasMurid!C20)</f>
        <v/>
      </c>
      <c r="D27" s="6" t="str">
        <f>IF(ISBLANK(identitasMurid!D20),"",identitasMurid!D20)</f>
        <v/>
      </c>
      <c r="E27" s="95"/>
      <c r="F27" s="95"/>
      <c r="G27" s="95"/>
      <c r="H27" s="95"/>
      <c r="I27" s="95"/>
      <c r="J27" s="95"/>
      <c r="K27" s="95"/>
      <c r="L27" s="95"/>
      <c r="M27" s="95"/>
      <c r="Q27" s="5" t="str">
        <f>IF(ROW(A15)&lt;=profilKelas!$F$14,ROW(A15),"")</f>
        <v/>
      </c>
      <c r="R27" s="12" t="str">
        <f t="shared" si="0"/>
        <v/>
      </c>
      <c r="S27" s="108" t="str">
        <f t="shared" si="4"/>
        <v/>
      </c>
      <c r="T27" s="108" t="str">
        <f t="shared" si="2"/>
        <v/>
      </c>
      <c r="U27" s="108" t="str">
        <f t="shared" si="3"/>
        <v/>
      </c>
      <c r="V27" s="108" t="str">
        <f t="shared" si="3"/>
        <v/>
      </c>
      <c r="W27" s="108" t="str">
        <f t="shared" si="3"/>
        <v/>
      </c>
      <c r="X27" s="108" t="str">
        <f t="shared" si="3"/>
        <v/>
      </c>
      <c r="Y27" s="108" t="str">
        <f t="shared" si="3"/>
        <v/>
      </c>
      <c r="Z27" s="108" t="str">
        <f t="shared" si="3"/>
        <v/>
      </c>
      <c r="AA27" s="108" t="str">
        <f t="shared" si="3"/>
        <v/>
      </c>
      <c r="AB27" s="108" t="str" cm="1">
        <f t="array" ref="AB27">IF(LEN($B27)=0,"",IF(LEN(C27)=0,"Nama Siswa Kosong",IF($E27="","Status Siswa Kosong",IF(S27&lt;&gt;"Aktif","Siswa Tidak Aktif",
IF(OR(U27:AA27="Belum mengisi"),"Belum mengisi",IF(AND(U27:AA27="Sudah terbiasa"),"Sudah terbiasa","Belum terbiasa"))))))</f>
        <v/>
      </c>
      <c r="AC27" s="99">
        <f t="shared" si="5"/>
        <v>1</v>
      </c>
      <c r="AD27" s="41">
        <v>5</v>
      </c>
      <c r="AE27" s="161" t="s">
        <v>6</v>
      </c>
      <c r="AF27" s="161"/>
      <c r="AG27" s="10">
        <f>COUNTIF(JulGemarBelajar,SudahTerbiasa)</f>
        <v>0</v>
      </c>
      <c r="AH27" s="50">
        <f>AG27/profilKelas!$F$14</f>
        <v>0</v>
      </c>
      <c r="AI27" s="10">
        <f>COUNTIF(JulGemarBelajar,BelumTerbiasa)</f>
        <v>0</v>
      </c>
      <c r="AJ27" s="50">
        <f>AI27/profilKelas!$F$14</f>
        <v>0</v>
      </c>
      <c r="AK27" s="13"/>
      <c r="AL27" s="13"/>
      <c r="AM27" s="13"/>
      <c r="AN27" s="13"/>
      <c r="AO27" s="13"/>
      <c r="AP27" s="13"/>
      <c r="AQ27" s="13"/>
    </row>
    <row r="28" spans="2:43" hidden="1" x14ac:dyDescent="0.3">
      <c r="B28" s="4" t="str">
        <f>IF(ROW(A16)&lt;=profilKelas!$F$14,ROW(A16),"")</f>
        <v/>
      </c>
      <c r="C28" s="94" t="str">
        <f>IF(ISBLANK(identitasMurid!C21),"",identitasMurid!C21)</f>
        <v/>
      </c>
      <c r="D28" s="6" t="str">
        <f>IF(ISBLANK(identitasMurid!D21),"",identitasMurid!D21)</f>
        <v/>
      </c>
      <c r="E28" s="95"/>
      <c r="F28" s="95"/>
      <c r="G28" s="95"/>
      <c r="H28" s="95"/>
      <c r="I28" s="95"/>
      <c r="J28" s="95"/>
      <c r="K28" s="95"/>
      <c r="L28" s="95"/>
      <c r="M28" s="95"/>
      <c r="Q28" s="5" t="str">
        <f>IF(ROW(A16)&lt;=profilKelas!$F$14,ROW(A16),"")</f>
        <v/>
      </c>
      <c r="R28" s="12" t="str">
        <f t="shared" si="0"/>
        <v/>
      </c>
      <c r="S28" s="108" t="str">
        <f t="shared" si="4"/>
        <v/>
      </c>
      <c r="T28" s="108" t="str">
        <f t="shared" si="2"/>
        <v/>
      </c>
      <c r="U28" s="108" t="str">
        <f t="shared" si="3"/>
        <v/>
      </c>
      <c r="V28" s="108" t="str">
        <f t="shared" si="3"/>
        <v/>
      </c>
      <c r="W28" s="108" t="str">
        <f t="shared" si="3"/>
        <v/>
      </c>
      <c r="X28" s="108" t="str">
        <f t="shared" si="3"/>
        <v/>
      </c>
      <c r="Y28" s="108" t="str">
        <f t="shared" si="3"/>
        <v/>
      </c>
      <c r="Z28" s="108" t="str">
        <f t="shared" si="3"/>
        <v/>
      </c>
      <c r="AA28" s="108" t="str">
        <f t="shared" si="3"/>
        <v/>
      </c>
      <c r="AB28" s="108" t="str" cm="1">
        <f t="array" ref="AB28">IF(LEN($B28)=0,"",IF(LEN(C28)=0,"Nama Siswa Kosong",IF($E28="","Status Siswa Kosong",IF(S28&lt;&gt;"Aktif","Siswa Tidak Aktif",
IF(OR(U28:AA28="Belum mengisi"),"Belum mengisi",IF(AND(U28:AA28="Sudah terbiasa"),"Sudah terbiasa","Belum terbiasa"))))))</f>
        <v/>
      </c>
      <c r="AC28" s="99">
        <f t="shared" si="5"/>
        <v>1</v>
      </c>
      <c r="AD28" s="41">
        <v>6</v>
      </c>
      <c r="AE28" s="161" t="s">
        <v>7</v>
      </c>
      <c r="AF28" s="161"/>
      <c r="AG28" s="10">
        <f>COUNTIF(JulAktifBermasyarakat,SudahTerbiasa)</f>
        <v>0</v>
      </c>
      <c r="AH28" s="50">
        <f>AG28/profilKelas!$F$14</f>
        <v>0</v>
      </c>
      <c r="AI28" s="10">
        <f>COUNTIF(JulAktifBermasyarakat,BelumTerbiasa)</f>
        <v>0</v>
      </c>
      <c r="AJ28" s="50">
        <f>AI28/profilKelas!$F$14</f>
        <v>0</v>
      </c>
      <c r="AK28" s="13"/>
      <c r="AL28" s="43"/>
      <c r="AM28" s="43"/>
      <c r="AN28" s="43"/>
      <c r="AO28" s="43"/>
      <c r="AP28" s="43"/>
      <c r="AQ28" s="43"/>
    </row>
    <row r="29" spans="2:43" hidden="1" x14ac:dyDescent="0.3">
      <c r="B29" s="4" t="str">
        <f>IF(ROW(A17)&lt;=profilKelas!$F$14,ROW(A17),"")</f>
        <v/>
      </c>
      <c r="C29" s="94" t="str">
        <f>IF(ISBLANK(identitasMurid!C22),"",identitasMurid!C22)</f>
        <v/>
      </c>
      <c r="D29" s="6" t="str">
        <f>IF(ISBLANK(identitasMurid!D22),"",identitasMurid!D22)</f>
        <v/>
      </c>
      <c r="E29" s="95"/>
      <c r="F29" s="95"/>
      <c r="G29" s="95"/>
      <c r="H29" s="95"/>
      <c r="I29" s="95"/>
      <c r="J29" s="95"/>
      <c r="K29" s="95"/>
      <c r="L29" s="95"/>
      <c r="M29" s="95"/>
      <c r="Q29" s="5" t="str">
        <f>IF(ROW(A17)&lt;=profilKelas!$F$14,ROW(A17),"")</f>
        <v/>
      </c>
      <c r="R29" s="12" t="str">
        <f t="shared" si="0"/>
        <v/>
      </c>
      <c r="S29" s="108" t="str">
        <f t="shared" si="4"/>
        <v/>
      </c>
      <c r="T29" s="108" t="str">
        <f t="shared" si="2"/>
        <v/>
      </c>
      <c r="U29" s="108" t="str">
        <f t="shared" ref="U29:AA57" si="6">IF(LEN($B29)=0,"",IF(LEN($C29)=0,"Nama Siswa Kosong",IF($E29="","Status Siswa Kosong",IF($E29&lt;&gt;"Aktif","Siswa Tidak Aktif",
IF(ISBLANK(F29),"Belum mengisi",IF(F29&gt;=20,"Sudah terbiasa","Belum terbiasa"))))))</f>
        <v/>
      </c>
      <c r="V29" s="108" t="str">
        <f t="shared" si="6"/>
        <v/>
      </c>
      <c r="W29" s="108" t="str">
        <f t="shared" si="6"/>
        <v/>
      </c>
      <c r="X29" s="108" t="str">
        <f t="shared" si="6"/>
        <v/>
      </c>
      <c r="Y29" s="108" t="str">
        <f t="shared" si="6"/>
        <v/>
      </c>
      <c r="Z29" s="108" t="str">
        <f t="shared" si="6"/>
        <v/>
      </c>
      <c r="AA29" s="108" t="str">
        <f t="shared" si="6"/>
        <v/>
      </c>
      <c r="AB29" s="108" t="str" cm="1">
        <f t="array" ref="AB29">IF(LEN($B29)=0,"",IF(LEN(C29)=0,"Nama Siswa Kosong",IF($E29="","Status Siswa Kosong",IF(S29&lt;&gt;"Aktif","Siswa Tidak Aktif",
IF(OR(U29:AA29="Belum mengisi"),"Belum mengisi",IF(AND(U29:AA29="Sudah terbiasa"),"Sudah terbiasa","Belum terbiasa"))))))</f>
        <v/>
      </c>
      <c r="AC29" s="99">
        <f t="shared" si="5"/>
        <v>1</v>
      </c>
      <c r="AD29" s="41">
        <v>7</v>
      </c>
      <c r="AE29" s="161" t="s">
        <v>8</v>
      </c>
      <c r="AF29" s="161"/>
      <c r="AG29" s="10">
        <f>COUNTIF(JulTidurCepat,SudahTerbiasa)</f>
        <v>0</v>
      </c>
      <c r="AH29" s="50">
        <f>AG29/profilKelas!$F$14</f>
        <v>0</v>
      </c>
      <c r="AI29" s="10">
        <f>COUNTIF(JulTidurCepat,BelumTerbiasa)</f>
        <v>0</v>
      </c>
      <c r="AJ29" s="50">
        <f>AI29/profilKelas!$F$14</f>
        <v>0</v>
      </c>
      <c r="AK29" s="13"/>
      <c r="AL29" s="43"/>
      <c r="AM29" s="43"/>
      <c r="AN29" s="43"/>
      <c r="AO29" s="43"/>
      <c r="AP29" s="43"/>
      <c r="AQ29" s="43"/>
    </row>
    <row r="30" spans="2:43" hidden="1" x14ac:dyDescent="0.3">
      <c r="B30" s="4" t="str">
        <f>IF(ROW(A18)&lt;=profilKelas!$F$14,ROW(A18),"")</f>
        <v/>
      </c>
      <c r="C30" s="94" t="str">
        <f>IF(ISBLANK(identitasMurid!C23),"",identitasMurid!C23)</f>
        <v/>
      </c>
      <c r="D30" s="6" t="str">
        <f>IF(ISBLANK(identitasMurid!D23),"",identitasMurid!D23)</f>
        <v/>
      </c>
      <c r="E30" s="95"/>
      <c r="F30" s="95"/>
      <c r="G30" s="95"/>
      <c r="H30" s="95"/>
      <c r="I30" s="95"/>
      <c r="J30" s="95"/>
      <c r="K30" s="95"/>
      <c r="L30" s="95"/>
      <c r="M30" s="95"/>
      <c r="Q30" s="5" t="str">
        <f>IF(ROW(A18)&lt;=profilKelas!$F$14,ROW(A18),"")</f>
        <v/>
      </c>
      <c r="R30" s="12" t="str">
        <f t="shared" si="0"/>
        <v/>
      </c>
      <c r="S30" s="108" t="str">
        <f t="shared" si="4"/>
        <v/>
      </c>
      <c r="T30" s="108" t="str">
        <f t="shared" si="2"/>
        <v/>
      </c>
      <c r="U30" s="108" t="str">
        <f t="shared" si="6"/>
        <v/>
      </c>
      <c r="V30" s="108" t="str">
        <f t="shared" si="6"/>
        <v/>
      </c>
      <c r="W30" s="108" t="str">
        <f t="shared" si="6"/>
        <v/>
      </c>
      <c r="X30" s="108" t="str">
        <f t="shared" si="6"/>
        <v/>
      </c>
      <c r="Y30" s="108" t="str">
        <f t="shared" si="6"/>
        <v/>
      </c>
      <c r="Z30" s="108" t="str">
        <f t="shared" si="6"/>
        <v/>
      </c>
      <c r="AA30" s="108" t="str">
        <f t="shared" si="6"/>
        <v/>
      </c>
      <c r="AB30" s="108" t="str" cm="1">
        <f t="array" ref="AB30">IF(LEN($B30)=0,"",IF(LEN(C30)=0,"Nama Siswa Kosong",IF($E30="","Status Siswa Kosong",IF(S30&lt;&gt;"Aktif","Siswa Tidak Aktif",
IF(OR(U30:AA30="Belum mengisi"),"Belum mengisi",IF(AND(U30:AA30="Sudah terbiasa"),"Sudah terbiasa","Belum terbiasa"))))))</f>
        <v/>
      </c>
      <c r="AD30" s="13"/>
      <c r="AE30" s="13"/>
      <c r="AF30" s="13"/>
      <c r="AG30" s="13"/>
      <c r="AH30" s="13"/>
      <c r="AI30" s="13"/>
      <c r="AJ30" s="13"/>
      <c r="AK30" s="13"/>
      <c r="AL30" s="43"/>
      <c r="AM30" s="43"/>
      <c r="AN30" s="43"/>
      <c r="AO30" s="43"/>
      <c r="AP30" s="43"/>
      <c r="AQ30" s="43"/>
    </row>
    <row r="31" spans="2:43" hidden="1" x14ac:dyDescent="0.3">
      <c r="B31" s="4" t="str">
        <f>IF(ROW(A19)&lt;=profilKelas!$F$14,ROW(A19),"")</f>
        <v/>
      </c>
      <c r="C31" s="94" t="str">
        <f>IF(ISBLANK(identitasMurid!C24),"",identitasMurid!C24)</f>
        <v/>
      </c>
      <c r="D31" s="6" t="str">
        <f>IF(ISBLANK(identitasMurid!D24),"",identitasMurid!D24)</f>
        <v/>
      </c>
      <c r="E31" s="95"/>
      <c r="F31" s="95"/>
      <c r="G31" s="95"/>
      <c r="H31" s="95"/>
      <c r="I31" s="95"/>
      <c r="J31" s="95"/>
      <c r="K31" s="95"/>
      <c r="L31" s="95"/>
      <c r="M31" s="95"/>
      <c r="Q31" s="5" t="str">
        <f>IF(ROW(A19)&lt;=profilKelas!$F$14,ROW(A19),"")</f>
        <v/>
      </c>
      <c r="R31" s="12" t="str">
        <f t="shared" si="0"/>
        <v/>
      </c>
      <c r="S31" s="108" t="str">
        <f t="shared" si="4"/>
        <v/>
      </c>
      <c r="T31" s="108" t="str">
        <f t="shared" si="2"/>
        <v/>
      </c>
      <c r="U31" s="108" t="str">
        <f t="shared" si="6"/>
        <v/>
      </c>
      <c r="V31" s="108" t="str">
        <f t="shared" si="6"/>
        <v/>
      </c>
      <c r="W31" s="108" t="str">
        <f t="shared" si="6"/>
        <v/>
      </c>
      <c r="X31" s="108" t="str">
        <f t="shared" si="6"/>
        <v/>
      </c>
      <c r="Y31" s="108" t="str">
        <f t="shared" si="6"/>
        <v/>
      </c>
      <c r="Z31" s="108" t="str">
        <f t="shared" si="6"/>
        <v/>
      </c>
      <c r="AA31" s="108" t="str">
        <f t="shared" si="6"/>
        <v/>
      </c>
      <c r="AB31" s="108" t="str" cm="1">
        <f t="array" ref="AB31">IF(LEN($B31)=0,"",IF(LEN(C31)=0,"Nama Siswa Kosong",IF($E31="","Status Siswa Kosong",IF(S31&lt;&gt;"Aktif","Siswa Tidak Aktif",
IF(OR(U31:AA31="Belum mengisi"),"Belum mengisi",IF(AND(U31:AA31="Sudah terbiasa"),"Sudah terbiasa","Belum terbiasa"))))))</f>
        <v/>
      </c>
      <c r="AD31" s="13"/>
      <c r="AE31" s="13"/>
      <c r="AF31" s="13"/>
      <c r="AG31" s="148" t="s">
        <v>607</v>
      </c>
      <c r="AH31" s="148"/>
      <c r="AI31" s="148"/>
      <c r="AJ31" s="148"/>
      <c r="AK31" s="148" t="s">
        <v>608</v>
      </c>
      <c r="AL31" s="148"/>
      <c r="AM31" s="148"/>
      <c r="AN31" s="148"/>
      <c r="AO31" s="13"/>
      <c r="AP31" s="13"/>
      <c r="AQ31" s="13"/>
    </row>
    <row r="32" spans="2:43" hidden="1" x14ac:dyDescent="0.3">
      <c r="B32" s="4" t="str">
        <f>IF(ROW(A20)&lt;=profilKelas!$F$14,ROW(A20),"")</f>
        <v/>
      </c>
      <c r="C32" s="94" t="str">
        <f>IF(ISBLANK(identitasMurid!C25),"",identitasMurid!C25)</f>
        <v/>
      </c>
      <c r="D32" s="6" t="str">
        <f>IF(ISBLANK(identitasMurid!D25),"",identitasMurid!D25)</f>
        <v/>
      </c>
      <c r="E32" s="95"/>
      <c r="F32" s="95"/>
      <c r="G32" s="95"/>
      <c r="H32" s="95"/>
      <c r="I32" s="95"/>
      <c r="J32" s="95"/>
      <c r="K32" s="95"/>
      <c r="L32" s="95"/>
      <c r="M32" s="95"/>
      <c r="Q32" s="5" t="str">
        <f>IF(ROW(A20)&lt;=profilKelas!$F$14,ROW(A20),"")</f>
        <v/>
      </c>
      <c r="R32" s="12" t="str">
        <f t="shared" si="0"/>
        <v/>
      </c>
      <c r="S32" s="108" t="str">
        <f t="shared" si="4"/>
        <v/>
      </c>
      <c r="T32" s="108" t="str">
        <f t="shared" si="2"/>
        <v/>
      </c>
      <c r="U32" s="108" t="str">
        <f t="shared" si="6"/>
        <v/>
      </c>
      <c r="V32" s="108" t="str">
        <f t="shared" si="6"/>
        <v/>
      </c>
      <c r="W32" s="108" t="str">
        <f t="shared" si="6"/>
        <v/>
      </c>
      <c r="X32" s="108" t="str">
        <f t="shared" si="6"/>
        <v/>
      </c>
      <c r="Y32" s="108" t="str">
        <f t="shared" si="6"/>
        <v/>
      </c>
      <c r="Z32" s="108" t="str">
        <f t="shared" si="6"/>
        <v/>
      </c>
      <c r="AA32" s="108" t="str">
        <f t="shared" si="6"/>
        <v/>
      </c>
      <c r="AB32" s="108" t="str" cm="1">
        <f t="array" ref="AB32">IF(LEN($B32)=0,"",IF(LEN(C32)=0,"Nama Siswa Kosong",IF($E32="","Status Siswa Kosong",IF(S32&lt;&gt;"Aktif","Siswa Tidak Aktif",
IF(OR(U32:AA32="Belum mengisi"),"Belum mengisi",IF(AND(U32:AA32="Sudah terbiasa"),"Sudah terbiasa","Belum terbiasa"))))))</f>
        <v/>
      </c>
      <c r="AD32" s="98" t="s">
        <v>0</v>
      </c>
      <c r="AE32" s="148" t="s">
        <v>18</v>
      </c>
      <c r="AF32" s="148"/>
      <c r="AG32" s="148" t="s">
        <v>597</v>
      </c>
      <c r="AH32" s="148"/>
      <c r="AI32" s="148" t="s">
        <v>598</v>
      </c>
      <c r="AJ32" s="148"/>
      <c r="AK32" s="148" t="s">
        <v>597</v>
      </c>
      <c r="AL32" s="148"/>
      <c r="AM32" s="148" t="s">
        <v>598</v>
      </c>
      <c r="AN32" s="148"/>
      <c r="AO32" s="13"/>
      <c r="AP32" s="13"/>
      <c r="AQ32" s="13"/>
    </row>
    <row r="33" spans="2:43" hidden="1" x14ac:dyDescent="0.3">
      <c r="B33" s="4" t="str">
        <f>IF(ROW(A21)&lt;=profilKelas!$F$14,ROW(A21),"")</f>
        <v/>
      </c>
      <c r="C33" s="94" t="str">
        <f>IF(ISBLANK(identitasMurid!C26),"",identitasMurid!C26)</f>
        <v/>
      </c>
      <c r="D33" s="6" t="str">
        <f>IF(ISBLANK(identitasMurid!D26),"",identitasMurid!D26)</f>
        <v/>
      </c>
      <c r="E33" s="95"/>
      <c r="F33" s="95"/>
      <c r="G33" s="95"/>
      <c r="H33" s="95"/>
      <c r="I33" s="95"/>
      <c r="J33" s="95"/>
      <c r="K33" s="95"/>
      <c r="L33" s="95"/>
      <c r="M33" s="95"/>
      <c r="Q33" s="5" t="str">
        <f>IF(ROW(A21)&lt;=profilKelas!$F$14,ROW(A21),"")</f>
        <v/>
      </c>
      <c r="R33" s="12" t="str">
        <f t="shared" si="0"/>
        <v/>
      </c>
      <c r="S33" s="108" t="str">
        <f t="shared" si="4"/>
        <v/>
      </c>
      <c r="T33" s="108" t="str">
        <f t="shared" si="2"/>
        <v/>
      </c>
      <c r="U33" s="108" t="str">
        <f t="shared" si="6"/>
        <v/>
      </c>
      <c r="V33" s="108" t="str">
        <f t="shared" si="6"/>
        <v/>
      </c>
      <c r="W33" s="108" t="str">
        <f t="shared" si="6"/>
        <v/>
      </c>
      <c r="X33" s="108" t="str">
        <f t="shared" si="6"/>
        <v/>
      </c>
      <c r="Y33" s="108" t="str">
        <f t="shared" si="6"/>
        <v/>
      </c>
      <c r="Z33" s="108" t="str">
        <f t="shared" si="6"/>
        <v/>
      </c>
      <c r="AA33" s="108" t="str">
        <f t="shared" si="6"/>
        <v/>
      </c>
      <c r="AB33" s="108" t="str" cm="1">
        <f t="array" ref="AB33">IF(LEN($B33)=0,"",IF(LEN(C33)=0,"Nama Siswa Kosong",IF($E33="","Status Siswa Kosong",IF(S33&lt;&gt;"Aktif","Siswa Tidak Aktif",
IF(OR(U33:AA33="Belum mengisi"),"Belum mengisi",IF(AND(U33:AA33="Sudah terbiasa"),"Sudah terbiasa","Belum terbiasa"))))))</f>
        <v/>
      </c>
      <c r="AD33" s="41">
        <v>1</v>
      </c>
      <c r="AE33" s="161" t="s">
        <v>2</v>
      </c>
      <c r="AF33" s="161"/>
      <c r="AG33" s="51">
        <f>COUNTIFS(JulBangunPagi,SudahTerbiasa,JulPL,Perempuan)</f>
        <v>0</v>
      </c>
      <c r="AH33" s="52" t="str">
        <f>IFERROR(IF($AF$18=0,"",COUNTIFS(JulBangunPagi,SudahTerbiasa,JulPL,Perempuan)/COUNTIFS(JulPL,Perempuan)),)</f>
        <v/>
      </c>
      <c r="AI33" s="53">
        <f>COUNTIFS(JulBangunPagi,BelumTerbiasa,JulPL,Perempuan)</f>
        <v>0</v>
      </c>
      <c r="AJ33" s="54" t="str">
        <f>IFERROR(IF($AF$18=0,"",COUNTIFS(JulBangunPagi,BelumTerbiasa,JulPL,Perempuan)/COUNTIF(JulPL,Perempuan)),)</f>
        <v/>
      </c>
      <c r="AK33" s="55">
        <f>COUNTIFS(JulBangunPagi,SudahTerbiasa,JulPL,Laki_Laki)</f>
        <v>0</v>
      </c>
      <c r="AL33" s="56" t="str">
        <f>IFERROR(IF($AF$18=0,"",COUNTIFS(JulBangunPagi,SudahTerbiasa,JulPL,Laki_Laki)/COUNTIFS(JulPL,Laki_Laki)),)</f>
        <v/>
      </c>
      <c r="AM33" s="57">
        <f>COUNTIFS(JulBangunPagi,BelumTerbiasa,JulPL,Laki_Laki)</f>
        <v>0</v>
      </c>
      <c r="AN33" s="58" t="str">
        <f>IFERROR(IF($AF$18=0,"",COUNTIFS(JulBangunPagi,BelumTerbiasa,JulPL,Laki_Laki)/COUNTIFS(JulPL,Laki_Laki)),)</f>
        <v/>
      </c>
      <c r="AO33" s="13"/>
      <c r="AP33" s="13"/>
      <c r="AQ33" s="13"/>
    </row>
    <row r="34" spans="2:43" hidden="1" x14ac:dyDescent="0.3">
      <c r="B34" s="4" t="str">
        <f>IF(ROW(A22)&lt;=profilKelas!$F$14,ROW(A22),"")</f>
        <v/>
      </c>
      <c r="C34" s="94" t="str">
        <f>IF(ISBLANK(identitasMurid!C27),"",identitasMurid!C27)</f>
        <v/>
      </c>
      <c r="D34" s="6" t="str">
        <f>IF(ISBLANK(identitasMurid!D27),"",identitasMurid!D27)</f>
        <v/>
      </c>
      <c r="E34" s="95"/>
      <c r="F34" s="95"/>
      <c r="G34" s="95"/>
      <c r="H34" s="95"/>
      <c r="I34" s="95"/>
      <c r="J34" s="95"/>
      <c r="K34" s="95"/>
      <c r="L34" s="95"/>
      <c r="M34" s="95"/>
      <c r="Q34" s="5" t="str">
        <f>IF(ROW(A22)&lt;=profilKelas!$F$14,ROW(A22),"")</f>
        <v/>
      </c>
      <c r="R34" s="12" t="str">
        <f t="shared" si="0"/>
        <v/>
      </c>
      <c r="S34" s="108" t="str">
        <f t="shared" si="4"/>
        <v/>
      </c>
      <c r="T34" s="108" t="str">
        <f t="shared" si="2"/>
        <v/>
      </c>
      <c r="U34" s="108" t="str">
        <f t="shared" si="6"/>
        <v/>
      </c>
      <c r="V34" s="108" t="str">
        <f t="shared" si="6"/>
        <v/>
      </c>
      <c r="W34" s="108" t="str">
        <f t="shared" si="6"/>
        <v/>
      </c>
      <c r="X34" s="108" t="str">
        <f t="shared" si="6"/>
        <v/>
      </c>
      <c r="Y34" s="108" t="str">
        <f t="shared" si="6"/>
        <v/>
      </c>
      <c r="Z34" s="108" t="str">
        <f t="shared" si="6"/>
        <v/>
      </c>
      <c r="AA34" s="108" t="str">
        <f t="shared" si="6"/>
        <v/>
      </c>
      <c r="AB34" s="108" t="str" cm="1">
        <f t="array" ref="AB34">IF(LEN($B34)=0,"",IF(LEN(C34)=0,"Nama Siswa Kosong",IF($E34="","Status Siswa Kosong",IF(S34&lt;&gt;"Aktif","Siswa Tidak Aktif",
IF(OR(U34:AA34="Belum mengisi"),"Belum mengisi",IF(AND(U34:AA34="Sudah terbiasa"),"Sudah terbiasa","Belum terbiasa"))))))</f>
        <v/>
      </c>
      <c r="AD34" s="41">
        <v>2</v>
      </c>
      <c r="AE34" s="161" t="s">
        <v>3</v>
      </c>
      <c r="AF34" s="161"/>
      <c r="AG34" s="51">
        <f>COUNTIFS(JulTaatBeribadah,SudahTerbiasa,JulPL,Perempuan)</f>
        <v>0</v>
      </c>
      <c r="AH34" s="52" t="str">
        <f>IFERROR(IF($AF$18=0,"",COUNTIFS(JulTaatBeribadah,SudahTerbiasa,JulPL,Perempuan)/COUNTIFS(JulPL,Perempuan)),)</f>
        <v/>
      </c>
      <c r="AI34" s="53">
        <f>COUNTIFS(JulTaatBeribadah,BelumTerbiasa,JulPL,Perempuan)</f>
        <v>0</v>
      </c>
      <c r="AJ34" s="59" t="str">
        <f>IFERROR(IF($AF$18=0,"",COUNTIFS(JulTaatBeribadah,BelumTerbiasa,JulPL,Perempuan)/COUNTIFS(JulPL,Perempuan)),)</f>
        <v/>
      </c>
      <c r="AK34" s="55">
        <f>COUNTIFS(JulTaatBeribadah,SudahTerbiasa,JulPL,Laki_Laki)</f>
        <v>0</v>
      </c>
      <c r="AL34" s="56" t="str">
        <f>IFERROR(IF($AF$18=0,"",COUNTIFS(JulTaatBeribadah,SudahTerbiasa,JulPL,Laki_Laki)/COUNTIFS(JulPL,Laki_Laki)),)</f>
        <v/>
      </c>
      <c r="AM34" s="57">
        <f>COUNTIFS(JulTaatBeribadah,BelumTerbiasa,JulPL,Laki_Laki)</f>
        <v>0</v>
      </c>
      <c r="AN34" s="58" t="str">
        <f>IFERROR(IF($AF$18=0,"",COUNTIFS(JulTaatBeribadah,BelumTerbiasa,JulPL,Laki_Laki)/COUNTIFS(JulPL,Laki_Laki)),)</f>
        <v/>
      </c>
      <c r="AO34" s="13"/>
      <c r="AP34" s="13"/>
      <c r="AQ34" s="13"/>
    </row>
    <row r="35" spans="2:43" hidden="1" x14ac:dyDescent="0.3">
      <c r="B35" s="4" t="str">
        <f>IF(ROW(A23)&lt;=profilKelas!$F$14,ROW(A23),"")</f>
        <v/>
      </c>
      <c r="C35" s="94" t="str">
        <f>IF(ISBLANK(identitasMurid!C28),"",identitasMurid!C28)</f>
        <v/>
      </c>
      <c r="D35" s="6" t="str">
        <f>IF(ISBLANK(identitasMurid!D28),"",identitasMurid!D28)</f>
        <v/>
      </c>
      <c r="E35" s="95"/>
      <c r="F35" s="95"/>
      <c r="G35" s="95"/>
      <c r="H35" s="95"/>
      <c r="I35" s="95"/>
      <c r="J35" s="95"/>
      <c r="K35" s="95"/>
      <c r="L35" s="95"/>
      <c r="M35" s="95"/>
      <c r="Q35" s="5" t="str">
        <f>IF(ROW(A23)&lt;=profilKelas!$F$14,ROW(A23),"")</f>
        <v/>
      </c>
      <c r="R35" s="12" t="str">
        <f t="shared" si="0"/>
        <v/>
      </c>
      <c r="S35" s="108" t="str">
        <f t="shared" si="4"/>
        <v/>
      </c>
      <c r="T35" s="108" t="str">
        <f t="shared" si="2"/>
        <v/>
      </c>
      <c r="U35" s="108" t="str">
        <f t="shared" si="6"/>
        <v/>
      </c>
      <c r="V35" s="108" t="str">
        <f t="shared" si="6"/>
        <v/>
      </c>
      <c r="W35" s="108" t="str">
        <f t="shared" si="6"/>
        <v/>
      </c>
      <c r="X35" s="108" t="str">
        <f t="shared" si="6"/>
        <v/>
      </c>
      <c r="Y35" s="108" t="str">
        <f t="shared" si="6"/>
        <v/>
      </c>
      <c r="Z35" s="108" t="str">
        <f t="shared" si="6"/>
        <v/>
      </c>
      <c r="AA35" s="108" t="str">
        <f t="shared" si="6"/>
        <v/>
      </c>
      <c r="AB35" s="108" t="str" cm="1">
        <f t="array" ref="AB35">IF(LEN($B35)=0,"",IF(LEN(C35)=0,"Nama Siswa Kosong",IF($E35="","Status Siswa Kosong",IF(S35&lt;&gt;"Aktif","Siswa Tidak Aktif",
IF(OR(U35:AA35="Belum mengisi"),"Belum mengisi",IF(AND(U35:AA35="Sudah terbiasa"),"Sudah terbiasa","Belum terbiasa"))))))</f>
        <v/>
      </c>
      <c r="AD35" s="41">
        <v>3</v>
      </c>
      <c r="AE35" s="161" t="s">
        <v>4</v>
      </c>
      <c r="AF35" s="161"/>
      <c r="AG35" s="51">
        <f>COUNTIFS(JulBerolahraga,SudahTerbiasa,JulPL,Perempuan)</f>
        <v>0</v>
      </c>
      <c r="AH35" s="52" t="str">
        <f>IFERROR(IF($AF$18=0,"",COUNTIFS(JulBerolahraga,SudahTerbiasa,JulPL,Perempuan)/COUNTIFS(JulPL,Perempuan)),)</f>
        <v/>
      </c>
      <c r="AI35" s="53">
        <f>COUNTIFS(JulBerolahraga,BelumTerbiasa,JulPL,Perempuan)</f>
        <v>0</v>
      </c>
      <c r="AJ35" s="59" t="str">
        <f>IFERROR(IF($AF$18=0,"",COUNTIFS(JulBerolahraga,BelumTerbiasa,JulPL,Perempuan)/COUNTIFS(JulPL,Perempuan)),)</f>
        <v/>
      </c>
      <c r="AK35" s="55">
        <f>COUNTIFS(JulBerolahraga,SudahTerbiasa,JulPL,Laki_Laki)</f>
        <v>0</v>
      </c>
      <c r="AL35" s="56" t="str">
        <f>IFERROR(IF($AF$18=0,"",COUNTIFS(JulBerolahraga,SudahTerbiasa,JulPL,Laki_Laki)/COUNTIFS(JulPL,Laki_Laki)),)</f>
        <v/>
      </c>
      <c r="AM35" s="57">
        <f>COUNTIFS(JulBerolahraga,BelumTerbiasa,JulPL,Laki_Laki)</f>
        <v>0</v>
      </c>
      <c r="AN35" s="58" t="str">
        <f>IFERROR(IF($AF$18=0,"",COUNTIFS(JulBerolahraga,BelumTerbiasa,JulPL,Laki_Laki)/COUNTIFS(JulPL,Laki_Laki)),)</f>
        <v/>
      </c>
      <c r="AO35" s="13"/>
      <c r="AP35" s="13"/>
      <c r="AQ35" s="13"/>
    </row>
    <row r="36" spans="2:43" hidden="1" x14ac:dyDescent="0.3">
      <c r="B36" s="4" t="str">
        <f>IF(ROW(A24)&lt;=profilKelas!$F$14,ROW(A24),"")</f>
        <v/>
      </c>
      <c r="C36" s="94" t="str">
        <f>IF(ISBLANK(identitasMurid!C29),"",identitasMurid!C29)</f>
        <v/>
      </c>
      <c r="D36" s="6" t="str">
        <f>IF(ISBLANK(identitasMurid!D29),"",identitasMurid!D29)</f>
        <v/>
      </c>
      <c r="E36" s="95"/>
      <c r="F36" s="95"/>
      <c r="G36" s="95"/>
      <c r="H36" s="95"/>
      <c r="I36" s="95"/>
      <c r="J36" s="95"/>
      <c r="K36" s="95"/>
      <c r="L36" s="95"/>
      <c r="M36" s="95"/>
      <c r="Q36" s="5" t="str">
        <f>IF(ROW(A24)&lt;=profilKelas!$F$14,ROW(A24),"")</f>
        <v/>
      </c>
      <c r="R36" s="12" t="str">
        <f t="shared" si="0"/>
        <v/>
      </c>
      <c r="S36" s="108" t="str">
        <f t="shared" si="4"/>
        <v/>
      </c>
      <c r="T36" s="108" t="str">
        <f t="shared" si="2"/>
        <v/>
      </c>
      <c r="U36" s="108" t="str">
        <f t="shared" si="6"/>
        <v/>
      </c>
      <c r="V36" s="108" t="str">
        <f t="shared" si="6"/>
        <v/>
      </c>
      <c r="W36" s="108" t="str">
        <f t="shared" si="6"/>
        <v/>
      </c>
      <c r="X36" s="108" t="str">
        <f t="shared" si="6"/>
        <v/>
      </c>
      <c r="Y36" s="108" t="str">
        <f t="shared" si="6"/>
        <v/>
      </c>
      <c r="Z36" s="108" t="str">
        <f t="shared" si="6"/>
        <v/>
      </c>
      <c r="AA36" s="108" t="str">
        <f t="shared" si="6"/>
        <v/>
      </c>
      <c r="AB36" s="108" t="str" cm="1">
        <f t="array" ref="AB36">IF(LEN($B36)=0,"",IF(LEN(C36)=0,"Nama Siswa Kosong",IF($E36="","Status Siswa Kosong",IF(S36&lt;&gt;"Aktif","Siswa Tidak Aktif",
IF(OR(U36:AA36="Belum mengisi"),"Belum mengisi",IF(AND(U36:AA36="Sudah terbiasa"),"Sudah terbiasa","Belum terbiasa"))))))</f>
        <v/>
      </c>
      <c r="AD36" s="41">
        <v>4</v>
      </c>
      <c r="AE36" s="161" t="s">
        <v>5</v>
      </c>
      <c r="AF36" s="161"/>
      <c r="AG36" s="51">
        <f>COUNTIFS(JulMakanSehatBergizi,SudahTerbiasa,JulPL,Perempuan)</f>
        <v>0</v>
      </c>
      <c r="AH36" s="52" t="str">
        <f>IFERROR(IF($AF$18=0,"",COUNTIFS(JulMakanSehatBergizi,SudahTerbiasa,JulPL,Perempuan)/COUNTIFS(JulPL,Perempuan)),)</f>
        <v/>
      </c>
      <c r="AI36" s="53">
        <f>COUNTIFS(JulMakanSehatBergizi,BelumTerbiasa,JulPL,Perempuan)</f>
        <v>0</v>
      </c>
      <c r="AJ36" s="59" t="str">
        <f>IFERROR(IF($AF$18=0,"",COUNTIFS(JulMakanSehatBergizi,BelumTerbiasa,JulPL,Perempuan)/COUNTIFS(JulPL,Perempuan)),)</f>
        <v/>
      </c>
      <c r="AK36" s="55">
        <f>COUNTIFS(JulMakanSehatBergizi,SudahTerbiasa,JulPL,Laki_Laki)</f>
        <v>0</v>
      </c>
      <c r="AL36" s="56" t="str">
        <f>IFERROR(IF($AF$18=0,"",COUNTIFS(JulMakanSehatBergizi,SudahTerbiasa,JulPL,Laki_Laki)/COUNTIFS(JulPL,Laki_Laki)),)</f>
        <v/>
      </c>
      <c r="AM36" s="57">
        <f>COUNTIFS(JulMakanSehatBergizi,BelumTerbiasa,JulPL,Laki_Laki)</f>
        <v>0</v>
      </c>
      <c r="AN36" s="58" t="str">
        <f>IFERROR(IF($AF$18=0,"",COUNTIFS(JulMakanSehatBergizi,BelumTerbiasa,JulPL,Laki_Laki)/COUNTIFS(JulPL,Laki_Laki)),)</f>
        <v/>
      </c>
      <c r="AO36" s="13"/>
      <c r="AP36" s="13"/>
      <c r="AQ36" s="13"/>
    </row>
    <row r="37" spans="2:43" hidden="1" x14ac:dyDescent="0.3">
      <c r="B37" s="4" t="str">
        <f>IF(ROW(A25)&lt;=profilKelas!$F$14,ROW(A25),"")</f>
        <v/>
      </c>
      <c r="C37" s="94" t="str">
        <f>IF(ISBLANK(identitasMurid!C30),"",identitasMurid!C30)</f>
        <v/>
      </c>
      <c r="D37" s="6" t="str">
        <f>IF(ISBLANK(identitasMurid!D30),"",identitasMurid!D30)</f>
        <v/>
      </c>
      <c r="E37" s="95"/>
      <c r="F37" s="95"/>
      <c r="G37" s="95"/>
      <c r="H37" s="95"/>
      <c r="I37" s="95"/>
      <c r="J37" s="95"/>
      <c r="K37" s="95"/>
      <c r="L37" s="95"/>
      <c r="M37" s="95"/>
      <c r="Q37" s="5" t="str">
        <f>IF(ROW(A25)&lt;=profilKelas!$F$14,ROW(A25),"")</f>
        <v/>
      </c>
      <c r="R37" s="12" t="str">
        <f t="shared" si="0"/>
        <v/>
      </c>
      <c r="S37" s="108" t="str">
        <f t="shared" si="4"/>
        <v/>
      </c>
      <c r="T37" s="108" t="str">
        <f t="shared" si="2"/>
        <v/>
      </c>
      <c r="U37" s="108" t="str">
        <f t="shared" si="6"/>
        <v/>
      </c>
      <c r="V37" s="108" t="str">
        <f t="shared" si="6"/>
        <v/>
      </c>
      <c r="W37" s="108" t="str">
        <f t="shared" si="6"/>
        <v/>
      </c>
      <c r="X37" s="108" t="str">
        <f t="shared" si="6"/>
        <v/>
      </c>
      <c r="Y37" s="108" t="str">
        <f t="shared" si="6"/>
        <v/>
      </c>
      <c r="Z37" s="108" t="str">
        <f t="shared" si="6"/>
        <v/>
      </c>
      <c r="AA37" s="108" t="str">
        <f t="shared" si="6"/>
        <v/>
      </c>
      <c r="AB37" s="108" t="str" cm="1">
        <f t="array" ref="AB37">IF(LEN($B37)=0,"",IF(LEN(C37)=0,"Nama Siswa Kosong",IF($E37="","Status Siswa Kosong",IF(S37&lt;&gt;"Aktif","Siswa Tidak Aktif",
IF(OR(U37:AA37="Belum mengisi"),"Belum mengisi",IF(AND(U37:AA37="Sudah terbiasa"),"Sudah terbiasa","Belum terbiasa"))))))</f>
        <v/>
      </c>
      <c r="AD37" s="41">
        <v>5</v>
      </c>
      <c r="AE37" s="161" t="s">
        <v>6</v>
      </c>
      <c r="AF37" s="161"/>
      <c r="AG37" s="51">
        <f>COUNTIFS(JulGemarBelajar,SudahTerbiasa,JulPL,Perempuan)</f>
        <v>0</v>
      </c>
      <c r="AH37" s="52" t="str">
        <f>IFERROR(IF($AF$18=0,"",COUNTIFS(JulGemarBelajar,SudahTerbiasa,JulPL,Perempuan)/COUNTIFS(JulPL,Perempuan)),)</f>
        <v/>
      </c>
      <c r="AI37" s="53">
        <f>COUNTIFS(JulGemarBelajar,BelumTerbiasa,JulPL,Perempuan)</f>
        <v>0</v>
      </c>
      <c r="AJ37" s="59" t="str">
        <f>IFERROR(IF($AF$18=0,"",COUNTIFS(JulGemarBelajar,BelumTerbiasa,JulPL,Perempuan)/COUNTIFS(JulPL,Perempuan)),)</f>
        <v/>
      </c>
      <c r="AK37" s="55">
        <f>COUNTIFS(JulGemarBelajar,SudahTerbiasa,JulPL,Laki_Laki)</f>
        <v>0</v>
      </c>
      <c r="AL37" s="56" t="str">
        <f>IFERROR(IF($AF$18=0,"",COUNTIFS(JulGemarBelajar,SudahTerbiasa,JulPL,Laki_Laki)/COUNTIFS(JulPL,Laki_Laki)),)</f>
        <v/>
      </c>
      <c r="AM37" s="57">
        <f>COUNTIFS(JulGemarBelajar,BelumTerbiasa,JulPL,Laki_Laki)</f>
        <v>0</v>
      </c>
      <c r="AN37" s="58" t="str">
        <f>IFERROR(IF($AF$18=0,"",COUNTIFS(JulGemarBelajar,BelumTerbiasa,JulPL,Laki_Laki)/COUNTIFS(JulPL,Laki_Laki)),)</f>
        <v/>
      </c>
      <c r="AO37" s="13"/>
      <c r="AP37" s="13"/>
      <c r="AQ37" s="13"/>
    </row>
    <row r="38" spans="2:43" hidden="1" x14ac:dyDescent="0.3">
      <c r="B38" s="4" t="str">
        <f>IF(ROW(A26)&lt;=profilKelas!$F$14,ROW(A26),"")</f>
        <v/>
      </c>
      <c r="C38" s="94" t="str">
        <f>IF(ISBLANK(identitasMurid!C31),"",identitasMurid!C31)</f>
        <v/>
      </c>
      <c r="D38" s="6" t="str">
        <f>IF(ISBLANK(identitasMurid!D31),"",identitasMurid!D31)</f>
        <v/>
      </c>
      <c r="E38" s="95"/>
      <c r="F38" s="95"/>
      <c r="G38" s="95"/>
      <c r="H38" s="95"/>
      <c r="I38" s="95"/>
      <c r="J38" s="95"/>
      <c r="K38" s="95"/>
      <c r="L38" s="95"/>
      <c r="M38" s="95"/>
      <c r="Q38" s="5" t="str">
        <f>IF(ROW(A26)&lt;=profilKelas!$F$14,ROW(A26),"")</f>
        <v/>
      </c>
      <c r="R38" s="12" t="str">
        <f t="shared" si="0"/>
        <v/>
      </c>
      <c r="S38" s="108" t="str">
        <f t="shared" si="4"/>
        <v/>
      </c>
      <c r="T38" s="108" t="str">
        <f t="shared" si="2"/>
        <v/>
      </c>
      <c r="U38" s="108" t="str">
        <f t="shared" si="6"/>
        <v/>
      </c>
      <c r="V38" s="108" t="str">
        <f t="shared" si="6"/>
        <v/>
      </c>
      <c r="W38" s="108" t="str">
        <f t="shared" si="6"/>
        <v/>
      </c>
      <c r="X38" s="108" t="str">
        <f t="shared" si="6"/>
        <v/>
      </c>
      <c r="Y38" s="108" t="str">
        <f t="shared" si="6"/>
        <v/>
      </c>
      <c r="Z38" s="108" t="str">
        <f t="shared" si="6"/>
        <v/>
      </c>
      <c r="AA38" s="108" t="str">
        <f t="shared" si="6"/>
        <v/>
      </c>
      <c r="AB38" s="108" t="str" cm="1">
        <f t="array" ref="AB38">IF(LEN($B38)=0,"",IF(LEN(C38)=0,"Nama Siswa Kosong",IF($E38="","Status Siswa Kosong",IF(S38&lt;&gt;"Aktif","Siswa Tidak Aktif",
IF(OR(U38:AA38="Belum mengisi"),"Belum mengisi",IF(AND(U38:AA38="Sudah terbiasa"),"Sudah terbiasa","Belum terbiasa"))))))</f>
        <v/>
      </c>
      <c r="AD38" s="41">
        <v>6</v>
      </c>
      <c r="AE38" s="161" t="s">
        <v>7</v>
      </c>
      <c r="AF38" s="161"/>
      <c r="AG38" s="51">
        <f>COUNTIFS(JulAktifBermasyarakat,SudahTerbiasa,JulPL,Perempuan)</f>
        <v>0</v>
      </c>
      <c r="AH38" s="52" t="str">
        <f>IFERROR(IF($AF$18=0,"",COUNTIFS(JulAktifBermasyarakat,SudahTerbiasa,JulPL,Perempuan)/COUNTIFS(JulPL,Perempuan)),)</f>
        <v/>
      </c>
      <c r="AI38" s="53">
        <f>COUNTIFS(JulAktifBermasyarakat,BelumTerbiasa,JulPL,Perempuan)</f>
        <v>0</v>
      </c>
      <c r="AJ38" s="59" t="str">
        <f>IFERROR(IF($AF$18=0,"",COUNTIFS(JulAktifBermasyarakat,BelumTerbiasa,JulPL,Perempuan)/COUNTIFS(JulPL,Perempuan)),)</f>
        <v/>
      </c>
      <c r="AK38" s="55">
        <f>COUNTIFS(JulAktifBermasyarakat,SudahTerbiasa,JulPL,Laki_Laki)</f>
        <v>0</v>
      </c>
      <c r="AL38" s="56" t="str">
        <f>IFERROR(IF($AF$18=0,"",COUNTIFS(JulAktifBermasyarakat,SudahTerbiasa,JulPL,Laki_Laki)/COUNTIFS(JulPL,Laki_Laki)),)</f>
        <v/>
      </c>
      <c r="AM38" s="57">
        <f>COUNTIFS(JulAktifBermasyarakat,BelumTerbiasa,JulPL,Laki_Laki)</f>
        <v>0</v>
      </c>
      <c r="AN38" s="58" t="str">
        <f>IFERROR(IF($AF$18=0,"",COUNTIFS(JulAktifBermasyarakat,BelumTerbiasa,JulPL,Laki_Laki)/COUNTIFS(JulPL,Laki_Laki)),)</f>
        <v/>
      </c>
      <c r="AO38" s="13"/>
      <c r="AP38" s="13"/>
      <c r="AQ38" s="13"/>
    </row>
    <row r="39" spans="2:43" hidden="1" x14ac:dyDescent="0.3">
      <c r="B39" s="4" t="str">
        <f>IF(ROW(A27)&lt;=profilKelas!$F$14,ROW(A27),"")</f>
        <v/>
      </c>
      <c r="C39" s="94" t="str">
        <f>IF(ISBLANK(identitasMurid!C32),"",identitasMurid!C32)</f>
        <v/>
      </c>
      <c r="D39" s="6" t="str">
        <f>IF(ISBLANK(identitasMurid!D32),"",identitasMurid!D32)</f>
        <v/>
      </c>
      <c r="E39" s="95"/>
      <c r="F39" s="95"/>
      <c r="G39" s="95"/>
      <c r="H39" s="95"/>
      <c r="I39" s="95"/>
      <c r="J39" s="95"/>
      <c r="K39" s="95"/>
      <c r="L39" s="95"/>
      <c r="M39" s="95"/>
      <c r="Q39" s="5" t="str">
        <f>IF(ROW(A27)&lt;=profilKelas!$F$14,ROW(A27),"")</f>
        <v/>
      </c>
      <c r="R39" s="12" t="str">
        <f t="shared" si="0"/>
        <v/>
      </c>
      <c r="S39" s="108" t="str">
        <f t="shared" si="4"/>
        <v/>
      </c>
      <c r="T39" s="108" t="str">
        <f t="shared" si="2"/>
        <v/>
      </c>
      <c r="U39" s="108" t="str">
        <f t="shared" si="6"/>
        <v/>
      </c>
      <c r="V39" s="108" t="str">
        <f t="shared" si="6"/>
        <v/>
      </c>
      <c r="W39" s="108" t="str">
        <f t="shared" si="6"/>
        <v/>
      </c>
      <c r="X39" s="108" t="str">
        <f t="shared" si="6"/>
        <v/>
      </c>
      <c r="Y39" s="108" t="str">
        <f t="shared" si="6"/>
        <v/>
      </c>
      <c r="Z39" s="108" t="str">
        <f t="shared" si="6"/>
        <v/>
      </c>
      <c r="AA39" s="108" t="str">
        <f t="shared" si="6"/>
        <v/>
      </c>
      <c r="AB39" s="108" t="str" cm="1">
        <f t="array" ref="AB39">IF(LEN($B39)=0,"",IF(LEN(C39)=0,"Nama Siswa Kosong",IF($E39="","Status Siswa Kosong",IF(S39&lt;&gt;"Aktif","Siswa Tidak Aktif",
IF(OR(U39:AA39="Belum mengisi"),"Belum mengisi",IF(AND(U39:AA39="Sudah terbiasa"),"Sudah terbiasa","Belum terbiasa"))))))</f>
        <v/>
      </c>
      <c r="AD39" s="41">
        <v>7</v>
      </c>
      <c r="AE39" s="161" t="s">
        <v>8</v>
      </c>
      <c r="AF39" s="161"/>
      <c r="AG39" s="51">
        <f>COUNTIFS(JulTidurCepat,SudahTerbiasa,JulPL,Perempuan)</f>
        <v>0</v>
      </c>
      <c r="AH39" s="52" t="str">
        <f>IFERROR(IF($AF$18=0,"",COUNTIFS(JulTidurCepat,SudahTerbiasa,JulPL,Perempuan)/COUNTIFS(JulPL,Perempuan)),)</f>
        <v/>
      </c>
      <c r="AI39" s="53">
        <f>COUNTIFS(JulTidurCepat,BelumTerbiasa,JulPL,Perempuan)</f>
        <v>0</v>
      </c>
      <c r="AJ39" s="59" t="str">
        <f>IFERROR(IF($AF$18=0,"",COUNTIFS(JulTidurCepat,BelumTerbiasa,JulPL,Perempuan)/COUNTIFS(JulPL,Perempuan)),)</f>
        <v/>
      </c>
      <c r="AK39" s="55">
        <f>COUNTIFS(JulTidurCepat,SudahTerbiasa,JulPL,Laki_Laki)</f>
        <v>0</v>
      </c>
      <c r="AL39" s="56" t="str">
        <f>IFERROR(IF($AF$18=0,"",COUNTIFS(JulTidurCepat,SudahTerbiasa,JulPL,Laki_Laki)/COUNTIFS(JulPL,Laki_Laki)),)</f>
        <v/>
      </c>
      <c r="AM39" s="57">
        <f>COUNTIFS(JulTidurCepat,BelumTerbiasa,JulPL,Laki_Laki)</f>
        <v>0</v>
      </c>
      <c r="AN39" s="58" t="str">
        <f>IFERROR(IF($AF$18=0,"",COUNTIFS(JulTidurCepat,BelumTerbiasa,JulPL,Laki_Laki)/COUNTIFS(JulPL,Laki_Laki)),)</f>
        <v/>
      </c>
      <c r="AO39" s="13"/>
      <c r="AP39" s="13"/>
      <c r="AQ39" s="13"/>
    </row>
    <row r="40" spans="2:43" hidden="1" x14ac:dyDescent="0.3">
      <c r="B40" s="4" t="str">
        <f>IF(ROW(A28)&lt;=profilKelas!$F$14,ROW(A28),"")</f>
        <v/>
      </c>
      <c r="C40" s="94" t="str">
        <f>IF(ISBLANK(identitasMurid!C33),"",identitasMurid!C33)</f>
        <v/>
      </c>
      <c r="D40" s="6" t="str">
        <f>IF(ISBLANK(identitasMurid!D33),"",identitasMurid!D33)</f>
        <v/>
      </c>
      <c r="E40" s="95"/>
      <c r="F40" s="95"/>
      <c r="G40" s="95"/>
      <c r="H40" s="95"/>
      <c r="I40" s="95"/>
      <c r="J40" s="95"/>
      <c r="K40" s="95"/>
      <c r="L40" s="95"/>
      <c r="M40" s="95"/>
      <c r="Q40" s="5" t="str">
        <f>IF(ROW(A28)&lt;=profilKelas!$F$14,ROW(A28),"")</f>
        <v/>
      </c>
      <c r="R40" s="12" t="str">
        <f t="shared" si="0"/>
        <v/>
      </c>
      <c r="S40" s="108" t="str">
        <f t="shared" si="4"/>
        <v/>
      </c>
      <c r="T40" s="108" t="str">
        <f t="shared" si="2"/>
        <v/>
      </c>
      <c r="U40" s="108" t="str">
        <f t="shared" si="6"/>
        <v/>
      </c>
      <c r="V40" s="108" t="str">
        <f t="shared" si="6"/>
        <v/>
      </c>
      <c r="W40" s="108" t="str">
        <f t="shared" si="6"/>
        <v/>
      </c>
      <c r="X40" s="108" t="str">
        <f t="shared" si="6"/>
        <v/>
      </c>
      <c r="Y40" s="108" t="str">
        <f t="shared" si="6"/>
        <v/>
      </c>
      <c r="Z40" s="108" t="str">
        <f t="shared" si="6"/>
        <v/>
      </c>
      <c r="AA40" s="108" t="str">
        <f t="shared" si="6"/>
        <v/>
      </c>
      <c r="AB40" s="108" t="str" cm="1">
        <f t="array" ref="AB40">IF(LEN($B40)=0,"",IF(LEN(C40)=0,"Nama Siswa Kosong",IF($E40="","Status Siswa Kosong",IF(S40&lt;&gt;"Aktif","Siswa Tidak Aktif",
IF(OR(U40:AA40="Belum mengisi"),"Belum mengisi",IF(AND(U40:AA40="Sudah terbiasa"),"Sudah terbiasa","Belum terbiasa"))))))</f>
        <v/>
      </c>
    </row>
    <row r="41" spans="2:43" hidden="1" x14ac:dyDescent="0.3">
      <c r="B41" s="4" t="str">
        <f>IF(ROW(A29)&lt;=profilKelas!$F$14,ROW(A29),"")</f>
        <v/>
      </c>
      <c r="C41" s="94" t="str">
        <f>IF(ISBLANK(identitasMurid!C34),"",identitasMurid!C34)</f>
        <v/>
      </c>
      <c r="D41" s="6" t="str">
        <f>IF(ISBLANK(identitasMurid!D34),"",identitasMurid!D34)</f>
        <v/>
      </c>
      <c r="E41" s="95"/>
      <c r="F41" s="95"/>
      <c r="G41" s="95"/>
      <c r="H41" s="95"/>
      <c r="I41" s="95"/>
      <c r="J41" s="95"/>
      <c r="K41" s="95"/>
      <c r="L41" s="95"/>
      <c r="M41" s="95"/>
      <c r="Q41" s="5" t="str">
        <f>IF(ROW(A29)&lt;=profilKelas!$F$14,ROW(A29),"")</f>
        <v/>
      </c>
      <c r="R41" s="12" t="str">
        <f t="shared" si="0"/>
        <v/>
      </c>
      <c r="S41" s="108" t="str">
        <f t="shared" si="4"/>
        <v/>
      </c>
      <c r="T41" s="108" t="str">
        <f t="shared" si="2"/>
        <v/>
      </c>
      <c r="U41" s="108" t="str">
        <f t="shared" si="6"/>
        <v/>
      </c>
      <c r="V41" s="108" t="str">
        <f t="shared" si="6"/>
        <v/>
      </c>
      <c r="W41" s="108" t="str">
        <f t="shared" si="6"/>
        <v/>
      </c>
      <c r="X41" s="108" t="str">
        <f t="shared" si="6"/>
        <v/>
      </c>
      <c r="Y41" s="108" t="str">
        <f t="shared" si="6"/>
        <v/>
      </c>
      <c r="Z41" s="108" t="str">
        <f t="shared" si="6"/>
        <v/>
      </c>
      <c r="AA41" s="108" t="str">
        <f t="shared" si="6"/>
        <v/>
      </c>
      <c r="AB41" s="108" t="str" cm="1">
        <f t="array" ref="AB41">IF(LEN($B41)=0,"",IF(LEN(C41)=0,"Nama Siswa Kosong",IF($E41="","Status Siswa Kosong",IF(S41&lt;&gt;"Aktif","Siswa Tidak Aktif",
IF(OR(U41:AA41="Belum mengisi"),"Belum mengisi",IF(AND(U41:AA41="Sudah terbiasa"),"Sudah terbiasa","Belum terbiasa"))))))</f>
        <v/>
      </c>
    </row>
    <row r="42" spans="2:43" hidden="1" x14ac:dyDescent="0.3">
      <c r="B42" s="4" t="str">
        <f>IF(ROW(A30)&lt;=profilKelas!$F$14,ROW(A30),"")</f>
        <v/>
      </c>
      <c r="C42" s="94" t="str">
        <f>IF(ISBLANK(identitasMurid!C35),"",identitasMurid!C35)</f>
        <v/>
      </c>
      <c r="D42" s="6" t="str">
        <f>IF(ISBLANK(identitasMurid!D35),"",identitasMurid!D35)</f>
        <v/>
      </c>
      <c r="E42" s="95"/>
      <c r="F42" s="95"/>
      <c r="G42" s="95"/>
      <c r="H42" s="95"/>
      <c r="I42" s="95"/>
      <c r="J42" s="95"/>
      <c r="K42" s="95"/>
      <c r="L42" s="95"/>
      <c r="M42" s="95"/>
      <c r="Q42" s="5" t="str">
        <f>IF(ROW(A30)&lt;=profilKelas!$F$14,ROW(A30),"")</f>
        <v/>
      </c>
      <c r="R42" s="12" t="str">
        <f t="shared" si="0"/>
        <v/>
      </c>
      <c r="S42" s="108" t="str">
        <f t="shared" si="4"/>
        <v/>
      </c>
      <c r="T42" s="108" t="str">
        <f t="shared" si="2"/>
        <v/>
      </c>
      <c r="U42" s="108" t="str">
        <f t="shared" si="6"/>
        <v/>
      </c>
      <c r="V42" s="108" t="str">
        <f t="shared" si="6"/>
        <v/>
      </c>
      <c r="W42" s="108" t="str">
        <f t="shared" si="6"/>
        <v/>
      </c>
      <c r="X42" s="108" t="str">
        <f t="shared" si="6"/>
        <v/>
      </c>
      <c r="Y42" s="108" t="str">
        <f t="shared" si="6"/>
        <v/>
      </c>
      <c r="Z42" s="108" t="str">
        <f t="shared" si="6"/>
        <v/>
      </c>
      <c r="AA42" s="108" t="str">
        <f t="shared" si="6"/>
        <v/>
      </c>
      <c r="AB42" s="108" t="str" cm="1">
        <f t="array" ref="AB42">IF(LEN($B42)=0,"",IF(LEN(C42)=0,"Nama Siswa Kosong",IF($E42="","Status Siswa Kosong",IF(S42&lt;&gt;"Aktif","Siswa Tidak Aktif",
IF(OR(U42:AA42="Belum mengisi"),"Belum mengisi",IF(AND(U42:AA42="Sudah terbiasa"),"Sudah terbiasa","Belum terbiasa"))))))</f>
        <v/>
      </c>
    </row>
    <row r="43" spans="2:43" hidden="1" x14ac:dyDescent="0.3">
      <c r="B43" s="4" t="str">
        <f>IF(ROW(A31)&lt;=profilKelas!$F$14,ROW(A31),"")</f>
        <v/>
      </c>
      <c r="C43" s="94" t="str">
        <f>IF(ISBLANK(identitasMurid!C36),"",identitasMurid!C36)</f>
        <v/>
      </c>
      <c r="D43" s="6" t="str">
        <f>IF(ISBLANK(identitasMurid!D36),"",identitasMurid!D36)</f>
        <v/>
      </c>
      <c r="E43" s="95"/>
      <c r="F43" s="95"/>
      <c r="G43" s="95"/>
      <c r="H43" s="95"/>
      <c r="I43" s="95"/>
      <c r="J43" s="95"/>
      <c r="K43" s="95"/>
      <c r="L43" s="95"/>
      <c r="M43" s="95"/>
      <c r="Q43" s="5" t="str">
        <f>IF(ROW(A31)&lt;=profilKelas!$F$14,ROW(A31),"")</f>
        <v/>
      </c>
      <c r="R43" s="12" t="str">
        <f t="shared" si="0"/>
        <v/>
      </c>
      <c r="S43" s="108" t="str">
        <f t="shared" si="4"/>
        <v/>
      </c>
      <c r="T43" s="108" t="str">
        <f t="shared" si="2"/>
        <v/>
      </c>
      <c r="U43" s="108" t="str">
        <f t="shared" si="6"/>
        <v/>
      </c>
      <c r="V43" s="108" t="str">
        <f t="shared" si="6"/>
        <v/>
      </c>
      <c r="W43" s="108" t="str">
        <f t="shared" si="6"/>
        <v/>
      </c>
      <c r="X43" s="108" t="str">
        <f t="shared" si="6"/>
        <v/>
      </c>
      <c r="Y43" s="108" t="str">
        <f t="shared" si="6"/>
        <v/>
      </c>
      <c r="Z43" s="108" t="str">
        <f t="shared" si="6"/>
        <v/>
      </c>
      <c r="AA43" s="108" t="str">
        <f t="shared" si="6"/>
        <v/>
      </c>
      <c r="AB43" s="108" t="str" cm="1">
        <f t="array" ref="AB43">IF(LEN($B43)=0,"",IF(LEN(C43)=0,"Nama Siswa Kosong",IF($E43="","Status Siswa Kosong",IF(S43&lt;&gt;"Aktif","Siswa Tidak Aktif",
IF(OR(U43:AA43="Belum mengisi"),"Belum mengisi",IF(AND(U43:AA43="Sudah terbiasa"),"Sudah terbiasa","Belum terbiasa"))))))</f>
        <v/>
      </c>
    </row>
    <row r="44" spans="2:43" hidden="1" x14ac:dyDescent="0.3">
      <c r="B44" s="4" t="str">
        <f>IF(ROW(A32)&lt;=profilKelas!$F$14,ROW(A32),"")</f>
        <v/>
      </c>
      <c r="C44" s="94" t="str">
        <f>IF(ISBLANK(identitasMurid!C37),"",identitasMurid!C37)</f>
        <v/>
      </c>
      <c r="D44" s="6" t="str">
        <f>IF(ISBLANK(identitasMurid!D37),"",identitasMurid!D37)</f>
        <v/>
      </c>
      <c r="E44" s="95"/>
      <c r="F44" s="95"/>
      <c r="G44" s="95"/>
      <c r="H44" s="95"/>
      <c r="I44" s="95"/>
      <c r="J44" s="95"/>
      <c r="K44" s="95"/>
      <c r="L44" s="95"/>
      <c r="M44" s="95"/>
      <c r="Q44" s="5" t="str">
        <f>IF(ROW(A32)&lt;=profilKelas!$F$14,ROW(A32),"")</f>
        <v/>
      </c>
      <c r="R44" s="12" t="str">
        <f t="shared" si="0"/>
        <v/>
      </c>
      <c r="S44" s="108" t="str">
        <f t="shared" si="4"/>
        <v/>
      </c>
      <c r="T44" s="108" t="str">
        <f t="shared" si="2"/>
        <v/>
      </c>
      <c r="U44" s="108" t="str">
        <f t="shared" si="6"/>
        <v/>
      </c>
      <c r="V44" s="108" t="str">
        <f t="shared" si="6"/>
        <v/>
      </c>
      <c r="W44" s="108" t="str">
        <f t="shared" si="6"/>
        <v/>
      </c>
      <c r="X44" s="108" t="str">
        <f t="shared" si="6"/>
        <v/>
      </c>
      <c r="Y44" s="108" t="str">
        <f t="shared" si="6"/>
        <v/>
      </c>
      <c r="Z44" s="108" t="str">
        <f t="shared" si="6"/>
        <v/>
      </c>
      <c r="AA44" s="108" t="str">
        <f t="shared" si="6"/>
        <v/>
      </c>
      <c r="AB44" s="108" t="str" cm="1">
        <f t="array" ref="AB44">IF(LEN($B44)=0,"",IF(LEN(C44)=0,"Nama Siswa Kosong",IF($E44="","Status Siswa Kosong",IF(S44&lt;&gt;"Aktif","Siswa Tidak Aktif",
IF(OR(U44:AA44="Belum mengisi"),"Belum mengisi",IF(AND(U44:AA44="Sudah terbiasa"),"Sudah terbiasa","Belum terbiasa"))))))</f>
        <v/>
      </c>
    </row>
    <row r="45" spans="2:43" hidden="1" x14ac:dyDescent="0.3">
      <c r="B45" s="4" t="str">
        <f>IF(ROW(A33)&lt;=profilKelas!$F$14,ROW(A33),"")</f>
        <v/>
      </c>
      <c r="C45" s="94" t="str">
        <f>IF(ISBLANK(identitasMurid!C38),"",identitasMurid!C38)</f>
        <v/>
      </c>
      <c r="D45" s="6" t="str">
        <f>IF(ISBLANK(identitasMurid!D38),"",identitasMurid!D38)</f>
        <v/>
      </c>
      <c r="E45" s="95"/>
      <c r="F45" s="95"/>
      <c r="G45" s="95"/>
      <c r="H45" s="95"/>
      <c r="I45" s="95"/>
      <c r="J45" s="95"/>
      <c r="K45" s="95"/>
      <c r="L45" s="95"/>
      <c r="M45" s="95"/>
      <c r="Q45" s="5" t="str">
        <f>IF(ROW(A33)&lt;=profilKelas!$F$14,ROW(A33),"")</f>
        <v/>
      </c>
      <c r="R45" s="12" t="str">
        <f t="shared" si="0"/>
        <v/>
      </c>
      <c r="S45" s="108" t="str">
        <f t="shared" si="4"/>
        <v/>
      </c>
      <c r="T45" s="108" t="str">
        <f t="shared" si="2"/>
        <v/>
      </c>
      <c r="U45" s="108" t="str">
        <f t="shared" si="6"/>
        <v/>
      </c>
      <c r="V45" s="108" t="str">
        <f t="shared" si="6"/>
        <v/>
      </c>
      <c r="W45" s="108" t="str">
        <f t="shared" si="6"/>
        <v/>
      </c>
      <c r="X45" s="108" t="str">
        <f t="shared" si="6"/>
        <v/>
      </c>
      <c r="Y45" s="108" t="str">
        <f t="shared" si="6"/>
        <v/>
      </c>
      <c r="Z45" s="108" t="str">
        <f t="shared" si="6"/>
        <v/>
      </c>
      <c r="AA45" s="108" t="str">
        <f t="shared" si="6"/>
        <v/>
      </c>
      <c r="AB45" s="108" t="str" cm="1">
        <f t="array" ref="AB45">IF(LEN($B45)=0,"",IF(LEN(C45)=0,"Nama Siswa Kosong",IF($E45="","Status Siswa Kosong",IF(S45&lt;&gt;"Aktif","Siswa Tidak Aktif",
IF(OR(U45:AA45="Belum mengisi"),"Belum mengisi",IF(AND(U45:AA45="Sudah terbiasa"),"Sudah terbiasa","Belum terbiasa"))))))</f>
        <v/>
      </c>
    </row>
    <row r="46" spans="2:43" hidden="1" x14ac:dyDescent="0.3">
      <c r="B46" s="4" t="str">
        <f>IF(ROW(A34)&lt;=profilKelas!$F$14,ROW(A34),"")</f>
        <v/>
      </c>
      <c r="C46" s="94" t="str">
        <f>IF(ISBLANK(identitasMurid!C39),"",identitasMurid!C39)</f>
        <v/>
      </c>
      <c r="D46" s="6" t="str">
        <f>IF(ISBLANK(identitasMurid!D39),"",identitasMurid!D39)</f>
        <v/>
      </c>
      <c r="E46" s="95"/>
      <c r="F46" s="95"/>
      <c r="G46" s="95"/>
      <c r="H46" s="95"/>
      <c r="I46" s="95"/>
      <c r="J46" s="95"/>
      <c r="K46" s="95"/>
      <c r="L46" s="95"/>
      <c r="M46" s="95"/>
      <c r="Q46" s="5" t="str">
        <f>IF(ROW(A34)&lt;=profilKelas!$F$14,ROW(A34),"")</f>
        <v/>
      </c>
      <c r="R46" s="12" t="str">
        <f t="shared" si="0"/>
        <v/>
      </c>
      <c r="S46" s="108" t="str">
        <f t="shared" si="4"/>
        <v/>
      </c>
      <c r="T46" s="108" t="str">
        <f t="shared" si="2"/>
        <v/>
      </c>
      <c r="U46" s="108" t="str">
        <f t="shared" si="6"/>
        <v/>
      </c>
      <c r="V46" s="108" t="str">
        <f t="shared" si="6"/>
        <v/>
      </c>
      <c r="W46" s="108" t="str">
        <f t="shared" si="6"/>
        <v/>
      </c>
      <c r="X46" s="108" t="str">
        <f t="shared" si="6"/>
        <v/>
      </c>
      <c r="Y46" s="108" t="str">
        <f t="shared" si="6"/>
        <v/>
      </c>
      <c r="Z46" s="108" t="str">
        <f t="shared" si="6"/>
        <v/>
      </c>
      <c r="AA46" s="108" t="str">
        <f t="shared" si="6"/>
        <v/>
      </c>
      <c r="AB46" s="108" t="str" cm="1">
        <f t="array" ref="AB46">IF(LEN($B46)=0,"",IF(LEN(C46)=0,"Nama Siswa Kosong",IF($E46="","Status Siswa Kosong",IF(S46&lt;&gt;"Aktif","Siswa Tidak Aktif",
IF(OR(U46:AA46="Belum mengisi"),"Belum mengisi",IF(AND(U46:AA46="Sudah terbiasa"),"Sudah terbiasa","Belum terbiasa"))))))</f>
        <v/>
      </c>
    </row>
    <row r="47" spans="2:43" hidden="1" x14ac:dyDescent="0.3">
      <c r="B47" s="4" t="str">
        <f>IF(ROW(A35)&lt;=profilKelas!$F$14,ROW(A35),"")</f>
        <v/>
      </c>
      <c r="C47" s="94" t="str">
        <f>IF(ISBLANK(identitasMurid!C40),"",identitasMurid!C40)</f>
        <v/>
      </c>
      <c r="D47" s="6" t="str">
        <f>IF(ISBLANK(identitasMurid!D40),"",identitasMurid!D40)</f>
        <v/>
      </c>
      <c r="E47" s="95"/>
      <c r="F47" s="95"/>
      <c r="G47" s="95"/>
      <c r="H47" s="95"/>
      <c r="I47" s="95"/>
      <c r="J47" s="95"/>
      <c r="K47" s="95"/>
      <c r="L47" s="95"/>
      <c r="M47" s="95"/>
      <c r="Q47" s="5" t="str">
        <f>IF(ROW(A35)&lt;=profilKelas!$F$14,ROW(A35),"")</f>
        <v/>
      </c>
      <c r="R47" s="12" t="str">
        <f t="shared" si="0"/>
        <v/>
      </c>
      <c r="S47" s="108" t="str">
        <f t="shared" si="4"/>
        <v/>
      </c>
      <c r="T47" s="108" t="str">
        <f t="shared" si="2"/>
        <v/>
      </c>
      <c r="U47" s="108" t="str">
        <f t="shared" si="6"/>
        <v/>
      </c>
      <c r="V47" s="108" t="str">
        <f t="shared" si="6"/>
        <v/>
      </c>
      <c r="W47" s="108" t="str">
        <f t="shared" si="6"/>
        <v/>
      </c>
      <c r="X47" s="108" t="str">
        <f t="shared" si="6"/>
        <v/>
      </c>
      <c r="Y47" s="108" t="str">
        <f t="shared" si="6"/>
        <v/>
      </c>
      <c r="Z47" s="108" t="str">
        <f t="shared" si="6"/>
        <v/>
      </c>
      <c r="AA47" s="108" t="str">
        <f t="shared" si="6"/>
        <v/>
      </c>
      <c r="AB47" s="108" t="str" cm="1">
        <f t="array" ref="AB47">IF(LEN($B47)=0,"",IF(LEN(C47)=0,"Nama Siswa Kosong",IF($E47="","Status Siswa Kosong",IF(S47&lt;&gt;"Aktif","Siswa Tidak Aktif",
IF(OR(U47:AA47="Belum mengisi"),"Belum mengisi",IF(AND(U47:AA47="Sudah terbiasa"),"Sudah terbiasa","Belum terbiasa"))))))</f>
        <v/>
      </c>
    </row>
    <row r="48" spans="2:43" hidden="1" x14ac:dyDescent="0.3">
      <c r="B48" s="4" t="str">
        <f>IF(ROW(A36)&lt;=profilKelas!$F$14,ROW(A36),"")</f>
        <v/>
      </c>
      <c r="C48" s="94" t="str">
        <f>IF(ISBLANK(identitasMurid!C41),"",identitasMurid!C41)</f>
        <v/>
      </c>
      <c r="D48" s="6" t="str">
        <f>IF(ISBLANK(identitasMurid!D41),"",identitasMurid!D41)</f>
        <v/>
      </c>
      <c r="E48" s="95"/>
      <c r="F48" s="95"/>
      <c r="G48" s="95"/>
      <c r="H48" s="95"/>
      <c r="I48" s="95"/>
      <c r="J48" s="95"/>
      <c r="K48" s="95"/>
      <c r="L48" s="95"/>
      <c r="M48" s="30"/>
      <c r="Q48" s="5" t="str">
        <f>IF(ROW(A36)&lt;=profilKelas!$F$14,ROW(A36),"")</f>
        <v/>
      </c>
      <c r="R48" s="12" t="str">
        <f t="shared" si="0"/>
        <v/>
      </c>
      <c r="S48" s="108" t="str">
        <f t="shared" si="4"/>
        <v/>
      </c>
      <c r="T48" s="108" t="str">
        <f t="shared" si="2"/>
        <v/>
      </c>
      <c r="U48" s="108" t="str">
        <f t="shared" si="6"/>
        <v/>
      </c>
      <c r="V48" s="108" t="str">
        <f t="shared" si="6"/>
        <v/>
      </c>
      <c r="W48" s="108" t="str">
        <f t="shared" si="6"/>
        <v/>
      </c>
      <c r="X48" s="108" t="str">
        <f t="shared" si="6"/>
        <v/>
      </c>
      <c r="Y48" s="108" t="str">
        <f t="shared" si="6"/>
        <v/>
      </c>
      <c r="Z48" s="108" t="str">
        <f t="shared" si="6"/>
        <v/>
      </c>
      <c r="AA48" s="108" t="str">
        <f t="shared" si="6"/>
        <v/>
      </c>
      <c r="AB48" s="108" t="str" cm="1">
        <f t="array" ref="AB48">IF(LEN($B48)=0,"",IF(LEN(C48)=0,"Nama Siswa Kosong",IF($E48="","Status Siswa Kosong",IF(S48&lt;&gt;"Aktif","Siswa Tidak Aktif",
IF(OR(U48:AA48="Belum mengisi"),"Belum mengisi",IF(AND(U48:AA48="Sudah terbiasa"),"Sudah terbiasa","Belum terbiasa"))))))</f>
        <v/>
      </c>
    </row>
    <row r="49" spans="2:28" hidden="1" x14ac:dyDescent="0.3">
      <c r="B49" s="4" t="str">
        <f>IF(ROW(A37)&lt;=profilKelas!$F$14,ROW(A37),"")</f>
        <v/>
      </c>
      <c r="C49" s="94" t="str">
        <f>IF(ISBLANK(identitasMurid!C42),"",identitasMurid!C42)</f>
        <v/>
      </c>
      <c r="D49" s="6" t="str">
        <f>IF(ISBLANK(identitasMurid!D42),"",identitasMurid!D42)</f>
        <v/>
      </c>
      <c r="E49" s="95"/>
      <c r="F49" s="95"/>
      <c r="G49" s="95"/>
      <c r="H49" s="95"/>
      <c r="I49" s="95"/>
      <c r="J49" s="95"/>
      <c r="K49" s="95"/>
      <c r="L49" s="95"/>
      <c r="M49" s="30"/>
      <c r="Q49" s="5" t="str">
        <f>IF(ROW(A37)&lt;=profilKelas!$F$14,ROW(A37),"")</f>
        <v/>
      </c>
      <c r="R49" s="12" t="str">
        <f t="shared" si="0"/>
        <v/>
      </c>
      <c r="S49" s="108" t="str">
        <f t="shared" si="4"/>
        <v/>
      </c>
      <c r="T49" s="108" t="str">
        <f t="shared" si="2"/>
        <v/>
      </c>
      <c r="U49" s="108" t="str">
        <f t="shared" si="6"/>
        <v/>
      </c>
      <c r="V49" s="108" t="str">
        <f t="shared" si="6"/>
        <v/>
      </c>
      <c r="W49" s="108" t="str">
        <f t="shared" si="6"/>
        <v/>
      </c>
      <c r="X49" s="108" t="str">
        <f t="shared" si="6"/>
        <v/>
      </c>
      <c r="Y49" s="108" t="str">
        <f t="shared" si="6"/>
        <v/>
      </c>
      <c r="Z49" s="108" t="str">
        <f t="shared" si="6"/>
        <v/>
      </c>
      <c r="AA49" s="108" t="str">
        <f t="shared" si="6"/>
        <v/>
      </c>
      <c r="AB49" s="108" t="str" cm="1">
        <f t="array" ref="AB49">IF(LEN($B49)=0,"",IF(LEN(C49)=0,"Nama Siswa Kosong",IF($E49="","Status Siswa Kosong",IF(S49&lt;&gt;"Aktif","Siswa Tidak Aktif",
IF(OR(U49:AA49="Belum mengisi"),"Belum mengisi",IF(AND(U49:AA49="Sudah terbiasa"),"Sudah terbiasa","Belum terbiasa"))))))</f>
        <v/>
      </c>
    </row>
    <row r="50" spans="2:28" hidden="1" x14ac:dyDescent="0.3">
      <c r="B50" s="4" t="str">
        <f>IF(ROW(A38)&lt;=profilKelas!$F$14,ROW(A38),"")</f>
        <v/>
      </c>
      <c r="C50" s="94" t="str">
        <f>IF(ISBLANK(identitasMurid!C43),"",identitasMurid!C43)</f>
        <v/>
      </c>
      <c r="D50" s="6" t="str">
        <f>IF(ISBLANK(identitasMurid!D43),"",identitasMurid!D43)</f>
        <v/>
      </c>
      <c r="E50" s="95"/>
      <c r="F50" s="95"/>
      <c r="G50" s="95"/>
      <c r="H50" s="95"/>
      <c r="I50" s="95"/>
      <c r="J50" s="95"/>
      <c r="K50" s="95"/>
      <c r="L50" s="95"/>
      <c r="M50" s="30"/>
      <c r="Q50" s="5" t="str">
        <f>IF(ROW(A38)&lt;=profilKelas!$F$14,ROW(A38),"")</f>
        <v/>
      </c>
      <c r="R50" s="12" t="str">
        <f t="shared" si="0"/>
        <v/>
      </c>
      <c r="S50" s="108" t="str">
        <f t="shared" si="4"/>
        <v/>
      </c>
      <c r="T50" s="108" t="str">
        <f t="shared" si="2"/>
        <v/>
      </c>
      <c r="U50" s="108" t="str">
        <f t="shared" si="6"/>
        <v/>
      </c>
      <c r="V50" s="108" t="str">
        <f t="shared" si="6"/>
        <v/>
      </c>
      <c r="W50" s="108" t="str">
        <f t="shared" si="6"/>
        <v/>
      </c>
      <c r="X50" s="108" t="str">
        <f t="shared" si="6"/>
        <v/>
      </c>
      <c r="Y50" s="108" t="str">
        <f t="shared" si="6"/>
        <v/>
      </c>
      <c r="Z50" s="108" t="str">
        <f t="shared" si="6"/>
        <v/>
      </c>
      <c r="AA50" s="108" t="str">
        <f t="shared" si="6"/>
        <v/>
      </c>
      <c r="AB50" s="108" t="str" cm="1">
        <f t="array" ref="AB50">IF(LEN($B50)=0,"",IF(LEN(C50)=0,"Nama Siswa Kosong",IF($E50="","Status Siswa Kosong",IF(S50&lt;&gt;"Aktif","Siswa Tidak Aktif",
IF(OR(U50:AA50="Belum mengisi"),"Belum mengisi",IF(AND(U50:AA50="Sudah terbiasa"),"Sudah terbiasa","Belum terbiasa"))))))</f>
        <v/>
      </c>
    </row>
    <row r="51" spans="2:28" hidden="1" x14ac:dyDescent="0.3">
      <c r="B51" s="4" t="str">
        <f>IF(ROW(A39)&lt;=profilKelas!$F$14,ROW(A39),"")</f>
        <v/>
      </c>
      <c r="C51" s="94" t="str">
        <f>IF(ISBLANK(identitasMurid!C44),"",identitasMurid!C44)</f>
        <v/>
      </c>
      <c r="D51" s="6" t="str">
        <f>IF(ISBLANK(identitasMurid!D44),"",identitasMurid!D44)</f>
        <v/>
      </c>
      <c r="E51" s="95"/>
      <c r="F51" s="95"/>
      <c r="G51" s="95"/>
      <c r="H51" s="95"/>
      <c r="I51" s="95"/>
      <c r="J51" s="95"/>
      <c r="K51" s="95"/>
      <c r="L51" s="95"/>
      <c r="M51" s="30"/>
      <c r="Q51" s="5" t="str">
        <f>IF(ROW(A39)&lt;=profilKelas!$F$14,ROW(A39),"")</f>
        <v/>
      </c>
      <c r="R51" s="12" t="str">
        <f t="shared" si="0"/>
        <v/>
      </c>
      <c r="S51" s="108" t="str">
        <f t="shared" si="4"/>
        <v/>
      </c>
      <c r="T51" s="108" t="str">
        <f t="shared" si="2"/>
        <v/>
      </c>
      <c r="U51" s="108" t="str">
        <f t="shared" si="6"/>
        <v/>
      </c>
      <c r="V51" s="108" t="str">
        <f t="shared" si="6"/>
        <v/>
      </c>
      <c r="W51" s="108" t="str">
        <f t="shared" si="6"/>
        <v/>
      </c>
      <c r="X51" s="108" t="str">
        <f t="shared" si="6"/>
        <v/>
      </c>
      <c r="Y51" s="108" t="str">
        <f t="shared" si="6"/>
        <v/>
      </c>
      <c r="Z51" s="108" t="str">
        <f t="shared" si="6"/>
        <v/>
      </c>
      <c r="AA51" s="108" t="str">
        <f t="shared" si="6"/>
        <v/>
      </c>
      <c r="AB51" s="108" t="str" cm="1">
        <f t="array" ref="AB51">IF(LEN($B51)=0,"",IF(LEN(C51)=0,"Nama Siswa Kosong",IF($E51="","Status Siswa Kosong",IF(S51&lt;&gt;"Aktif","Siswa Tidak Aktif",
IF(OR(U51:AA51="Belum mengisi"),"Belum mengisi",IF(AND(U51:AA51="Sudah terbiasa"),"Sudah terbiasa","Belum terbiasa"))))))</f>
        <v/>
      </c>
    </row>
    <row r="52" spans="2:28" hidden="1" x14ac:dyDescent="0.3">
      <c r="B52" s="4" t="str">
        <f>IF(ROW(A40)&lt;=profilKelas!$F$14,ROW(A40),"")</f>
        <v/>
      </c>
      <c r="C52" s="94" t="str">
        <f>IF(ISBLANK(identitasMurid!C45),"",identitasMurid!C45)</f>
        <v/>
      </c>
      <c r="D52" s="6" t="str">
        <f>IF(ISBLANK(identitasMurid!D45),"",identitasMurid!D45)</f>
        <v/>
      </c>
      <c r="E52" s="95"/>
      <c r="F52" s="95"/>
      <c r="G52" s="95"/>
      <c r="H52" s="95"/>
      <c r="I52" s="95"/>
      <c r="J52" s="95"/>
      <c r="K52" s="95"/>
      <c r="L52" s="95"/>
      <c r="M52" s="30"/>
      <c r="Q52" s="5" t="str">
        <f>IF(ROW(A40)&lt;=profilKelas!$F$14,ROW(A40),"")</f>
        <v/>
      </c>
      <c r="R52" s="12" t="str">
        <f t="shared" si="0"/>
        <v/>
      </c>
      <c r="S52" s="108" t="str">
        <f t="shared" si="4"/>
        <v/>
      </c>
      <c r="T52" s="108" t="str">
        <f t="shared" si="2"/>
        <v/>
      </c>
      <c r="U52" s="108" t="str">
        <f t="shared" si="6"/>
        <v/>
      </c>
      <c r="V52" s="108" t="str">
        <f t="shared" si="6"/>
        <v/>
      </c>
      <c r="W52" s="108" t="str">
        <f t="shared" si="6"/>
        <v/>
      </c>
      <c r="X52" s="108" t="str">
        <f t="shared" si="6"/>
        <v/>
      </c>
      <c r="Y52" s="108" t="str">
        <f t="shared" si="6"/>
        <v/>
      </c>
      <c r="Z52" s="108" t="str">
        <f t="shared" si="6"/>
        <v/>
      </c>
      <c r="AA52" s="108" t="str">
        <f t="shared" si="6"/>
        <v/>
      </c>
      <c r="AB52" s="108" t="str" cm="1">
        <f t="array" ref="AB52">IF(LEN($B52)=0,"",IF(LEN(C52)=0,"Nama Siswa Kosong",IF($E52="","Status Siswa Kosong",IF(S52&lt;&gt;"Aktif","Siswa Tidak Aktif",
IF(OR(U52:AA52="Belum mengisi"),"Belum mengisi",IF(AND(U52:AA52="Sudah terbiasa"),"Sudah terbiasa","Belum terbiasa"))))))</f>
        <v/>
      </c>
    </row>
    <row r="53" spans="2:28" hidden="1" x14ac:dyDescent="0.3">
      <c r="B53" s="4" t="str">
        <f>IF(ROW(A41)&lt;=profilKelas!$F$14,ROW(A41),"")</f>
        <v/>
      </c>
      <c r="C53" s="94" t="str">
        <f>IF(ISBLANK(identitasMurid!C46),"",identitasMurid!C46)</f>
        <v/>
      </c>
      <c r="D53" s="6" t="str">
        <f>IF(ISBLANK(identitasMurid!D46),"",identitasMurid!D46)</f>
        <v/>
      </c>
      <c r="E53" s="95"/>
      <c r="F53" s="95"/>
      <c r="G53" s="95"/>
      <c r="H53" s="95"/>
      <c r="I53" s="95"/>
      <c r="J53" s="95"/>
      <c r="K53" s="95"/>
      <c r="L53" s="95"/>
      <c r="M53" s="30"/>
      <c r="Q53" s="5" t="str">
        <f>IF(ROW(A41)&lt;=profilKelas!$F$14,ROW(A41),"")</f>
        <v/>
      </c>
      <c r="R53" s="12" t="str">
        <f t="shared" si="0"/>
        <v/>
      </c>
      <c r="S53" s="108" t="str">
        <f t="shared" si="4"/>
        <v/>
      </c>
      <c r="T53" s="108" t="str">
        <f t="shared" si="2"/>
        <v/>
      </c>
      <c r="U53" s="108" t="str">
        <f t="shared" si="6"/>
        <v/>
      </c>
      <c r="V53" s="108" t="str">
        <f t="shared" si="6"/>
        <v/>
      </c>
      <c r="W53" s="108" t="str">
        <f t="shared" si="6"/>
        <v/>
      </c>
      <c r="X53" s="108" t="str">
        <f t="shared" si="6"/>
        <v/>
      </c>
      <c r="Y53" s="108" t="str">
        <f t="shared" si="6"/>
        <v/>
      </c>
      <c r="Z53" s="108" t="str">
        <f t="shared" si="6"/>
        <v/>
      </c>
      <c r="AA53" s="108" t="str">
        <f t="shared" si="6"/>
        <v/>
      </c>
      <c r="AB53" s="108" t="str" cm="1">
        <f t="array" ref="AB53">IF(LEN($B53)=0,"",IF(LEN(C53)=0,"Nama Siswa Kosong",IF($E53="","Status Siswa Kosong",IF(S53&lt;&gt;"Aktif","Siswa Tidak Aktif",
IF(OR(U53:AA53="Belum mengisi"),"Belum mengisi",IF(AND(U53:AA53="Sudah terbiasa"),"Sudah terbiasa","Belum terbiasa"))))))</f>
        <v/>
      </c>
    </row>
    <row r="54" spans="2:28" hidden="1" x14ac:dyDescent="0.3">
      <c r="B54" s="4" t="str">
        <f>IF(ROW(A42)&lt;=profilKelas!$F$14,ROW(A42),"")</f>
        <v/>
      </c>
      <c r="C54" s="94" t="str">
        <f>IF(ISBLANK(identitasMurid!C47),"",identitasMurid!C47)</f>
        <v/>
      </c>
      <c r="D54" s="6" t="str">
        <f>IF(ISBLANK(identitasMurid!D47),"",identitasMurid!D47)</f>
        <v/>
      </c>
      <c r="E54" s="95"/>
      <c r="F54" s="95"/>
      <c r="G54" s="95"/>
      <c r="H54" s="95"/>
      <c r="I54" s="95"/>
      <c r="J54" s="95"/>
      <c r="K54" s="95"/>
      <c r="L54" s="95"/>
      <c r="M54" s="30"/>
      <c r="Q54" s="5" t="str">
        <f>IF(ROW(A42)&lt;=profilKelas!$F$14,ROW(A42),"")</f>
        <v/>
      </c>
      <c r="R54" s="12" t="str">
        <f t="shared" si="0"/>
        <v/>
      </c>
      <c r="S54" s="108" t="str">
        <f t="shared" si="4"/>
        <v/>
      </c>
      <c r="T54" s="108" t="str">
        <f t="shared" si="2"/>
        <v/>
      </c>
      <c r="U54" s="108" t="str">
        <f t="shared" si="6"/>
        <v/>
      </c>
      <c r="V54" s="108" t="str">
        <f t="shared" si="6"/>
        <v/>
      </c>
      <c r="W54" s="108" t="str">
        <f t="shared" si="6"/>
        <v/>
      </c>
      <c r="X54" s="108" t="str">
        <f t="shared" si="6"/>
        <v/>
      </c>
      <c r="Y54" s="108" t="str">
        <f t="shared" si="6"/>
        <v/>
      </c>
      <c r="Z54" s="108" t="str">
        <f t="shared" si="6"/>
        <v/>
      </c>
      <c r="AA54" s="108" t="str">
        <f t="shared" si="6"/>
        <v/>
      </c>
      <c r="AB54" s="108" t="str" cm="1">
        <f t="array" ref="AB54">IF(LEN($B54)=0,"",IF(LEN(C54)=0,"Nama Siswa Kosong",IF($E54="","Status Siswa Kosong",IF(S54&lt;&gt;"Aktif","Siswa Tidak Aktif",
IF(OR(U54:AA54="Belum mengisi"),"Belum mengisi",IF(AND(U54:AA54="Sudah terbiasa"),"Sudah terbiasa","Belum terbiasa"))))))</f>
        <v/>
      </c>
    </row>
    <row r="55" spans="2:28" hidden="1" x14ac:dyDescent="0.3">
      <c r="B55" s="4" t="str">
        <f>IF(ROW(A43)&lt;=profilKelas!$F$14,ROW(A43),"")</f>
        <v/>
      </c>
      <c r="C55" s="94" t="str">
        <f>IF(ISBLANK(identitasMurid!C48),"",identitasMurid!C48)</f>
        <v/>
      </c>
      <c r="D55" s="6" t="str">
        <f>IF(ISBLANK(identitasMurid!D48),"",identitasMurid!D48)</f>
        <v/>
      </c>
      <c r="E55" s="95"/>
      <c r="F55" s="95"/>
      <c r="G55" s="95"/>
      <c r="H55" s="95"/>
      <c r="I55" s="95"/>
      <c r="J55" s="95"/>
      <c r="K55" s="95"/>
      <c r="L55" s="95"/>
      <c r="M55" s="30"/>
      <c r="Q55" s="5" t="str">
        <f>IF(ROW(A43)&lt;=profilKelas!$F$14,ROW(A43),"")</f>
        <v/>
      </c>
      <c r="R55" s="12" t="str">
        <f t="shared" si="0"/>
        <v/>
      </c>
      <c r="S55" s="108" t="str">
        <f t="shared" si="4"/>
        <v/>
      </c>
      <c r="T55" s="108" t="str">
        <f t="shared" si="2"/>
        <v/>
      </c>
      <c r="U55" s="108" t="str">
        <f t="shared" si="6"/>
        <v/>
      </c>
      <c r="V55" s="108" t="str">
        <f t="shared" si="6"/>
        <v/>
      </c>
      <c r="W55" s="108" t="str">
        <f t="shared" si="6"/>
        <v/>
      </c>
      <c r="X55" s="108" t="str">
        <f t="shared" si="6"/>
        <v/>
      </c>
      <c r="Y55" s="108" t="str">
        <f t="shared" si="6"/>
        <v/>
      </c>
      <c r="Z55" s="108" t="str">
        <f t="shared" si="6"/>
        <v/>
      </c>
      <c r="AA55" s="108" t="str">
        <f t="shared" si="6"/>
        <v/>
      </c>
      <c r="AB55" s="108" t="str" cm="1">
        <f t="array" ref="AB55">IF(LEN($B55)=0,"",IF(LEN(C55)=0,"Nama Siswa Kosong",IF($E55="","Status Siswa Kosong",IF(S55&lt;&gt;"Aktif","Siswa Tidak Aktif",
IF(OR(U55:AA55="Belum mengisi"),"Belum mengisi",IF(AND(U55:AA55="Sudah terbiasa"),"Sudah terbiasa","Belum terbiasa"))))))</f>
        <v/>
      </c>
    </row>
    <row r="56" spans="2:28" hidden="1" x14ac:dyDescent="0.3">
      <c r="B56" s="4" t="str">
        <f>IF(ROW(A44)&lt;=profilKelas!$F$14,ROW(A44),"")</f>
        <v/>
      </c>
      <c r="C56" s="94" t="str">
        <f>IF(ISBLANK(identitasMurid!C49),"",identitasMurid!C49)</f>
        <v/>
      </c>
      <c r="D56" s="6" t="str">
        <f>IF(ISBLANK(identitasMurid!D49),"",identitasMurid!D49)</f>
        <v/>
      </c>
      <c r="E56" s="95"/>
      <c r="F56" s="95"/>
      <c r="G56" s="95"/>
      <c r="H56" s="95"/>
      <c r="I56" s="95"/>
      <c r="J56" s="95"/>
      <c r="K56" s="95"/>
      <c r="L56" s="95"/>
      <c r="M56" s="30"/>
      <c r="Q56" s="5" t="str">
        <f>IF(ROW(A44)&lt;=profilKelas!$F$14,ROW(A44),"")</f>
        <v/>
      </c>
      <c r="R56" s="12" t="str">
        <f t="shared" si="0"/>
        <v/>
      </c>
      <c r="S56" s="108" t="str">
        <f t="shared" si="4"/>
        <v/>
      </c>
      <c r="T56" s="108" t="str">
        <f t="shared" si="2"/>
        <v/>
      </c>
      <c r="U56" s="108" t="str">
        <f t="shared" si="6"/>
        <v/>
      </c>
      <c r="V56" s="108" t="str">
        <f t="shared" si="6"/>
        <v/>
      </c>
      <c r="W56" s="108" t="str">
        <f t="shared" si="6"/>
        <v/>
      </c>
      <c r="X56" s="108" t="str">
        <f t="shared" si="6"/>
        <v/>
      </c>
      <c r="Y56" s="108" t="str">
        <f t="shared" si="6"/>
        <v/>
      </c>
      <c r="Z56" s="108" t="str">
        <f t="shared" si="6"/>
        <v/>
      </c>
      <c r="AA56" s="108" t="str">
        <f t="shared" si="6"/>
        <v/>
      </c>
      <c r="AB56" s="108" t="str" cm="1">
        <f t="array" ref="AB56">IF(LEN($B56)=0,"",IF(LEN(C56)=0,"Nama Siswa Kosong",IF($E56="","Status Siswa Kosong",IF(S56&lt;&gt;"Aktif","Siswa Tidak Aktif",
IF(OR(U56:AA56="Belum mengisi"),"Belum mengisi",IF(AND(U56:AA56="Sudah terbiasa"),"Sudah terbiasa","Belum terbiasa"))))))</f>
        <v/>
      </c>
    </row>
    <row r="57" spans="2:28" hidden="1" x14ac:dyDescent="0.3">
      <c r="B57" s="4" t="str">
        <f>IF(ROW(A45)&lt;=profilKelas!$F$14,ROW(A45),"")</f>
        <v/>
      </c>
      <c r="C57" s="94" t="str">
        <f>IF(ISBLANK(identitasMurid!C50),"",identitasMurid!C50)</f>
        <v/>
      </c>
      <c r="D57" s="6" t="str">
        <f>IF(ISBLANK(identitasMurid!D50),"",identitasMurid!D50)</f>
        <v/>
      </c>
      <c r="E57" s="95"/>
      <c r="F57" s="95"/>
      <c r="G57" s="95"/>
      <c r="H57" s="95"/>
      <c r="I57" s="95"/>
      <c r="J57" s="95"/>
      <c r="K57" s="95"/>
      <c r="L57" s="95"/>
      <c r="M57" s="30"/>
      <c r="Q57" s="5" t="str">
        <f>IF(ROW(A45)&lt;=profilKelas!$F$14,ROW(A45),"")</f>
        <v/>
      </c>
      <c r="R57" s="12" t="str">
        <f t="shared" si="0"/>
        <v/>
      </c>
      <c r="S57" s="108" t="str">
        <f t="shared" si="4"/>
        <v/>
      </c>
      <c r="T57" s="108" t="str">
        <f t="shared" si="2"/>
        <v/>
      </c>
      <c r="U57" s="108" t="str">
        <f t="shared" si="6"/>
        <v/>
      </c>
      <c r="V57" s="108" t="str">
        <f t="shared" si="6"/>
        <v/>
      </c>
      <c r="W57" s="108" t="str">
        <f t="shared" si="6"/>
        <v/>
      </c>
      <c r="X57" s="108" t="str">
        <f t="shared" si="6"/>
        <v/>
      </c>
      <c r="Y57" s="108" t="str">
        <f t="shared" si="6"/>
        <v/>
      </c>
      <c r="Z57" s="108" t="str">
        <f t="shared" si="6"/>
        <v/>
      </c>
      <c r="AA57" s="108" t="str">
        <f t="shared" si="6"/>
        <v/>
      </c>
      <c r="AB57" s="108" t="str" cm="1">
        <f t="array" ref="AB57">IF(LEN($B57)=0,"",IF(LEN(C57)=0,"Nama Siswa Kosong",IF($E57="","Status Siswa Kosong",IF(S57&lt;&gt;"Aktif","Siswa Tidak Aktif",
IF(OR(U57:AA57="Belum mengisi"),"Belum mengisi",IF(AND(U57:AA57="Sudah terbiasa"),"Sudah terbiasa","Belum terbiasa"))))))</f>
        <v/>
      </c>
    </row>
    <row r="58" spans="2:28" x14ac:dyDescent="0.3"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</row>
    <row r="59" spans="2:28" ht="16.2" x14ac:dyDescent="0.35">
      <c r="B59" s="13"/>
      <c r="C59" s="71"/>
      <c r="D59" s="71" t="s">
        <v>15</v>
      </c>
      <c r="E59" s="13"/>
      <c r="F59" s="13"/>
      <c r="G59" s="13"/>
      <c r="H59" s="13"/>
      <c r="I59" s="13"/>
      <c r="J59" s="13"/>
      <c r="K59" s="13" t="str">
        <f>profilKelas!F9&amp;", "&amp;O60</f>
        <v>, 30 April 2025</v>
      </c>
      <c r="L59" s="13"/>
      <c r="M59" s="13"/>
      <c r="O59" s="31" t="s">
        <v>860</v>
      </c>
      <c r="Q59" s="13"/>
      <c r="R59" s="13"/>
      <c r="S59" s="13" t="s">
        <v>15</v>
      </c>
      <c r="T59" s="13"/>
      <c r="U59" s="13"/>
      <c r="V59" s="13"/>
      <c r="W59" s="13"/>
      <c r="X59" s="13"/>
      <c r="Y59" s="13"/>
      <c r="Z59" s="13" t="str">
        <f>profilKelas!F9&amp;", "&amp;O60</f>
        <v>, 30 April 2025</v>
      </c>
      <c r="AA59" s="13"/>
      <c r="AB59" s="13"/>
    </row>
    <row r="60" spans="2:28" x14ac:dyDescent="0.3">
      <c r="B60" s="13"/>
      <c r="C60" s="71"/>
      <c r="D60" s="71" t="str">
        <f>IF(ISBLANK(profilKelas!B10),"",SUBSTITUTE(profilKelas!B10,"Nama ",""))</f>
        <v>Kepala Sekolah</v>
      </c>
      <c r="E60" s="13"/>
      <c r="F60" s="13"/>
      <c r="G60" s="13"/>
      <c r="H60" s="13"/>
      <c r="I60" s="13"/>
      <c r="J60" s="13"/>
      <c r="K60" s="13" t="str">
        <f>SUBSTITUTE(profilKelas!B15,"Nama ","")&amp;","</f>
        <v>Guru Wali Kelas,</v>
      </c>
      <c r="L60" s="13"/>
      <c r="M60" s="13"/>
      <c r="O60" s="100" t="s">
        <v>914</v>
      </c>
      <c r="Q60" s="13"/>
      <c r="R60" s="13"/>
      <c r="S60" s="13" t="str">
        <f>IF(ISBLANK(profilKelas!B10),"",profilKelas!B10)</f>
        <v>Nama Kepala Sekolah</v>
      </c>
      <c r="T60" s="13"/>
      <c r="U60" s="13"/>
      <c r="V60" s="13"/>
      <c r="W60" s="13"/>
      <c r="X60" s="13"/>
      <c r="Y60" s="13"/>
      <c r="Z60" s="13" t="str">
        <f>SUBSTITUTE(profilKelas!B15,"Nama ","")&amp;","</f>
        <v>Guru Wali Kelas,</v>
      </c>
      <c r="AA60" s="13"/>
      <c r="AB60" s="13"/>
    </row>
    <row r="61" spans="2:28" x14ac:dyDescent="0.3"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</row>
    <row r="62" spans="2:28" x14ac:dyDescent="0.3"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</row>
    <row r="63" spans="2:28" x14ac:dyDescent="0.3"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</row>
    <row r="64" spans="2:28" x14ac:dyDescent="0.3">
      <c r="B64" s="13"/>
      <c r="C64" s="13"/>
      <c r="D64" s="101" t="str">
        <f>IF(ISBLANK(profilKelas!F10),"",profilKelas!F10)</f>
        <v/>
      </c>
      <c r="E64" s="13"/>
      <c r="F64" s="13"/>
      <c r="G64" s="13"/>
      <c r="H64" s="13"/>
      <c r="I64" s="13"/>
      <c r="J64" s="13"/>
      <c r="K64" s="101" t="str">
        <f>IF(LEN(profilKelas!F15)=0,"",profilKelas!F15)</f>
        <v/>
      </c>
      <c r="L64" s="13"/>
      <c r="M64" s="13"/>
      <c r="Q64" s="13"/>
      <c r="R64" s="13"/>
      <c r="S64" s="101" t="str">
        <f>IF(ISBLANK(profilKelas!F10),"",profilKelas!F10)</f>
        <v/>
      </c>
      <c r="T64" s="13"/>
      <c r="U64" s="13"/>
      <c r="V64" s="13"/>
      <c r="W64" s="13"/>
      <c r="X64" s="13"/>
      <c r="Y64" s="13"/>
      <c r="Z64" s="101">
        <f>profilKelas!F15</f>
        <v>0</v>
      </c>
      <c r="AA64" s="13"/>
      <c r="AB64" s="13"/>
    </row>
    <row r="65" spans="2:28" x14ac:dyDescent="0.3">
      <c r="B65" s="13"/>
      <c r="C65" s="13"/>
      <c r="D65" s="13" t="str">
        <f>"NIP. "&amp;profilKelas!F11</f>
        <v xml:space="preserve">NIP. </v>
      </c>
      <c r="E65" s="13"/>
      <c r="F65" s="13"/>
      <c r="G65" s="13"/>
      <c r="H65" s="13"/>
      <c r="I65" s="13"/>
      <c r="J65" s="13"/>
      <c r="K65" s="13" t="str">
        <f>"NIP. "&amp;profilKelas!F16</f>
        <v xml:space="preserve">NIP. </v>
      </c>
      <c r="L65" s="13"/>
      <c r="M65" s="13"/>
      <c r="Q65" s="13"/>
      <c r="R65" s="13"/>
      <c r="S65" s="13" t="str">
        <f>"NIP. "&amp;profilKelas!F11</f>
        <v xml:space="preserve">NIP. </v>
      </c>
      <c r="T65" s="13"/>
      <c r="U65" s="13"/>
      <c r="V65" s="13"/>
      <c r="W65" s="13"/>
      <c r="X65" s="13"/>
      <c r="Y65" s="13"/>
      <c r="Z65" s="13" t="str">
        <f>"NIP. "&amp;profilKelas!F16</f>
        <v xml:space="preserve">NIP. </v>
      </c>
      <c r="AA65" s="13"/>
      <c r="AB65" s="13"/>
    </row>
    <row r="66" spans="2:28" x14ac:dyDescent="0.3"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</row>
    <row r="67" spans="2:28" x14ac:dyDescent="0.3">
      <c r="B67" s="13"/>
      <c r="C67" s="102" t="s">
        <v>10</v>
      </c>
      <c r="D67" s="71" t="s">
        <v>609</v>
      </c>
      <c r="E67" s="13"/>
      <c r="F67" s="13"/>
      <c r="G67" s="13"/>
      <c r="H67" s="13"/>
      <c r="I67" s="13"/>
      <c r="J67" s="13"/>
      <c r="K67" s="13"/>
      <c r="L67" s="13"/>
      <c r="M67" s="13"/>
      <c r="Q67" s="13"/>
      <c r="R67" s="102" t="s">
        <v>10</v>
      </c>
      <c r="S67" s="71" t="s">
        <v>609</v>
      </c>
      <c r="T67" s="13"/>
      <c r="U67" s="13"/>
      <c r="V67" s="13"/>
      <c r="W67" s="13"/>
      <c r="X67" s="13"/>
      <c r="Y67" s="13"/>
      <c r="Z67" s="13"/>
      <c r="AA67" s="13"/>
      <c r="AB67" s="13"/>
    </row>
    <row r="68" spans="2:28" ht="15.6" customHeight="1" x14ac:dyDescent="0.3"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63">
        <f>SUBTOTAL(109,N69)</f>
        <v>0</v>
      </c>
      <c r="O68" s="63" t="str">
        <f>IF(N68=0,"ATUR HALAMAN","TAMPILAN NORMAL")</f>
        <v>ATUR HALAMAN</v>
      </c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</row>
    <row r="69" spans="2:28" hidden="1" x14ac:dyDescent="0.3">
      <c r="N69" s="7">
        <v>1</v>
      </c>
    </row>
  </sheetData>
  <sheetProtection algorithmName="SHA-512" hashValue="PD2QxNZyV9mWN88zuPZfSEqhTpv8Dileim8wbDjlxKi/ILu3+FIMujMjoAqtm0ZnZG4YUntEmvLs34+AMFErJw==" saltValue="c9wzUnh9ndUNozb53V2rOQ==" spinCount="100000" sheet="1" objects="1" scenarios="1" formatCells="0" formatColumns="0" formatRows="0" insertColumns="0" insertRows="0" insertHyperlinks="0" deleteColumns="0" deleteRows="0" autoFilter="0"/>
  <mergeCells count="41">
    <mergeCell ref="AL14:AQ18"/>
    <mergeCell ref="AG15:AH15"/>
    <mergeCell ref="AI15:AJ15"/>
    <mergeCell ref="AD18:AE18"/>
    <mergeCell ref="B6:M6"/>
    <mergeCell ref="Q6:AB6"/>
    <mergeCell ref="AD6:AQ7"/>
    <mergeCell ref="B10:B12"/>
    <mergeCell ref="C10:C12"/>
    <mergeCell ref="D10:D12"/>
    <mergeCell ref="E10:E12"/>
    <mergeCell ref="M10:M12"/>
    <mergeCell ref="AE24:AF24"/>
    <mergeCell ref="AD14:AD15"/>
    <mergeCell ref="AE14:AE15"/>
    <mergeCell ref="AF14:AF15"/>
    <mergeCell ref="AG14:AJ14"/>
    <mergeCell ref="AG21:AJ21"/>
    <mergeCell ref="AE22:AF22"/>
    <mergeCell ref="AG22:AH22"/>
    <mergeCell ref="AI22:AJ22"/>
    <mergeCell ref="AE23:AF23"/>
    <mergeCell ref="AE25:AF25"/>
    <mergeCell ref="AE26:AF26"/>
    <mergeCell ref="AE27:AF27"/>
    <mergeCell ref="AE28:AF28"/>
    <mergeCell ref="AE29:AF29"/>
    <mergeCell ref="AK31:AN31"/>
    <mergeCell ref="AE32:AF32"/>
    <mergeCell ref="AG32:AH32"/>
    <mergeCell ref="AI32:AJ32"/>
    <mergeCell ref="AK32:AL32"/>
    <mergeCell ref="AM32:AN32"/>
    <mergeCell ref="AG31:AJ31"/>
    <mergeCell ref="AE39:AF39"/>
    <mergeCell ref="AE33:AF33"/>
    <mergeCell ref="AE34:AF34"/>
    <mergeCell ref="AE35:AF35"/>
    <mergeCell ref="AE36:AF36"/>
    <mergeCell ref="AE37:AF37"/>
    <mergeCell ref="AE38:AF38"/>
  </mergeCells>
  <conditionalFormatting sqref="F17:F57">
    <cfRule type="expression" dxfId="41" priority="14">
      <formula>AND($C17="",$F17="")</formula>
    </cfRule>
  </conditionalFormatting>
  <conditionalFormatting sqref="E17:M57 B13:C57 M13:M16">
    <cfRule type="expression" dxfId="40" priority="13">
      <formula>$B13&lt;&gt;""</formula>
    </cfRule>
  </conditionalFormatting>
  <conditionalFormatting sqref="D13:D57">
    <cfRule type="expression" dxfId="39" priority="12">
      <formula>$B13&lt;&gt;""</formula>
    </cfRule>
  </conditionalFormatting>
  <conditionalFormatting sqref="R13:T57">
    <cfRule type="expression" dxfId="38" priority="11">
      <formula>$Q13&lt;&gt;""</formula>
    </cfRule>
  </conditionalFormatting>
  <conditionalFormatting sqref="Q13">
    <cfRule type="expression" dxfId="37" priority="10">
      <formula>$B13&lt;&gt;""</formula>
    </cfRule>
  </conditionalFormatting>
  <conditionalFormatting sqref="U13:AA57">
    <cfRule type="containsText" dxfId="36" priority="7" operator="containsText" text="Belum terbiasa">
      <formula>NOT(ISERROR(SEARCH("Belum terbiasa",U13)))</formula>
    </cfRule>
    <cfRule type="containsText" dxfId="35" priority="8" operator="containsText" text="Sudah terbiasa">
      <formula>NOT(ISERROR(SEARCH("Sudah terbiasa",U13)))</formula>
    </cfRule>
    <cfRule type="containsText" dxfId="34" priority="9" operator="containsText" text="Belum mengisi">
      <formula>NOT(ISERROR(SEARCH("Belum mengisi",U13)))</formula>
    </cfRule>
  </conditionalFormatting>
  <conditionalFormatting sqref="AB13:AB57">
    <cfRule type="containsText" dxfId="33" priority="4" operator="containsText" text="mengisi">
      <formula>NOT(ISERROR(SEARCH("mengisi",AB13)))</formula>
    </cfRule>
    <cfRule type="containsText" dxfId="32" priority="5" operator="containsText" text="Belum terbiasa">
      <formula>NOT(ISERROR(SEARCH("Belum terbiasa",AB13)))</formula>
    </cfRule>
    <cfRule type="containsText" dxfId="31" priority="6" operator="containsText" text="Sudah terbiasa">
      <formula>NOT(ISERROR(SEARCH("Sudah terbiasa",AB13)))</formula>
    </cfRule>
  </conditionalFormatting>
  <conditionalFormatting sqref="Q14:Q57">
    <cfRule type="expression" dxfId="30" priority="3">
      <formula>$B14&lt;&gt;""</formula>
    </cfRule>
  </conditionalFormatting>
  <conditionalFormatting sqref="F13:L16">
    <cfRule type="expression" dxfId="29" priority="2">
      <formula>AND($C13="",$F13="")</formula>
    </cfRule>
  </conditionalFormatting>
  <conditionalFormatting sqref="E13:L16">
    <cfRule type="expression" dxfId="28" priority="1">
      <formula>$B13&lt;&gt;""</formula>
    </cfRule>
  </conditionalFormatting>
  <dataValidations count="2">
    <dataValidation allowBlank="1" showInputMessage="1" showErrorMessage="1" promptTitle="Tanggal pengesahan" prompt="Contoh penulisan_x000a_31 Juli 2025" sqref="O60:P60" xr:uid="{00000000-0002-0000-1700-000000000000}"/>
    <dataValidation type="whole" allowBlank="1" showInputMessage="1" showErrorMessage="1" errorTitle="Angka" error="Isian hanya berupa angka 0 s.d. 30." promptTitle="Angka" prompt="Inputan angka dari 0 s.d. 30 sesuai bulan berjalan." sqref="F13:L57" xr:uid="{00000000-0002-0000-1700-000001000000}">
      <formula1>0</formula1>
      <formula2>30</formula2>
    </dataValidation>
  </dataValidations>
  <pageMargins left="0.19685039370078741" right="0.19685039370078741" top="0.74803149606299213" bottom="0.74803149606299213" header="0.31496062992125984" footer="0.31496062992125984"/>
  <pageSetup paperSize="9" scale="59" fitToHeight="0" orientation="landscape" r:id="rId1"/>
  <headerFooter>
    <oddHeader>&amp;C&amp;G</oddHeader>
  </headerFooter>
  <drawing r:id="rId2"/>
  <legacyDrawingHF r:id="rId3"/>
  <picture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Catatan" error="Harap dipilih." promptTitle="Catatan" prompt="Pilih keterangan siswa_x000a_aktif: aktif pada bulan berjalan_x000a_pindah: pada bulan berjalan sudah pindah_x000a_berhenti: pada bulan berjalan berhenti _x000a_meninggal: pada bulan berjalan meninggal_x000a__x000a_Jika terdapat penambahan siswa, keterangan bulan sebelumnya dipilih tidak." xr:uid="{00000000-0002-0000-1700-000002000000}">
          <x14:formula1>
            <xm:f>info!$AD$2:$AD$6</xm:f>
          </x14:formula1>
          <xm:sqref>E13:E57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mmMei"/>
  <dimension ref="A1:AQ69"/>
  <sheetViews>
    <sheetView showGridLines="0" showRowColHeaders="0" zoomScaleNormal="100" zoomScaleSheetLayoutView="100" zoomScalePageLayoutView="47" workbookViewId="0">
      <pane xSplit="1" ySplit="12" topLeftCell="B13" activePane="bottomRight" state="frozen"/>
      <selection pane="topRight" activeCell="B1" sqref="B1"/>
      <selection pane="bottomLeft" activeCell="A13" sqref="A13"/>
      <selection pane="bottomRight" activeCell="B6" sqref="B6:M6"/>
    </sheetView>
  </sheetViews>
  <sheetFormatPr defaultColWidth="0" defaultRowHeight="15.6" customHeight="1" zeroHeight="1" x14ac:dyDescent="0.3"/>
  <cols>
    <col min="1" max="1" width="9.109375" style="7" customWidth="1"/>
    <col min="2" max="2" width="3.5546875" style="7" bestFit="1" customWidth="1"/>
    <col min="3" max="3" width="31.5546875" style="7" customWidth="1"/>
    <col min="4" max="4" width="10" style="7" customWidth="1"/>
    <col min="5" max="5" width="11.5546875" style="7" customWidth="1"/>
    <col min="6" max="12" width="24" style="7" customWidth="1"/>
    <col min="13" max="13" width="18.33203125" style="7" customWidth="1"/>
    <col min="14" max="14" width="2.109375" style="7" customWidth="1"/>
    <col min="15" max="15" width="25.109375" style="7" bestFit="1" customWidth="1"/>
    <col min="16" max="16" width="9.109375" style="7" customWidth="1"/>
    <col min="17" max="17" width="3.5546875" style="7" hidden="1" customWidth="1"/>
    <col min="18" max="18" width="27.88671875" style="7" hidden="1" customWidth="1"/>
    <col min="19" max="19" width="8.6640625" style="7" hidden="1" customWidth="1"/>
    <col min="20" max="20" width="5.6640625" style="7" hidden="1" customWidth="1"/>
    <col min="21" max="28" width="21.33203125" style="7" hidden="1" customWidth="1"/>
    <col min="29" max="29" width="9.109375" style="7" hidden="1" customWidth="1"/>
    <col min="30" max="30" width="3.5546875" style="7" hidden="1" customWidth="1"/>
    <col min="31" max="31" width="20" style="7" hidden="1" customWidth="1"/>
    <col min="32" max="32" width="6.5546875" style="7" hidden="1" customWidth="1"/>
    <col min="33" max="36" width="9.6640625" style="7" hidden="1" customWidth="1"/>
    <col min="37" max="43" width="0" style="7" hidden="1" customWidth="1"/>
    <col min="44" max="16384" width="8.88671875" style="7" hidden="1"/>
  </cols>
  <sheetData>
    <row r="1" spans="1:43" x14ac:dyDescent="0.3">
      <c r="A1" s="63">
        <f>profilKelas!F14</f>
        <v>1</v>
      </c>
      <c r="D1" s="64" t="s">
        <v>890</v>
      </c>
      <c r="E1" s="65"/>
      <c r="F1" s="65"/>
      <c r="G1" s="65"/>
      <c r="H1" s="65"/>
      <c r="Q1" s="66" t="s">
        <v>859</v>
      </c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D1" s="66" t="s">
        <v>859</v>
      </c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</row>
    <row r="2" spans="1:43" x14ac:dyDescent="0.3">
      <c r="D2" s="67"/>
      <c r="E2" s="67"/>
      <c r="F2" s="67"/>
      <c r="G2" s="67"/>
      <c r="H2" s="67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</row>
    <row r="3" spans="1:43" ht="15.6" customHeight="1" x14ac:dyDescent="0.3"/>
    <row r="4" spans="1:43" ht="15.6" customHeight="1" x14ac:dyDescent="0.3"/>
    <row r="5" spans="1:43" x14ac:dyDescent="0.3">
      <c r="Q5" s="68"/>
      <c r="S5" s="69"/>
      <c r="T5" s="69"/>
      <c r="V5" s="69"/>
      <c r="X5" s="69"/>
      <c r="Z5" s="69"/>
      <c r="AL5" s="70"/>
    </row>
    <row r="6" spans="1:43" ht="15.6" customHeight="1" x14ac:dyDescent="0.3">
      <c r="B6" s="168" t="s">
        <v>882</v>
      </c>
      <c r="C6" s="168"/>
      <c r="D6" s="168"/>
      <c r="E6" s="168"/>
      <c r="F6" s="168"/>
      <c r="G6" s="168"/>
      <c r="H6" s="168"/>
      <c r="I6" s="168"/>
      <c r="J6" s="168"/>
      <c r="K6" s="168"/>
      <c r="L6" s="168"/>
      <c r="M6" s="168"/>
      <c r="Q6" s="168"/>
      <c r="R6" s="168"/>
      <c r="S6" s="168"/>
      <c r="T6" s="168"/>
      <c r="U6" s="168"/>
      <c r="V6" s="168"/>
      <c r="W6" s="168"/>
      <c r="X6" s="168"/>
      <c r="Y6" s="168"/>
      <c r="Z6" s="168"/>
      <c r="AA6" s="168"/>
      <c r="AB6" s="168"/>
      <c r="AD6" s="159" t="str">
        <f>"REKAPITULASI CATATAN HARIAN KELAS (RCHS) "&amp;CHAR(10)&amp;"SEMESTER "&amp;MID(J7,3,1)&amp;" BULAN"&amp;UPPER(MID(J7,SEARCH("/",J7)+1,99))&amp;" TAHUN "&amp;IF(ISBLANK(O11),profilKelas!F12,O11)</f>
        <v xml:space="preserve">REKAPITULASI CATATAN HARIAN KELAS (RCHS) 
SEMESTER I BULAN MEI TAHUN </v>
      </c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</row>
    <row r="7" spans="1:43" x14ac:dyDescent="0.3">
      <c r="B7" s="13"/>
      <c r="C7" s="13" t="s">
        <v>862</v>
      </c>
      <c r="D7" s="13" t="str">
        <f>": "&amp;IF(ISBLANK(profilKelas!F5),"",profilKelas!F5&amp;" ("&amp;profilKelas!F6&amp;")")</f>
        <v xml:space="preserve">: </v>
      </c>
      <c r="E7" s="13"/>
      <c r="F7" s="13"/>
      <c r="G7" s="13"/>
      <c r="H7" s="13"/>
      <c r="I7" s="13" t="s">
        <v>885</v>
      </c>
      <c r="J7" s="13" t="str">
        <f>": II / Mei"</f>
        <v>: II / Mei</v>
      </c>
      <c r="K7" s="13"/>
      <c r="L7" s="13"/>
      <c r="M7" s="71"/>
      <c r="O7"/>
      <c r="Q7" s="13"/>
      <c r="R7" s="13" t="s">
        <v>862</v>
      </c>
      <c r="S7" s="13" t="str">
        <f>": "&amp;IF(ISBLANK(profilKelas!F5),"",profilKelas!F5&amp;" ("&amp;profilKelas!F6&amp;")")</f>
        <v xml:space="preserve">: </v>
      </c>
      <c r="T7" s="13"/>
      <c r="U7" s="13"/>
      <c r="V7" s="13"/>
      <c r="W7" s="13"/>
      <c r="X7" s="13"/>
      <c r="Y7" s="13" t="s">
        <v>840</v>
      </c>
      <c r="Z7" s="13" t="str">
        <f>J7</f>
        <v>: II / Mei</v>
      </c>
      <c r="AA7" s="71"/>
      <c r="AB7" s="13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</row>
    <row r="8" spans="1:43" x14ac:dyDescent="0.3">
      <c r="B8" s="13"/>
      <c r="C8" s="13" t="s">
        <v>842</v>
      </c>
      <c r="D8" s="13" t="str">
        <f ca="1">": "&amp;IF(ISBLANK(profilKelas!H13),"",profilKelas!H13)</f>
        <v>: Pilih Kelas dan Rombel</v>
      </c>
      <c r="E8" s="13"/>
      <c r="F8" s="13"/>
      <c r="G8" s="13"/>
      <c r="H8" s="13"/>
      <c r="I8" s="13" t="s">
        <v>880</v>
      </c>
      <c r="J8" s="13" t="str">
        <f>": "&amp;IF(ISBLANK(profilKelas!F12),"Ketik Tahun Ajaran pada Profil Kelas",profilKelas!F12)</f>
        <v>: Ketik Tahun Ajaran pada Profil Kelas</v>
      </c>
      <c r="K8" s="13"/>
      <c r="L8" s="13"/>
      <c r="M8" s="71"/>
      <c r="O8"/>
      <c r="Q8" s="13"/>
      <c r="R8" s="13" t="s">
        <v>842</v>
      </c>
      <c r="S8" s="13" t="str">
        <f ca="1">": "&amp;IF(ISBLANK(profilKelas!H13),"",profilKelas!H13)</f>
        <v>: Pilih Kelas dan Rombel</v>
      </c>
      <c r="T8" s="13"/>
      <c r="U8" s="13"/>
      <c r="V8" s="13"/>
      <c r="W8" s="13"/>
      <c r="X8" s="13"/>
      <c r="Y8" s="13" t="s">
        <v>841</v>
      </c>
      <c r="Z8" s="13" t="str">
        <f>": "&amp;IF(ISBLANK(profilKelas!F12),"Ketik Tahun Ajaran pada Profil Kelas",IF(ISBLANK(O11),profilKelas!F12,O11))</f>
        <v>: Ketik Tahun Ajaran pada Profil Kelas</v>
      </c>
      <c r="AA8" s="71"/>
      <c r="AB8" s="13"/>
      <c r="AD8" s="72"/>
      <c r="AE8" s="72"/>
      <c r="AF8" s="72"/>
      <c r="AG8" s="72"/>
      <c r="AH8" s="72"/>
      <c r="AI8" s="72"/>
      <c r="AJ8" s="72"/>
      <c r="AK8" s="72"/>
      <c r="AL8" s="72"/>
      <c r="AM8" s="72"/>
      <c r="AN8" s="72"/>
      <c r="AO8" s="13"/>
      <c r="AP8" s="13"/>
      <c r="AQ8" s="13"/>
    </row>
    <row r="9" spans="1:43" x14ac:dyDescent="0.3"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71"/>
      <c r="Q9" s="13"/>
      <c r="R9" s="13"/>
      <c r="S9" s="13"/>
      <c r="T9" s="13"/>
      <c r="U9" s="13"/>
      <c r="V9" s="13"/>
      <c r="W9" s="13"/>
      <c r="X9" s="13"/>
      <c r="Y9" s="13"/>
      <c r="Z9" s="13"/>
      <c r="AA9" s="71"/>
      <c r="AB9" s="13"/>
      <c r="AD9" s="13" t="s">
        <v>862</v>
      </c>
      <c r="AE9" s="13"/>
      <c r="AF9" s="13" t="str">
        <f>UPPER(": "&amp;profilKelas!F5&amp;" ("&amp;profilKelas!F6&amp;")")</f>
        <v>:  ()</v>
      </c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</row>
    <row r="10" spans="1:43" x14ac:dyDescent="0.3">
      <c r="B10" s="162" t="s">
        <v>0</v>
      </c>
      <c r="C10" s="162" t="s">
        <v>858</v>
      </c>
      <c r="D10" s="164" t="s">
        <v>831</v>
      </c>
      <c r="E10" s="164" t="s">
        <v>987</v>
      </c>
      <c r="F10" s="44" t="s">
        <v>19</v>
      </c>
      <c r="G10" s="45"/>
      <c r="H10" s="45"/>
      <c r="I10" s="45"/>
      <c r="J10" s="45"/>
      <c r="K10" s="45"/>
      <c r="L10" s="46"/>
      <c r="M10" s="162" t="s">
        <v>9</v>
      </c>
      <c r="O10"/>
      <c r="Q10" s="73"/>
      <c r="R10" s="74"/>
      <c r="S10" s="74"/>
      <c r="T10" s="75"/>
      <c r="U10" s="76" t="s">
        <v>19</v>
      </c>
      <c r="V10" s="77"/>
      <c r="W10" s="77"/>
      <c r="X10" s="77"/>
      <c r="Y10" s="77"/>
      <c r="Z10" s="77"/>
      <c r="AA10" s="78"/>
      <c r="AB10" s="36"/>
      <c r="AD10" s="13" t="s">
        <v>863</v>
      </c>
      <c r="AE10" s="13"/>
      <c r="AF10" s="13" t="str">
        <f>UPPER(": "&amp;profilKelas!F9&amp;", Provinsi "&amp;profilKelas!F8)</f>
        <v xml:space="preserve">: , PROVINSI </v>
      </c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</row>
    <row r="11" spans="1:43" x14ac:dyDescent="0.3">
      <c r="B11" s="169"/>
      <c r="C11" s="169"/>
      <c r="D11" s="170"/>
      <c r="E11" s="170"/>
      <c r="F11" s="80" t="s">
        <v>2</v>
      </c>
      <c r="G11" s="80" t="s">
        <v>3</v>
      </c>
      <c r="H11" s="80" t="s">
        <v>4</v>
      </c>
      <c r="I11" s="81" t="s">
        <v>606</v>
      </c>
      <c r="J11" s="81" t="s">
        <v>6</v>
      </c>
      <c r="K11" s="81" t="s">
        <v>7</v>
      </c>
      <c r="L11" s="81" t="s">
        <v>8</v>
      </c>
      <c r="M11" s="169"/>
      <c r="O11"/>
      <c r="Q11" s="82"/>
      <c r="R11" s="83"/>
      <c r="S11" s="83"/>
      <c r="T11" s="84"/>
      <c r="U11" s="85" t="s">
        <v>14</v>
      </c>
      <c r="V11" s="86"/>
      <c r="W11" s="86"/>
      <c r="X11" s="86"/>
      <c r="Y11" s="86"/>
      <c r="Z11" s="86"/>
      <c r="AA11" s="87"/>
      <c r="AB11" s="79"/>
      <c r="AD11" s="13" t="str">
        <f>profilKelas!B10</f>
        <v>Nama Kepala Sekolah</v>
      </c>
      <c r="AE11" s="13"/>
      <c r="AF11" s="13" t="str">
        <f>UPPER(": "&amp;profilKelas!F10&amp;" (NIP."&amp;profilKelas!F11&amp;")")</f>
        <v>:  (NIP.)</v>
      </c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</row>
    <row r="12" spans="1:43" ht="16.2" x14ac:dyDescent="0.3">
      <c r="B12" s="163"/>
      <c r="C12" s="163"/>
      <c r="D12" s="165"/>
      <c r="E12" s="165"/>
      <c r="F12" s="88" t="s">
        <v>881</v>
      </c>
      <c r="G12" s="89"/>
      <c r="H12" s="89"/>
      <c r="I12" s="89"/>
      <c r="J12" s="89"/>
      <c r="K12" s="89"/>
      <c r="L12" s="90"/>
      <c r="M12" s="163"/>
      <c r="Q12" s="91" t="s">
        <v>0</v>
      </c>
      <c r="R12" s="92" t="s">
        <v>1</v>
      </c>
      <c r="S12" s="35" t="s">
        <v>596</v>
      </c>
      <c r="T12" s="35" t="s">
        <v>605</v>
      </c>
      <c r="U12" s="80" t="s">
        <v>599</v>
      </c>
      <c r="V12" s="80" t="s">
        <v>600</v>
      </c>
      <c r="W12" s="80" t="s">
        <v>4</v>
      </c>
      <c r="X12" s="81" t="s">
        <v>601</v>
      </c>
      <c r="Y12" s="81" t="s">
        <v>602</v>
      </c>
      <c r="Z12" s="81" t="s">
        <v>603</v>
      </c>
      <c r="AA12" s="93" t="s">
        <v>604</v>
      </c>
      <c r="AB12" s="36" t="s">
        <v>11</v>
      </c>
      <c r="AD12" s="34" t="str">
        <f ca="1">SUBSTITUTE(profilKelas!B15,"Nama ","")&amp;" "&amp;IF(ISBLANK(profilKelas!H13),"",profilKelas!H13)</f>
        <v>Guru Wali Kelas Pilih Kelas dan Rombel</v>
      </c>
      <c r="AE12" s="34"/>
      <c r="AF12" s="34" t="str">
        <f>UPPER(": "&amp;profilKelas!F15)</f>
        <v xml:space="preserve">: </v>
      </c>
      <c r="AG12" s="34"/>
      <c r="AH12" s="34"/>
      <c r="AI12" s="34"/>
      <c r="AJ12" s="34"/>
      <c r="AK12" s="34"/>
      <c r="AL12" s="34"/>
      <c r="AM12" s="34"/>
      <c r="AN12" s="34"/>
      <c r="AO12" s="34"/>
      <c r="AP12" s="13"/>
      <c r="AQ12" s="13"/>
    </row>
    <row r="13" spans="1:43" x14ac:dyDescent="0.3">
      <c r="B13" s="4">
        <f>IF(ROW(A1)&lt;=profilKelas!$F$14,ROW(A1),"")</f>
        <v>1</v>
      </c>
      <c r="C13" s="94" t="str">
        <f>IF(ISBLANK(identitasMurid!C6),"",identitasMurid!C6)</f>
        <v/>
      </c>
      <c r="D13" s="6" t="str">
        <f>IF(ISBLANK(identitasMurid!D6),"",identitasMurid!D6)</f>
        <v/>
      </c>
      <c r="E13" s="95"/>
      <c r="F13" s="95"/>
      <c r="G13" s="95"/>
      <c r="H13" s="95"/>
      <c r="I13" s="95"/>
      <c r="J13" s="95"/>
      <c r="K13" s="95"/>
      <c r="L13" s="95"/>
      <c r="M13" s="95"/>
      <c r="Q13" s="5">
        <f>IF(ROW(A1)&lt;=profilKelas!$F$14,ROW(A1),"")</f>
        <v>1</v>
      </c>
      <c r="R13" s="12" t="str">
        <f t="shared" ref="R13:R57" si="0">C13</f>
        <v/>
      </c>
      <c r="S13" s="108" t="str">
        <f t="shared" ref="S13:S19" si="1">IF(LEN(B13)=0,"",IF(ISBLANK(E13),"Status Siswa Kosong",E13))</f>
        <v>Status Siswa Kosong</v>
      </c>
      <c r="T13" s="108" t="str">
        <f t="shared" ref="T13:T57" si="2">IF(ISBLANK(D13),"",D13)</f>
        <v/>
      </c>
      <c r="U13" s="108" t="str">
        <f t="shared" ref="U13:AA28" si="3">IF(LEN($B13)=0,"",IF(LEN($C13)=0,"Nama Siswa Kosong",IF($E13="","Status Siswa Kosong",IF($E13&lt;&gt;"Aktif","Siswa Tidak Aktif",
IF(ISBLANK(F13),"Belum mengisi",IF(F13&gt;=20,"Sudah terbiasa","Belum terbiasa"))))))</f>
        <v>Nama Siswa Kosong</v>
      </c>
      <c r="V13" s="108" t="str">
        <f t="shared" si="3"/>
        <v>Nama Siswa Kosong</v>
      </c>
      <c r="W13" s="108" t="str">
        <f t="shared" si="3"/>
        <v>Nama Siswa Kosong</v>
      </c>
      <c r="X13" s="108" t="str">
        <f t="shared" si="3"/>
        <v>Nama Siswa Kosong</v>
      </c>
      <c r="Y13" s="108" t="str">
        <f t="shared" si="3"/>
        <v>Nama Siswa Kosong</v>
      </c>
      <c r="Z13" s="108" t="str">
        <f t="shared" si="3"/>
        <v>Nama Siswa Kosong</v>
      </c>
      <c r="AA13" s="108" t="str">
        <f t="shared" si="3"/>
        <v>Nama Siswa Kosong</v>
      </c>
      <c r="AB13" s="108" t="str" cm="1">
        <f t="array" ref="AB13">IF(LEN($B13)=0,"",IF(LEN(C13)=0,"Nama Siswa Kosong",IF($E13="","Status Siswa Kosong",IF(S13&lt;&gt;"Aktif","Siswa Tidak Aktif",
IF(OR(U13:AA13="Belum mengisi"),"Belum mengisi",IF(AND(U13:AA13="Sudah terbiasa"),"Sudah terbiasa","Belum terbiasa"))))))</f>
        <v>Nama Siswa Kosong</v>
      </c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</row>
    <row r="14" spans="1:43" ht="15.6" hidden="1" customHeight="1" x14ac:dyDescent="0.3">
      <c r="B14" s="4" t="str">
        <f>IF(ROW(A2)&lt;=profilKelas!$F$14,ROW(A2),"")</f>
        <v/>
      </c>
      <c r="C14" s="94" t="str">
        <f>IF(ISBLANK(identitasMurid!C7),"",identitasMurid!C7)</f>
        <v/>
      </c>
      <c r="D14" s="6" t="str">
        <f>IF(ISBLANK(identitasMurid!D7),"",identitasMurid!D7)</f>
        <v/>
      </c>
      <c r="E14" s="95"/>
      <c r="F14" s="95"/>
      <c r="G14" s="95"/>
      <c r="H14" s="95"/>
      <c r="I14" s="95"/>
      <c r="J14" s="95"/>
      <c r="K14" s="95"/>
      <c r="L14" s="95"/>
      <c r="M14" s="95"/>
      <c r="Q14" s="5" t="str">
        <f>IF(ROW(A2)&lt;=profilKelas!$F$14,ROW(A2),"")</f>
        <v/>
      </c>
      <c r="R14" s="12" t="str">
        <f t="shared" si="0"/>
        <v/>
      </c>
      <c r="S14" s="108" t="str">
        <f t="shared" si="1"/>
        <v/>
      </c>
      <c r="T14" s="108" t="str">
        <f t="shared" si="2"/>
        <v/>
      </c>
      <c r="U14" s="108" t="str">
        <f t="shared" si="3"/>
        <v/>
      </c>
      <c r="V14" s="108" t="str">
        <f t="shared" si="3"/>
        <v/>
      </c>
      <c r="W14" s="108" t="str">
        <f t="shared" si="3"/>
        <v/>
      </c>
      <c r="X14" s="108" t="str">
        <f t="shared" si="3"/>
        <v/>
      </c>
      <c r="Y14" s="108" t="str">
        <f t="shared" si="3"/>
        <v/>
      </c>
      <c r="Z14" s="108" t="str">
        <f t="shared" si="3"/>
        <v/>
      </c>
      <c r="AA14" s="108" t="str">
        <f t="shared" si="3"/>
        <v/>
      </c>
      <c r="AB14" s="108" t="str" cm="1">
        <f t="array" ref="AB14">IF(LEN($B14)=0,"",IF(LEN(C14)=0,"Nama Siswa Kosong",IF($E14="","Status Siswa Kosong",IF(S14&lt;&gt;"Aktif","Siswa Tidak Aktif",
IF(OR(U14:AA14="Belum mengisi"),"Belum mengisi",IF(AND(U14:AA14="Sudah terbiasa"),"Sudah terbiasa","Belum terbiasa"))))))</f>
        <v/>
      </c>
      <c r="AD14" s="162" t="s">
        <v>0</v>
      </c>
      <c r="AE14" s="162" t="s">
        <v>831</v>
      </c>
      <c r="AF14" s="164" t="s">
        <v>833</v>
      </c>
      <c r="AG14" s="173" t="s">
        <v>596</v>
      </c>
      <c r="AH14" s="174"/>
      <c r="AI14" s="174"/>
      <c r="AJ14" s="175"/>
      <c r="AK14" s="13"/>
      <c r="AL14" s="158"/>
      <c r="AM14" s="158"/>
      <c r="AN14" s="158"/>
      <c r="AO14" s="158"/>
      <c r="AP14" s="158"/>
      <c r="AQ14" s="158"/>
    </row>
    <row r="15" spans="1:43" ht="15.6" hidden="1" customHeight="1" x14ac:dyDescent="0.3">
      <c r="B15" s="4" t="str">
        <f>IF(ROW(A3)&lt;=profilKelas!$F$14,ROW(A3),"")</f>
        <v/>
      </c>
      <c r="C15" s="94" t="str">
        <f>IF(ISBLANK(identitasMurid!C8),"",identitasMurid!C8)</f>
        <v/>
      </c>
      <c r="D15" s="6" t="str">
        <f>IF(ISBLANK(identitasMurid!D8),"",identitasMurid!D8)</f>
        <v/>
      </c>
      <c r="E15" s="95"/>
      <c r="F15" s="95"/>
      <c r="G15" s="95"/>
      <c r="H15" s="95"/>
      <c r="I15" s="95"/>
      <c r="J15" s="95"/>
      <c r="K15" s="95"/>
      <c r="L15" s="95"/>
      <c r="M15" s="95"/>
      <c r="Q15" s="5" t="str">
        <f>IF(ROW(A3)&lt;=profilKelas!$F$14,ROW(A3),"")</f>
        <v/>
      </c>
      <c r="R15" s="12" t="str">
        <f t="shared" si="0"/>
        <v/>
      </c>
      <c r="S15" s="108" t="str">
        <f t="shared" si="1"/>
        <v/>
      </c>
      <c r="T15" s="108" t="str">
        <f t="shared" si="2"/>
        <v/>
      </c>
      <c r="U15" s="108" t="str">
        <f t="shared" si="3"/>
        <v/>
      </c>
      <c r="V15" s="108" t="str">
        <f t="shared" si="3"/>
        <v/>
      </c>
      <c r="W15" s="108" t="str">
        <f t="shared" si="3"/>
        <v/>
      </c>
      <c r="X15" s="108" t="str">
        <f t="shared" si="3"/>
        <v/>
      </c>
      <c r="Y15" s="108" t="str">
        <f t="shared" si="3"/>
        <v/>
      </c>
      <c r="Z15" s="108" t="str">
        <f t="shared" si="3"/>
        <v/>
      </c>
      <c r="AA15" s="108" t="str">
        <f t="shared" si="3"/>
        <v/>
      </c>
      <c r="AB15" s="108" t="str" cm="1">
        <f t="array" ref="AB15">IF(LEN($B15)=0,"",IF(LEN(C15)=0,"Nama Siswa Kosong",IF($E15="","Status Siswa Kosong",IF(S15&lt;&gt;"Aktif","Siswa Tidak Aktif",
IF(OR(U15:AA15="Belum mengisi"),"Belum mengisi",IF(AND(U15:AA15="Sudah terbiasa"),"Sudah terbiasa","Belum terbiasa"))))))</f>
        <v/>
      </c>
      <c r="AD15" s="163"/>
      <c r="AE15" s="163"/>
      <c r="AF15" s="165"/>
      <c r="AG15" s="148" t="s">
        <v>597</v>
      </c>
      <c r="AH15" s="148"/>
      <c r="AI15" s="148" t="s">
        <v>598</v>
      </c>
      <c r="AJ15" s="148"/>
      <c r="AK15" s="13"/>
      <c r="AL15" s="158"/>
      <c r="AM15" s="158"/>
      <c r="AN15" s="158"/>
      <c r="AO15" s="158"/>
      <c r="AP15" s="158"/>
      <c r="AQ15" s="158"/>
    </row>
    <row r="16" spans="1:43" hidden="1" x14ac:dyDescent="0.3">
      <c r="B16" s="4" t="str">
        <f>IF(ROW(A4)&lt;=profilKelas!$F$14,ROW(A4),"")</f>
        <v/>
      </c>
      <c r="C16" s="94" t="str">
        <f>IF(ISBLANK(identitasMurid!C9),"",identitasMurid!C9)</f>
        <v/>
      </c>
      <c r="D16" s="6" t="str">
        <f>IF(ISBLANK(identitasMurid!D9),"",identitasMurid!D9)</f>
        <v/>
      </c>
      <c r="E16" s="95"/>
      <c r="F16" s="95"/>
      <c r="G16" s="95"/>
      <c r="H16" s="95"/>
      <c r="I16" s="95"/>
      <c r="J16" s="95"/>
      <c r="K16" s="95"/>
      <c r="L16" s="95"/>
      <c r="M16" s="95"/>
      <c r="Q16" s="5" t="str">
        <f>IF(ROW(A4)&lt;=profilKelas!$F$14,ROW(A4),"")</f>
        <v/>
      </c>
      <c r="R16" s="12" t="str">
        <f t="shared" si="0"/>
        <v/>
      </c>
      <c r="S16" s="108" t="str">
        <f t="shared" si="1"/>
        <v/>
      </c>
      <c r="T16" s="108" t="str">
        <f t="shared" si="2"/>
        <v/>
      </c>
      <c r="U16" s="108" t="str">
        <f t="shared" si="3"/>
        <v/>
      </c>
      <c r="V16" s="108" t="str">
        <f t="shared" si="3"/>
        <v/>
      </c>
      <c r="W16" s="108" t="str">
        <f t="shared" si="3"/>
        <v/>
      </c>
      <c r="X16" s="108" t="str">
        <f t="shared" si="3"/>
        <v/>
      </c>
      <c r="Y16" s="108" t="str">
        <f t="shared" si="3"/>
        <v/>
      </c>
      <c r="Z16" s="108" t="str">
        <f t="shared" si="3"/>
        <v/>
      </c>
      <c r="AA16" s="108" t="str">
        <f t="shared" si="3"/>
        <v/>
      </c>
      <c r="AB16" s="108" t="str" cm="1">
        <f t="array" ref="AB16">IF(LEN($B16)=0,"",IF(LEN(C16)=0,"Nama Siswa Kosong",IF($E16="","Status Siswa Kosong",IF(S16&lt;&gt;"Aktif","Siswa Tidak Aktif",
IF(OR(U16:AA16="Belum mengisi"),"Belum mengisi",IF(AND(U16:AA16="Sudah terbiasa"),"Sudah terbiasa","Belum terbiasa"))))))</f>
        <v/>
      </c>
      <c r="AD16" s="41">
        <v>1</v>
      </c>
      <c r="AE16" s="41" t="s">
        <v>607</v>
      </c>
      <c r="AF16" s="10">
        <f>COUNTIF(JulPL,Perempuan)</f>
        <v>0</v>
      </c>
      <c r="AG16" s="96">
        <f>COUNTIFS(JulKategoriAkhir,SudahTerbiasa,JulPL,Perempuan)</f>
        <v>0</v>
      </c>
      <c r="AH16" s="96"/>
      <c r="AI16" s="96">
        <f>COUNTIFS(JulKategoriAkhir,BelumTerbiasa,JulPL,Perempuan)</f>
        <v>0</v>
      </c>
      <c r="AJ16" s="96"/>
      <c r="AK16" s="13"/>
      <c r="AL16" s="158"/>
      <c r="AM16" s="158"/>
      <c r="AN16" s="158"/>
      <c r="AO16" s="158"/>
      <c r="AP16" s="158"/>
      <c r="AQ16" s="158"/>
    </row>
    <row r="17" spans="2:43" hidden="1" x14ac:dyDescent="0.3">
      <c r="B17" s="4" t="str">
        <f>IF(ROW(A5)&lt;=profilKelas!$F$14,ROW(A5),"")</f>
        <v/>
      </c>
      <c r="C17" s="94" t="str">
        <f>IF(ISBLANK(identitasMurid!C10),"",identitasMurid!C10)</f>
        <v/>
      </c>
      <c r="D17" s="6" t="str">
        <f>IF(ISBLANK(identitasMurid!D10),"",identitasMurid!D10)</f>
        <v/>
      </c>
      <c r="E17" s="95"/>
      <c r="F17" s="95"/>
      <c r="G17" s="95"/>
      <c r="H17" s="95"/>
      <c r="I17" s="95"/>
      <c r="J17" s="95"/>
      <c r="K17" s="95"/>
      <c r="L17" s="95"/>
      <c r="M17" s="95"/>
      <c r="Q17" s="5" t="str">
        <f>IF(ROW(A5)&lt;=profilKelas!$F$14,ROW(A5),"")</f>
        <v/>
      </c>
      <c r="R17" s="12" t="str">
        <f t="shared" si="0"/>
        <v/>
      </c>
      <c r="S17" s="108" t="str">
        <f t="shared" si="1"/>
        <v/>
      </c>
      <c r="T17" s="108" t="str">
        <f t="shared" si="2"/>
        <v/>
      </c>
      <c r="U17" s="108" t="str">
        <f t="shared" si="3"/>
        <v/>
      </c>
      <c r="V17" s="108" t="str">
        <f t="shared" si="3"/>
        <v/>
      </c>
      <c r="W17" s="108" t="str">
        <f t="shared" si="3"/>
        <v/>
      </c>
      <c r="X17" s="108" t="str">
        <f t="shared" si="3"/>
        <v/>
      </c>
      <c r="Y17" s="108" t="str">
        <f t="shared" si="3"/>
        <v/>
      </c>
      <c r="Z17" s="108" t="str">
        <f t="shared" si="3"/>
        <v/>
      </c>
      <c r="AA17" s="108" t="str">
        <f t="shared" si="3"/>
        <v/>
      </c>
      <c r="AB17" s="108" t="str" cm="1">
        <f t="array" ref="AB17">IF(LEN($B17)=0,"",IF(LEN(C17)=0,"Nama Siswa Kosong",IF($E17="","Status Siswa Kosong",IF(S17&lt;&gt;"Aktif","Siswa Tidak Aktif",
IF(OR(U17:AA17="Belum mengisi"),"Belum mengisi",IF(AND(U17:AA17="Sudah terbiasa"),"Sudah terbiasa","Belum terbiasa"))))))</f>
        <v/>
      </c>
      <c r="AD17" s="41">
        <v>2</v>
      </c>
      <c r="AE17" s="41" t="s">
        <v>608</v>
      </c>
      <c r="AF17" s="97">
        <f>COUNTIF(JulPL,Laki_Laki)</f>
        <v>0</v>
      </c>
      <c r="AG17" s="96">
        <f>COUNTIFS(JulKategoriAkhir,SudahTerbiasa,JulPL,Laki_Laki)</f>
        <v>0</v>
      </c>
      <c r="AH17" s="96"/>
      <c r="AI17" s="96">
        <f>COUNTIFS(JulKategoriAkhir,BelumTerbiasa,JulPL,Laki_Laki)</f>
        <v>0</v>
      </c>
      <c r="AJ17" s="96"/>
      <c r="AK17" s="13"/>
      <c r="AL17" s="158"/>
      <c r="AM17" s="158"/>
      <c r="AN17" s="158"/>
      <c r="AO17" s="158"/>
      <c r="AP17" s="158"/>
      <c r="AQ17" s="158"/>
    </row>
    <row r="18" spans="2:43" hidden="1" x14ac:dyDescent="0.3">
      <c r="B18" s="4" t="str">
        <f>IF(ROW(A6)&lt;=profilKelas!$F$14,ROW(A6),"")</f>
        <v/>
      </c>
      <c r="C18" s="94" t="str">
        <f>IF(ISBLANK(identitasMurid!C11),"",identitasMurid!C11)</f>
        <v/>
      </c>
      <c r="D18" s="6" t="str">
        <f>IF(ISBLANK(identitasMurid!D11),"",identitasMurid!D11)</f>
        <v/>
      </c>
      <c r="E18" s="95"/>
      <c r="F18" s="95"/>
      <c r="G18" s="95"/>
      <c r="H18" s="95"/>
      <c r="I18" s="95"/>
      <c r="J18" s="95"/>
      <c r="K18" s="95"/>
      <c r="L18" s="95"/>
      <c r="M18" s="95"/>
      <c r="Q18" s="5" t="str">
        <f>IF(ROW(A6)&lt;=profilKelas!$F$14,ROW(A6),"")</f>
        <v/>
      </c>
      <c r="R18" s="12" t="str">
        <f t="shared" si="0"/>
        <v/>
      </c>
      <c r="S18" s="108" t="str">
        <f t="shared" si="1"/>
        <v/>
      </c>
      <c r="T18" s="108" t="str">
        <f t="shared" si="2"/>
        <v/>
      </c>
      <c r="U18" s="108" t="str">
        <f t="shared" si="3"/>
        <v/>
      </c>
      <c r="V18" s="108" t="str">
        <f t="shared" si="3"/>
        <v/>
      </c>
      <c r="W18" s="108" t="str">
        <f t="shared" si="3"/>
        <v/>
      </c>
      <c r="X18" s="108" t="str">
        <f t="shared" si="3"/>
        <v/>
      </c>
      <c r="Y18" s="108" t="str">
        <f t="shared" si="3"/>
        <v/>
      </c>
      <c r="Z18" s="108" t="str">
        <f t="shared" si="3"/>
        <v/>
      </c>
      <c r="AA18" s="108" t="str">
        <f t="shared" si="3"/>
        <v/>
      </c>
      <c r="AB18" s="108" t="str" cm="1">
        <f t="array" ref="AB18">IF(LEN($B18)=0,"",IF(LEN(C18)=0,"Nama Siswa Kosong",IF($E18="","Status Siswa Kosong",IF(S18&lt;&gt;"Aktif","Siswa Tidak Aktif",
IF(OR(U18:AA18="Belum mengisi"),"Belum mengisi",IF(AND(U18:AA18="Sudah terbiasa"),"Sudah terbiasa","Belum terbiasa"))))))</f>
        <v/>
      </c>
      <c r="AD18" s="160" t="s">
        <v>832</v>
      </c>
      <c r="AE18" s="160"/>
      <c r="AF18" s="3">
        <f>SUM(AF16:AF17)</f>
        <v>0</v>
      </c>
      <c r="AG18" s="96">
        <f>SUM(AG16:AG17)</f>
        <v>0</v>
      </c>
      <c r="AH18" s="96"/>
      <c r="AI18" s="96">
        <f>SUM(AI16:AI17)</f>
        <v>0</v>
      </c>
      <c r="AJ18" s="96"/>
      <c r="AK18" s="13"/>
      <c r="AL18" s="158"/>
      <c r="AM18" s="158"/>
      <c r="AN18" s="158"/>
      <c r="AO18" s="158"/>
      <c r="AP18" s="158"/>
      <c r="AQ18" s="158"/>
    </row>
    <row r="19" spans="2:43" hidden="1" x14ac:dyDescent="0.3">
      <c r="B19" s="4" t="str">
        <f>IF(ROW(A7)&lt;=profilKelas!$F$14,ROW(A7),"")</f>
        <v/>
      </c>
      <c r="C19" s="94" t="str">
        <f>IF(ISBLANK(identitasMurid!C12),"",identitasMurid!C12)</f>
        <v/>
      </c>
      <c r="D19" s="6" t="str">
        <f>IF(ISBLANK(identitasMurid!D12),"",identitasMurid!D12)</f>
        <v/>
      </c>
      <c r="E19" s="95"/>
      <c r="F19" s="95"/>
      <c r="G19" s="95"/>
      <c r="H19" s="95"/>
      <c r="I19" s="95"/>
      <c r="J19" s="95"/>
      <c r="K19" s="95"/>
      <c r="L19" s="95"/>
      <c r="M19" s="95"/>
      <c r="Q19" s="5" t="str">
        <f>IF(ROW(A7)&lt;=profilKelas!$F$14,ROW(A7),"")</f>
        <v/>
      </c>
      <c r="R19" s="12" t="str">
        <f t="shared" si="0"/>
        <v/>
      </c>
      <c r="S19" s="108" t="str">
        <f t="shared" si="1"/>
        <v/>
      </c>
      <c r="T19" s="108" t="str">
        <f t="shared" si="2"/>
        <v/>
      </c>
      <c r="U19" s="108" t="str">
        <f t="shared" si="3"/>
        <v/>
      </c>
      <c r="V19" s="108" t="str">
        <f t="shared" si="3"/>
        <v/>
      </c>
      <c r="W19" s="108" t="str">
        <f t="shared" si="3"/>
        <v/>
      </c>
      <c r="X19" s="108" t="str">
        <f t="shared" si="3"/>
        <v/>
      </c>
      <c r="Y19" s="108" t="str">
        <f t="shared" si="3"/>
        <v/>
      </c>
      <c r="Z19" s="108" t="str">
        <f t="shared" si="3"/>
        <v/>
      </c>
      <c r="AA19" s="108" t="str">
        <f t="shared" si="3"/>
        <v/>
      </c>
      <c r="AB19" s="108" t="str" cm="1">
        <f t="array" ref="AB19">IF(LEN($B19)=0,"",IF(LEN(C19)=0,"Nama Siswa Kosong",IF($E19="","Status Siswa Kosong",IF(S19&lt;&gt;"Aktif","Siswa Tidak Aktif",
IF(OR(U19:AA19="Belum mengisi"),"Belum mengisi",IF(AND(U19:AA19="Sudah terbiasa"),"Sudah terbiasa","Belum terbiasa"))))))</f>
        <v/>
      </c>
      <c r="AD19" s="13"/>
      <c r="AE19" s="13"/>
      <c r="AF19" s="13"/>
      <c r="AG19" s="13"/>
      <c r="AH19" s="13"/>
      <c r="AI19" s="13"/>
      <c r="AJ19" s="13"/>
      <c r="AK19" s="13"/>
      <c r="AL19" s="43"/>
      <c r="AM19" s="43"/>
      <c r="AN19" s="43"/>
      <c r="AO19" s="43"/>
      <c r="AP19" s="43"/>
      <c r="AQ19" s="43"/>
    </row>
    <row r="20" spans="2:43" hidden="1" x14ac:dyDescent="0.3">
      <c r="B20" s="4" t="str">
        <f>IF(ROW(A8)&lt;=profilKelas!$F$14,ROW(A8),"")</f>
        <v/>
      </c>
      <c r="C20" s="94" t="str">
        <f>IF(ISBLANK(identitasMurid!C13),"",identitasMurid!C13)</f>
        <v/>
      </c>
      <c r="D20" s="6" t="str">
        <f>IF(ISBLANK(identitasMurid!D13),"",identitasMurid!D13)</f>
        <v/>
      </c>
      <c r="E20" s="95"/>
      <c r="F20" s="95"/>
      <c r="G20" s="95"/>
      <c r="H20" s="95"/>
      <c r="I20" s="95"/>
      <c r="J20" s="95"/>
      <c r="K20" s="95"/>
      <c r="L20" s="95"/>
      <c r="M20" s="95"/>
      <c r="Q20" s="5" t="str">
        <f>IF(ROW(A8)&lt;=profilKelas!$F$14,ROW(A8),"")</f>
        <v/>
      </c>
      <c r="R20" s="12" t="str">
        <f t="shared" si="0"/>
        <v/>
      </c>
      <c r="S20" s="108" t="str">
        <f>IF(LEN(B20)=0,"",IF(ISBLANK(E20),"Status Siswa Kosong",E20))</f>
        <v/>
      </c>
      <c r="T20" s="108" t="str">
        <f t="shared" si="2"/>
        <v/>
      </c>
      <c r="U20" s="108" t="str">
        <f t="shared" si="3"/>
        <v/>
      </c>
      <c r="V20" s="108" t="str">
        <f t="shared" si="3"/>
        <v/>
      </c>
      <c r="W20" s="108" t="str">
        <f t="shared" si="3"/>
        <v/>
      </c>
      <c r="X20" s="108" t="str">
        <f t="shared" si="3"/>
        <v/>
      </c>
      <c r="Y20" s="108" t="str">
        <f t="shared" si="3"/>
        <v/>
      </c>
      <c r="Z20" s="108" t="str">
        <f t="shared" si="3"/>
        <v/>
      </c>
      <c r="AA20" s="108" t="str">
        <f t="shared" si="3"/>
        <v/>
      </c>
      <c r="AB20" s="108" t="str" cm="1">
        <f t="array" ref="AB20">IF(LEN($B20)=0,"",IF(LEN(C20)=0,"Nama Siswa Kosong",IF($E20="","Status Siswa Kosong",IF(S20&lt;&gt;"Aktif","Siswa Tidak Aktif",
IF(OR(U20:AA20="Belum mengisi"),"Belum mengisi",IF(AND(U20:AA20="Sudah terbiasa"),"Sudah terbiasa","Belum terbiasa"))))))</f>
        <v/>
      </c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</row>
    <row r="21" spans="2:43" ht="15.75" hidden="1" customHeight="1" x14ac:dyDescent="0.3">
      <c r="B21" s="4" t="str">
        <f>IF(ROW(A9)&lt;=profilKelas!$F$14,ROW(A9),"")</f>
        <v/>
      </c>
      <c r="C21" s="94" t="str">
        <f>IF(ISBLANK(identitasMurid!C14),"",identitasMurid!C14)</f>
        <v/>
      </c>
      <c r="D21" s="6" t="str">
        <f>IF(ISBLANK(identitasMurid!D14),"",identitasMurid!D14)</f>
        <v/>
      </c>
      <c r="E21" s="95"/>
      <c r="F21" s="95"/>
      <c r="G21" s="95"/>
      <c r="H21" s="95"/>
      <c r="I21" s="95"/>
      <c r="J21" s="95"/>
      <c r="K21" s="95"/>
      <c r="L21" s="95"/>
      <c r="M21" s="95"/>
      <c r="Q21" s="5" t="str">
        <f>IF(ROW(A9)&lt;=profilKelas!$F$14,ROW(A9),"")</f>
        <v/>
      </c>
      <c r="R21" s="12" t="str">
        <f t="shared" si="0"/>
        <v/>
      </c>
      <c r="S21" s="108" t="str">
        <f t="shared" ref="S21:S57" si="4">IF(LEN(B21)=0,"",IF(ISBLANK(E21),"Status Siswa Kosong",E21))</f>
        <v/>
      </c>
      <c r="T21" s="108" t="str">
        <f t="shared" si="2"/>
        <v/>
      </c>
      <c r="U21" s="108" t="str">
        <f t="shared" si="3"/>
        <v/>
      </c>
      <c r="V21" s="108" t="str">
        <f t="shared" si="3"/>
        <v/>
      </c>
      <c r="W21" s="108" t="str">
        <f t="shared" si="3"/>
        <v/>
      </c>
      <c r="X21" s="108" t="str">
        <f t="shared" si="3"/>
        <v/>
      </c>
      <c r="Y21" s="108" t="str">
        <f t="shared" si="3"/>
        <v/>
      </c>
      <c r="Z21" s="108" t="str">
        <f t="shared" si="3"/>
        <v/>
      </c>
      <c r="AA21" s="108" t="str">
        <f t="shared" si="3"/>
        <v/>
      </c>
      <c r="AB21" s="108" t="str" cm="1">
        <f t="array" ref="AB21">IF(LEN($B21)=0,"",IF(LEN(C21)=0,"Nama Siswa Kosong",IF($E21="","Status Siswa Kosong",IF(S21&lt;&gt;"Aktif","Siswa Tidak Aktif",
IF(OR(U21:AA21="Belum mengisi"),"Belum mengisi",IF(AND(U21:AA21="Sudah terbiasa"),"Sudah terbiasa","Belum terbiasa"))))))</f>
        <v/>
      </c>
      <c r="AD21" s="13"/>
      <c r="AE21" s="13"/>
      <c r="AF21" s="13"/>
      <c r="AG21" s="173" t="s">
        <v>596</v>
      </c>
      <c r="AH21" s="174"/>
      <c r="AI21" s="174"/>
      <c r="AJ21" s="175"/>
      <c r="AK21" s="13"/>
      <c r="AL21" s="13"/>
      <c r="AM21" s="13"/>
      <c r="AN21" s="13"/>
      <c r="AO21" s="13"/>
      <c r="AP21" s="13"/>
      <c r="AQ21" s="13"/>
    </row>
    <row r="22" spans="2:43" hidden="1" x14ac:dyDescent="0.3">
      <c r="B22" s="4" t="str">
        <f>IF(ROW(A10)&lt;=profilKelas!$F$14,ROW(A10),"")</f>
        <v/>
      </c>
      <c r="C22" s="94" t="str">
        <f>IF(ISBLANK(identitasMurid!C15),"",identitasMurid!C15)</f>
        <v/>
      </c>
      <c r="D22" s="6" t="str">
        <f>IF(ISBLANK(identitasMurid!D15),"",identitasMurid!D15)</f>
        <v/>
      </c>
      <c r="E22" s="95"/>
      <c r="F22" s="95"/>
      <c r="G22" s="95"/>
      <c r="H22" s="95"/>
      <c r="I22" s="95"/>
      <c r="J22" s="95"/>
      <c r="K22" s="95"/>
      <c r="L22" s="95"/>
      <c r="M22" s="95"/>
      <c r="Q22" s="5" t="str">
        <f>IF(ROW(A10)&lt;=profilKelas!$F$14,ROW(A10),"")</f>
        <v/>
      </c>
      <c r="R22" s="12" t="str">
        <f t="shared" si="0"/>
        <v/>
      </c>
      <c r="S22" s="108" t="str">
        <f t="shared" si="4"/>
        <v/>
      </c>
      <c r="T22" s="108" t="str">
        <f t="shared" si="2"/>
        <v/>
      </c>
      <c r="U22" s="108" t="str">
        <f t="shared" si="3"/>
        <v/>
      </c>
      <c r="V22" s="108" t="str">
        <f t="shared" si="3"/>
        <v/>
      </c>
      <c r="W22" s="108" t="str">
        <f t="shared" si="3"/>
        <v/>
      </c>
      <c r="X22" s="108" t="str">
        <f t="shared" si="3"/>
        <v/>
      </c>
      <c r="Y22" s="108" t="str">
        <f t="shared" si="3"/>
        <v/>
      </c>
      <c r="Z22" s="108" t="str">
        <f t="shared" si="3"/>
        <v/>
      </c>
      <c r="AA22" s="108" t="str">
        <f t="shared" si="3"/>
        <v/>
      </c>
      <c r="AB22" s="108" t="str" cm="1">
        <f t="array" ref="AB22">IF(LEN($B22)=0,"",IF(LEN(C22)=0,"Nama Siswa Kosong",IF($E22="","Status Siswa Kosong",IF(S22&lt;&gt;"Aktif","Siswa Tidak Aktif",
IF(OR(U22:AA22="Belum mengisi"),"Belum mengisi",IF(AND(U22:AA22="Sudah terbiasa"),"Sudah terbiasa","Belum terbiasa"))))))</f>
        <v/>
      </c>
      <c r="AD22" s="98" t="s">
        <v>0</v>
      </c>
      <c r="AE22" s="148" t="s">
        <v>18</v>
      </c>
      <c r="AF22" s="148"/>
      <c r="AG22" s="148" t="s">
        <v>597</v>
      </c>
      <c r="AH22" s="148"/>
      <c r="AI22" s="171" t="s">
        <v>598</v>
      </c>
      <c r="AJ22" s="172"/>
      <c r="AK22" s="13"/>
      <c r="AL22" s="13"/>
      <c r="AM22" s="13"/>
      <c r="AN22" s="13"/>
      <c r="AO22" s="13"/>
      <c r="AP22" s="13"/>
      <c r="AQ22" s="13"/>
    </row>
    <row r="23" spans="2:43" hidden="1" x14ac:dyDescent="0.3">
      <c r="B23" s="4" t="str">
        <f>IF(ROW(A11)&lt;=profilKelas!$F$14,ROW(A11),"")</f>
        <v/>
      </c>
      <c r="C23" s="94" t="str">
        <f>IF(ISBLANK(identitasMurid!C16),"",identitasMurid!C16)</f>
        <v/>
      </c>
      <c r="D23" s="6" t="str">
        <f>IF(ISBLANK(identitasMurid!D16),"",identitasMurid!D16)</f>
        <v/>
      </c>
      <c r="E23" s="95"/>
      <c r="F23" s="95"/>
      <c r="G23" s="95"/>
      <c r="H23" s="95"/>
      <c r="I23" s="95"/>
      <c r="J23" s="95"/>
      <c r="K23" s="95"/>
      <c r="L23" s="95"/>
      <c r="M23" s="95"/>
      <c r="Q23" s="5" t="str">
        <f>IF(ROW(A11)&lt;=profilKelas!$F$14,ROW(A11),"")</f>
        <v/>
      </c>
      <c r="R23" s="12" t="str">
        <f t="shared" si="0"/>
        <v/>
      </c>
      <c r="S23" s="108" t="str">
        <f t="shared" si="4"/>
        <v/>
      </c>
      <c r="T23" s="108" t="str">
        <f t="shared" si="2"/>
        <v/>
      </c>
      <c r="U23" s="108" t="str">
        <f t="shared" si="3"/>
        <v/>
      </c>
      <c r="V23" s="108" t="str">
        <f t="shared" si="3"/>
        <v/>
      </c>
      <c r="W23" s="108" t="str">
        <f t="shared" si="3"/>
        <v/>
      </c>
      <c r="X23" s="108" t="str">
        <f t="shared" si="3"/>
        <v/>
      </c>
      <c r="Y23" s="108" t="str">
        <f t="shared" si="3"/>
        <v/>
      </c>
      <c r="Z23" s="108" t="str">
        <f t="shared" si="3"/>
        <v/>
      </c>
      <c r="AA23" s="108" t="str">
        <f t="shared" si="3"/>
        <v/>
      </c>
      <c r="AB23" s="108" t="str" cm="1">
        <f t="array" ref="AB23">IF(LEN($B23)=0,"",IF(LEN(C23)=0,"Nama Siswa Kosong",IF($E23="","Status Siswa Kosong",IF(S23&lt;&gt;"Aktif","Siswa Tidak Aktif",
IF(OR(U23:AA23="Belum mengisi"),"Belum mengisi",IF(AND(U23:AA23="Sudah terbiasa"),"Sudah terbiasa","Belum terbiasa"))))))</f>
        <v/>
      </c>
      <c r="AC23" s="99">
        <f t="shared" ref="AC23:AC29" si="5">RANK(AG23,$AG$23:$AG$29)</f>
        <v>1</v>
      </c>
      <c r="AD23" s="41">
        <v>1</v>
      </c>
      <c r="AE23" s="161" t="s">
        <v>2</v>
      </c>
      <c r="AF23" s="161"/>
      <c r="AG23" s="10">
        <f>COUNTIF(JulBangunPagi,SudahTerbiasa)</f>
        <v>0</v>
      </c>
      <c r="AH23" s="50">
        <f>COUNTIF(JulBangunPagi,SudahTerbiasa)/profilKelas!$F$14</f>
        <v>0</v>
      </c>
      <c r="AI23" s="10">
        <f>COUNTIF(JulBangunPagi,BelumTerbiasa)</f>
        <v>0</v>
      </c>
      <c r="AJ23" s="50">
        <f>AI23/profilKelas!$F$14</f>
        <v>0</v>
      </c>
      <c r="AK23" s="13"/>
      <c r="AL23" s="13"/>
      <c r="AM23" s="13"/>
      <c r="AN23" s="13"/>
      <c r="AO23" s="13"/>
      <c r="AP23" s="13"/>
      <c r="AQ23" s="13"/>
    </row>
    <row r="24" spans="2:43" hidden="1" x14ac:dyDescent="0.3">
      <c r="B24" s="4" t="str">
        <f>IF(ROW(A12)&lt;=profilKelas!$F$14,ROW(A12),"")</f>
        <v/>
      </c>
      <c r="C24" s="94" t="str">
        <f>IF(ISBLANK(identitasMurid!C17),"",identitasMurid!C17)</f>
        <v/>
      </c>
      <c r="D24" s="6" t="str">
        <f>IF(ISBLANK(identitasMurid!D17),"",identitasMurid!D17)</f>
        <v/>
      </c>
      <c r="E24" s="95"/>
      <c r="F24" s="95"/>
      <c r="G24" s="95"/>
      <c r="H24" s="95"/>
      <c r="I24" s="95"/>
      <c r="J24" s="95"/>
      <c r="K24" s="95"/>
      <c r="L24" s="95"/>
      <c r="M24" s="95"/>
      <c r="Q24" s="5" t="str">
        <f>IF(ROW(A12)&lt;=profilKelas!$F$14,ROW(A12),"")</f>
        <v/>
      </c>
      <c r="R24" s="12" t="str">
        <f t="shared" si="0"/>
        <v/>
      </c>
      <c r="S24" s="108" t="str">
        <f t="shared" si="4"/>
        <v/>
      </c>
      <c r="T24" s="108" t="str">
        <f t="shared" si="2"/>
        <v/>
      </c>
      <c r="U24" s="108" t="str">
        <f t="shared" si="3"/>
        <v/>
      </c>
      <c r="V24" s="108" t="str">
        <f t="shared" si="3"/>
        <v/>
      </c>
      <c r="W24" s="108" t="str">
        <f t="shared" si="3"/>
        <v/>
      </c>
      <c r="X24" s="108" t="str">
        <f t="shared" si="3"/>
        <v/>
      </c>
      <c r="Y24" s="108" t="str">
        <f t="shared" si="3"/>
        <v/>
      </c>
      <c r="Z24" s="108" t="str">
        <f t="shared" si="3"/>
        <v/>
      </c>
      <c r="AA24" s="108" t="str">
        <f t="shared" si="3"/>
        <v/>
      </c>
      <c r="AB24" s="108" t="str" cm="1">
        <f t="array" ref="AB24">IF(LEN($B24)=0,"",IF(LEN(C24)=0,"Nama Siswa Kosong",IF($E24="","Status Siswa Kosong",IF(S24&lt;&gt;"Aktif","Siswa Tidak Aktif",
IF(OR(U24:AA24="Belum mengisi"),"Belum mengisi",IF(AND(U24:AA24="Sudah terbiasa"),"Sudah terbiasa","Belum terbiasa"))))))</f>
        <v/>
      </c>
      <c r="AC24" s="99">
        <f t="shared" si="5"/>
        <v>1</v>
      </c>
      <c r="AD24" s="41">
        <v>2</v>
      </c>
      <c r="AE24" s="161" t="s">
        <v>3</v>
      </c>
      <c r="AF24" s="161"/>
      <c r="AG24" s="10">
        <f>COUNTIF(JulTaatBeribadah,SudahTerbiasa)</f>
        <v>0</v>
      </c>
      <c r="AH24" s="50">
        <f>AG24/profilKelas!$F$14</f>
        <v>0</v>
      </c>
      <c r="AI24" s="10">
        <f>COUNTIF(JulTaatBeribadah,BelumTerbiasa)</f>
        <v>0</v>
      </c>
      <c r="AJ24" s="50">
        <f>AI24/profilKelas!$F$14</f>
        <v>0</v>
      </c>
      <c r="AK24" s="13"/>
      <c r="AL24" s="13"/>
      <c r="AM24" s="13"/>
      <c r="AN24" s="13"/>
      <c r="AO24" s="13"/>
      <c r="AP24" s="13"/>
      <c r="AQ24" s="13"/>
    </row>
    <row r="25" spans="2:43" hidden="1" x14ac:dyDescent="0.3">
      <c r="B25" s="4" t="str">
        <f>IF(ROW(A13)&lt;=profilKelas!$F$14,ROW(A13),"")</f>
        <v/>
      </c>
      <c r="C25" s="94" t="str">
        <f>IF(ISBLANK(identitasMurid!C18),"",identitasMurid!C18)</f>
        <v/>
      </c>
      <c r="D25" s="6" t="str">
        <f>IF(ISBLANK(identitasMurid!D18),"",identitasMurid!D18)</f>
        <v/>
      </c>
      <c r="E25" s="95"/>
      <c r="F25" s="95"/>
      <c r="G25" s="95"/>
      <c r="H25" s="95"/>
      <c r="I25" s="95"/>
      <c r="J25" s="95"/>
      <c r="K25" s="95"/>
      <c r="L25" s="95"/>
      <c r="M25" s="95"/>
      <c r="Q25" s="5" t="str">
        <f>IF(ROW(A13)&lt;=profilKelas!$F$14,ROW(A13),"")</f>
        <v/>
      </c>
      <c r="R25" s="12" t="str">
        <f t="shared" si="0"/>
        <v/>
      </c>
      <c r="S25" s="108" t="str">
        <f t="shared" si="4"/>
        <v/>
      </c>
      <c r="T25" s="108" t="str">
        <f t="shared" si="2"/>
        <v/>
      </c>
      <c r="U25" s="108" t="str">
        <f t="shared" si="3"/>
        <v/>
      </c>
      <c r="V25" s="108" t="str">
        <f t="shared" si="3"/>
        <v/>
      </c>
      <c r="W25" s="108" t="str">
        <f t="shared" si="3"/>
        <v/>
      </c>
      <c r="X25" s="108" t="str">
        <f t="shared" si="3"/>
        <v/>
      </c>
      <c r="Y25" s="108" t="str">
        <f t="shared" si="3"/>
        <v/>
      </c>
      <c r="Z25" s="108" t="str">
        <f t="shared" si="3"/>
        <v/>
      </c>
      <c r="AA25" s="108" t="str">
        <f t="shared" si="3"/>
        <v/>
      </c>
      <c r="AB25" s="108" t="str" cm="1">
        <f t="array" ref="AB25">IF(LEN($B25)=0,"",IF(LEN(C25)=0,"Nama Siswa Kosong",IF($E25="","Status Siswa Kosong",IF(S25&lt;&gt;"Aktif","Siswa Tidak Aktif",
IF(OR(U25:AA25="Belum mengisi"),"Belum mengisi",IF(AND(U25:AA25="Sudah terbiasa"),"Sudah terbiasa","Belum terbiasa"))))))</f>
        <v/>
      </c>
      <c r="AC25" s="99">
        <f t="shared" si="5"/>
        <v>1</v>
      </c>
      <c r="AD25" s="41">
        <v>3</v>
      </c>
      <c r="AE25" s="161" t="s">
        <v>4</v>
      </c>
      <c r="AF25" s="161"/>
      <c r="AG25" s="10">
        <f>COUNTIF(JulBerolahraga,SudahTerbiasa)</f>
        <v>0</v>
      </c>
      <c r="AH25" s="50">
        <f>AG25/profilKelas!$F$14</f>
        <v>0</v>
      </c>
      <c r="AI25" s="10">
        <f>COUNTIF(JulBerolahraga,BelumTerbiasa)</f>
        <v>0</v>
      </c>
      <c r="AJ25" s="50">
        <f>AI25/profilKelas!$F$14</f>
        <v>0</v>
      </c>
      <c r="AK25" s="13"/>
      <c r="AL25" s="13"/>
      <c r="AM25" s="13"/>
      <c r="AN25" s="13"/>
      <c r="AO25" s="13"/>
      <c r="AP25" s="13"/>
      <c r="AQ25" s="13"/>
    </row>
    <row r="26" spans="2:43" hidden="1" x14ac:dyDescent="0.3">
      <c r="B26" s="4" t="str">
        <f>IF(ROW(A14)&lt;=profilKelas!$F$14,ROW(A14),"")</f>
        <v/>
      </c>
      <c r="C26" s="94" t="str">
        <f>IF(ISBLANK(identitasMurid!C19),"",identitasMurid!C19)</f>
        <v/>
      </c>
      <c r="D26" s="6" t="str">
        <f>IF(ISBLANK(identitasMurid!D19),"",identitasMurid!D19)</f>
        <v/>
      </c>
      <c r="E26" s="95"/>
      <c r="F26" s="95"/>
      <c r="G26" s="95"/>
      <c r="H26" s="95"/>
      <c r="I26" s="95"/>
      <c r="J26" s="95"/>
      <c r="K26" s="95"/>
      <c r="L26" s="95"/>
      <c r="M26" s="95"/>
      <c r="Q26" s="5" t="str">
        <f>IF(ROW(A14)&lt;=profilKelas!$F$14,ROW(A14),"")</f>
        <v/>
      </c>
      <c r="R26" s="12" t="str">
        <f t="shared" si="0"/>
        <v/>
      </c>
      <c r="S26" s="108" t="str">
        <f t="shared" si="4"/>
        <v/>
      </c>
      <c r="T26" s="108" t="str">
        <f t="shared" si="2"/>
        <v/>
      </c>
      <c r="U26" s="108" t="str">
        <f t="shared" si="3"/>
        <v/>
      </c>
      <c r="V26" s="108" t="str">
        <f t="shared" si="3"/>
        <v/>
      </c>
      <c r="W26" s="108" t="str">
        <f t="shared" si="3"/>
        <v/>
      </c>
      <c r="X26" s="108" t="str">
        <f t="shared" si="3"/>
        <v/>
      </c>
      <c r="Y26" s="108" t="str">
        <f t="shared" si="3"/>
        <v/>
      </c>
      <c r="Z26" s="108" t="str">
        <f t="shared" si="3"/>
        <v/>
      </c>
      <c r="AA26" s="108" t="str">
        <f t="shared" si="3"/>
        <v/>
      </c>
      <c r="AB26" s="108" t="str" cm="1">
        <f t="array" ref="AB26">IF(LEN($B26)=0,"",IF(LEN(C26)=0,"Nama Siswa Kosong",IF($E26="","Status Siswa Kosong",IF(S26&lt;&gt;"Aktif","Siswa Tidak Aktif",
IF(OR(U26:AA26="Belum mengisi"),"Belum mengisi",IF(AND(U26:AA26="Sudah terbiasa"),"Sudah terbiasa","Belum terbiasa"))))))</f>
        <v/>
      </c>
      <c r="AC26" s="99">
        <f t="shared" si="5"/>
        <v>1</v>
      </c>
      <c r="AD26" s="41">
        <v>4</v>
      </c>
      <c r="AE26" s="161" t="s">
        <v>5</v>
      </c>
      <c r="AF26" s="161"/>
      <c r="AG26" s="10">
        <f>COUNTIF(JulMakanSehatBergizi,SudahTerbiasa)</f>
        <v>0</v>
      </c>
      <c r="AH26" s="50">
        <f>AG26/profilKelas!$F$14</f>
        <v>0</v>
      </c>
      <c r="AI26" s="10">
        <f>COUNTIF(JulMakanSehatBergizi,BelumTerbiasa)</f>
        <v>0</v>
      </c>
      <c r="AJ26" s="50">
        <f>AI26/profilKelas!$F$14</f>
        <v>0</v>
      </c>
      <c r="AK26" s="13"/>
      <c r="AL26" s="13"/>
      <c r="AM26" s="13"/>
      <c r="AN26" s="13"/>
      <c r="AO26" s="13"/>
      <c r="AP26" s="13"/>
      <c r="AQ26" s="13"/>
    </row>
    <row r="27" spans="2:43" hidden="1" x14ac:dyDescent="0.3">
      <c r="B27" s="4" t="str">
        <f>IF(ROW(A15)&lt;=profilKelas!$F$14,ROW(A15),"")</f>
        <v/>
      </c>
      <c r="C27" s="94" t="str">
        <f>IF(ISBLANK(identitasMurid!C20),"",identitasMurid!C20)</f>
        <v/>
      </c>
      <c r="D27" s="6" t="str">
        <f>IF(ISBLANK(identitasMurid!D20),"",identitasMurid!D20)</f>
        <v/>
      </c>
      <c r="E27" s="95"/>
      <c r="F27" s="95"/>
      <c r="G27" s="95"/>
      <c r="H27" s="95"/>
      <c r="I27" s="95"/>
      <c r="J27" s="95"/>
      <c r="K27" s="95"/>
      <c r="L27" s="95"/>
      <c r="M27" s="95"/>
      <c r="Q27" s="5" t="str">
        <f>IF(ROW(A15)&lt;=profilKelas!$F$14,ROW(A15),"")</f>
        <v/>
      </c>
      <c r="R27" s="12" t="str">
        <f t="shared" si="0"/>
        <v/>
      </c>
      <c r="S27" s="108" t="str">
        <f t="shared" si="4"/>
        <v/>
      </c>
      <c r="T27" s="108" t="str">
        <f t="shared" si="2"/>
        <v/>
      </c>
      <c r="U27" s="108" t="str">
        <f t="shared" si="3"/>
        <v/>
      </c>
      <c r="V27" s="108" t="str">
        <f t="shared" si="3"/>
        <v/>
      </c>
      <c r="W27" s="108" t="str">
        <f t="shared" si="3"/>
        <v/>
      </c>
      <c r="X27" s="108" t="str">
        <f t="shared" si="3"/>
        <v/>
      </c>
      <c r="Y27" s="108" t="str">
        <f t="shared" si="3"/>
        <v/>
      </c>
      <c r="Z27" s="108" t="str">
        <f t="shared" si="3"/>
        <v/>
      </c>
      <c r="AA27" s="108" t="str">
        <f t="shared" si="3"/>
        <v/>
      </c>
      <c r="AB27" s="108" t="str" cm="1">
        <f t="array" ref="AB27">IF(LEN($B27)=0,"",IF(LEN(C27)=0,"Nama Siswa Kosong",IF($E27="","Status Siswa Kosong",IF(S27&lt;&gt;"Aktif","Siswa Tidak Aktif",
IF(OR(U27:AA27="Belum mengisi"),"Belum mengisi",IF(AND(U27:AA27="Sudah terbiasa"),"Sudah terbiasa","Belum terbiasa"))))))</f>
        <v/>
      </c>
      <c r="AC27" s="99">
        <f t="shared" si="5"/>
        <v>1</v>
      </c>
      <c r="AD27" s="41">
        <v>5</v>
      </c>
      <c r="AE27" s="161" t="s">
        <v>6</v>
      </c>
      <c r="AF27" s="161"/>
      <c r="AG27" s="10">
        <f>COUNTIF(JulGemarBelajar,SudahTerbiasa)</f>
        <v>0</v>
      </c>
      <c r="AH27" s="50">
        <f>AG27/profilKelas!$F$14</f>
        <v>0</v>
      </c>
      <c r="AI27" s="10">
        <f>COUNTIF(JulGemarBelajar,BelumTerbiasa)</f>
        <v>0</v>
      </c>
      <c r="AJ27" s="50">
        <f>AI27/profilKelas!$F$14</f>
        <v>0</v>
      </c>
      <c r="AK27" s="13"/>
      <c r="AL27" s="13"/>
      <c r="AM27" s="13"/>
      <c r="AN27" s="13"/>
      <c r="AO27" s="13"/>
      <c r="AP27" s="13"/>
      <c r="AQ27" s="13"/>
    </row>
    <row r="28" spans="2:43" hidden="1" x14ac:dyDescent="0.3">
      <c r="B28" s="4" t="str">
        <f>IF(ROW(A16)&lt;=profilKelas!$F$14,ROW(A16),"")</f>
        <v/>
      </c>
      <c r="C28" s="94" t="str">
        <f>IF(ISBLANK(identitasMurid!C21),"",identitasMurid!C21)</f>
        <v/>
      </c>
      <c r="D28" s="6" t="str">
        <f>IF(ISBLANK(identitasMurid!D21),"",identitasMurid!D21)</f>
        <v/>
      </c>
      <c r="E28" s="95"/>
      <c r="F28" s="95"/>
      <c r="G28" s="95"/>
      <c r="H28" s="95"/>
      <c r="I28" s="95"/>
      <c r="J28" s="95"/>
      <c r="K28" s="95"/>
      <c r="L28" s="95"/>
      <c r="M28" s="95"/>
      <c r="Q28" s="5" t="str">
        <f>IF(ROW(A16)&lt;=profilKelas!$F$14,ROW(A16),"")</f>
        <v/>
      </c>
      <c r="R28" s="12" t="str">
        <f t="shared" si="0"/>
        <v/>
      </c>
      <c r="S28" s="108" t="str">
        <f t="shared" si="4"/>
        <v/>
      </c>
      <c r="T28" s="108" t="str">
        <f t="shared" si="2"/>
        <v/>
      </c>
      <c r="U28" s="108" t="str">
        <f t="shared" si="3"/>
        <v/>
      </c>
      <c r="V28" s="108" t="str">
        <f t="shared" si="3"/>
        <v/>
      </c>
      <c r="W28" s="108" t="str">
        <f t="shared" si="3"/>
        <v/>
      </c>
      <c r="X28" s="108" t="str">
        <f t="shared" si="3"/>
        <v/>
      </c>
      <c r="Y28" s="108" t="str">
        <f t="shared" si="3"/>
        <v/>
      </c>
      <c r="Z28" s="108" t="str">
        <f t="shared" si="3"/>
        <v/>
      </c>
      <c r="AA28" s="108" t="str">
        <f t="shared" si="3"/>
        <v/>
      </c>
      <c r="AB28" s="108" t="str" cm="1">
        <f t="array" ref="AB28">IF(LEN($B28)=0,"",IF(LEN(C28)=0,"Nama Siswa Kosong",IF($E28="","Status Siswa Kosong",IF(S28&lt;&gt;"Aktif","Siswa Tidak Aktif",
IF(OR(U28:AA28="Belum mengisi"),"Belum mengisi",IF(AND(U28:AA28="Sudah terbiasa"),"Sudah terbiasa","Belum terbiasa"))))))</f>
        <v/>
      </c>
      <c r="AC28" s="99">
        <f t="shared" si="5"/>
        <v>1</v>
      </c>
      <c r="AD28" s="41">
        <v>6</v>
      </c>
      <c r="AE28" s="161" t="s">
        <v>7</v>
      </c>
      <c r="AF28" s="161"/>
      <c r="AG28" s="10">
        <f>COUNTIF(JulAktifBermasyarakat,SudahTerbiasa)</f>
        <v>0</v>
      </c>
      <c r="AH28" s="50">
        <f>AG28/profilKelas!$F$14</f>
        <v>0</v>
      </c>
      <c r="AI28" s="10">
        <f>COUNTIF(JulAktifBermasyarakat,BelumTerbiasa)</f>
        <v>0</v>
      </c>
      <c r="AJ28" s="50">
        <f>AI28/profilKelas!$F$14</f>
        <v>0</v>
      </c>
      <c r="AK28" s="13"/>
      <c r="AL28" s="43"/>
      <c r="AM28" s="43"/>
      <c r="AN28" s="43"/>
      <c r="AO28" s="43"/>
      <c r="AP28" s="43"/>
      <c r="AQ28" s="43"/>
    </row>
    <row r="29" spans="2:43" hidden="1" x14ac:dyDescent="0.3">
      <c r="B29" s="4" t="str">
        <f>IF(ROW(A17)&lt;=profilKelas!$F$14,ROW(A17),"")</f>
        <v/>
      </c>
      <c r="C29" s="94" t="str">
        <f>IF(ISBLANK(identitasMurid!C22),"",identitasMurid!C22)</f>
        <v/>
      </c>
      <c r="D29" s="6" t="str">
        <f>IF(ISBLANK(identitasMurid!D22),"",identitasMurid!D22)</f>
        <v/>
      </c>
      <c r="E29" s="95"/>
      <c r="F29" s="95"/>
      <c r="G29" s="95"/>
      <c r="H29" s="95"/>
      <c r="I29" s="95"/>
      <c r="J29" s="95"/>
      <c r="K29" s="95"/>
      <c r="L29" s="95"/>
      <c r="M29" s="95"/>
      <c r="Q29" s="5" t="str">
        <f>IF(ROW(A17)&lt;=profilKelas!$F$14,ROW(A17),"")</f>
        <v/>
      </c>
      <c r="R29" s="12" t="str">
        <f t="shared" si="0"/>
        <v/>
      </c>
      <c r="S29" s="108" t="str">
        <f t="shared" si="4"/>
        <v/>
      </c>
      <c r="T29" s="108" t="str">
        <f t="shared" si="2"/>
        <v/>
      </c>
      <c r="U29" s="108" t="str">
        <f t="shared" ref="U29:AA57" si="6">IF(LEN($B29)=0,"",IF(LEN($C29)=0,"Nama Siswa Kosong",IF($E29="","Status Siswa Kosong",IF($E29&lt;&gt;"Aktif","Siswa Tidak Aktif",
IF(ISBLANK(F29),"Belum mengisi",IF(F29&gt;=20,"Sudah terbiasa","Belum terbiasa"))))))</f>
        <v/>
      </c>
      <c r="V29" s="108" t="str">
        <f t="shared" si="6"/>
        <v/>
      </c>
      <c r="W29" s="108" t="str">
        <f t="shared" si="6"/>
        <v/>
      </c>
      <c r="X29" s="108" t="str">
        <f t="shared" si="6"/>
        <v/>
      </c>
      <c r="Y29" s="108" t="str">
        <f t="shared" si="6"/>
        <v/>
      </c>
      <c r="Z29" s="108" t="str">
        <f t="shared" si="6"/>
        <v/>
      </c>
      <c r="AA29" s="108" t="str">
        <f t="shared" si="6"/>
        <v/>
      </c>
      <c r="AB29" s="108" t="str" cm="1">
        <f t="array" ref="AB29">IF(LEN($B29)=0,"",IF(LEN(C29)=0,"Nama Siswa Kosong",IF($E29="","Status Siswa Kosong",IF(S29&lt;&gt;"Aktif","Siswa Tidak Aktif",
IF(OR(U29:AA29="Belum mengisi"),"Belum mengisi",IF(AND(U29:AA29="Sudah terbiasa"),"Sudah terbiasa","Belum terbiasa"))))))</f>
        <v/>
      </c>
      <c r="AC29" s="99">
        <f t="shared" si="5"/>
        <v>1</v>
      </c>
      <c r="AD29" s="41">
        <v>7</v>
      </c>
      <c r="AE29" s="161" t="s">
        <v>8</v>
      </c>
      <c r="AF29" s="161"/>
      <c r="AG29" s="10">
        <f>COUNTIF(JulTidurCepat,SudahTerbiasa)</f>
        <v>0</v>
      </c>
      <c r="AH29" s="50">
        <f>AG29/profilKelas!$F$14</f>
        <v>0</v>
      </c>
      <c r="AI29" s="10">
        <f>COUNTIF(JulTidurCepat,BelumTerbiasa)</f>
        <v>0</v>
      </c>
      <c r="AJ29" s="50">
        <f>AI29/profilKelas!$F$14</f>
        <v>0</v>
      </c>
      <c r="AK29" s="13"/>
      <c r="AL29" s="43"/>
      <c r="AM29" s="43"/>
      <c r="AN29" s="43"/>
      <c r="AO29" s="43"/>
      <c r="AP29" s="43"/>
      <c r="AQ29" s="43"/>
    </row>
    <row r="30" spans="2:43" hidden="1" x14ac:dyDescent="0.3">
      <c r="B30" s="4" t="str">
        <f>IF(ROW(A18)&lt;=profilKelas!$F$14,ROW(A18),"")</f>
        <v/>
      </c>
      <c r="C30" s="94" t="str">
        <f>IF(ISBLANK(identitasMurid!C23),"",identitasMurid!C23)</f>
        <v/>
      </c>
      <c r="D30" s="6" t="str">
        <f>IF(ISBLANK(identitasMurid!D23),"",identitasMurid!D23)</f>
        <v/>
      </c>
      <c r="E30" s="95"/>
      <c r="F30" s="95"/>
      <c r="G30" s="95"/>
      <c r="H30" s="95"/>
      <c r="I30" s="95"/>
      <c r="J30" s="95"/>
      <c r="K30" s="95"/>
      <c r="L30" s="95"/>
      <c r="M30" s="95"/>
      <c r="Q30" s="5" t="str">
        <f>IF(ROW(A18)&lt;=profilKelas!$F$14,ROW(A18),"")</f>
        <v/>
      </c>
      <c r="R30" s="12" t="str">
        <f t="shared" si="0"/>
        <v/>
      </c>
      <c r="S30" s="108" t="str">
        <f t="shared" si="4"/>
        <v/>
      </c>
      <c r="T30" s="108" t="str">
        <f t="shared" si="2"/>
        <v/>
      </c>
      <c r="U30" s="108" t="str">
        <f t="shared" si="6"/>
        <v/>
      </c>
      <c r="V30" s="108" t="str">
        <f t="shared" si="6"/>
        <v/>
      </c>
      <c r="W30" s="108" t="str">
        <f t="shared" si="6"/>
        <v/>
      </c>
      <c r="X30" s="108" t="str">
        <f t="shared" si="6"/>
        <v/>
      </c>
      <c r="Y30" s="108" t="str">
        <f t="shared" si="6"/>
        <v/>
      </c>
      <c r="Z30" s="108" t="str">
        <f t="shared" si="6"/>
        <v/>
      </c>
      <c r="AA30" s="108" t="str">
        <f t="shared" si="6"/>
        <v/>
      </c>
      <c r="AB30" s="108" t="str" cm="1">
        <f t="array" ref="AB30">IF(LEN($B30)=0,"",IF(LEN(C30)=0,"Nama Siswa Kosong",IF($E30="","Status Siswa Kosong",IF(S30&lt;&gt;"Aktif","Siswa Tidak Aktif",
IF(OR(U30:AA30="Belum mengisi"),"Belum mengisi",IF(AND(U30:AA30="Sudah terbiasa"),"Sudah terbiasa","Belum terbiasa"))))))</f>
        <v/>
      </c>
      <c r="AD30" s="13"/>
      <c r="AE30" s="13"/>
      <c r="AF30" s="13"/>
      <c r="AG30" s="13"/>
      <c r="AH30" s="13"/>
      <c r="AI30" s="13"/>
      <c r="AJ30" s="13"/>
      <c r="AK30" s="13"/>
      <c r="AL30" s="43"/>
      <c r="AM30" s="43"/>
      <c r="AN30" s="43"/>
      <c r="AO30" s="43"/>
      <c r="AP30" s="43"/>
      <c r="AQ30" s="43"/>
    </row>
    <row r="31" spans="2:43" hidden="1" x14ac:dyDescent="0.3">
      <c r="B31" s="4" t="str">
        <f>IF(ROW(A19)&lt;=profilKelas!$F$14,ROW(A19),"")</f>
        <v/>
      </c>
      <c r="C31" s="94" t="str">
        <f>IF(ISBLANK(identitasMurid!C24),"",identitasMurid!C24)</f>
        <v/>
      </c>
      <c r="D31" s="6" t="str">
        <f>IF(ISBLANK(identitasMurid!D24),"",identitasMurid!D24)</f>
        <v/>
      </c>
      <c r="E31" s="95"/>
      <c r="F31" s="95"/>
      <c r="G31" s="95"/>
      <c r="H31" s="95"/>
      <c r="I31" s="95"/>
      <c r="J31" s="95"/>
      <c r="K31" s="95"/>
      <c r="L31" s="95"/>
      <c r="M31" s="95"/>
      <c r="Q31" s="5" t="str">
        <f>IF(ROW(A19)&lt;=profilKelas!$F$14,ROW(A19),"")</f>
        <v/>
      </c>
      <c r="R31" s="12" t="str">
        <f t="shared" si="0"/>
        <v/>
      </c>
      <c r="S31" s="108" t="str">
        <f t="shared" si="4"/>
        <v/>
      </c>
      <c r="T31" s="108" t="str">
        <f t="shared" si="2"/>
        <v/>
      </c>
      <c r="U31" s="108" t="str">
        <f t="shared" si="6"/>
        <v/>
      </c>
      <c r="V31" s="108" t="str">
        <f t="shared" si="6"/>
        <v/>
      </c>
      <c r="W31" s="108" t="str">
        <f t="shared" si="6"/>
        <v/>
      </c>
      <c r="X31" s="108" t="str">
        <f t="shared" si="6"/>
        <v/>
      </c>
      <c r="Y31" s="108" t="str">
        <f t="shared" si="6"/>
        <v/>
      </c>
      <c r="Z31" s="108" t="str">
        <f t="shared" si="6"/>
        <v/>
      </c>
      <c r="AA31" s="108" t="str">
        <f t="shared" si="6"/>
        <v/>
      </c>
      <c r="AB31" s="108" t="str" cm="1">
        <f t="array" ref="AB31">IF(LEN($B31)=0,"",IF(LEN(C31)=0,"Nama Siswa Kosong",IF($E31="","Status Siswa Kosong",IF(S31&lt;&gt;"Aktif","Siswa Tidak Aktif",
IF(OR(U31:AA31="Belum mengisi"),"Belum mengisi",IF(AND(U31:AA31="Sudah terbiasa"),"Sudah terbiasa","Belum terbiasa"))))))</f>
        <v/>
      </c>
      <c r="AD31" s="13"/>
      <c r="AE31" s="13"/>
      <c r="AF31" s="13"/>
      <c r="AG31" s="148" t="s">
        <v>607</v>
      </c>
      <c r="AH31" s="148"/>
      <c r="AI31" s="148"/>
      <c r="AJ31" s="148"/>
      <c r="AK31" s="148" t="s">
        <v>608</v>
      </c>
      <c r="AL31" s="148"/>
      <c r="AM31" s="148"/>
      <c r="AN31" s="148"/>
      <c r="AO31" s="13"/>
      <c r="AP31" s="13"/>
      <c r="AQ31" s="13"/>
    </row>
    <row r="32" spans="2:43" hidden="1" x14ac:dyDescent="0.3">
      <c r="B32" s="4" t="str">
        <f>IF(ROW(A20)&lt;=profilKelas!$F$14,ROW(A20),"")</f>
        <v/>
      </c>
      <c r="C32" s="94" t="str">
        <f>IF(ISBLANK(identitasMurid!C25),"",identitasMurid!C25)</f>
        <v/>
      </c>
      <c r="D32" s="6" t="str">
        <f>IF(ISBLANK(identitasMurid!D25),"",identitasMurid!D25)</f>
        <v/>
      </c>
      <c r="E32" s="95"/>
      <c r="F32" s="95"/>
      <c r="G32" s="95"/>
      <c r="H32" s="95"/>
      <c r="I32" s="95"/>
      <c r="J32" s="95"/>
      <c r="K32" s="95"/>
      <c r="L32" s="95"/>
      <c r="M32" s="95"/>
      <c r="Q32" s="5" t="str">
        <f>IF(ROW(A20)&lt;=profilKelas!$F$14,ROW(A20),"")</f>
        <v/>
      </c>
      <c r="R32" s="12" t="str">
        <f t="shared" si="0"/>
        <v/>
      </c>
      <c r="S32" s="108" t="str">
        <f t="shared" si="4"/>
        <v/>
      </c>
      <c r="T32" s="108" t="str">
        <f t="shared" si="2"/>
        <v/>
      </c>
      <c r="U32" s="108" t="str">
        <f t="shared" si="6"/>
        <v/>
      </c>
      <c r="V32" s="108" t="str">
        <f t="shared" si="6"/>
        <v/>
      </c>
      <c r="W32" s="108" t="str">
        <f t="shared" si="6"/>
        <v/>
      </c>
      <c r="X32" s="108" t="str">
        <f t="shared" si="6"/>
        <v/>
      </c>
      <c r="Y32" s="108" t="str">
        <f t="shared" si="6"/>
        <v/>
      </c>
      <c r="Z32" s="108" t="str">
        <f t="shared" si="6"/>
        <v/>
      </c>
      <c r="AA32" s="108" t="str">
        <f t="shared" si="6"/>
        <v/>
      </c>
      <c r="AB32" s="108" t="str" cm="1">
        <f t="array" ref="AB32">IF(LEN($B32)=0,"",IF(LEN(C32)=0,"Nama Siswa Kosong",IF($E32="","Status Siswa Kosong",IF(S32&lt;&gt;"Aktif","Siswa Tidak Aktif",
IF(OR(U32:AA32="Belum mengisi"),"Belum mengisi",IF(AND(U32:AA32="Sudah terbiasa"),"Sudah terbiasa","Belum terbiasa"))))))</f>
        <v/>
      </c>
      <c r="AD32" s="98" t="s">
        <v>0</v>
      </c>
      <c r="AE32" s="148" t="s">
        <v>18</v>
      </c>
      <c r="AF32" s="148"/>
      <c r="AG32" s="148" t="s">
        <v>597</v>
      </c>
      <c r="AH32" s="148"/>
      <c r="AI32" s="148" t="s">
        <v>598</v>
      </c>
      <c r="AJ32" s="148"/>
      <c r="AK32" s="148" t="s">
        <v>597</v>
      </c>
      <c r="AL32" s="148"/>
      <c r="AM32" s="148" t="s">
        <v>598</v>
      </c>
      <c r="AN32" s="148"/>
      <c r="AO32" s="13"/>
      <c r="AP32" s="13"/>
      <c r="AQ32" s="13"/>
    </row>
    <row r="33" spans="2:43" hidden="1" x14ac:dyDescent="0.3">
      <c r="B33" s="4" t="str">
        <f>IF(ROW(A21)&lt;=profilKelas!$F$14,ROW(A21),"")</f>
        <v/>
      </c>
      <c r="C33" s="94" t="str">
        <f>IF(ISBLANK(identitasMurid!C26),"",identitasMurid!C26)</f>
        <v/>
      </c>
      <c r="D33" s="6" t="str">
        <f>IF(ISBLANK(identitasMurid!D26),"",identitasMurid!D26)</f>
        <v/>
      </c>
      <c r="E33" s="95"/>
      <c r="F33" s="95"/>
      <c r="G33" s="95"/>
      <c r="H33" s="95"/>
      <c r="I33" s="95"/>
      <c r="J33" s="95"/>
      <c r="K33" s="95"/>
      <c r="L33" s="95"/>
      <c r="M33" s="95"/>
      <c r="Q33" s="5" t="str">
        <f>IF(ROW(A21)&lt;=profilKelas!$F$14,ROW(A21),"")</f>
        <v/>
      </c>
      <c r="R33" s="12" t="str">
        <f t="shared" si="0"/>
        <v/>
      </c>
      <c r="S33" s="108" t="str">
        <f t="shared" si="4"/>
        <v/>
      </c>
      <c r="T33" s="108" t="str">
        <f t="shared" si="2"/>
        <v/>
      </c>
      <c r="U33" s="108" t="str">
        <f t="shared" si="6"/>
        <v/>
      </c>
      <c r="V33" s="108" t="str">
        <f t="shared" si="6"/>
        <v/>
      </c>
      <c r="W33" s="108" t="str">
        <f t="shared" si="6"/>
        <v/>
      </c>
      <c r="X33" s="108" t="str">
        <f t="shared" si="6"/>
        <v/>
      </c>
      <c r="Y33" s="108" t="str">
        <f t="shared" si="6"/>
        <v/>
      </c>
      <c r="Z33" s="108" t="str">
        <f t="shared" si="6"/>
        <v/>
      </c>
      <c r="AA33" s="108" t="str">
        <f t="shared" si="6"/>
        <v/>
      </c>
      <c r="AB33" s="108" t="str" cm="1">
        <f t="array" ref="AB33">IF(LEN($B33)=0,"",IF(LEN(C33)=0,"Nama Siswa Kosong",IF($E33="","Status Siswa Kosong",IF(S33&lt;&gt;"Aktif","Siswa Tidak Aktif",
IF(OR(U33:AA33="Belum mengisi"),"Belum mengisi",IF(AND(U33:AA33="Sudah terbiasa"),"Sudah terbiasa","Belum terbiasa"))))))</f>
        <v/>
      </c>
      <c r="AD33" s="41">
        <v>1</v>
      </c>
      <c r="AE33" s="161" t="s">
        <v>2</v>
      </c>
      <c r="AF33" s="161"/>
      <c r="AG33" s="51">
        <f>COUNTIFS(JulBangunPagi,SudahTerbiasa,JulPL,Perempuan)</f>
        <v>0</v>
      </c>
      <c r="AH33" s="52" t="str">
        <f>IFERROR(IF($AF$18=0,"",COUNTIFS(JulBangunPagi,SudahTerbiasa,JulPL,Perempuan)/COUNTIFS(JulPL,Perempuan)),)</f>
        <v/>
      </c>
      <c r="AI33" s="53">
        <f>COUNTIFS(JulBangunPagi,BelumTerbiasa,JulPL,Perempuan)</f>
        <v>0</v>
      </c>
      <c r="AJ33" s="54" t="str">
        <f>IFERROR(IF($AF$18=0,"",COUNTIFS(JulBangunPagi,BelumTerbiasa,JulPL,Perempuan)/COUNTIF(JulPL,Perempuan)),)</f>
        <v/>
      </c>
      <c r="AK33" s="55">
        <f>COUNTIFS(JulBangunPagi,SudahTerbiasa,JulPL,Laki_Laki)</f>
        <v>0</v>
      </c>
      <c r="AL33" s="56" t="str">
        <f>IFERROR(IF($AF$18=0,"",COUNTIFS(JulBangunPagi,SudahTerbiasa,JulPL,Laki_Laki)/COUNTIFS(JulPL,Laki_Laki)),)</f>
        <v/>
      </c>
      <c r="AM33" s="57">
        <f>COUNTIFS(JulBangunPagi,BelumTerbiasa,JulPL,Laki_Laki)</f>
        <v>0</v>
      </c>
      <c r="AN33" s="58" t="str">
        <f>IFERROR(IF($AF$18=0,"",COUNTIFS(JulBangunPagi,BelumTerbiasa,JulPL,Laki_Laki)/COUNTIFS(JulPL,Laki_Laki)),)</f>
        <v/>
      </c>
      <c r="AO33" s="13"/>
      <c r="AP33" s="13"/>
      <c r="AQ33" s="13"/>
    </row>
    <row r="34" spans="2:43" hidden="1" x14ac:dyDescent="0.3">
      <c r="B34" s="4" t="str">
        <f>IF(ROW(A22)&lt;=profilKelas!$F$14,ROW(A22),"")</f>
        <v/>
      </c>
      <c r="C34" s="94" t="str">
        <f>IF(ISBLANK(identitasMurid!C27),"",identitasMurid!C27)</f>
        <v/>
      </c>
      <c r="D34" s="6" t="str">
        <f>IF(ISBLANK(identitasMurid!D27),"",identitasMurid!D27)</f>
        <v/>
      </c>
      <c r="E34" s="95"/>
      <c r="F34" s="95"/>
      <c r="G34" s="95"/>
      <c r="H34" s="95"/>
      <c r="I34" s="95"/>
      <c r="J34" s="95"/>
      <c r="K34" s="95"/>
      <c r="L34" s="95"/>
      <c r="M34" s="95"/>
      <c r="Q34" s="5" t="str">
        <f>IF(ROW(A22)&lt;=profilKelas!$F$14,ROW(A22),"")</f>
        <v/>
      </c>
      <c r="R34" s="12" t="str">
        <f t="shared" si="0"/>
        <v/>
      </c>
      <c r="S34" s="108" t="str">
        <f t="shared" si="4"/>
        <v/>
      </c>
      <c r="T34" s="108" t="str">
        <f t="shared" si="2"/>
        <v/>
      </c>
      <c r="U34" s="108" t="str">
        <f t="shared" si="6"/>
        <v/>
      </c>
      <c r="V34" s="108" t="str">
        <f t="shared" si="6"/>
        <v/>
      </c>
      <c r="W34" s="108" t="str">
        <f t="shared" si="6"/>
        <v/>
      </c>
      <c r="X34" s="108" t="str">
        <f t="shared" si="6"/>
        <v/>
      </c>
      <c r="Y34" s="108" t="str">
        <f t="shared" si="6"/>
        <v/>
      </c>
      <c r="Z34" s="108" t="str">
        <f t="shared" si="6"/>
        <v/>
      </c>
      <c r="AA34" s="108" t="str">
        <f t="shared" si="6"/>
        <v/>
      </c>
      <c r="AB34" s="108" t="str" cm="1">
        <f t="array" ref="AB34">IF(LEN($B34)=0,"",IF(LEN(C34)=0,"Nama Siswa Kosong",IF($E34="","Status Siswa Kosong",IF(S34&lt;&gt;"Aktif","Siswa Tidak Aktif",
IF(OR(U34:AA34="Belum mengisi"),"Belum mengisi",IF(AND(U34:AA34="Sudah terbiasa"),"Sudah terbiasa","Belum terbiasa"))))))</f>
        <v/>
      </c>
      <c r="AD34" s="41">
        <v>2</v>
      </c>
      <c r="AE34" s="161" t="s">
        <v>3</v>
      </c>
      <c r="AF34" s="161"/>
      <c r="AG34" s="51">
        <f>COUNTIFS(JulTaatBeribadah,SudahTerbiasa,JulPL,Perempuan)</f>
        <v>0</v>
      </c>
      <c r="AH34" s="52" t="str">
        <f>IFERROR(IF($AF$18=0,"",COUNTIFS(JulTaatBeribadah,SudahTerbiasa,JulPL,Perempuan)/COUNTIFS(JulPL,Perempuan)),)</f>
        <v/>
      </c>
      <c r="AI34" s="53">
        <f>COUNTIFS(JulTaatBeribadah,BelumTerbiasa,JulPL,Perempuan)</f>
        <v>0</v>
      </c>
      <c r="AJ34" s="59" t="str">
        <f>IFERROR(IF($AF$18=0,"",COUNTIFS(JulTaatBeribadah,BelumTerbiasa,JulPL,Perempuan)/COUNTIFS(JulPL,Perempuan)),)</f>
        <v/>
      </c>
      <c r="AK34" s="55">
        <f>COUNTIFS(JulTaatBeribadah,SudahTerbiasa,JulPL,Laki_Laki)</f>
        <v>0</v>
      </c>
      <c r="AL34" s="56" t="str">
        <f>IFERROR(IF($AF$18=0,"",COUNTIFS(JulTaatBeribadah,SudahTerbiasa,JulPL,Laki_Laki)/COUNTIFS(JulPL,Laki_Laki)),)</f>
        <v/>
      </c>
      <c r="AM34" s="57">
        <f>COUNTIFS(JulTaatBeribadah,BelumTerbiasa,JulPL,Laki_Laki)</f>
        <v>0</v>
      </c>
      <c r="AN34" s="58" t="str">
        <f>IFERROR(IF($AF$18=0,"",COUNTIFS(JulTaatBeribadah,BelumTerbiasa,JulPL,Laki_Laki)/COUNTIFS(JulPL,Laki_Laki)),)</f>
        <v/>
      </c>
      <c r="AO34" s="13"/>
      <c r="AP34" s="13"/>
      <c r="AQ34" s="13"/>
    </row>
    <row r="35" spans="2:43" hidden="1" x14ac:dyDescent="0.3">
      <c r="B35" s="4" t="str">
        <f>IF(ROW(A23)&lt;=profilKelas!$F$14,ROW(A23),"")</f>
        <v/>
      </c>
      <c r="C35" s="94" t="str">
        <f>IF(ISBLANK(identitasMurid!C28),"",identitasMurid!C28)</f>
        <v/>
      </c>
      <c r="D35" s="6" t="str">
        <f>IF(ISBLANK(identitasMurid!D28),"",identitasMurid!D28)</f>
        <v/>
      </c>
      <c r="E35" s="95"/>
      <c r="F35" s="95"/>
      <c r="G35" s="95"/>
      <c r="H35" s="95"/>
      <c r="I35" s="95"/>
      <c r="J35" s="95"/>
      <c r="K35" s="95"/>
      <c r="L35" s="95"/>
      <c r="M35" s="95"/>
      <c r="Q35" s="5" t="str">
        <f>IF(ROW(A23)&lt;=profilKelas!$F$14,ROW(A23),"")</f>
        <v/>
      </c>
      <c r="R35" s="12" t="str">
        <f t="shared" si="0"/>
        <v/>
      </c>
      <c r="S35" s="108" t="str">
        <f t="shared" si="4"/>
        <v/>
      </c>
      <c r="T35" s="108" t="str">
        <f t="shared" si="2"/>
        <v/>
      </c>
      <c r="U35" s="108" t="str">
        <f t="shared" si="6"/>
        <v/>
      </c>
      <c r="V35" s="108" t="str">
        <f t="shared" si="6"/>
        <v/>
      </c>
      <c r="W35" s="108" t="str">
        <f t="shared" si="6"/>
        <v/>
      </c>
      <c r="X35" s="108" t="str">
        <f t="shared" si="6"/>
        <v/>
      </c>
      <c r="Y35" s="108" t="str">
        <f t="shared" si="6"/>
        <v/>
      </c>
      <c r="Z35" s="108" t="str">
        <f t="shared" si="6"/>
        <v/>
      </c>
      <c r="AA35" s="108" t="str">
        <f t="shared" si="6"/>
        <v/>
      </c>
      <c r="AB35" s="108" t="str" cm="1">
        <f t="array" ref="AB35">IF(LEN($B35)=0,"",IF(LEN(C35)=0,"Nama Siswa Kosong",IF($E35="","Status Siswa Kosong",IF(S35&lt;&gt;"Aktif","Siswa Tidak Aktif",
IF(OR(U35:AA35="Belum mengisi"),"Belum mengisi",IF(AND(U35:AA35="Sudah terbiasa"),"Sudah terbiasa","Belum terbiasa"))))))</f>
        <v/>
      </c>
      <c r="AD35" s="41">
        <v>3</v>
      </c>
      <c r="AE35" s="161" t="s">
        <v>4</v>
      </c>
      <c r="AF35" s="161"/>
      <c r="AG35" s="51">
        <f>COUNTIFS(JulBerolahraga,SudahTerbiasa,JulPL,Perempuan)</f>
        <v>0</v>
      </c>
      <c r="AH35" s="52" t="str">
        <f>IFERROR(IF($AF$18=0,"",COUNTIFS(JulBerolahraga,SudahTerbiasa,JulPL,Perempuan)/COUNTIFS(JulPL,Perempuan)),)</f>
        <v/>
      </c>
      <c r="AI35" s="53">
        <f>COUNTIFS(JulBerolahraga,BelumTerbiasa,JulPL,Perempuan)</f>
        <v>0</v>
      </c>
      <c r="AJ35" s="59" t="str">
        <f>IFERROR(IF($AF$18=0,"",COUNTIFS(JulBerolahraga,BelumTerbiasa,JulPL,Perempuan)/COUNTIFS(JulPL,Perempuan)),)</f>
        <v/>
      </c>
      <c r="AK35" s="55">
        <f>COUNTIFS(JulBerolahraga,SudahTerbiasa,JulPL,Laki_Laki)</f>
        <v>0</v>
      </c>
      <c r="AL35" s="56" t="str">
        <f>IFERROR(IF($AF$18=0,"",COUNTIFS(JulBerolahraga,SudahTerbiasa,JulPL,Laki_Laki)/COUNTIFS(JulPL,Laki_Laki)),)</f>
        <v/>
      </c>
      <c r="AM35" s="57">
        <f>COUNTIFS(JulBerolahraga,BelumTerbiasa,JulPL,Laki_Laki)</f>
        <v>0</v>
      </c>
      <c r="AN35" s="58" t="str">
        <f>IFERROR(IF($AF$18=0,"",COUNTIFS(JulBerolahraga,BelumTerbiasa,JulPL,Laki_Laki)/COUNTIFS(JulPL,Laki_Laki)),)</f>
        <v/>
      </c>
      <c r="AO35" s="13"/>
      <c r="AP35" s="13"/>
      <c r="AQ35" s="13"/>
    </row>
    <row r="36" spans="2:43" hidden="1" x14ac:dyDescent="0.3">
      <c r="B36" s="4" t="str">
        <f>IF(ROW(A24)&lt;=profilKelas!$F$14,ROW(A24),"")</f>
        <v/>
      </c>
      <c r="C36" s="94" t="str">
        <f>IF(ISBLANK(identitasMurid!C29),"",identitasMurid!C29)</f>
        <v/>
      </c>
      <c r="D36" s="6" t="str">
        <f>IF(ISBLANK(identitasMurid!D29),"",identitasMurid!D29)</f>
        <v/>
      </c>
      <c r="E36" s="95"/>
      <c r="F36" s="95"/>
      <c r="G36" s="95"/>
      <c r="H36" s="95"/>
      <c r="I36" s="95"/>
      <c r="J36" s="95"/>
      <c r="K36" s="95"/>
      <c r="L36" s="95"/>
      <c r="M36" s="95"/>
      <c r="Q36" s="5" t="str">
        <f>IF(ROW(A24)&lt;=profilKelas!$F$14,ROW(A24),"")</f>
        <v/>
      </c>
      <c r="R36" s="12" t="str">
        <f t="shared" si="0"/>
        <v/>
      </c>
      <c r="S36" s="108" t="str">
        <f t="shared" si="4"/>
        <v/>
      </c>
      <c r="T36" s="108" t="str">
        <f t="shared" si="2"/>
        <v/>
      </c>
      <c r="U36" s="108" t="str">
        <f t="shared" si="6"/>
        <v/>
      </c>
      <c r="V36" s="108" t="str">
        <f t="shared" si="6"/>
        <v/>
      </c>
      <c r="W36" s="108" t="str">
        <f t="shared" si="6"/>
        <v/>
      </c>
      <c r="X36" s="108" t="str">
        <f t="shared" si="6"/>
        <v/>
      </c>
      <c r="Y36" s="108" t="str">
        <f t="shared" si="6"/>
        <v/>
      </c>
      <c r="Z36" s="108" t="str">
        <f t="shared" si="6"/>
        <v/>
      </c>
      <c r="AA36" s="108" t="str">
        <f t="shared" si="6"/>
        <v/>
      </c>
      <c r="AB36" s="108" t="str" cm="1">
        <f t="array" ref="AB36">IF(LEN($B36)=0,"",IF(LEN(C36)=0,"Nama Siswa Kosong",IF($E36="","Status Siswa Kosong",IF(S36&lt;&gt;"Aktif","Siswa Tidak Aktif",
IF(OR(U36:AA36="Belum mengisi"),"Belum mengisi",IF(AND(U36:AA36="Sudah terbiasa"),"Sudah terbiasa","Belum terbiasa"))))))</f>
        <v/>
      </c>
      <c r="AD36" s="41">
        <v>4</v>
      </c>
      <c r="AE36" s="161" t="s">
        <v>5</v>
      </c>
      <c r="AF36" s="161"/>
      <c r="AG36" s="51">
        <f>COUNTIFS(JulMakanSehatBergizi,SudahTerbiasa,JulPL,Perempuan)</f>
        <v>0</v>
      </c>
      <c r="AH36" s="52" t="str">
        <f>IFERROR(IF($AF$18=0,"",COUNTIFS(JulMakanSehatBergizi,SudahTerbiasa,JulPL,Perempuan)/COUNTIFS(JulPL,Perempuan)),)</f>
        <v/>
      </c>
      <c r="AI36" s="53">
        <f>COUNTIFS(JulMakanSehatBergizi,BelumTerbiasa,JulPL,Perempuan)</f>
        <v>0</v>
      </c>
      <c r="AJ36" s="59" t="str">
        <f>IFERROR(IF($AF$18=0,"",COUNTIFS(JulMakanSehatBergizi,BelumTerbiasa,JulPL,Perempuan)/COUNTIFS(JulPL,Perempuan)),)</f>
        <v/>
      </c>
      <c r="AK36" s="55">
        <f>COUNTIFS(JulMakanSehatBergizi,SudahTerbiasa,JulPL,Laki_Laki)</f>
        <v>0</v>
      </c>
      <c r="AL36" s="56" t="str">
        <f>IFERROR(IF($AF$18=0,"",COUNTIFS(JulMakanSehatBergizi,SudahTerbiasa,JulPL,Laki_Laki)/COUNTIFS(JulPL,Laki_Laki)),)</f>
        <v/>
      </c>
      <c r="AM36" s="57">
        <f>COUNTIFS(JulMakanSehatBergizi,BelumTerbiasa,JulPL,Laki_Laki)</f>
        <v>0</v>
      </c>
      <c r="AN36" s="58" t="str">
        <f>IFERROR(IF($AF$18=0,"",COUNTIFS(JulMakanSehatBergizi,BelumTerbiasa,JulPL,Laki_Laki)/COUNTIFS(JulPL,Laki_Laki)),)</f>
        <v/>
      </c>
      <c r="AO36" s="13"/>
      <c r="AP36" s="13"/>
      <c r="AQ36" s="13"/>
    </row>
    <row r="37" spans="2:43" hidden="1" x14ac:dyDescent="0.3">
      <c r="B37" s="4" t="str">
        <f>IF(ROW(A25)&lt;=profilKelas!$F$14,ROW(A25),"")</f>
        <v/>
      </c>
      <c r="C37" s="94" t="str">
        <f>IF(ISBLANK(identitasMurid!C30),"",identitasMurid!C30)</f>
        <v/>
      </c>
      <c r="D37" s="6" t="str">
        <f>IF(ISBLANK(identitasMurid!D30),"",identitasMurid!D30)</f>
        <v/>
      </c>
      <c r="E37" s="95"/>
      <c r="F37" s="95"/>
      <c r="G37" s="95"/>
      <c r="H37" s="95"/>
      <c r="I37" s="95"/>
      <c r="J37" s="95"/>
      <c r="K37" s="95"/>
      <c r="L37" s="95"/>
      <c r="M37" s="95"/>
      <c r="Q37" s="5" t="str">
        <f>IF(ROW(A25)&lt;=profilKelas!$F$14,ROW(A25),"")</f>
        <v/>
      </c>
      <c r="R37" s="12" t="str">
        <f t="shared" si="0"/>
        <v/>
      </c>
      <c r="S37" s="108" t="str">
        <f t="shared" si="4"/>
        <v/>
      </c>
      <c r="T37" s="108" t="str">
        <f t="shared" si="2"/>
        <v/>
      </c>
      <c r="U37" s="108" t="str">
        <f t="shared" si="6"/>
        <v/>
      </c>
      <c r="V37" s="108" t="str">
        <f t="shared" si="6"/>
        <v/>
      </c>
      <c r="W37" s="108" t="str">
        <f t="shared" si="6"/>
        <v/>
      </c>
      <c r="X37" s="108" t="str">
        <f t="shared" si="6"/>
        <v/>
      </c>
      <c r="Y37" s="108" t="str">
        <f t="shared" si="6"/>
        <v/>
      </c>
      <c r="Z37" s="108" t="str">
        <f t="shared" si="6"/>
        <v/>
      </c>
      <c r="AA37" s="108" t="str">
        <f t="shared" si="6"/>
        <v/>
      </c>
      <c r="AB37" s="108" t="str" cm="1">
        <f t="array" ref="AB37">IF(LEN($B37)=0,"",IF(LEN(C37)=0,"Nama Siswa Kosong",IF($E37="","Status Siswa Kosong",IF(S37&lt;&gt;"Aktif","Siswa Tidak Aktif",
IF(OR(U37:AA37="Belum mengisi"),"Belum mengisi",IF(AND(U37:AA37="Sudah terbiasa"),"Sudah terbiasa","Belum terbiasa"))))))</f>
        <v/>
      </c>
      <c r="AD37" s="41">
        <v>5</v>
      </c>
      <c r="AE37" s="161" t="s">
        <v>6</v>
      </c>
      <c r="AF37" s="161"/>
      <c r="AG37" s="51">
        <f>COUNTIFS(JulGemarBelajar,SudahTerbiasa,JulPL,Perempuan)</f>
        <v>0</v>
      </c>
      <c r="AH37" s="52" t="str">
        <f>IFERROR(IF($AF$18=0,"",COUNTIFS(JulGemarBelajar,SudahTerbiasa,JulPL,Perempuan)/COUNTIFS(JulPL,Perempuan)),)</f>
        <v/>
      </c>
      <c r="AI37" s="53">
        <f>COUNTIFS(JulGemarBelajar,BelumTerbiasa,JulPL,Perempuan)</f>
        <v>0</v>
      </c>
      <c r="AJ37" s="59" t="str">
        <f>IFERROR(IF($AF$18=0,"",COUNTIFS(JulGemarBelajar,BelumTerbiasa,JulPL,Perempuan)/COUNTIFS(JulPL,Perempuan)),)</f>
        <v/>
      </c>
      <c r="AK37" s="55">
        <f>COUNTIFS(JulGemarBelajar,SudahTerbiasa,JulPL,Laki_Laki)</f>
        <v>0</v>
      </c>
      <c r="AL37" s="56" t="str">
        <f>IFERROR(IF($AF$18=0,"",COUNTIFS(JulGemarBelajar,SudahTerbiasa,JulPL,Laki_Laki)/COUNTIFS(JulPL,Laki_Laki)),)</f>
        <v/>
      </c>
      <c r="AM37" s="57">
        <f>COUNTIFS(JulGemarBelajar,BelumTerbiasa,JulPL,Laki_Laki)</f>
        <v>0</v>
      </c>
      <c r="AN37" s="58" t="str">
        <f>IFERROR(IF($AF$18=0,"",COUNTIFS(JulGemarBelajar,BelumTerbiasa,JulPL,Laki_Laki)/COUNTIFS(JulPL,Laki_Laki)),)</f>
        <v/>
      </c>
      <c r="AO37" s="13"/>
      <c r="AP37" s="13"/>
      <c r="AQ37" s="13"/>
    </row>
    <row r="38" spans="2:43" hidden="1" x14ac:dyDescent="0.3">
      <c r="B38" s="4" t="str">
        <f>IF(ROW(A26)&lt;=profilKelas!$F$14,ROW(A26),"")</f>
        <v/>
      </c>
      <c r="C38" s="94" t="str">
        <f>IF(ISBLANK(identitasMurid!C31),"",identitasMurid!C31)</f>
        <v/>
      </c>
      <c r="D38" s="6" t="str">
        <f>IF(ISBLANK(identitasMurid!D31),"",identitasMurid!D31)</f>
        <v/>
      </c>
      <c r="E38" s="95"/>
      <c r="F38" s="95"/>
      <c r="G38" s="95"/>
      <c r="H38" s="95"/>
      <c r="I38" s="95"/>
      <c r="J38" s="95"/>
      <c r="K38" s="95"/>
      <c r="L38" s="95"/>
      <c r="M38" s="95"/>
      <c r="Q38" s="5" t="str">
        <f>IF(ROW(A26)&lt;=profilKelas!$F$14,ROW(A26),"")</f>
        <v/>
      </c>
      <c r="R38" s="12" t="str">
        <f t="shared" si="0"/>
        <v/>
      </c>
      <c r="S38" s="108" t="str">
        <f t="shared" si="4"/>
        <v/>
      </c>
      <c r="T38" s="108" t="str">
        <f t="shared" si="2"/>
        <v/>
      </c>
      <c r="U38" s="108" t="str">
        <f t="shared" si="6"/>
        <v/>
      </c>
      <c r="V38" s="108" t="str">
        <f t="shared" si="6"/>
        <v/>
      </c>
      <c r="W38" s="108" t="str">
        <f t="shared" si="6"/>
        <v/>
      </c>
      <c r="X38" s="108" t="str">
        <f t="shared" si="6"/>
        <v/>
      </c>
      <c r="Y38" s="108" t="str">
        <f t="shared" si="6"/>
        <v/>
      </c>
      <c r="Z38" s="108" t="str">
        <f t="shared" si="6"/>
        <v/>
      </c>
      <c r="AA38" s="108" t="str">
        <f t="shared" si="6"/>
        <v/>
      </c>
      <c r="AB38" s="108" t="str" cm="1">
        <f t="array" ref="AB38">IF(LEN($B38)=0,"",IF(LEN(C38)=0,"Nama Siswa Kosong",IF($E38="","Status Siswa Kosong",IF(S38&lt;&gt;"Aktif","Siswa Tidak Aktif",
IF(OR(U38:AA38="Belum mengisi"),"Belum mengisi",IF(AND(U38:AA38="Sudah terbiasa"),"Sudah terbiasa","Belum terbiasa"))))))</f>
        <v/>
      </c>
      <c r="AD38" s="41">
        <v>6</v>
      </c>
      <c r="AE38" s="161" t="s">
        <v>7</v>
      </c>
      <c r="AF38" s="161"/>
      <c r="AG38" s="51">
        <f>COUNTIFS(JulAktifBermasyarakat,SudahTerbiasa,JulPL,Perempuan)</f>
        <v>0</v>
      </c>
      <c r="AH38" s="52" t="str">
        <f>IFERROR(IF($AF$18=0,"",COUNTIFS(JulAktifBermasyarakat,SudahTerbiasa,JulPL,Perempuan)/COUNTIFS(JulPL,Perempuan)),)</f>
        <v/>
      </c>
      <c r="AI38" s="53">
        <f>COUNTIFS(JulAktifBermasyarakat,BelumTerbiasa,JulPL,Perempuan)</f>
        <v>0</v>
      </c>
      <c r="AJ38" s="59" t="str">
        <f>IFERROR(IF($AF$18=0,"",COUNTIFS(JulAktifBermasyarakat,BelumTerbiasa,JulPL,Perempuan)/COUNTIFS(JulPL,Perempuan)),)</f>
        <v/>
      </c>
      <c r="AK38" s="55">
        <f>COUNTIFS(JulAktifBermasyarakat,SudahTerbiasa,JulPL,Laki_Laki)</f>
        <v>0</v>
      </c>
      <c r="AL38" s="56" t="str">
        <f>IFERROR(IF($AF$18=0,"",COUNTIFS(JulAktifBermasyarakat,SudahTerbiasa,JulPL,Laki_Laki)/COUNTIFS(JulPL,Laki_Laki)),)</f>
        <v/>
      </c>
      <c r="AM38" s="57">
        <f>COUNTIFS(JulAktifBermasyarakat,BelumTerbiasa,JulPL,Laki_Laki)</f>
        <v>0</v>
      </c>
      <c r="AN38" s="58" t="str">
        <f>IFERROR(IF($AF$18=0,"",COUNTIFS(JulAktifBermasyarakat,BelumTerbiasa,JulPL,Laki_Laki)/COUNTIFS(JulPL,Laki_Laki)),)</f>
        <v/>
      </c>
      <c r="AO38" s="13"/>
      <c r="AP38" s="13"/>
      <c r="AQ38" s="13"/>
    </row>
    <row r="39" spans="2:43" hidden="1" x14ac:dyDescent="0.3">
      <c r="B39" s="4" t="str">
        <f>IF(ROW(A27)&lt;=profilKelas!$F$14,ROW(A27),"")</f>
        <v/>
      </c>
      <c r="C39" s="94" t="str">
        <f>IF(ISBLANK(identitasMurid!C32),"",identitasMurid!C32)</f>
        <v/>
      </c>
      <c r="D39" s="6" t="str">
        <f>IF(ISBLANK(identitasMurid!D32),"",identitasMurid!D32)</f>
        <v/>
      </c>
      <c r="E39" s="95"/>
      <c r="F39" s="95"/>
      <c r="G39" s="95"/>
      <c r="H39" s="95"/>
      <c r="I39" s="95"/>
      <c r="J39" s="95"/>
      <c r="K39" s="95"/>
      <c r="L39" s="95"/>
      <c r="M39" s="95"/>
      <c r="Q39" s="5" t="str">
        <f>IF(ROW(A27)&lt;=profilKelas!$F$14,ROW(A27),"")</f>
        <v/>
      </c>
      <c r="R39" s="12" t="str">
        <f t="shared" si="0"/>
        <v/>
      </c>
      <c r="S39" s="108" t="str">
        <f t="shared" si="4"/>
        <v/>
      </c>
      <c r="T39" s="108" t="str">
        <f t="shared" si="2"/>
        <v/>
      </c>
      <c r="U39" s="108" t="str">
        <f t="shared" si="6"/>
        <v/>
      </c>
      <c r="V39" s="108" t="str">
        <f t="shared" si="6"/>
        <v/>
      </c>
      <c r="W39" s="108" t="str">
        <f t="shared" si="6"/>
        <v/>
      </c>
      <c r="X39" s="108" t="str">
        <f t="shared" si="6"/>
        <v/>
      </c>
      <c r="Y39" s="108" t="str">
        <f t="shared" si="6"/>
        <v/>
      </c>
      <c r="Z39" s="108" t="str">
        <f t="shared" si="6"/>
        <v/>
      </c>
      <c r="AA39" s="108" t="str">
        <f t="shared" si="6"/>
        <v/>
      </c>
      <c r="AB39" s="108" t="str" cm="1">
        <f t="array" ref="AB39">IF(LEN($B39)=0,"",IF(LEN(C39)=0,"Nama Siswa Kosong",IF($E39="","Status Siswa Kosong",IF(S39&lt;&gt;"Aktif","Siswa Tidak Aktif",
IF(OR(U39:AA39="Belum mengisi"),"Belum mengisi",IF(AND(U39:AA39="Sudah terbiasa"),"Sudah terbiasa","Belum terbiasa"))))))</f>
        <v/>
      </c>
      <c r="AD39" s="41">
        <v>7</v>
      </c>
      <c r="AE39" s="161" t="s">
        <v>8</v>
      </c>
      <c r="AF39" s="161"/>
      <c r="AG39" s="51">
        <f>COUNTIFS(JulTidurCepat,SudahTerbiasa,JulPL,Perempuan)</f>
        <v>0</v>
      </c>
      <c r="AH39" s="52" t="str">
        <f>IFERROR(IF($AF$18=0,"",COUNTIFS(JulTidurCepat,SudahTerbiasa,JulPL,Perempuan)/COUNTIFS(JulPL,Perempuan)),)</f>
        <v/>
      </c>
      <c r="AI39" s="53">
        <f>COUNTIFS(JulTidurCepat,BelumTerbiasa,JulPL,Perempuan)</f>
        <v>0</v>
      </c>
      <c r="AJ39" s="59" t="str">
        <f>IFERROR(IF($AF$18=0,"",COUNTIFS(JulTidurCepat,BelumTerbiasa,JulPL,Perempuan)/COUNTIFS(JulPL,Perempuan)),)</f>
        <v/>
      </c>
      <c r="AK39" s="55">
        <f>COUNTIFS(JulTidurCepat,SudahTerbiasa,JulPL,Laki_Laki)</f>
        <v>0</v>
      </c>
      <c r="AL39" s="56" t="str">
        <f>IFERROR(IF($AF$18=0,"",COUNTIFS(JulTidurCepat,SudahTerbiasa,JulPL,Laki_Laki)/COUNTIFS(JulPL,Laki_Laki)),)</f>
        <v/>
      </c>
      <c r="AM39" s="57">
        <f>COUNTIFS(JulTidurCepat,BelumTerbiasa,JulPL,Laki_Laki)</f>
        <v>0</v>
      </c>
      <c r="AN39" s="58" t="str">
        <f>IFERROR(IF($AF$18=0,"",COUNTIFS(JulTidurCepat,BelumTerbiasa,JulPL,Laki_Laki)/COUNTIFS(JulPL,Laki_Laki)),)</f>
        <v/>
      </c>
      <c r="AO39" s="13"/>
      <c r="AP39" s="13"/>
      <c r="AQ39" s="13"/>
    </row>
    <row r="40" spans="2:43" hidden="1" x14ac:dyDescent="0.3">
      <c r="B40" s="4" t="str">
        <f>IF(ROW(A28)&lt;=profilKelas!$F$14,ROW(A28),"")</f>
        <v/>
      </c>
      <c r="C40" s="94" t="str">
        <f>IF(ISBLANK(identitasMurid!C33),"",identitasMurid!C33)</f>
        <v/>
      </c>
      <c r="D40" s="6" t="str">
        <f>IF(ISBLANK(identitasMurid!D33),"",identitasMurid!D33)</f>
        <v/>
      </c>
      <c r="E40" s="95"/>
      <c r="F40" s="95"/>
      <c r="G40" s="95"/>
      <c r="H40" s="95"/>
      <c r="I40" s="95"/>
      <c r="J40" s="95"/>
      <c r="K40" s="95"/>
      <c r="L40" s="95"/>
      <c r="M40" s="95"/>
      <c r="Q40" s="5" t="str">
        <f>IF(ROW(A28)&lt;=profilKelas!$F$14,ROW(A28),"")</f>
        <v/>
      </c>
      <c r="R40" s="12" t="str">
        <f t="shared" si="0"/>
        <v/>
      </c>
      <c r="S40" s="108" t="str">
        <f t="shared" si="4"/>
        <v/>
      </c>
      <c r="T40" s="108" t="str">
        <f t="shared" si="2"/>
        <v/>
      </c>
      <c r="U40" s="108" t="str">
        <f t="shared" si="6"/>
        <v/>
      </c>
      <c r="V40" s="108" t="str">
        <f t="shared" si="6"/>
        <v/>
      </c>
      <c r="W40" s="108" t="str">
        <f t="shared" si="6"/>
        <v/>
      </c>
      <c r="X40" s="108" t="str">
        <f t="shared" si="6"/>
        <v/>
      </c>
      <c r="Y40" s="108" t="str">
        <f t="shared" si="6"/>
        <v/>
      </c>
      <c r="Z40" s="108" t="str">
        <f t="shared" si="6"/>
        <v/>
      </c>
      <c r="AA40" s="108" t="str">
        <f t="shared" si="6"/>
        <v/>
      </c>
      <c r="AB40" s="108" t="str" cm="1">
        <f t="array" ref="AB40">IF(LEN($B40)=0,"",IF(LEN(C40)=0,"Nama Siswa Kosong",IF($E40="","Status Siswa Kosong",IF(S40&lt;&gt;"Aktif","Siswa Tidak Aktif",
IF(OR(U40:AA40="Belum mengisi"),"Belum mengisi",IF(AND(U40:AA40="Sudah terbiasa"),"Sudah terbiasa","Belum terbiasa"))))))</f>
        <v/>
      </c>
    </row>
    <row r="41" spans="2:43" hidden="1" x14ac:dyDescent="0.3">
      <c r="B41" s="4" t="str">
        <f>IF(ROW(A29)&lt;=profilKelas!$F$14,ROW(A29),"")</f>
        <v/>
      </c>
      <c r="C41" s="94" t="str">
        <f>IF(ISBLANK(identitasMurid!C34),"",identitasMurid!C34)</f>
        <v/>
      </c>
      <c r="D41" s="6" t="str">
        <f>IF(ISBLANK(identitasMurid!D34),"",identitasMurid!D34)</f>
        <v/>
      </c>
      <c r="E41" s="95"/>
      <c r="F41" s="95"/>
      <c r="G41" s="95"/>
      <c r="H41" s="95"/>
      <c r="I41" s="95"/>
      <c r="J41" s="95"/>
      <c r="K41" s="95"/>
      <c r="L41" s="95"/>
      <c r="M41" s="95"/>
      <c r="Q41" s="5" t="str">
        <f>IF(ROW(A29)&lt;=profilKelas!$F$14,ROW(A29),"")</f>
        <v/>
      </c>
      <c r="R41" s="12" t="str">
        <f t="shared" si="0"/>
        <v/>
      </c>
      <c r="S41" s="108" t="str">
        <f t="shared" si="4"/>
        <v/>
      </c>
      <c r="T41" s="108" t="str">
        <f t="shared" si="2"/>
        <v/>
      </c>
      <c r="U41" s="108" t="str">
        <f t="shared" si="6"/>
        <v/>
      </c>
      <c r="V41" s="108" t="str">
        <f t="shared" si="6"/>
        <v/>
      </c>
      <c r="W41" s="108" t="str">
        <f t="shared" si="6"/>
        <v/>
      </c>
      <c r="X41" s="108" t="str">
        <f t="shared" si="6"/>
        <v/>
      </c>
      <c r="Y41" s="108" t="str">
        <f t="shared" si="6"/>
        <v/>
      </c>
      <c r="Z41" s="108" t="str">
        <f t="shared" si="6"/>
        <v/>
      </c>
      <c r="AA41" s="108" t="str">
        <f t="shared" si="6"/>
        <v/>
      </c>
      <c r="AB41" s="108" t="str" cm="1">
        <f t="array" ref="AB41">IF(LEN($B41)=0,"",IF(LEN(C41)=0,"Nama Siswa Kosong",IF($E41="","Status Siswa Kosong",IF(S41&lt;&gt;"Aktif","Siswa Tidak Aktif",
IF(OR(U41:AA41="Belum mengisi"),"Belum mengisi",IF(AND(U41:AA41="Sudah terbiasa"),"Sudah terbiasa","Belum terbiasa"))))))</f>
        <v/>
      </c>
    </row>
    <row r="42" spans="2:43" hidden="1" x14ac:dyDescent="0.3">
      <c r="B42" s="4" t="str">
        <f>IF(ROW(A30)&lt;=profilKelas!$F$14,ROW(A30),"")</f>
        <v/>
      </c>
      <c r="C42" s="94" t="str">
        <f>IF(ISBLANK(identitasMurid!C35),"",identitasMurid!C35)</f>
        <v/>
      </c>
      <c r="D42" s="6" t="str">
        <f>IF(ISBLANK(identitasMurid!D35),"",identitasMurid!D35)</f>
        <v/>
      </c>
      <c r="E42" s="95"/>
      <c r="F42" s="95"/>
      <c r="G42" s="95"/>
      <c r="H42" s="95"/>
      <c r="I42" s="95"/>
      <c r="J42" s="95"/>
      <c r="K42" s="95"/>
      <c r="L42" s="95"/>
      <c r="M42" s="95"/>
      <c r="Q42" s="5" t="str">
        <f>IF(ROW(A30)&lt;=profilKelas!$F$14,ROW(A30),"")</f>
        <v/>
      </c>
      <c r="R42" s="12" t="str">
        <f t="shared" si="0"/>
        <v/>
      </c>
      <c r="S42" s="108" t="str">
        <f t="shared" si="4"/>
        <v/>
      </c>
      <c r="T42" s="108" t="str">
        <f t="shared" si="2"/>
        <v/>
      </c>
      <c r="U42" s="108" t="str">
        <f t="shared" si="6"/>
        <v/>
      </c>
      <c r="V42" s="108" t="str">
        <f t="shared" si="6"/>
        <v/>
      </c>
      <c r="W42" s="108" t="str">
        <f t="shared" si="6"/>
        <v/>
      </c>
      <c r="X42" s="108" t="str">
        <f t="shared" si="6"/>
        <v/>
      </c>
      <c r="Y42" s="108" t="str">
        <f t="shared" si="6"/>
        <v/>
      </c>
      <c r="Z42" s="108" t="str">
        <f t="shared" si="6"/>
        <v/>
      </c>
      <c r="AA42" s="108" t="str">
        <f t="shared" si="6"/>
        <v/>
      </c>
      <c r="AB42" s="108" t="str" cm="1">
        <f t="array" ref="AB42">IF(LEN($B42)=0,"",IF(LEN(C42)=0,"Nama Siswa Kosong",IF($E42="","Status Siswa Kosong",IF(S42&lt;&gt;"Aktif","Siswa Tidak Aktif",
IF(OR(U42:AA42="Belum mengisi"),"Belum mengisi",IF(AND(U42:AA42="Sudah terbiasa"),"Sudah terbiasa","Belum terbiasa"))))))</f>
        <v/>
      </c>
    </row>
    <row r="43" spans="2:43" hidden="1" x14ac:dyDescent="0.3">
      <c r="B43" s="4" t="str">
        <f>IF(ROW(A31)&lt;=profilKelas!$F$14,ROW(A31),"")</f>
        <v/>
      </c>
      <c r="C43" s="94" t="str">
        <f>IF(ISBLANK(identitasMurid!C36),"",identitasMurid!C36)</f>
        <v/>
      </c>
      <c r="D43" s="6" t="str">
        <f>IF(ISBLANK(identitasMurid!D36),"",identitasMurid!D36)</f>
        <v/>
      </c>
      <c r="E43" s="95"/>
      <c r="F43" s="95"/>
      <c r="G43" s="95"/>
      <c r="H43" s="95"/>
      <c r="I43" s="95"/>
      <c r="J43" s="95"/>
      <c r="K43" s="95"/>
      <c r="L43" s="95"/>
      <c r="M43" s="95"/>
      <c r="Q43" s="5" t="str">
        <f>IF(ROW(A31)&lt;=profilKelas!$F$14,ROW(A31),"")</f>
        <v/>
      </c>
      <c r="R43" s="12" t="str">
        <f t="shared" si="0"/>
        <v/>
      </c>
      <c r="S43" s="108" t="str">
        <f t="shared" si="4"/>
        <v/>
      </c>
      <c r="T43" s="108" t="str">
        <f t="shared" si="2"/>
        <v/>
      </c>
      <c r="U43" s="108" t="str">
        <f t="shared" si="6"/>
        <v/>
      </c>
      <c r="V43" s="108" t="str">
        <f t="shared" si="6"/>
        <v/>
      </c>
      <c r="W43" s="108" t="str">
        <f t="shared" si="6"/>
        <v/>
      </c>
      <c r="X43" s="108" t="str">
        <f t="shared" si="6"/>
        <v/>
      </c>
      <c r="Y43" s="108" t="str">
        <f t="shared" si="6"/>
        <v/>
      </c>
      <c r="Z43" s="108" t="str">
        <f t="shared" si="6"/>
        <v/>
      </c>
      <c r="AA43" s="108" t="str">
        <f t="shared" si="6"/>
        <v/>
      </c>
      <c r="AB43" s="108" t="str" cm="1">
        <f t="array" ref="AB43">IF(LEN($B43)=0,"",IF(LEN(C43)=0,"Nama Siswa Kosong",IF($E43="","Status Siswa Kosong",IF(S43&lt;&gt;"Aktif","Siswa Tidak Aktif",
IF(OR(U43:AA43="Belum mengisi"),"Belum mengisi",IF(AND(U43:AA43="Sudah terbiasa"),"Sudah terbiasa","Belum terbiasa"))))))</f>
        <v/>
      </c>
    </row>
    <row r="44" spans="2:43" hidden="1" x14ac:dyDescent="0.3">
      <c r="B44" s="4" t="str">
        <f>IF(ROW(A32)&lt;=profilKelas!$F$14,ROW(A32),"")</f>
        <v/>
      </c>
      <c r="C44" s="94" t="str">
        <f>IF(ISBLANK(identitasMurid!C37),"",identitasMurid!C37)</f>
        <v/>
      </c>
      <c r="D44" s="6" t="str">
        <f>IF(ISBLANK(identitasMurid!D37),"",identitasMurid!D37)</f>
        <v/>
      </c>
      <c r="E44" s="95"/>
      <c r="F44" s="95"/>
      <c r="G44" s="95"/>
      <c r="H44" s="95"/>
      <c r="I44" s="95"/>
      <c r="J44" s="95"/>
      <c r="K44" s="95"/>
      <c r="L44" s="95"/>
      <c r="M44" s="95"/>
      <c r="Q44" s="5" t="str">
        <f>IF(ROW(A32)&lt;=profilKelas!$F$14,ROW(A32),"")</f>
        <v/>
      </c>
      <c r="R44" s="12" t="str">
        <f t="shared" si="0"/>
        <v/>
      </c>
      <c r="S44" s="108" t="str">
        <f t="shared" si="4"/>
        <v/>
      </c>
      <c r="T44" s="108" t="str">
        <f t="shared" si="2"/>
        <v/>
      </c>
      <c r="U44" s="108" t="str">
        <f t="shared" si="6"/>
        <v/>
      </c>
      <c r="V44" s="108" t="str">
        <f t="shared" si="6"/>
        <v/>
      </c>
      <c r="W44" s="108" t="str">
        <f t="shared" si="6"/>
        <v/>
      </c>
      <c r="X44" s="108" t="str">
        <f t="shared" si="6"/>
        <v/>
      </c>
      <c r="Y44" s="108" t="str">
        <f t="shared" si="6"/>
        <v/>
      </c>
      <c r="Z44" s="108" t="str">
        <f t="shared" si="6"/>
        <v/>
      </c>
      <c r="AA44" s="108" t="str">
        <f t="shared" si="6"/>
        <v/>
      </c>
      <c r="AB44" s="108" t="str" cm="1">
        <f t="array" ref="AB44">IF(LEN($B44)=0,"",IF(LEN(C44)=0,"Nama Siswa Kosong",IF($E44="","Status Siswa Kosong",IF(S44&lt;&gt;"Aktif","Siswa Tidak Aktif",
IF(OR(U44:AA44="Belum mengisi"),"Belum mengisi",IF(AND(U44:AA44="Sudah terbiasa"),"Sudah terbiasa","Belum terbiasa"))))))</f>
        <v/>
      </c>
    </row>
    <row r="45" spans="2:43" hidden="1" x14ac:dyDescent="0.3">
      <c r="B45" s="4" t="str">
        <f>IF(ROW(A33)&lt;=profilKelas!$F$14,ROW(A33),"")</f>
        <v/>
      </c>
      <c r="C45" s="94" t="str">
        <f>IF(ISBLANK(identitasMurid!C38),"",identitasMurid!C38)</f>
        <v/>
      </c>
      <c r="D45" s="6" t="str">
        <f>IF(ISBLANK(identitasMurid!D38),"",identitasMurid!D38)</f>
        <v/>
      </c>
      <c r="E45" s="95"/>
      <c r="F45" s="95"/>
      <c r="G45" s="95"/>
      <c r="H45" s="95"/>
      <c r="I45" s="95"/>
      <c r="J45" s="95"/>
      <c r="K45" s="95"/>
      <c r="L45" s="95"/>
      <c r="M45" s="95"/>
      <c r="Q45" s="5" t="str">
        <f>IF(ROW(A33)&lt;=profilKelas!$F$14,ROW(A33),"")</f>
        <v/>
      </c>
      <c r="R45" s="12" t="str">
        <f t="shared" si="0"/>
        <v/>
      </c>
      <c r="S45" s="108" t="str">
        <f t="shared" si="4"/>
        <v/>
      </c>
      <c r="T45" s="108" t="str">
        <f t="shared" si="2"/>
        <v/>
      </c>
      <c r="U45" s="108" t="str">
        <f t="shared" si="6"/>
        <v/>
      </c>
      <c r="V45" s="108" t="str">
        <f t="shared" si="6"/>
        <v/>
      </c>
      <c r="W45" s="108" t="str">
        <f t="shared" si="6"/>
        <v/>
      </c>
      <c r="X45" s="108" t="str">
        <f t="shared" si="6"/>
        <v/>
      </c>
      <c r="Y45" s="108" t="str">
        <f t="shared" si="6"/>
        <v/>
      </c>
      <c r="Z45" s="108" t="str">
        <f t="shared" si="6"/>
        <v/>
      </c>
      <c r="AA45" s="108" t="str">
        <f t="shared" si="6"/>
        <v/>
      </c>
      <c r="AB45" s="108" t="str" cm="1">
        <f t="array" ref="AB45">IF(LEN($B45)=0,"",IF(LEN(C45)=0,"Nama Siswa Kosong",IF($E45="","Status Siswa Kosong",IF(S45&lt;&gt;"Aktif","Siswa Tidak Aktif",
IF(OR(U45:AA45="Belum mengisi"),"Belum mengisi",IF(AND(U45:AA45="Sudah terbiasa"),"Sudah terbiasa","Belum terbiasa"))))))</f>
        <v/>
      </c>
    </row>
    <row r="46" spans="2:43" hidden="1" x14ac:dyDescent="0.3">
      <c r="B46" s="4" t="str">
        <f>IF(ROW(A34)&lt;=profilKelas!$F$14,ROW(A34),"")</f>
        <v/>
      </c>
      <c r="C46" s="94" t="str">
        <f>IF(ISBLANK(identitasMurid!C39),"",identitasMurid!C39)</f>
        <v/>
      </c>
      <c r="D46" s="6" t="str">
        <f>IF(ISBLANK(identitasMurid!D39),"",identitasMurid!D39)</f>
        <v/>
      </c>
      <c r="E46" s="95"/>
      <c r="F46" s="95"/>
      <c r="G46" s="95"/>
      <c r="H46" s="95"/>
      <c r="I46" s="95"/>
      <c r="J46" s="95"/>
      <c r="K46" s="95"/>
      <c r="L46" s="95"/>
      <c r="M46" s="95"/>
      <c r="Q46" s="5" t="str">
        <f>IF(ROW(A34)&lt;=profilKelas!$F$14,ROW(A34),"")</f>
        <v/>
      </c>
      <c r="R46" s="12" t="str">
        <f t="shared" si="0"/>
        <v/>
      </c>
      <c r="S46" s="108" t="str">
        <f t="shared" si="4"/>
        <v/>
      </c>
      <c r="T46" s="108" t="str">
        <f t="shared" si="2"/>
        <v/>
      </c>
      <c r="U46" s="108" t="str">
        <f t="shared" si="6"/>
        <v/>
      </c>
      <c r="V46" s="108" t="str">
        <f t="shared" si="6"/>
        <v/>
      </c>
      <c r="W46" s="108" t="str">
        <f t="shared" si="6"/>
        <v/>
      </c>
      <c r="X46" s="108" t="str">
        <f t="shared" si="6"/>
        <v/>
      </c>
      <c r="Y46" s="108" t="str">
        <f t="shared" si="6"/>
        <v/>
      </c>
      <c r="Z46" s="108" t="str">
        <f t="shared" si="6"/>
        <v/>
      </c>
      <c r="AA46" s="108" t="str">
        <f t="shared" si="6"/>
        <v/>
      </c>
      <c r="AB46" s="108" t="str" cm="1">
        <f t="array" ref="AB46">IF(LEN($B46)=0,"",IF(LEN(C46)=0,"Nama Siswa Kosong",IF($E46="","Status Siswa Kosong",IF(S46&lt;&gt;"Aktif","Siswa Tidak Aktif",
IF(OR(U46:AA46="Belum mengisi"),"Belum mengisi",IF(AND(U46:AA46="Sudah terbiasa"),"Sudah terbiasa","Belum terbiasa"))))))</f>
        <v/>
      </c>
    </row>
    <row r="47" spans="2:43" hidden="1" x14ac:dyDescent="0.3">
      <c r="B47" s="4" t="str">
        <f>IF(ROW(A35)&lt;=profilKelas!$F$14,ROW(A35),"")</f>
        <v/>
      </c>
      <c r="C47" s="94" t="str">
        <f>IF(ISBLANK(identitasMurid!C40),"",identitasMurid!C40)</f>
        <v/>
      </c>
      <c r="D47" s="6" t="str">
        <f>IF(ISBLANK(identitasMurid!D40),"",identitasMurid!D40)</f>
        <v/>
      </c>
      <c r="E47" s="95"/>
      <c r="F47" s="95"/>
      <c r="G47" s="95"/>
      <c r="H47" s="95"/>
      <c r="I47" s="95"/>
      <c r="J47" s="95"/>
      <c r="K47" s="95"/>
      <c r="L47" s="95"/>
      <c r="M47" s="95"/>
      <c r="Q47" s="5" t="str">
        <f>IF(ROW(A35)&lt;=profilKelas!$F$14,ROW(A35),"")</f>
        <v/>
      </c>
      <c r="R47" s="12" t="str">
        <f t="shared" si="0"/>
        <v/>
      </c>
      <c r="S47" s="108" t="str">
        <f t="shared" si="4"/>
        <v/>
      </c>
      <c r="T47" s="108" t="str">
        <f t="shared" si="2"/>
        <v/>
      </c>
      <c r="U47" s="108" t="str">
        <f t="shared" si="6"/>
        <v/>
      </c>
      <c r="V47" s="108" t="str">
        <f t="shared" si="6"/>
        <v/>
      </c>
      <c r="W47" s="108" t="str">
        <f t="shared" si="6"/>
        <v/>
      </c>
      <c r="X47" s="108" t="str">
        <f t="shared" si="6"/>
        <v/>
      </c>
      <c r="Y47" s="108" t="str">
        <f t="shared" si="6"/>
        <v/>
      </c>
      <c r="Z47" s="108" t="str">
        <f t="shared" si="6"/>
        <v/>
      </c>
      <c r="AA47" s="108" t="str">
        <f t="shared" si="6"/>
        <v/>
      </c>
      <c r="AB47" s="108" t="str" cm="1">
        <f t="array" ref="AB47">IF(LEN($B47)=0,"",IF(LEN(C47)=0,"Nama Siswa Kosong",IF($E47="","Status Siswa Kosong",IF(S47&lt;&gt;"Aktif","Siswa Tidak Aktif",
IF(OR(U47:AA47="Belum mengisi"),"Belum mengisi",IF(AND(U47:AA47="Sudah terbiasa"),"Sudah terbiasa","Belum terbiasa"))))))</f>
        <v/>
      </c>
    </row>
    <row r="48" spans="2:43" hidden="1" x14ac:dyDescent="0.3">
      <c r="B48" s="4" t="str">
        <f>IF(ROW(A36)&lt;=profilKelas!$F$14,ROW(A36),"")</f>
        <v/>
      </c>
      <c r="C48" s="94" t="str">
        <f>IF(ISBLANK(identitasMurid!C41),"",identitasMurid!C41)</f>
        <v/>
      </c>
      <c r="D48" s="6" t="str">
        <f>IF(ISBLANK(identitasMurid!D41),"",identitasMurid!D41)</f>
        <v/>
      </c>
      <c r="E48" s="95"/>
      <c r="F48" s="95"/>
      <c r="G48" s="95"/>
      <c r="H48" s="95"/>
      <c r="I48" s="95"/>
      <c r="J48" s="95"/>
      <c r="K48" s="95"/>
      <c r="L48" s="95"/>
      <c r="M48" s="30"/>
      <c r="Q48" s="5" t="str">
        <f>IF(ROW(A36)&lt;=profilKelas!$F$14,ROW(A36),"")</f>
        <v/>
      </c>
      <c r="R48" s="12" t="str">
        <f t="shared" si="0"/>
        <v/>
      </c>
      <c r="S48" s="108" t="str">
        <f t="shared" si="4"/>
        <v/>
      </c>
      <c r="T48" s="108" t="str">
        <f t="shared" si="2"/>
        <v/>
      </c>
      <c r="U48" s="108" t="str">
        <f t="shared" si="6"/>
        <v/>
      </c>
      <c r="V48" s="108" t="str">
        <f t="shared" si="6"/>
        <v/>
      </c>
      <c r="W48" s="108" t="str">
        <f t="shared" si="6"/>
        <v/>
      </c>
      <c r="X48" s="108" t="str">
        <f t="shared" si="6"/>
        <v/>
      </c>
      <c r="Y48" s="108" t="str">
        <f t="shared" si="6"/>
        <v/>
      </c>
      <c r="Z48" s="108" t="str">
        <f t="shared" si="6"/>
        <v/>
      </c>
      <c r="AA48" s="108" t="str">
        <f t="shared" si="6"/>
        <v/>
      </c>
      <c r="AB48" s="108" t="str" cm="1">
        <f t="array" ref="AB48">IF(LEN($B48)=0,"",IF(LEN(C48)=0,"Nama Siswa Kosong",IF($E48="","Status Siswa Kosong",IF(S48&lt;&gt;"Aktif","Siswa Tidak Aktif",
IF(OR(U48:AA48="Belum mengisi"),"Belum mengisi",IF(AND(U48:AA48="Sudah terbiasa"),"Sudah terbiasa","Belum terbiasa"))))))</f>
        <v/>
      </c>
    </row>
    <row r="49" spans="2:28" hidden="1" x14ac:dyDescent="0.3">
      <c r="B49" s="4" t="str">
        <f>IF(ROW(A37)&lt;=profilKelas!$F$14,ROW(A37),"")</f>
        <v/>
      </c>
      <c r="C49" s="94" t="str">
        <f>IF(ISBLANK(identitasMurid!C42),"",identitasMurid!C42)</f>
        <v/>
      </c>
      <c r="D49" s="6" t="str">
        <f>IF(ISBLANK(identitasMurid!D42),"",identitasMurid!D42)</f>
        <v/>
      </c>
      <c r="E49" s="95"/>
      <c r="F49" s="95"/>
      <c r="G49" s="95"/>
      <c r="H49" s="95"/>
      <c r="I49" s="95"/>
      <c r="J49" s="95"/>
      <c r="K49" s="95"/>
      <c r="L49" s="95"/>
      <c r="M49" s="30"/>
      <c r="Q49" s="5" t="str">
        <f>IF(ROW(A37)&lt;=profilKelas!$F$14,ROW(A37),"")</f>
        <v/>
      </c>
      <c r="R49" s="12" t="str">
        <f t="shared" si="0"/>
        <v/>
      </c>
      <c r="S49" s="108" t="str">
        <f t="shared" si="4"/>
        <v/>
      </c>
      <c r="T49" s="108" t="str">
        <f t="shared" si="2"/>
        <v/>
      </c>
      <c r="U49" s="108" t="str">
        <f t="shared" si="6"/>
        <v/>
      </c>
      <c r="V49" s="108" t="str">
        <f t="shared" si="6"/>
        <v/>
      </c>
      <c r="W49" s="108" t="str">
        <f t="shared" si="6"/>
        <v/>
      </c>
      <c r="X49" s="108" t="str">
        <f t="shared" si="6"/>
        <v/>
      </c>
      <c r="Y49" s="108" t="str">
        <f t="shared" si="6"/>
        <v/>
      </c>
      <c r="Z49" s="108" t="str">
        <f t="shared" si="6"/>
        <v/>
      </c>
      <c r="AA49" s="108" t="str">
        <f t="shared" si="6"/>
        <v/>
      </c>
      <c r="AB49" s="108" t="str" cm="1">
        <f t="array" ref="AB49">IF(LEN($B49)=0,"",IF(LEN(C49)=0,"Nama Siswa Kosong",IF($E49="","Status Siswa Kosong",IF(S49&lt;&gt;"Aktif","Siswa Tidak Aktif",
IF(OR(U49:AA49="Belum mengisi"),"Belum mengisi",IF(AND(U49:AA49="Sudah terbiasa"),"Sudah terbiasa","Belum terbiasa"))))))</f>
        <v/>
      </c>
    </row>
    <row r="50" spans="2:28" hidden="1" x14ac:dyDescent="0.3">
      <c r="B50" s="4" t="str">
        <f>IF(ROW(A38)&lt;=profilKelas!$F$14,ROW(A38),"")</f>
        <v/>
      </c>
      <c r="C50" s="94" t="str">
        <f>IF(ISBLANK(identitasMurid!C43),"",identitasMurid!C43)</f>
        <v/>
      </c>
      <c r="D50" s="6" t="str">
        <f>IF(ISBLANK(identitasMurid!D43),"",identitasMurid!D43)</f>
        <v/>
      </c>
      <c r="E50" s="95"/>
      <c r="F50" s="95"/>
      <c r="G50" s="95"/>
      <c r="H50" s="95"/>
      <c r="I50" s="95"/>
      <c r="J50" s="95"/>
      <c r="K50" s="95"/>
      <c r="L50" s="95"/>
      <c r="M50" s="30"/>
      <c r="Q50" s="5" t="str">
        <f>IF(ROW(A38)&lt;=profilKelas!$F$14,ROW(A38),"")</f>
        <v/>
      </c>
      <c r="R50" s="12" t="str">
        <f t="shared" si="0"/>
        <v/>
      </c>
      <c r="S50" s="108" t="str">
        <f t="shared" si="4"/>
        <v/>
      </c>
      <c r="T50" s="108" t="str">
        <f t="shared" si="2"/>
        <v/>
      </c>
      <c r="U50" s="108" t="str">
        <f t="shared" si="6"/>
        <v/>
      </c>
      <c r="V50" s="108" t="str">
        <f t="shared" si="6"/>
        <v/>
      </c>
      <c r="W50" s="108" t="str">
        <f t="shared" si="6"/>
        <v/>
      </c>
      <c r="X50" s="108" t="str">
        <f t="shared" si="6"/>
        <v/>
      </c>
      <c r="Y50" s="108" t="str">
        <f t="shared" si="6"/>
        <v/>
      </c>
      <c r="Z50" s="108" t="str">
        <f t="shared" si="6"/>
        <v/>
      </c>
      <c r="AA50" s="108" t="str">
        <f t="shared" si="6"/>
        <v/>
      </c>
      <c r="AB50" s="108" t="str" cm="1">
        <f t="array" ref="AB50">IF(LEN($B50)=0,"",IF(LEN(C50)=0,"Nama Siswa Kosong",IF($E50="","Status Siswa Kosong",IF(S50&lt;&gt;"Aktif","Siswa Tidak Aktif",
IF(OR(U50:AA50="Belum mengisi"),"Belum mengisi",IF(AND(U50:AA50="Sudah terbiasa"),"Sudah terbiasa","Belum terbiasa"))))))</f>
        <v/>
      </c>
    </row>
    <row r="51" spans="2:28" hidden="1" x14ac:dyDescent="0.3">
      <c r="B51" s="4" t="str">
        <f>IF(ROW(A39)&lt;=profilKelas!$F$14,ROW(A39),"")</f>
        <v/>
      </c>
      <c r="C51" s="94" t="str">
        <f>IF(ISBLANK(identitasMurid!C44),"",identitasMurid!C44)</f>
        <v/>
      </c>
      <c r="D51" s="6" t="str">
        <f>IF(ISBLANK(identitasMurid!D44),"",identitasMurid!D44)</f>
        <v/>
      </c>
      <c r="E51" s="95"/>
      <c r="F51" s="95"/>
      <c r="G51" s="95"/>
      <c r="H51" s="95"/>
      <c r="I51" s="95"/>
      <c r="J51" s="95"/>
      <c r="K51" s="95"/>
      <c r="L51" s="95"/>
      <c r="M51" s="30"/>
      <c r="Q51" s="5" t="str">
        <f>IF(ROW(A39)&lt;=profilKelas!$F$14,ROW(A39),"")</f>
        <v/>
      </c>
      <c r="R51" s="12" t="str">
        <f t="shared" si="0"/>
        <v/>
      </c>
      <c r="S51" s="108" t="str">
        <f t="shared" si="4"/>
        <v/>
      </c>
      <c r="T51" s="108" t="str">
        <f t="shared" si="2"/>
        <v/>
      </c>
      <c r="U51" s="108" t="str">
        <f t="shared" si="6"/>
        <v/>
      </c>
      <c r="V51" s="108" t="str">
        <f t="shared" si="6"/>
        <v/>
      </c>
      <c r="W51" s="108" t="str">
        <f t="shared" si="6"/>
        <v/>
      </c>
      <c r="X51" s="108" t="str">
        <f t="shared" si="6"/>
        <v/>
      </c>
      <c r="Y51" s="108" t="str">
        <f t="shared" si="6"/>
        <v/>
      </c>
      <c r="Z51" s="108" t="str">
        <f t="shared" si="6"/>
        <v/>
      </c>
      <c r="AA51" s="108" t="str">
        <f t="shared" si="6"/>
        <v/>
      </c>
      <c r="AB51" s="108" t="str" cm="1">
        <f t="array" ref="AB51">IF(LEN($B51)=0,"",IF(LEN(C51)=0,"Nama Siswa Kosong",IF($E51="","Status Siswa Kosong",IF(S51&lt;&gt;"Aktif","Siswa Tidak Aktif",
IF(OR(U51:AA51="Belum mengisi"),"Belum mengisi",IF(AND(U51:AA51="Sudah terbiasa"),"Sudah terbiasa","Belum terbiasa"))))))</f>
        <v/>
      </c>
    </row>
    <row r="52" spans="2:28" hidden="1" x14ac:dyDescent="0.3">
      <c r="B52" s="4" t="str">
        <f>IF(ROW(A40)&lt;=profilKelas!$F$14,ROW(A40),"")</f>
        <v/>
      </c>
      <c r="C52" s="94" t="str">
        <f>IF(ISBLANK(identitasMurid!C45),"",identitasMurid!C45)</f>
        <v/>
      </c>
      <c r="D52" s="6" t="str">
        <f>IF(ISBLANK(identitasMurid!D45),"",identitasMurid!D45)</f>
        <v/>
      </c>
      <c r="E52" s="95"/>
      <c r="F52" s="95"/>
      <c r="G52" s="95"/>
      <c r="H52" s="95"/>
      <c r="I52" s="95"/>
      <c r="J52" s="95"/>
      <c r="K52" s="95"/>
      <c r="L52" s="95"/>
      <c r="M52" s="30"/>
      <c r="Q52" s="5" t="str">
        <f>IF(ROW(A40)&lt;=profilKelas!$F$14,ROW(A40),"")</f>
        <v/>
      </c>
      <c r="R52" s="12" t="str">
        <f t="shared" si="0"/>
        <v/>
      </c>
      <c r="S52" s="108" t="str">
        <f t="shared" si="4"/>
        <v/>
      </c>
      <c r="T52" s="108" t="str">
        <f t="shared" si="2"/>
        <v/>
      </c>
      <c r="U52" s="108" t="str">
        <f t="shared" si="6"/>
        <v/>
      </c>
      <c r="V52" s="108" t="str">
        <f t="shared" si="6"/>
        <v/>
      </c>
      <c r="W52" s="108" t="str">
        <f t="shared" si="6"/>
        <v/>
      </c>
      <c r="X52" s="108" t="str">
        <f t="shared" si="6"/>
        <v/>
      </c>
      <c r="Y52" s="108" t="str">
        <f t="shared" si="6"/>
        <v/>
      </c>
      <c r="Z52" s="108" t="str">
        <f t="shared" si="6"/>
        <v/>
      </c>
      <c r="AA52" s="108" t="str">
        <f t="shared" si="6"/>
        <v/>
      </c>
      <c r="AB52" s="108" t="str" cm="1">
        <f t="array" ref="AB52">IF(LEN($B52)=0,"",IF(LEN(C52)=0,"Nama Siswa Kosong",IF($E52="","Status Siswa Kosong",IF(S52&lt;&gt;"Aktif","Siswa Tidak Aktif",
IF(OR(U52:AA52="Belum mengisi"),"Belum mengisi",IF(AND(U52:AA52="Sudah terbiasa"),"Sudah terbiasa","Belum terbiasa"))))))</f>
        <v/>
      </c>
    </row>
    <row r="53" spans="2:28" hidden="1" x14ac:dyDescent="0.3">
      <c r="B53" s="4" t="str">
        <f>IF(ROW(A41)&lt;=profilKelas!$F$14,ROW(A41),"")</f>
        <v/>
      </c>
      <c r="C53" s="94" t="str">
        <f>IF(ISBLANK(identitasMurid!C46),"",identitasMurid!C46)</f>
        <v/>
      </c>
      <c r="D53" s="6" t="str">
        <f>IF(ISBLANK(identitasMurid!D46),"",identitasMurid!D46)</f>
        <v/>
      </c>
      <c r="E53" s="95"/>
      <c r="F53" s="95"/>
      <c r="G53" s="95"/>
      <c r="H53" s="95"/>
      <c r="I53" s="95"/>
      <c r="J53" s="95"/>
      <c r="K53" s="95"/>
      <c r="L53" s="95"/>
      <c r="M53" s="30"/>
      <c r="Q53" s="5" t="str">
        <f>IF(ROW(A41)&lt;=profilKelas!$F$14,ROW(A41),"")</f>
        <v/>
      </c>
      <c r="R53" s="12" t="str">
        <f t="shared" si="0"/>
        <v/>
      </c>
      <c r="S53" s="108" t="str">
        <f t="shared" si="4"/>
        <v/>
      </c>
      <c r="T53" s="108" t="str">
        <f t="shared" si="2"/>
        <v/>
      </c>
      <c r="U53" s="108" t="str">
        <f t="shared" si="6"/>
        <v/>
      </c>
      <c r="V53" s="108" t="str">
        <f t="shared" si="6"/>
        <v/>
      </c>
      <c r="W53" s="108" t="str">
        <f t="shared" si="6"/>
        <v/>
      </c>
      <c r="X53" s="108" t="str">
        <f t="shared" si="6"/>
        <v/>
      </c>
      <c r="Y53" s="108" t="str">
        <f t="shared" si="6"/>
        <v/>
      </c>
      <c r="Z53" s="108" t="str">
        <f t="shared" si="6"/>
        <v/>
      </c>
      <c r="AA53" s="108" t="str">
        <f t="shared" si="6"/>
        <v/>
      </c>
      <c r="AB53" s="108" t="str" cm="1">
        <f t="array" ref="AB53">IF(LEN($B53)=0,"",IF(LEN(C53)=0,"Nama Siswa Kosong",IF($E53="","Status Siswa Kosong",IF(S53&lt;&gt;"Aktif","Siswa Tidak Aktif",
IF(OR(U53:AA53="Belum mengisi"),"Belum mengisi",IF(AND(U53:AA53="Sudah terbiasa"),"Sudah terbiasa","Belum terbiasa"))))))</f>
        <v/>
      </c>
    </row>
    <row r="54" spans="2:28" hidden="1" x14ac:dyDescent="0.3">
      <c r="B54" s="4" t="str">
        <f>IF(ROW(A42)&lt;=profilKelas!$F$14,ROW(A42),"")</f>
        <v/>
      </c>
      <c r="C54" s="94" t="str">
        <f>IF(ISBLANK(identitasMurid!C47),"",identitasMurid!C47)</f>
        <v/>
      </c>
      <c r="D54" s="6" t="str">
        <f>IF(ISBLANK(identitasMurid!D47),"",identitasMurid!D47)</f>
        <v/>
      </c>
      <c r="E54" s="95"/>
      <c r="F54" s="95"/>
      <c r="G54" s="95"/>
      <c r="H54" s="95"/>
      <c r="I54" s="95"/>
      <c r="J54" s="95"/>
      <c r="K54" s="95"/>
      <c r="L54" s="95"/>
      <c r="M54" s="30"/>
      <c r="Q54" s="5" t="str">
        <f>IF(ROW(A42)&lt;=profilKelas!$F$14,ROW(A42),"")</f>
        <v/>
      </c>
      <c r="R54" s="12" t="str">
        <f t="shared" si="0"/>
        <v/>
      </c>
      <c r="S54" s="108" t="str">
        <f t="shared" si="4"/>
        <v/>
      </c>
      <c r="T54" s="108" t="str">
        <f t="shared" si="2"/>
        <v/>
      </c>
      <c r="U54" s="108" t="str">
        <f t="shared" si="6"/>
        <v/>
      </c>
      <c r="V54" s="108" t="str">
        <f t="shared" si="6"/>
        <v/>
      </c>
      <c r="W54" s="108" t="str">
        <f t="shared" si="6"/>
        <v/>
      </c>
      <c r="X54" s="108" t="str">
        <f t="shared" si="6"/>
        <v/>
      </c>
      <c r="Y54" s="108" t="str">
        <f t="shared" si="6"/>
        <v/>
      </c>
      <c r="Z54" s="108" t="str">
        <f t="shared" si="6"/>
        <v/>
      </c>
      <c r="AA54" s="108" t="str">
        <f t="shared" si="6"/>
        <v/>
      </c>
      <c r="AB54" s="108" t="str" cm="1">
        <f t="array" ref="AB54">IF(LEN($B54)=0,"",IF(LEN(C54)=0,"Nama Siswa Kosong",IF($E54="","Status Siswa Kosong",IF(S54&lt;&gt;"Aktif","Siswa Tidak Aktif",
IF(OR(U54:AA54="Belum mengisi"),"Belum mengisi",IF(AND(U54:AA54="Sudah terbiasa"),"Sudah terbiasa","Belum terbiasa"))))))</f>
        <v/>
      </c>
    </row>
    <row r="55" spans="2:28" hidden="1" x14ac:dyDescent="0.3">
      <c r="B55" s="4" t="str">
        <f>IF(ROW(A43)&lt;=profilKelas!$F$14,ROW(A43),"")</f>
        <v/>
      </c>
      <c r="C55" s="94" t="str">
        <f>IF(ISBLANK(identitasMurid!C48),"",identitasMurid!C48)</f>
        <v/>
      </c>
      <c r="D55" s="6" t="str">
        <f>IF(ISBLANK(identitasMurid!D48),"",identitasMurid!D48)</f>
        <v/>
      </c>
      <c r="E55" s="95"/>
      <c r="F55" s="95"/>
      <c r="G55" s="95"/>
      <c r="H55" s="95"/>
      <c r="I55" s="95"/>
      <c r="J55" s="95"/>
      <c r="K55" s="95"/>
      <c r="L55" s="95"/>
      <c r="M55" s="30"/>
      <c r="Q55" s="5" t="str">
        <f>IF(ROW(A43)&lt;=profilKelas!$F$14,ROW(A43),"")</f>
        <v/>
      </c>
      <c r="R55" s="12" t="str">
        <f t="shared" si="0"/>
        <v/>
      </c>
      <c r="S55" s="108" t="str">
        <f t="shared" si="4"/>
        <v/>
      </c>
      <c r="T55" s="108" t="str">
        <f t="shared" si="2"/>
        <v/>
      </c>
      <c r="U55" s="108" t="str">
        <f t="shared" si="6"/>
        <v/>
      </c>
      <c r="V55" s="108" t="str">
        <f t="shared" si="6"/>
        <v/>
      </c>
      <c r="W55" s="108" t="str">
        <f t="shared" si="6"/>
        <v/>
      </c>
      <c r="X55" s="108" t="str">
        <f t="shared" si="6"/>
        <v/>
      </c>
      <c r="Y55" s="108" t="str">
        <f t="shared" si="6"/>
        <v/>
      </c>
      <c r="Z55" s="108" t="str">
        <f t="shared" si="6"/>
        <v/>
      </c>
      <c r="AA55" s="108" t="str">
        <f t="shared" si="6"/>
        <v/>
      </c>
      <c r="AB55" s="108" t="str" cm="1">
        <f t="array" ref="AB55">IF(LEN($B55)=0,"",IF(LEN(C55)=0,"Nama Siswa Kosong",IF($E55="","Status Siswa Kosong",IF(S55&lt;&gt;"Aktif","Siswa Tidak Aktif",
IF(OR(U55:AA55="Belum mengisi"),"Belum mengisi",IF(AND(U55:AA55="Sudah terbiasa"),"Sudah terbiasa","Belum terbiasa"))))))</f>
        <v/>
      </c>
    </row>
    <row r="56" spans="2:28" hidden="1" x14ac:dyDescent="0.3">
      <c r="B56" s="4" t="str">
        <f>IF(ROW(A44)&lt;=profilKelas!$F$14,ROW(A44),"")</f>
        <v/>
      </c>
      <c r="C56" s="94" t="str">
        <f>IF(ISBLANK(identitasMurid!C49),"",identitasMurid!C49)</f>
        <v/>
      </c>
      <c r="D56" s="6" t="str">
        <f>IF(ISBLANK(identitasMurid!D49),"",identitasMurid!D49)</f>
        <v/>
      </c>
      <c r="E56" s="95"/>
      <c r="F56" s="95"/>
      <c r="G56" s="95"/>
      <c r="H56" s="95"/>
      <c r="I56" s="95"/>
      <c r="J56" s="95"/>
      <c r="K56" s="95"/>
      <c r="L56" s="95"/>
      <c r="M56" s="30"/>
      <c r="Q56" s="5" t="str">
        <f>IF(ROW(A44)&lt;=profilKelas!$F$14,ROW(A44),"")</f>
        <v/>
      </c>
      <c r="R56" s="12" t="str">
        <f t="shared" si="0"/>
        <v/>
      </c>
      <c r="S56" s="108" t="str">
        <f t="shared" si="4"/>
        <v/>
      </c>
      <c r="T56" s="108" t="str">
        <f t="shared" si="2"/>
        <v/>
      </c>
      <c r="U56" s="108" t="str">
        <f t="shared" si="6"/>
        <v/>
      </c>
      <c r="V56" s="108" t="str">
        <f t="shared" si="6"/>
        <v/>
      </c>
      <c r="W56" s="108" t="str">
        <f t="shared" si="6"/>
        <v/>
      </c>
      <c r="X56" s="108" t="str">
        <f t="shared" si="6"/>
        <v/>
      </c>
      <c r="Y56" s="108" t="str">
        <f t="shared" si="6"/>
        <v/>
      </c>
      <c r="Z56" s="108" t="str">
        <f t="shared" si="6"/>
        <v/>
      </c>
      <c r="AA56" s="108" t="str">
        <f t="shared" si="6"/>
        <v/>
      </c>
      <c r="AB56" s="108" t="str" cm="1">
        <f t="array" ref="AB56">IF(LEN($B56)=0,"",IF(LEN(C56)=0,"Nama Siswa Kosong",IF($E56="","Status Siswa Kosong",IF(S56&lt;&gt;"Aktif","Siswa Tidak Aktif",
IF(OR(U56:AA56="Belum mengisi"),"Belum mengisi",IF(AND(U56:AA56="Sudah terbiasa"),"Sudah terbiasa","Belum terbiasa"))))))</f>
        <v/>
      </c>
    </row>
    <row r="57" spans="2:28" hidden="1" x14ac:dyDescent="0.3">
      <c r="B57" s="4" t="str">
        <f>IF(ROW(A45)&lt;=profilKelas!$F$14,ROW(A45),"")</f>
        <v/>
      </c>
      <c r="C57" s="94" t="str">
        <f>IF(ISBLANK(identitasMurid!C50),"",identitasMurid!C50)</f>
        <v/>
      </c>
      <c r="D57" s="6" t="str">
        <f>IF(ISBLANK(identitasMurid!D50),"",identitasMurid!D50)</f>
        <v/>
      </c>
      <c r="E57" s="95"/>
      <c r="F57" s="95"/>
      <c r="G57" s="95"/>
      <c r="H57" s="95"/>
      <c r="I57" s="95"/>
      <c r="J57" s="95"/>
      <c r="K57" s="95"/>
      <c r="L57" s="95"/>
      <c r="M57" s="30"/>
      <c r="Q57" s="5" t="str">
        <f>IF(ROW(A45)&lt;=profilKelas!$F$14,ROW(A45),"")</f>
        <v/>
      </c>
      <c r="R57" s="12" t="str">
        <f t="shared" si="0"/>
        <v/>
      </c>
      <c r="S57" s="108" t="str">
        <f t="shared" si="4"/>
        <v/>
      </c>
      <c r="T57" s="108" t="str">
        <f t="shared" si="2"/>
        <v/>
      </c>
      <c r="U57" s="108" t="str">
        <f t="shared" si="6"/>
        <v/>
      </c>
      <c r="V57" s="108" t="str">
        <f t="shared" si="6"/>
        <v/>
      </c>
      <c r="W57" s="108" t="str">
        <f t="shared" si="6"/>
        <v/>
      </c>
      <c r="X57" s="108" t="str">
        <f t="shared" si="6"/>
        <v/>
      </c>
      <c r="Y57" s="108" t="str">
        <f t="shared" si="6"/>
        <v/>
      </c>
      <c r="Z57" s="108" t="str">
        <f t="shared" si="6"/>
        <v/>
      </c>
      <c r="AA57" s="108" t="str">
        <f t="shared" si="6"/>
        <v/>
      </c>
      <c r="AB57" s="108" t="str" cm="1">
        <f t="array" ref="AB57">IF(LEN($B57)=0,"",IF(LEN(C57)=0,"Nama Siswa Kosong",IF($E57="","Status Siswa Kosong",IF(S57&lt;&gt;"Aktif","Siswa Tidak Aktif",
IF(OR(U57:AA57="Belum mengisi"),"Belum mengisi",IF(AND(U57:AA57="Sudah terbiasa"),"Sudah terbiasa","Belum terbiasa"))))))</f>
        <v/>
      </c>
    </row>
    <row r="58" spans="2:28" x14ac:dyDescent="0.3"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</row>
    <row r="59" spans="2:28" ht="16.2" x14ac:dyDescent="0.35">
      <c r="B59" s="13"/>
      <c r="C59" s="71"/>
      <c r="D59" s="71" t="s">
        <v>15</v>
      </c>
      <c r="E59" s="13"/>
      <c r="F59" s="13"/>
      <c r="G59" s="13"/>
      <c r="H59" s="13"/>
      <c r="I59" s="13"/>
      <c r="J59" s="13"/>
      <c r="K59" s="13" t="str">
        <f>profilKelas!F9&amp;", "&amp;O60</f>
        <v>, 31 Mei 2025</v>
      </c>
      <c r="L59" s="13"/>
      <c r="M59" s="13"/>
      <c r="O59" s="31" t="s">
        <v>860</v>
      </c>
      <c r="Q59" s="13"/>
      <c r="R59" s="13"/>
      <c r="S59" s="13" t="s">
        <v>15</v>
      </c>
      <c r="T59" s="13"/>
      <c r="U59" s="13"/>
      <c r="V59" s="13"/>
      <c r="W59" s="13"/>
      <c r="X59" s="13"/>
      <c r="Y59" s="13"/>
      <c r="Z59" s="13" t="str">
        <f>profilKelas!F9&amp;", "&amp;O60</f>
        <v>, 31 Mei 2025</v>
      </c>
      <c r="AA59" s="13"/>
      <c r="AB59" s="13"/>
    </row>
    <row r="60" spans="2:28" x14ac:dyDescent="0.3">
      <c r="B60" s="13"/>
      <c r="C60" s="71"/>
      <c r="D60" s="71" t="str">
        <f>IF(ISBLANK(profilKelas!B10),"",SUBSTITUTE(profilKelas!B10,"Nama ",""))</f>
        <v>Kepala Sekolah</v>
      </c>
      <c r="E60" s="13"/>
      <c r="F60" s="13"/>
      <c r="G60" s="13"/>
      <c r="H60" s="13"/>
      <c r="I60" s="13"/>
      <c r="J60" s="13"/>
      <c r="K60" s="13" t="str">
        <f>SUBSTITUTE(profilKelas!B15,"Nama ","")&amp;","</f>
        <v>Guru Wali Kelas,</v>
      </c>
      <c r="L60" s="13"/>
      <c r="M60" s="13"/>
      <c r="O60" s="100" t="s">
        <v>915</v>
      </c>
      <c r="Q60" s="13"/>
      <c r="R60" s="13"/>
      <c r="S60" s="13" t="str">
        <f>IF(ISBLANK(profilKelas!B10),"",profilKelas!B10)</f>
        <v>Nama Kepala Sekolah</v>
      </c>
      <c r="T60" s="13"/>
      <c r="U60" s="13"/>
      <c r="V60" s="13"/>
      <c r="W60" s="13"/>
      <c r="X60" s="13"/>
      <c r="Y60" s="13"/>
      <c r="Z60" s="13" t="str">
        <f>SUBSTITUTE(profilKelas!B15,"Nama ","")&amp;","</f>
        <v>Guru Wali Kelas,</v>
      </c>
      <c r="AA60" s="13"/>
      <c r="AB60" s="13"/>
    </row>
    <row r="61" spans="2:28" x14ac:dyDescent="0.3"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</row>
    <row r="62" spans="2:28" x14ac:dyDescent="0.3"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</row>
    <row r="63" spans="2:28" x14ac:dyDescent="0.3"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</row>
    <row r="64" spans="2:28" x14ac:dyDescent="0.3">
      <c r="B64" s="13"/>
      <c r="C64" s="13"/>
      <c r="D64" s="101" t="str">
        <f>IF(ISBLANK(profilKelas!F10),"",profilKelas!F10)</f>
        <v/>
      </c>
      <c r="E64" s="13"/>
      <c r="F64" s="13"/>
      <c r="G64" s="13"/>
      <c r="H64" s="13"/>
      <c r="I64" s="13"/>
      <c r="J64" s="13"/>
      <c r="K64" s="101" t="str">
        <f>IF(LEN(profilKelas!F15)=0,"",profilKelas!F15)</f>
        <v/>
      </c>
      <c r="L64" s="13"/>
      <c r="M64" s="13"/>
      <c r="Q64" s="13"/>
      <c r="R64" s="13"/>
      <c r="S64" s="101" t="str">
        <f>IF(ISBLANK(profilKelas!F10),"",profilKelas!F10)</f>
        <v/>
      </c>
      <c r="T64" s="13"/>
      <c r="U64" s="13"/>
      <c r="V64" s="13"/>
      <c r="W64" s="13"/>
      <c r="X64" s="13"/>
      <c r="Y64" s="13"/>
      <c r="Z64" s="101">
        <f>profilKelas!F15</f>
        <v>0</v>
      </c>
      <c r="AA64" s="13"/>
      <c r="AB64" s="13"/>
    </row>
    <row r="65" spans="2:28" x14ac:dyDescent="0.3">
      <c r="B65" s="13"/>
      <c r="C65" s="13"/>
      <c r="D65" s="13" t="str">
        <f>"NIP. "&amp;profilKelas!F11</f>
        <v xml:space="preserve">NIP. </v>
      </c>
      <c r="E65" s="13"/>
      <c r="F65" s="13"/>
      <c r="G65" s="13"/>
      <c r="H65" s="13"/>
      <c r="I65" s="13"/>
      <c r="J65" s="13"/>
      <c r="K65" s="13" t="str">
        <f>"NIP. "&amp;profilKelas!F16</f>
        <v xml:space="preserve">NIP. </v>
      </c>
      <c r="L65" s="13"/>
      <c r="M65" s="13"/>
      <c r="Q65" s="13"/>
      <c r="R65" s="13"/>
      <c r="S65" s="13" t="str">
        <f>"NIP. "&amp;profilKelas!F11</f>
        <v xml:space="preserve">NIP. </v>
      </c>
      <c r="T65" s="13"/>
      <c r="U65" s="13"/>
      <c r="V65" s="13"/>
      <c r="W65" s="13"/>
      <c r="X65" s="13"/>
      <c r="Y65" s="13"/>
      <c r="Z65" s="13" t="str">
        <f>"NIP. "&amp;profilKelas!F16</f>
        <v xml:space="preserve">NIP. </v>
      </c>
      <c r="AA65" s="13"/>
      <c r="AB65" s="13"/>
    </row>
    <row r="66" spans="2:28" x14ac:dyDescent="0.3"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</row>
    <row r="67" spans="2:28" x14ac:dyDescent="0.3">
      <c r="B67" s="13"/>
      <c r="C67" s="102" t="s">
        <v>10</v>
      </c>
      <c r="D67" s="71" t="s">
        <v>609</v>
      </c>
      <c r="E67" s="13"/>
      <c r="F67" s="13"/>
      <c r="G67" s="13"/>
      <c r="H67" s="13"/>
      <c r="I67" s="13"/>
      <c r="J67" s="13"/>
      <c r="K67" s="13"/>
      <c r="L67" s="13"/>
      <c r="M67" s="13"/>
      <c r="Q67" s="13"/>
      <c r="R67" s="102" t="s">
        <v>10</v>
      </c>
      <c r="S67" s="71" t="s">
        <v>609</v>
      </c>
      <c r="T67" s="13"/>
      <c r="U67" s="13"/>
      <c r="V67" s="13"/>
      <c r="W67" s="13"/>
      <c r="X67" s="13"/>
      <c r="Y67" s="13"/>
      <c r="Z67" s="13"/>
      <c r="AA67" s="13"/>
      <c r="AB67" s="13"/>
    </row>
    <row r="68" spans="2:28" ht="15.6" customHeight="1" x14ac:dyDescent="0.3"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63">
        <f>SUBTOTAL(109,N69)</f>
        <v>0</v>
      </c>
      <c r="O68" s="63" t="str">
        <f>IF(N68=0,"ATUR HALAMAN","TAMPILAN NORMAL")</f>
        <v>ATUR HALAMAN</v>
      </c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</row>
    <row r="69" spans="2:28" hidden="1" x14ac:dyDescent="0.3">
      <c r="N69" s="7">
        <v>1</v>
      </c>
    </row>
  </sheetData>
  <sheetProtection algorithmName="SHA-512" hashValue="Z7hBZHGQfcaX8npL/YtmNkW0B4lfofXTNMvCw75SG2TvYyu60PqKKhF7cs+JQXAQtQkbl/NlByLfcdWAOFnBLw==" saltValue="TcwNh0qx/nMcrPMCocqGxg==" spinCount="100000" sheet="1" objects="1" scenarios="1" formatCells="0" formatColumns="0" formatRows="0" insertColumns="0" insertRows="0" insertHyperlinks="0" deleteColumns="0" deleteRows="0" autoFilter="0"/>
  <mergeCells count="41">
    <mergeCell ref="AL14:AQ18"/>
    <mergeCell ref="AG15:AH15"/>
    <mergeCell ref="AI15:AJ15"/>
    <mergeCell ref="AD18:AE18"/>
    <mergeCell ref="B6:M6"/>
    <mergeCell ref="Q6:AB6"/>
    <mergeCell ref="AD6:AQ7"/>
    <mergeCell ref="B10:B12"/>
    <mergeCell ref="C10:C12"/>
    <mergeCell ref="D10:D12"/>
    <mergeCell ref="E10:E12"/>
    <mergeCell ref="M10:M12"/>
    <mergeCell ref="AE24:AF24"/>
    <mergeCell ref="AD14:AD15"/>
    <mergeCell ref="AE14:AE15"/>
    <mergeCell ref="AF14:AF15"/>
    <mergeCell ref="AG14:AJ14"/>
    <mergeCell ref="AG21:AJ21"/>
    <mergeCell ref="AE22:AF22"/>
    <mergeCell ref="AG22:AH22"/>
    <mergeCell ref="AI22:AJ22"/>
    <mergeCell ref="AE23:AF23"/>
    <mergeCell ref="AE25:AF25"/>
    <mergeCell ref="AE26:AF26"/>
    <mergeCell ref="AE27:AF27"/>
    <mergeCell ref="AE28:AF28"/>
    <mergeCell ref="AE29:AF29"/>
    <mergeCell ref="AK31:AN31"/>
    <mergeCell ref="AE32:AF32"/>
    <mergeCell ref="AG32:AH32"/>
    <mergeCell ref="AI32:AJ32"/>
    <mergeCell ref="AK32:AL32"/>
    <mergeCell ref="AM32:AN32"/>
    <mergeCell ref="AG31:AJ31"/>
    <mergeCell ref="AE39:AF39"/>
    <mergeCell ref="AE33:AF33"/>
    <mergeCell ref="AE34:AF34"/>
    <mergeCell ref="AE35:AF35"/>
    <mergeCell ref="AE36:AF36"/>
    <mergeCell ref="AE37:AF37"/>
    <mergeCell ref="AE38:AF38"/>
  </mergeCells>
  <conditionalFormatting sqref="F17:F57">
    <cfRule type="expression" dxfId="27" priority="14">
      <formula>AND($C17="",$F17="")</formula>
    </cfRule>
  </conditionalFormatting>
  <conditionalFormatting sqref="E17:M57 B13:C57 M13:M16">
    <cfRule type="expression" dxfId="26" priority="13">
      <formula>$B13&lt;&gt;""</formula>
    </cfRule>
  </conditionalFormatting>
  <conditionalFormatting sqref="D13:D57">
    <cfRule type="expression" dxfId="25" priority="12">
      <formula>$B13&lt;&gt;""</formula>
    </cfRule>
  </conditionalFormatting>
  <conditionalFormatting sqref="R13:T57">
    <cfRule type="expression" dxfId="24" priority="11">
      <formula>$Q13&lt;&gt;""</formula>
    </cfRule>
  </conditionalFormatting>
  <conditionalFormatting sqref="Q13">
    <cfRule type="expression" dxfId="23" priority="10">
      <formula>$B13&lt;&gt;""</formula>
    </cfRule>
  </conditionalFormatting>
  <conditionalFormatting sqref="U13:AA57">
    <cfRule type="containsText" dxfId="22" priority="7" operator="containsText" text="Belum terbiasa">
      <formula>NOT(ISERROR(SEARCH("Belum terbiasa",U13)))</formula>
    </cfRule>
    <cfRule type="containsText" dxfId="21" priority="8" operator="containsText" text="Sudah terbiasa">
      <formula>NOT(ISERROR(SEARCH("Sudah terbiasa",U13)))</formula>
    </cfRule>
    <cfRule type="containsText" dxfId="20" priority="9" operator="containsText" text="Belum mengisi">
      <formula>NOT(ISERROR(SEARCH("Belum mengisi",U13)))</formula>
    </cfRule>
  </conditionalFormatting>
  <conditionalFormatting sqref="AB13:AB57">
    <cfRule type="containsText" dxfId="19" priority="4" operator="containsText" text="mengisi">
      <formula>NOT(ISERROR(SEARCH("mengisi",AB13)))</formula>
    </cfRule>
    <cfRule type="containsText" dxfId="18" priority="5" operator="containsText" text="Belum terbiasa">
      <formula>NOT(ISERROR(SEARCH("Belum terbiasa",AB13)))</formula>
    </cfRule>
    <cfRule type="containsText" dxfId="17" priority="6" operator="containsText" text="Sudah terbiasa">
      <formula>NOT(ISERROR(SEARCH("Sudah terbiasa",AB13)))</formula>
    </cfRule>
  </conditionalFormatting>
  <conditionalFormatting sqref="Q14:Q57">
    <cfRule type="expression" dxfId="16" priority="3">
      <formula>$B14&lt;&gt;""</formula>
    </cfRule>
  </conditionalFormatting>
  <conditionalFormatting sqref="F13:L16">
    <cfRule type="expression" dxfId="15" priority="2">
      <formula>AND($C13="",$F13="")</formula>
    </cfRule>
  </conditionalFormatting>
  <conditionalFormatting sqref="E13:L16">
    <cfRule type="expression" dxfId="14" priority="1">
      <formula>$B13&lt;&gt;""</formula>
    </cfRule>
  </conditionalFormatting>
  <dataValidations disablePrompts="1" count="2">
    <dataValidation allowBlank="1" showInputMessage="1" showErrorMessage="1" promptTitle="Tanggal pengesahan" prompt="Contoh penulisan_x000a_31 Juli 2025" sqref="O60:P60" xr:uid="{00000000-0002-0000-1800-000000000000}"/>
    <dataValidation type="whole" allowBlank="1" showInputMessage="1" showErrorMessage="1" errorTitle="Angka" error="Isian hanya berupa angka 0 s.d. 31." promptTitle="Angka" prompt="Inputan angka dari 0 s.d. 31 sesuai bulan berjalan." sqref="F13:L57" xr:uid="{00000000-0002-0000-1800-000001000000}">
      <formula1>0</formula1>
      <formula2>31</formula2>
    </dataValidation>
  </dataValidations>
  <pageMargins left="0.19685039370078741" right="0.19685039370078741" top="0.74803149606299213" bottom="0.74803149606299213" header="0.31496062992125984" footer="0.31496062992125984"/>
  <pageSetup paperSize="9" scale="59" fitToHeight="0" orientation="landscape" r:id="rId1"/>
  <headerFooter>
    <oddHeader>&amp;C&amp;G</oddHeader>
  </headerFooter>
  <drawing r:id="rId2"/>
  <legacyDrawingHF r:id="rId3"/>
  <picture r:id="rId4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Catatan" error="Harap dipilih." promptTitle="Catatan" prompt="Pilih keterangan siswa_x000a_aktif: aktif pada bulan berjalan_x000a_pindah: pada bulan berjalan sudah pindah_x000a_berhenti: pada bulan berjalan berhenti _x000a_meninggal: pada bulan berjalan meninggal_x000a__x000a_Jika terdapat penambahan siswa, keterangan bulan sebelumnya dipilih tidak." xr:uid="{00000000-0002-0000-1800-000002000000}">
          <x14:formula1>
            <xm:f>info!$AD$2:$AD$6</xm:f>
          </x14:formula1>
          <xm:sqref>E13:E57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mmJun"/>
  <dimension ref="A1:AQ69"/>
  <sheetViews>
    <sheetView showGridLines="0" showRowColHeaders="0" zoomScaleNormal="100" zoomScaleSheetLayoutView="100" zoomScalePageLayoutView="47" workbookViewId="0">
      <pane xSplit="1" ySplit="12" topLeftCell="B13" activePane="bottomRight" state="frozen"/>
      <selection pane="topRight" activeCell="B1" sqref="B1"/>
      <selection pane="bottomLeft" activeCell="A13" sqref="A13"/>
      <selection pane="bottomRight" activeCell="B6" sqref="B6:M6"/>
    </sheetView>
  </sheetViews>
  <sheetFormatPr defaultColWidth="0" defaultRowHeight="15.6" customHeight="1" zeroHeight="1" x14ac:dyDescent="0.3"/>
  <cols>
    <col min="1" max="1" width="9.109375" style="7" customWidth="1"/>
    <col min="2" max="2" width="3.5546875" style="7" bestFit="1" customWidth="1"/>
    <col min="3" max="3" width="31.5546875" style="7" customWidth="1"/>
    <col min="4" max="4" width="10" style="7" customWidth="1"/>
    <col min="5" max="5" width="11.5546875" style="7" customWidth="1"/>
    <col min="6" max="12" width="24" style="7" customWidth="1"/>
    <col min="13" max="13" width="18.33203125" style="7" customWidth="1"/>
    <col min="14" max="14" width="2.109375" style="7" customWidth="1"/>
    <col min="15" max="15" width="25.109375" style="7" bestFit="1" customWidth="1"/>
    <col min="16" max="16" width="9.109375" style="7" customWidth="1"/>
    <col min="17" max="17" width="3.5546875" style="7" hidden="1" customWidth="1"/>
    <col min="18" max="18" width="27.88671875" style="7" hidden="1" customWidth="1"/>
    <col min="19" max="19" width="8.6640625" style="7" hidden="1" customWidth="1"/>
    <col min="20" max="20" width="5.6640625" style="7" hidden="1" customWidth="1"/>
    <col min="21" max="28" width="21.33203125" style="7" hidden="1" customWidth="1"/>
    <col min="29" max="29" width="9.109375" style="7" hidden="1" customWidth="1"/>
    <col min="30" max="30" width="3.5546875" style="7" hidden="1" customWidth="1"/>
    <col min="31" max="31" width="20" style="7" hidden="1" customWidth="1"/>
    <col min="32" max="32" width="6.5546875" style="7" hidden="1" customWidth="1"/>
    <col min="33" max="36" width="9.6640625" style="7" hidden="1" customWidth="1"/>
    <col min="37" max="16384" width="8.88671875" style="7" hidden="1"/>
  </cols>
  <sheetData>
    <row r="1" spans="1:43" x14ac:dyDescent="0.3">
      <c r="A1" s="63">
        <f>profilKelas!F14</f>
        <v>1</v>
      </c>
      <c r="D1" s="64" t="s">
        <v>890</v>
      </c>
      <c r="E1" s="65"/>
      <c r="F1" s="65"/>
      <c r="G1" s="65"/>
      <c r="H1" s="65"/>
      <c r="Q1" s="66" t="s">
        <v>859</v>
      </c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D1" s="66" t="s">
        <v>859</v>
      </c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</row>
    <row r="2" spans="1:43" x14ac:dyDescent="0.3">
      <c r="D2" s="67"/>
      <c r="E2" s="67"/>
      <c r="F2" s="67"/>
      <c r="G2" s="67"/>
      <c r="H2" s="67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</row>
    <row r="3" spans="1:43" ht="15.6" customHeight="1" x14ac:dyDescent="0.3"/>
    <row r="4" spans="1:43" ht="15.6" customHeight="1" x14ac:dyDescent="0.3"/>
    <row r="5" spans="1:43" x14ac:dyDescent="0.3">
      <c r="Q5" s="68"/>
      <c r="S5" s="69"/>
      <c r="T5" s="69"/>
      <c r="V5" s="69"/>
      <c r="X5" s="69"/>
      <c r="Z5" s="69"/>
      <c r="AL5" s="70"/>
    </row>
    <row r="6" spans="1:43" ht="15.6" customHeight="1" x14ac:dyDescent="0.3">
      <c r="B6" s="168" t="s">
        <v>882</v>
      </c>
      <c r="C6" s="168"/>
      <c r="D6" s="168"/>
      <c r="E6" s="168"/>
      <c r="F6" s="168"/>
      <c r="G6" s="168"/>
      <c r="H6" s="168"/>
      <c r="I6" s="168"/>
      <c r="J6" s="168"/>
      <c r="K6" s="168"/>
      <c r="L6" s="168"/>
      <c r="M6" s="168"/>
      <c r="Q6" s="168"/>
      <c r="R6" s="168"/>
      <c r="S6" s="168"/>
      <c r="T6" s="168"/>
      <c r="U6" s="168"/>
      <c r="V6" s="168"/>
      <c r="W6" s="168"/>
      <c r="X6" s="168"/>
      <c r="Y6" s="168"/>
      <c r="Z6" s="168"/>
      <c r="AA6" s="168"/>
      <c r="AB6" s="168"/>
      <c r="AD6" s="159" t="str">
        <f>"REKAPITULASI CATATAN HARIAN KELAS (RCHS) "&amp;CHAR(10)&amp;"SEMESTER "&amp;MID(J7,3,1)&amp;" BULAN"&amp;UPPER(MID(J7,SEARCH("/",J7)+1,99))&amp;" TAHUN "&amp;IF(ISBLANK(O11),profilKelas!F12,O11)</f>
        <v xml:space="preserve">REKAPITULASI CATATAN HARIAN KELAS (RCHS) 
SEMESTER I BULAN JUNI TAHUN </v>
      </c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</row>
    <row r="7" spans="1:43" x14ac:dyDescent="0.3">
      <c r="B7" s="13"/>
      <c r="C7" s="13" t="s">
        <v>862</v>
      </c>
      <c r="D7" s="13" t="str">
        <f>": "&amp;IF(ISBLANK(profilKelas!F5),"",profilKelas!F5&amp;" ("&amp;profilKelas!F6&amp;")")</f>
        <v xml:space="preserve">: </v>
      </c>
      <c r="E7" s="13"/>
      <c r="F7" s="13"/>
      <c r="G7" s="13"/>
      <c r="H7" s="13"/>
      <c r="I7" s="13" t="s">
        <v>885</v>
      </c>
      <c r="J7" s="13" t="str">
        <f>": II / Juni"</f>
        <v>: II / Juni</v>
      </c>
      <c r="K7" s="13"/>
      <c r="L7" s="13"/>
      <c r="M7" s="71"/>
      <c r="O7"/>
      <c r="Q7" s="13"/>
      <c r="R7" s="13" t="s">
        <v>862</v>
      </c>
      <c r="S7" s="13" t="str">
        <f>": "&amp;IF(ISBLANK(profilKelas!F5),"",profilKelas!F5&amp;" ("&amp;profilKelas!F6&amp;")")</f>
        <v xml:space="preserve">: </v>
      </c>
      <c r="T7" s="13"/>
      <c r="U7" s="13"/>
      <c r="V7" s="13"/>
      <c r="W7" s="13"/>
      <c r="X7" s="13"/>
      <c r="Y7" s="13" t="s">
        <v>840</v>
      </c>
      <c r="Z7" s="13" t="str">
        <f>J7</f>
        <v>: II / Juni</v>
      </c>
      <c r="AA7" s="71"/>
      <c r="AB7" s="13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</row>
    <row r="8" spans="1:43" x14ac:dyDescent="0.3">
      <c r="B8" s="13"/>
      <c r="C8" s="13" t="s">
        <v>842</v>
      </c>
      <c r="D8" s="13" t="str">
        <f ca="1">": "&amp;IF(ISBLANK(profilKelas!H13),"",profilKelas!H13)</f>
        <v>: Pilih Kelas dan Rombel</v>
      </c>
      <c r="E8" s="13"/>
      <c r="F8" s="13"/>
      <c r="G8" s="13"/>
      <c r="H8" s="13"/>
      <c r="I8" s="13" t="s">
        <v>880</v>
      </c>
      <c r="J8" s="13" t="str">
        <f>": "&amp;IF(ISBLANK(profilKelas!F12),"Ketik Tahun Ajaran pada Profil Kelas",profilKelas!F12)</f>
        <v>: Ketik Tahun Ajaran pada Profil Kelas</v>
      </c>
      <c r="K8" s="13"/>
      <c r="L8" s="13"/>
      <c r="M8" s="71"/>
      <c r="O8"/>
      <c r="Q8" s="13"/>
      <c r="R8" s="13" t="s">
        <v>842</v>
      </c>
      <c r="S8" s="13" t="str">
        <f ca="1">": "&amp;IF(ISBLANK(profilKelas!H13),"",profilKelas!H13)</f>
        <v>: Pilih Kelas dan Rombel</v>
      </c>
      <c r="T8" s="13"/>
      <c r="U8" s="13"/>
      <c r="V8" s="13"/>
      <c r="W8" s="13"/>
      <c r="X8" s="13"/>
      <c r="Y8" s="13" t="s">
        <v>841</v>
      </c>
      <c r="Z8" s="13" t="str">
        <f>": "&amp;IF(ISBLANK(profilKelas!F12),"Ketik Tahun Ajaran pada Profil Kelas",IF(ISBLANK(O11),profilKelas!F12,O11))</f>
        <v>: Ketik Tahun Ajaran pada Profil Kelas</v>
      </c>
      <c r="AA8" s="71"/>
      <c r="AB8" s="13"/>
      <c r="AD8" s="72"/>
      <c r="AE8" s="72"/>
      <c r="AF8" s="72"/>
      <c r="AG8" s="72"/>
      <c r="AH8" s="72"/>
      <c r="AI8" s="72"/>
      <c r="AJ8" s="72"/>
      <c r="AK8" s="72"/>
      <c r="AL8" s="72"/>
      <c r="AM8" s="72"/>
      <c r="AN8" s="72"/>
      <c r="AO8" s="13"/>
      <c r="AP8" s="13"/>
      <c r="AQ8" s="13"/>
    </row>
    <row r="9" spans="1:43" x14ac:dyDescent="0.3"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71"/>
      <c r="Q9" s="13"/>
      <c r="R9" s="13"/>
      <c r="S9" s="13"/>
      <c r="T9" s="13"/>
      <c r="U9" s="13"/>
      <c r="V9" s="13"/>
      <c r="W9" s="13"/>
      <c r="X9" s="13"/>
      <c r="Y9" s="13"/>
      <c r="Z9" s="13"/>
      <c r="AA9" s="71"/>
      <c r="AB9" s="13"/>
      <c r="AD9" s="13" t="s">
        <v>862</v>
      </c>
      <c r="AE9" s="13"/>
      <c r="AF9" s="13" t="str">
        <f>UPPER(": "&amp;profilKelas!F5&amp;" ("&amp;profilKelas!F6&amp;")")</f>
        <v>:  ()</v>
      </c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</row>
    <row r="10" spans="1:43" x14ac:dyDescent="0.3">
      <c r="B10" s="162" t="s">
        <v>0</v>
      </c>
      <c r="C10" s="162" t="s">
        <v>858</v>
      </c>
      <c r="D10" s="164" t="s">
        <v>831</v>
      </c>
      <c r="E10" s="164" t="s">
        <v>987</v>
      </c>
      <c r="F10" s="44" t="s">
        <v>19</v>
      </c>
      <c r="G10" s="45"/>
      <c r="H10" s="45"/>
      <c r="I10" s="45"/>
      <c r="J10" s="45"/>
      <c r="K10" s="45"/>
      <c r="L10" s="46"/>
      <c r="M10" s="162" t="s">
        <v>9</v>
      </c>
      <c r="O10"/>
      <c r="Q10" s="73"/>
      <c r="R10" s="74"/>
      <c r="S10" s="74"/>
      <c r="T10" s="75"/>
      <c r="U10" s="76" t="s">
        <v>19</v>
      </c>
      <c r="V10" s="77"/>
      <c r="W10" s="77"/>
      <c r="X10" s="77"/>
      <c r="Y10" s="77"/>
      <c r="Z10" s="77"/>
      <c r="AA10" s="78"/>
      <c r="AB10" s="36"/>
      <c r="AD10" s="13" t="s">
        <v>863</v>
      </c>
      <c r="AE10" s="13"/>
      <c r="AF10" s="13" t="str">
        <f>UPPER(": "&amp;profilKelas!F9&amp;", Provinsi "&amp;profilKelas!F8)</f>
        <v xml:space="preserve">: , PROVINSI </v>
      </c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</row>
    <row r="11" spans="1:43" x14ac:dyDescent="0.3">
      <c r="B11" s="169"/>
      <c r="C11" s="169"/>
      <c r="D11" s="170"/>
      <c r="E11" s="170"/>
      <c r="F11" s="80" t="s">
        <v>2</v>
      </c>
      <c r="G11" s="80" t="s">
        <v>3</v>
      </c>
      <c r="H11" s="80" t="s">
        <v>4</v>
      </c>
      <c r="I11" s="81" t="s">
        <v>606</v>
      </c>
      <c r="J11" s="81" t="s">
        <v>6</v>
      </c>
      <c r="K11" s="81" t="s">
        <v>7</v>
      </c>
      <c r="L11" s="81" t="s">
        <v>8</v>
      </c>
      <c r="M11" s="169"/>
      <c r="O11"/>
      <c r="Q11" s="82"/>
      <c r="R11" s="83"/>
      <c r="S11" s="83"/>
      <c r="T11" s="84"/>
      <c r="U11" s="85" t="s">
        <v>14</v>
      </c>
      <c r="V11" s="86"/>
      <c r="W11" s="86"/>
      <c r="X11" s="86"/>
      <c r="Y11" s="86"/>
      <c r="Z11" s="86"/>
      <c r="AA11" s="87"/>
      <c r="AB11" s="79"/>
      <c r="AD11" s="13" t="str">
        <f>profilKelas!B10</f>
        <v>Nama Kepala Sekolah</v>
      </c>
      <c r="AE11" s="13"/>
      <c r="AF11" s="13" t="str">
        <f>UPPER(": "&amp;profilKelas!F10&amp;" (NIP."&amp;profilKelas!F11&amp;")")</f>
        <v>:  (NIP.)</v>
      </c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</row>
    <row r="12" spans="1:43" ht="16.2" x14ac:dyDescent="0.3">
      <c r="B12" s="163"/>
      <c r="C12" s="163"/>
      <c r="D12" s="165"/>
      <c r="E12" s="165"/>
      <c r="F12" s="88" t="s">
        <v>881</v>
      </c>
      <c r="G12" s="89"/>
      <c r="H12" s="89"/>
      <c r="I12" s="89"/>
      <c r="J12" s="89"/>
      <c r="K12" s="89"/>
      <c r="L12" s="90"/>
      <c r="M12" s="163"/>
      <c r="Q12" s="91" t="s">
        <v>0</v>
      </c>
      <c r="R12" s="92" t="s">
        <v>1</v>
      </c>
      <c r="S12" s="35" t="s">
        <v>596</v>
      </c>
      <c r="T12" s="35" t="s">
        <v>605</v>
      </c>
      <c r="U12" s="80" t="s">
        <v>599</v>
      </c>
      <c r="V12" s="80" t="s">
        <v>600</v>
      </c>
      <c r="W12" s="80" t="s">
        <v>4</v>
      </c>
      <c r="X12" s="81" t="s">
        <v>601</v>
      </c>
      <c r="Y12" s="81" t="s">
        <v>602</v>
      </c>
      <c r="Z12" s="81" t="s">
        <v>603</v>
      </c>
      <c r="AA12" s="93" t="s">
        <v>604</v>
      </c>
      <c r="AB12" s="36" t="s">
        <v>11</v>
      </c>
      <c r="AD12" s="34" t="str">
        <f ca="1">SUBSTITUTE(profilKelas!B15,"Nama ","")&amp;" "&amp;IF(ISBLANK(profilKelas!H13),"",profilKelas!H13)</f>
        <v>Guru Wali Kelas Pilih Kelas dan Rombel</v>
      </c>
      <c r="AE12" s="34"/>
      <c r="AF12" s="34" t="str">
        <f>UPPER(": "&amp;profilKelas!F15)</f>
        <v xml:space="preserve">: </v>
      </c>
      <c r="AG12" s="34"/>
      <c r="AH12" s="34"/>
      <c r="AI12" s="34"/>
      <c r="AJ12" s="34"/>
      <c r="AK12" s="34"/>
      <c r="AL12" s="34"/>
      <c r="AM12" s="34"/>
      <c r="AN12" s="34"/>
      <c r="AO12" s="34"/>
      <c r="AP12" s="13"/>
      <c r="AQ12" s="13"/>
    </row>
    <row r="13" spans="1:43" x14ac:dyDescent="0.3">
      <c r="B13" s="4">
        <f>IF(ROW(A1)&lt;=profilKelas!$F$14,ROW(A1),"")</f>
        <v>1</v>
      </c>
      <c r="C13" s="94" t="str">
        <f>IF(ISBLANK(identitasMurid!C6),"",identitasMurid!C6)</f>
        <v/>
      </c>
      <c r="D13" s="6" t="str">
        <f>IF(ISBLANK(identitasMurid!D6),"",identitasMurid!D6)</f>
        <v/>
      </c>
      <c r="E13" s="95"/>
      <c r="F13" s="95"/>
      <c r="G13" s="95"/>
      <c r="H13" s="95"/>
      <c r="I13" s="95"/>
      <c r="J13" s="95"/>
      <c r="K13" s="95"/>
      <c r="L13" s="95"/>
      <c r="M13" s="95"/>
      <c r="Q13" s="5">
        <f>IF(ROW(A1)&lt;=profilKelas!$F$14,ROW(A1),"")</f>
        <v>1</v>
      </c>
      <c r="R13" s="12" t="str">
        <f t="shared" ref="R13:R57" si="0">C13</f>
        <v/>
      </c>
      <c r="S13" s="108" t="str">
        <f t="shared" ref="S13:S19" si="1">IF(LEN(B13)=0,"",IF(ISBLANK(E13),"Status Siswa Kosong",E13))</f>
        <v>Status Siswa Kosong</v>
      </c>
      <c r="T13" s="108" t="str">
        <f t="shared" ref="T13:T57" si="2">IF(ISBLANK(D13),"",D13)</f>
        <v/>
      </c>
      <c r="U13" s="108" t="str">
        <f t="shared" ref="U13:AA28" si="3">IF(LEN($B13)=0,"",IF(LEN($C13)=0,"Nama Siswa Kosong",IF($E13="","Status Siswa Kosong",IF($E13&lt;&gt;"Aktif","Siswa Tidak Aktif",
IF(ISBLANK(F13),"Belum mengisi",IF(F13&gt;=20,"Sudah terbiasa","Belum terbiasa"))))))</f>
        <v>Nama Siswa Kosong</v>
      </c>
      <c r="V13" s="108" t="str">
        <f t="shared" si="3"/>
        <v>Nama Siswa Kosong</v>
      </c>
      <c r="W13" s="108" t="str">
        <f t="shared" si="3"/>
        <v>Nama Siswa Kosong</v>
      </c>
      <c r="X13" s="108" t="str">
        <f t="shared" si="3"/>
        <v>Nama Siswa Kosong</v>
      </c>
      <c r="Y13" s="108" t="str">
        <f t="shared" si="3"/>
        <v>Nama Siswa Kosong</v>
      </c>
      <c r="Z13" s="108" t="str">
        <f t="shared" si="3"/>
        <v>Nama Siswa Kosong</v>
      </c>
      <c r="AA13" s="108" t="str">
        <f t="shared" si="3"/>
        <v>Nama Siswa Kosong</v>
      </c>
      <c r="AB13" s="108" t="str" cm="1">
        <f t="array" ref="AB13">IF(LEN($B13)=0,"",IF(LEN(C13)=0,"Nama Siswa Kosong",IF($E13="","Status Siswa Kosong",IF(S13&lt;&gt;"Aktif","Siswa Tidak Aktif",
IF(OR(U13:AA13="Belum mengisi"),"Belum mengisi",IF(AND(U13:AA13="Sudah terbiasa"),"Sudah terbiasa","Belum terbiasa"))))))</f>
        <v>Nama Siswa Kosong</v>
      </c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</row>
    <row r="14" spans="1:43" ht="15.6" hidden="1" customHeight="1" x14ac:dyDescent="0.3">
      <c r="B14" s="4" t="str">
        <f>IF(ROW(A2)&lt;=profilKelas!$F$14,ROW(A2),"")</f>
        <v/>
      </c>
      <c r="C14" s="94" t="str">
        <f>IF(ISBLANK(identitasMurid!C7),"",identitasMurid!C7)</f>
        <v/>
      </c>
      <c r="D14" s="6" t="str">
        <f>IF(ISBLANK(identitasMurid!D7),"",identitasMurid!D7)</f>
        <v/>
      </c>
      <c r="E14" s="95"/>
      <c r="F14" s="95"/>
      <c r="G14" s="95"/>
      <c r="H14" s="95"/>
      <c r="I14" s="95"/>
      <c r="J14" s="95"/>
      <c r="K14" s="95"/>
      <c r="L14" s="95"/>
      <c r="M14" s="95"/>
      <c r="Q14" s="5" t="str">
        <f>IF(ROW(A2)&lt;=profilKelas!$F$14,ROW(A2),"")</f>
        <v/>
      </c>
      <c r="R14" s="12" t="str">
        <f t="shared" si="0"/>
        <v/>
      </c>
      <c r="S14" s="108" t="str">
        <f t="shared" si="1"/>
        <v/>
      </c>
      <c r="T14" s="108" t="str">
        <f t="shared" si="2"/>
        <v/>
      </c>
      <c r="U14" s="108" t="str">
        <f t="shared" si="3"/>
        <v/>
      </c>
      <c r="V14" s="108" t="str">
        <f t="shared" si="3"/>
        <v/>
      </c>
      <c r="W14" s="108" t="str">
        <f t="shared" si="3"/>
        <v/>
      </c>
      <c r="X14" s="108" t="str">
        <f t="shared" si="3"/>
        <v/>
      </c>
      <c r="Y14" s="108" t="str">
        <f t="shared" si="3"/>
        <v/>
      </c>
      <c r="Z14" s="108" t="str">
        <f t="shared" si="3"/>
        <v/>
      </c>
      <c r="AA14" s="108" t="str">
        <f t="shared" si="3"/>
        <v/>
      </c>
      <c r="AB14" s="108" t="str" cm="1">
        <f t="array" ref="AB14">IF(LEN($B14)=0,"",IF(LEN(C14)=0,"Nama Siswa Kosong",IF($E14="","Status Siswa Kosong",IF(S14&lt;&gt;"Aktif","Siswa Tidak Aktif",
IF(OR(U14:AA14="Belum mengisi"),"Belum mengisi",IF(AND(U14:AA14="Sudah terbiasa"),"Sudah terbiasa","Belum terbiasa"))))))</f>
        <v/>
      </c>
      <c r="AD14" s="162" t="s">
        <v>0</v>
      </c>
      <c r="AE14" s="162" t="s">
        <v>831</v>
      </c>
      <c r="AF14" s="164" t="s">
        <v>833</v>
      </c>
      <c r="AG14" s="173" t="s">
        <v>596</v>
      </c>
      <c r="AH14" s="174"/>
      <c r="AI14" s="174"/>
      <c r="AJ14" s="175"/>
      <c r="AK14" s="13"/>
      <c r="AL14" s="158"/>
      <c r="AM14" s="158"/>
      <c r="AN14" s="158"/>
      <c r="AO14" s="158"/>
      <c r="AP14" s="158"/>
      <c r="AQ14" s="158"/>
    </row>
    <row r="15" spans="1:43" ht="15.6" hidden="1" customHeight="1" x14ac:dyDescent="0.3">
      <c r="B15" s="4" t="str">
        <f>IF(ROW(A3)&lt;=profilKelas!$F$14,ROW(A3),"")</f>
        <v/>
      </c>
      <c r="C15" s="94" t="str">
        <f>IF(ISBLANK(identitasMurid!C8),"",identitasMurid!C8)</f>
        <v/>
      </c>
      <c r="D15" s="6" t="str">
        <f>IF(ISBLANK(identitasMurid!D8),"",identitasMurid!D8)</f>
        <v/>
      </c>
      <c r="E15" s="95"/>
      <c r="F15" s="95"/>
      <c r="G15" s="95"/>
      <c r="H15" s="95"/>
      <c r="I15" s="95"/>
      <c r="J15" s="95"/>
      <c r="K15" s="95"/>
      <c r="L15" s="95"/>
      <c r="M15" s="95"/>
      <c r="Q15" s="5" t="str">
        <f>IF(ROW(A3)&lt;=profilKelas!$F$14,ROW(A3),"")</f>
        <v/>
      </c>
      <c r="R15" s="12" t="str">
        <f t="shared" si="0"/>
        <v/>
      </c>
      <c r="S15" s="108" t="str">
        <f t="shared" si="1"/>
        <v/>
      </c>
      <c r="T15" s="108" t="str">
        <f t="shared" si="2"/>
        <v/>
      </c>
      <c r="U15" s="108" t="str">
        <f t="shared" si="3"/>
        <v/>
      </c>
      <c r="V15" s="108" t="str">
        <f t="shared" si="3"/>
        <v/>
      </c>
      <c r="W15" s="108" t="str">
        <f t="shared" si="3"/>
        <v/>
      </c>
      <c r="X15" s="108" t="str">
        <f t="shared" si="3"/>
        <v/>
      </c>
      <c r="Y15" s="108" t="str">
        <f t="shared" si="3"/>
        <v/>
      </c>
      <c r="Z15" s="108" t="str">
        <f t="shared" si="3"/>
        <v/>
      </c>
      <c r="AA15" s="108" t="str">
        <f t="shared" si="3"/>
        <v/>
      </c>
      <c r="AB15" s="108" t="str" cm="1">
        <f t="array" ref="AB15">IF(LEN($B15)=0,"",IF(LEN(C15)=0,"Nama Siswa Kosong",IF($E15="","Status Siswa Kosong",IF(S15&lt;&gt;"Aktif","Siswa Tidak Aktif",
IF(OR(U15:AA15="Belum mengisi"),"Belum mengisi",IF(AND(U15:AA15="Sudah terbiasa"),"Sudah terbiasa","Belum terbiasa"))))))</f>
        <v/>
      </c>
      <c r="AD15" s="163"/>
      <c r="AE15" s="163"/>
      <c r="AF15" s="165"/>
      <c r="AG15" s="148" t="s">
        <v>597</v>
      </c>
      <c r="AH15" s="148"/>
      <c r="AI15" s="148" t="s">
        <v>598</v>
      </c>
      <c r="AJ15" s="148"/>
      <c r="AK15" s="13"/>
      <c r="AL15" s="158"/>
      <c r="AM15" s="158"/>
      <c r="AN15" s="158"/>
      <c r="AO15" s="158"/>
      <c r="AP15" s="158"/>
      <c r="AQ15" s="158"/>
    </row>
    <row r="16" spans="1:43" hidden="1" x14ac:dyDescent="0.3">
      <c r="B16" s="4" t="str">
        <f>IF(ROW(A4)&lt;=profilKelas!$F$14,ROW(A4),"")</f>
        <v/>
      </c>
      <c r="C16" s="94" t="str">
        <f>IF(ISBLANK(identitasMurid!C9),"",identitasMurid!C9)</f>
        <v/>
      </c>
      <c r="D16" s="6" t="str">
        <f>IF(ISBLANK(identitasMurid!D9),"",identitasMurid!D9)</f>
        <v/>
      </c>
      <c r="E16" s="95"/>
      <c r="F16" s="95"/>
      <c r="G16" s="95"/>
      <c r="H16" s="95"/>
      <c r="I16" s="95"/>
      <c r="J16" s="95"/>
      <c r="K16" s="95"/>
      <c r="L16" s="95"/>
      <c r="M16" s="95"/>
      <c r="Q16" s="5" t="str">
        <f>IF(ROW(A4)&lt;=profilKelas!$F$14,ROW(A4),"")</f>
        <v/>
      </c>
      <c r="R16" s="12" t="str">
        <f t="shared" si="0"/>
        <v/>
      </c>
      <c r="S16" s="108" t="str">
        <f t="shared" si="1"/>
        <v/>
      </c>
      <c r="T16" s="108" t="str">
        <f t="shared" si="2"/>
        <v/>
      </c>
      <c r="U16" s="108" t="str">
        <f t="shared" si="3"/>
        <v/>
      </c>
      <c r="V16" s="108" t="str">
        <f t="shared" si="3"/>
        <v/>
      </c>
      <c r="W16" s="108" t="str">
        <f t="shared" si="3"/>
        <v/>
      </c>
      <c r="X16" s="108" t="str">
        <f t="shared" si="3"/>
        <v/>
      </c>
      <c r="Y16" s="108" t="str">
        <f t="shared" si="3"/>
        <v/>
      </c>
      <c r="Z16" s="108" t="str">
        <f t="shared" si="3"/>
        <v/>
      </c>
      <c r="AA16" s="108" t="str">
        <f t="shared" si="3"/>
        <v/>
      </c>
      <c r="AB16" s="108" t="str" cm="1">
        <f t="array" ref="AB16">IF(LEN($B16)=0,"",IF(LEN(C16)=0,"Nama Siswa Kosong",IF($E16="","Status Siswa Kosong",IF(S16&lt;&gt;"Aktif","Siswa Tidak Aktif",
IF(OR(U16:AA16="Belum mengisi"),"Belum mengisi",IF(AND(U16:AA16="Sudah terbiasa"),"Sudah terbiasa","Belum terbiasa"))))))</f>
        <v/>
      </c>
      <c r="AD16" s="41">
        <v>1</v>
      </c>
      <c r="AE16" s="41" t="s">
        <v>607</v>
      </c>
      <c r="AF16" s="10">
        <f>COUNTIF(JulPL,Perempuan)</f>
        <v>0</v>
      </c>
      <c r="AG16" s="96">
        <f>COUNTIFS(JulKategoriAkhir,SudahTerbiasa,JulPL,Perempuan)</f>
        <v>0</v>
      </c>
      <c r="AH16" s="96"/>
      <c r="AI16" s="96">
        <f>COUNTIFS(JulKategoriAkhir,BelumTerbiasa,JulPL,Perempuan)</f>
        <v>0</v>
      </c>
      <c r="AJ16" s="96"/>
      <c r="AK16" s="13"/>
      <c r="AL16" s="158"/>
      <c r="AM16" s="158"/>
      <c r="AN16" s="158"/>
      <c r="AO16" s="158"/>
      <c r="AP16" s="158"/>
      <c r="AQ16" s="158"/>
    </row>
    <row r="17" spans="2:43" hidden="1" x14ac:dyDescent="0.3">
      <c r="B17" s="4" t="str">
        <f>IF(ROW(A5)&lt;=profilKelas!$F$14,ROW(A5),"")</f>
        <v/>
      </c>
      <c r="C17" s="94" t="str">
        <f>IF(ISBLANK(identitasMurid!C10),"",identitasMurid!C10)</f>
        <v/>
      </c>
      <c r="D17" s="6" t="str">
        <f>IF(ISBLANK(identitasMurid!D10),"",identitasMurid!D10)</f>
        <v/>
      </c>
      <c r="E17" s="95"/>
      <c r="F17" s="95"/>
      <c r="G17" s="95"/>
      <c r="H17" s="95"/>
      <c r="I17" s="95"/>
      <c r="J17" s="95"/>
      <c r="K17" s="95"/>
      <c r="L17" s="95"/>
      <c r="M17" s="95"/>
      <c r="Q17" s="5" t="str">
        <f>IF(ROW(A5)&lt;=profilKelas!$F$14,ROW(A5),"")</f>
        <v/>
      </c>
      <c r="R17" s="12" t="str">
        <f t="shared" si="0"/>
        <v/>
      </c>
      <c r="S17" s="108" t="str">
        <f t="shared" si="1"/>
        <v/>
      </c>
      <c r="T17" s="108" t="str">
        <f t="shared" si="2"/>
        <v/>
      </c>
      <c r="U17" s="108" t="str">
        <f t="shared" si="3"/>
        <v/>
      </c>
      <c r="V17" s="108" t="str">
        <f t="shared" si="3"/>
        <v/>
      </c>
      <c r="W17" s="108" t="str">
        <f t="shared" si="3"/>
        <v/>
      </c>
      <c r="X17" s="108" t="str">
        <f t="shared" si="3"/>
        <v/>
      </c>
      <c r="Y17" s="108" t="str">
        <f t="shared" si="3"/>
        <v/>
      </c>
      <c r="Z17" s="108" t="str">
        <f t="shared" si="3"/>
        <v/>
      </c>
      <c r="AA17" s="108" t="str">
        <f t="shared" si="3"/>
        <v/>
      </c>
      <c r="AB17" s="108" t="str" cm="1">
        <f t="array" ref="AB17">IF(LEN($B17)=0,"",IF(LEN(C17)=0,"Nama Siswa Kosong",IF($E17="","Status Siswa Kosong",IF(S17&lt;&gt;"Aktif","Siswa Tidak Aktif",
IF(OR(U17:AA17="Belum mengisi"),"Belum mengisi",IF(AND(U17:AA17="Sudah terbiasa"),"Sudah terbiasa","Belum terbiasa"))))))</f>
        <v/>
      </c>
      <c r="AD17" s="41">
        <v>2</v>
      </c>
      <c r="AE17" s="41" t="s">
        <v>608</v>
      </c>
      <c r="AF17" s="97">
        <f>COUNTIF(JulPL,Laki_Laki)</f>
        <v>0</v>
      </c>
      <c r="AG17" s="96">
        <f>COUNTIFS(JulKategoriAkhir,SudahTerbiasa,JulPL,Laki_Laki)</f>
        <v>0</v>
      </c>
      <c r="AH17" s="96"/>
      <c r="AI17" s="96">
        <f>COUNTIFS(JulKategoriAkhir,BelumTerbiasa,JulPL,Laki_Laki)</f>
        <v>0</v>
      </c>
      <c r="AJ17" s="96"/>
      <c r="AK17" s="13"/>
      <c r="AL17" s="158"/>
      <c r="AM17" s="158"/>
      <c r="AN17" s="158"/>
      <c r="AO17" s="158"/>
      <c r="AP17" s="158"/>
      <c r="AQ17" s="158"/>
    </row>
    <row r="18" spans="2:43" hidden="1" x14ac:dyDescent="0.3">
      <c r="B18" s="4" t="str">
        <f>IF(ROW(A6)&lt;=profilKelas!$F$14,ROW(A6),"")</f>
        <v/>
      </c>
      <c r="C18" s="94" t="str">
        <f>IF(ISBLANK(identitasMurid!C11),"",identitasMurid!C11)</f>
        <v/>
      </c>
      <c r="D18" s="6" t="str">
        <f>IF(ISBLANK(identitasMurid!D11),"",identitasMurid!D11)</f>
        <v/>
      </c>
      <c r="E18" s="95"/>
      <c r="F18" s="95"/>
      <c r="G18" s="95"/>
      <c r="H18" s="95"/>
      <c r="I18" s="95"/>
      <c r="J18" s="95"/>
      <c r="K18" s="95"/>
      <c r="L18" s="95"/>
      <c r="M18" s="95"/>
      <c r="Q18" s="5" t="str">
        <f>IF(ROW(A6)&lt;=profilKelas!$F$14,ROW(A6),"")</f>
        <v/>
      </c>
      <c r="R18" s="12" t="str">
        <f t="shared" si="0"/>
        <v/>
      </c>
      <c r="S18" s="108" t="str">
        <f t="shared" si="1"/>
        <v/>
      </c>
      <c r="T18" s="108" t="str">
        <f t="shared" si="2"/>
        <v/>
      </c>
      <c r="U18" s="108" t="str">
        <f t="shared" si="3"/>
        <v/>
      </c>
      <c r="V18" s="108" t="str">
        <f t="shared" si="3"/>
        <v/>
      </c>
      <c r="W18" s="108" t="str">
        <f t="shared" si="3"/>
        <v/>
      </c>
      <c r="X18" s="108" t="str">
        <f t="shared" si="3"/>
        <v/>
      </c>
      <c r="Y18" s="108" t="str">
        <f t="shared" si="3"/>
        <v/>
      </c>
      <c r="Z18" s="108" t="str">
        <f t="shared" si="3"/>
        <v/>
      </c>
      <c r="AA18" s="108" t="str">
        <f t="shared" si="3"/>
        <v/>
      </c>
      <c r="AB18" s="108" t="str" cm="1">
        <f t="array" ref="AB18">IF(LEN($B18)=0,"",IF(LEN(C18)=0,"Nama Siswa Kosong",IF($E18="","Status Siswa Kosong",IF(S18&lt;&gt;"Aktif","Siswa Tidak Aktif",
IF(OR(U18:AA18="Belum mengisi"),"Belum mengisi",IF(AND(U18:AA18="Sudah terbiasa"),"Sudah terbiasa","Belum terbiasa"))))))</f>
        <v/>
      </c>
      <c r="AD18" s="160" t="s">
        <v>832</v>
      </c>
      <c r="AE18" s="160"/>
      <c r="AF18" s="3">
        <f>SUM(AF16:AF17)</f>
        <v>0</v>
      </c>
      <c r="AG18" s="96">
        <f>SUM(AG16:AG17)</f>
        <v>0</v>
      </c>
      <c r="AH18" s="96"/>
      <c r="AI18" s="96">
        <f>SUM(AI16:AI17)</f>
        <v>0</v>
      </c>
      <c r="AJ18" s="96"/>
      <c r="AK18" s="13"/>
      <c r="AL18" s="158"/>
      <c r="AM18" s="158"/>
      <c r="AN18" s="158"/>
      <c r="AO18" s="158"/>
      <c r="AP18" s="158"/>
      <c r="AQ18" s="158"/>
    </row>
    <row r="19" spans="2:43" hidden="1" x14ac:dyDescent="0.3">
      <c r="B19" s="4" t="str">
        <f>IF(ROW(A7)&lt;=profilKelas!$F$14,ROW(A7),"")</f>
        <v/>
      </c>
      <c r="C19" s="94" t="str">
        <f>IF(ISBLANK(identitasMurid!C12),"",identitasMurid!C12)</f>
        <v/>
      </c>
      <c r="D19" s="6" t="str">
        <f>IF(ISBLANK(identitasMurid!D12),"",identitasMurid!D12)</f>
        <v/>
      </c>
      <c r="E19" s="95"/>
      <c r="F19" s="95"/>
      <c r="G19" s="95"/>
      <c r="H19" s="95"/>
      <c r="I19" s="95"/>
      <c r="J19" s="95"/>
      <c r="K19" s="95"/>
      <c r="L19" s="95"/>
      <c r="M19" s="95"/>
      <c r="Q19" s="5" t="str">
        <f>IF(ROW(A7)&lt;=profilKelas!$F$14,ROW(A7),"")</f>
        <v/>
      </c>
      <c r="R19" s="12" t="str">
        <f t="shared" si="0"/>
        <v/>
      </c>
      <c r="S19" s="108" t="str">
        <f t="shared" si="1"/>
        <v/>
      </c>
      <c r="T19" s="108" t="str">
        <f t="shared" si="2"/>
        <v/>
      </c>
      <c r="U19" s="108" t="str">
        <f t="shared" si="3"/>
        <v/>
      </c>
      <c r="V19" s="108" t="str">
        <f t="shared" si="3"/>
        <v/>
      </c>
      <c r="W19" s="108" t="str">
        <f t="shared" si="3"/>
        <v/>
      </c>
      <c r="X19" s="108" t="str">
        <f t="shared" si="3"/>
        <v/>
      </c>
      <c r="Y19" s="108" t="str">
        <f t="shared" si="3"/>
        <v/>
      </c>
      <c r="Z19" s="108" t="str">
        <f t="shared" si="3"/>
        <v/>
      </c>
      <c r="AA19" s="108" t="str">
        <f t="shared" si="3"/>
        <v/>
      </c>
      <c r="AB19" s="108" t="str" cm="1">
        <f t="array" ref="AB19">IF(LEN($B19)=0,"",IF(LEN(C19)=0,"Nama Siswa Kosong",IF($E19="","Status Siswa Kosong",IF(S19&lt;&gt;"Aktif","Siswa Tidak Aktif",
IF(OR(U19:AA19="Belum mengisi"),"Belum mengisi",IF(AND(U19:AA19="Sudah terbiasa"),"Sudah terbiasa","Belum terbiasa"))))))</f>
        <v/>
      </c>
      <c r="AD19" s="13"/>
      <c r="AE19" s="13"/>
      <c r="AF19" s="13"/>
      <c r="AG19" s="13"/>
      <c r="AH19" s="13"/>
      <c r="AI19" s="13"/>
      <c r="AJ19" s="13"/>
      <c r="AK19" s="13"/>
      <c r="AL19" s="43"/>
      <c r="AM19" s="43"/>
      <c r="AN19" s="43"/>
      <c r="AO19" s="43"/>
      <c r="AP19" s="43"/>
      <c r="AQ19" s="43"/>
    </row>
    <row r="20" spans="2:43" hidden="1" x14ac:dyDescent="0.3">
      <c r="B20" s="4" t="str">
        <f>IF(ROW(A8)&lt;=profilKelas!$F$14,ROW(A8),"")</f>
        <v/>
      </c>
      <c r="C20" s="94" t="str">
        <f>IF(ISBLANK(identitasMurid!C13),"",identitasMurid!C13)</f>
        <v/>
      </c>
      <c r="D20" s="6" t="str">
        <f>IF(ISBLANK(identitasMurid!D13),"",identitasMurid!D13)</f>
        <v/>
      </c>
      <c r="E20" s="95"/>
      <c r="F20" s="95"/>
      <c r="G20" s="95"/>
      <c r="H20" s="95"/>
      <c r="I20" s="95"/>
      <c r="J20" s="95"/>
      <c r="K20" s="95"/>
      <c r="L20" s="95"/>
      <c r="M20" s="95"/>
      <c r="Q20" s="5" t="str">
        <f>IF(ROW(A8)&lt;=profilKelas!$F$14,ROW(A8),"")</f>
        <v/>
      </c>
      <c r="R20" s="12" t="str">
        <f t="shared" si="0"/>
        <v/>
      </c>
      <c r="S20" s="108" t="str">
        <f>IF(LEN(B20)=0,"",IF(ISBLANK(E20),"Status Siswa Kosong",E20))</f>
        <v/>
      </c>
      <c r="T20" s="108" t="str">
        <f t="shared" si="2"/>
        <v/>
      </c>
      <c r="U20" s="108" t="str">
        <f t="shared" si="3"/>
        <v/>
      </c>
      <c r="V20" s="108" t="str">
        <f t="shared" si="3"/>
        <v/>
      </c>
      <c r="W20" s="108" t="str">
        <f t="shared" si="3"/>
        <v/>
      </c>
      <c r="X20" s="108" t="str">
        <f t="shared" si="3"/>
        <v/>
      </c>
      <c r="Y20" s="108" t="str">
        <f t="shared" si="3"/>
        <v/>
      </c>
      <c r="Z20" s="108" t="str">
        <f t="shared" si="3"/>
        <v/>
      </c>
      <c r="AA20" s="108" t="str">
        <f t="shared" si="3"/>
        <v/>
      </c>
      <c r="AB20" s="108" t="str" cm="1">
        <f t="array" ref="AB20">IF(LEN($B20)=0,"",IF(LEN(C20)=0,"Nama Siswa Kosong",IF($E20="","Status Siswa Kosong",IF(S20&lt;&gt;"Aktif","Siswa Tidak Aktif",
IF(OR(U20:AA20="Belum mengisi"),"Belum mengisi",IF(AND(U20:AA20="Sudah terbiasa"),"Sudah terbiasa","Belum terbiasa"))))))</f>
        <v/>
      </c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</row>
    <row r="21" spans="2:43" ht="15.75" hidden="1" customHeight="1" x14ac:dyDescent="0.3">
      <c r="B21" s="4" t="str">
        <f>IF(ROW(A9)&lt;=profilKelas!$F$14,ROW(A9),"")</f>
        <v/>
      </c>
      <c r="C21" s="94" t="str">
        <f>IF(ISBLANK(identitasMurid!C14),"",identitasMurid!C14)</f>
        <v/>
      </c>
      <c r="D21" s="6" t="str">
        <f>IF(ISBLANK(identitasMurid!D14),"",identitasMurid!D14)</f>
        <v/>
      </c>
      <c r="E21" s="95"/>
      <c r="F21" s="95"/>
      <c r="G21" s="95"/>
      <c r="H21" s="95"/>
      <c r="I21" s="95"/>
      <c r="J21" s="95"/>
      <c r="K21" s="95"/>
      <c r="L21" s="95"/>
      <c r="M21" s="95"/>
      <c r="Q21" s="5" t="str">
        <f>IF(ROW(A9)&lt;=profilKelas!$F$14,ROW(A9),"")</f>
        <v/>
      </c>
      <c r="R21" s="12" t="str">
        <f t="shared" si="0"/>
        <v/>
      </c>
      <c r="S21" s="108" t="str">
        <f t="shared" ref="S21:S57" si="4">IF(LEN(B21)=0,"",IF(ISBLANK(E21),"Status Siswa Kosong",E21))</f>
        <v/>
      </c>
      <c r="T21" s="108" t="str">
        <f t="shared" si="2"/>
        <v/>
      </c>
      <c r="U21" s="108" t="str">
        <f t="shared" si="3"/>
        <v/>
      </c>
      <c r="V21" s="108" t="str">
        <f t="shared" si="3"/>
        <v/>
      </c>
      <c r="W21" s="108" t="str">
        <f t="shared" si="3"/>
        <v/>
      </c>
      <c r="X21" s="108" t="str">
        <f t="shared" si="3"/>
        <v/>
      </c>
      <c r="Y21" s="108" t="str">
        <f t="shared" si="3"/>
        <v/>
      </c>
      <c r="Z21" s="108" t="str">
        <f t="shared" si="3"/>
        <v/>
      </c>
      <c r="AA21" s="108" t="str">
        <f t="shared" si="3"/>
        <v/>
      </c>
      <c r="AB21" s="108" t="str" cm="1">
        <f t="array" ref="AB21">IF(LEN($B21)=0,"",IF(LEN(C21)=0,"Nama Siswa Kosong",IF($E21="","Status Siswa Kosong",IF(S21&lt;&gt;"Aktif","Siswa Tidak Aktif",
IF(OR(U21:AA21="Belum mengisi"),"Belum mengisi",IF(AND(U21:AA21="Sudah terbiasa"),"Sudah terbiasa","Belum terbiasa"))))))</f>
        <v/>
      </c>
      <c r="AD21" s="13"/>
      <c r="AE21" s="13"/>
      <c r="AF21" s="13"/>
      <c r="AG21" s="173" t="s">
        <v>596</v>
      </c>
      <c r="AH21" s="174"/>
      <c r="AI21" s="174"/>
      <c r="AJ21" s="175"/>
      <c r="AK21" s="13"/>
      <c r="AL21" s="13"/>
      <c r="AM21" s="13"/>
      <c r="AN21" s="13"/>
      <c r="AO21" s="13"/>
      <c r="AP21" s="13"/>
      <c r="AQ21" s="13"/>
    </row>
    <row r="22" spans="2:43" hidden="1" x14ac:dyDescent="0.3">
      <c r="B22" s="4" t="str">
        <f>IF(ROW(A10)&lt;=profilKelas!$F$14,ROW(A10),"")</f>
        <v/>
      </c>
      <c r="C22" s="94" t="str">
        <f>IF(ISBLANK(identitasMurid!C15),"",identitasMurid!C15)</f>
        <v/>
      </c>
      <c r="D22" s="6" t="str">
        <f>IF(ISBLANK(identitasMurid!D15),"",identitasMurid!D15)</f>
        <v/>
      </c>
      <c r="E22" s="95"/>
      <c r="F22" s="95"/>
      <c r="G22" s="95"/>
      <c r="H22" s="95"/>
      <c r="I22" s="95"/>
      <c r="J22" s="95"/>
      <c r="K22" s="95"/>
      <c r="L22" s="95"/>
      <c r="M22" s="95"/>
      <c r="Q22" s="5" t="str">
        <f>IF(ROW(A10)&lt;=profilKelas!$F$14,ROW(A10),"")</f>
        <v/>
      </c>
      <c r="R22" s="12" t="str">
        <f t="shared" si="0"/>
        <v/>
      </c>
      <c r="S22" s="108" t="str">
        <f t="shared" si="4"/>
        <v/>
      </c>
      <c r="T22" s="108" t="str">
        <f t="shared" si="2"/>
        <v/>
      </c>
      <c r="U22" s="108" t="str">
        <f t="shared" si="3"/>
        <v/>
      </c>
      <c r="V22" s="108" t="str">
        <f t="shared" si="3"/>
        <v/>
      </c>
      <c r="W22" s="108" t="str">
        <f t="shared" si="3"/>
        <v/>
      </c>
      <c r="X22" s="108" t="str">
        <f t="shared" si="3"/>
        <v/>
      </c>
      <c r="Y22" s="108" t="str">
        <f t="shared" si="3"/>
        <v/>
      </c>
      <c r="Z22" s="108" t="str">
        <f t="shared" si="3"/>
        <v/>
      </c>
      <c r="AA22" s="108" t="str">
        <f t="shared" si="3"/>
        <v/>
      </c>
      <c r="AB22" s="108" t="str" cm="1">
        <f t="array" ref="AB22">IF(LEN($B22)=0,"",IF(LEN(C22)=0,"Nama Siswa Kosong",IF($E22="","Status Siswa Kosong",IF(S22&lt;&gt;"Aktif","Siswa Tidak Aktif",
IF(OR(U22:AA22="Belum mengisi"),"Belum mengisi",IF(AND(U22:AA22="Sudah terbiasa"),"Sudah terbiasa","Belum terbiasa"))))))</f>
        <v/>
      </c>
      <c r="AD22" s="98" t="s">
        <v>0</v>
      </c>
      <c r="AE22" s="148" t="s">
        <v>18</v>
      </c>
      <c r="AF22" s="148"/>
      <c r="AG22" s="148" t="s">
        <v>597</v>
      </c>
      <c r="AH22" s="148"/>
      <c r="AI22" s="171" t="s">
        <v>598</v>
      </c>
      <c r="AJ22" s="172"/>
      <c r="AK22" s="13"/>
      <c r="AL22" s="13"/>
      <c r="AM22" s="13"/>
      <c r="AN22" s="13"/>
      <c r="AO22" s="13"/>
      <c r="AP22" s="13"/>
      <c r="AQ22" s="13"/>
    </row>
    <row r="23" spans="2:43" hidden="1" x14ac:dyDescent="0.3">
      <c r="B23" s="4" t="str">
        <f>IF(ROW(A11)&lt;=profilKelas!$F$14,ROW(A11),"")</f>
        <v/>
      </c>
      <c r="C23" s="94" t="str">
        <f>IF(ISBLANK(identitasMurid!C16),"",identitasMurid!C16)</f>
        <v/>
      </c>
      <c r="D23" s="6" t="str">
        <f>IF(ISBLANK(identitasMurid!D16),"",identitasMurid!D16)</f>
        <v/>
      </c>
      <c r="E23" s="95"/>
      <c r="F23" s="95"/>
      <c r="G23" s="95"/>
      <c r="H23" s="95"/>
      <c r="I23" s="95"/>
      <c r="J23" s="95"/>
      <c r="K23" s="95"/>
      <c r="L23" s="95"/>
      <c r="M23" s="95"/>
      <c r="Q23" s="5" t="str">
        <f>IF(ROW(A11)&lt;=profilKelas!$F$14,ROW(A11),"")</f>
        <v/>
      </c>
      <c r="R23" s="12" t="str">
        <f t="shared" si="0"/>
        <v/>
      </c>
      <c r="S23" s="108" t="str">
        <f t="shared" si="4"/>
        <v/>
      </c>
      <c r="T23" s="108" t="str">
        <f t="shared" si="2"/>
        <v/>
      </c>
      <c r="U23" s="108" t="str">
        <f t="shared" si="3"/>
        <v/>
      </c>
      <c r="V23" s="108" t="str">
        <f t="shared" si="3"/>
        <v/>
      </c>
      <c r="W23" s="108" t="str">
        <f t="shared" si="3"/>
        <v/>
      </c>
      <c r="X23" s="108" t="str">
        <f t="shared" si="3"/>
        <v/>
      </c>
      <c r="Y23" s="108" t="str">
        <f t="shared" si="3"/>
        <v/>
      </c>
      <c r="Z23" s="108" t="str">
        <f t="shared" si="3"/>
        <v/>
      </c>
      <c r="AA23" s="108" t="str">
        <f t="shared" si="3"/>
        <v/>
      </c>
      <c r="AB23" s="108" t="str" cm="1">
        <f t="array" ref="AB23">IF(LEN($B23)=0,"",IF(LEN(C23)=0,"Nama Siswa Kosong",IF($E23="","Status Siswa Kosong",IF(S23&lt;&gt;"Aktif","Siswa Tidak Aktif",
IF(OR(U23:AA23="Belum mengisi"),"Belum mengisi",IF(AND(U23:AA23="Sudah terbiasa"),"Sudah terbiasa","Belum terbiasa"))))))</f>
        <v/>
      </c>
      <c r="AC23" s="99">
        <f t="shared" ref="AC23:AC29" si="5">RANK(AG23,$AG$23:$AG$29)</f>
        <v>1</v>
      </c>
      <c r="AD23" s="41">
        <v>1</v>
      </c>
      <c r="AE23" s="161" t="s">
        <v>2</v>
      </c>
      <c r="AF23" s="161"/>
      <c r="AG23" s="10">
        <f>COUNTIF(JulBangunPagi,SudahTerbiasa)</f>
        <v>0</v>
      </c>
      <c r="AH23" s="50">
        <f>COUNTIF(JulBangunPagi,SudahTerbiasa)/profilKelas!$F$14</f>
        <v>0</v>
      </c>
      <c r="AI23" s="10">
        <f>COUNTIF(JulBangunPagi,BelumTerbiasa)</f>
        <v>0</v>
      </c>
      <c r="AJ23" s="50">
        <f>AI23/profilKelas!$F$14</f>
        <v>0</v>
      </c>
      <c r="AK23" s="13"/>
      <c r="AL23" s="13"/>
      <c r="AM23" s="13"/>
      <c r="AN23" s="13"/>
      <c r="AO23" s="13"/>
      <c r="AP23" s="13"/>
      <c r="AQ23" s="13"/>
    </row>
    <row r="24" spans="2:43" hidden="1" x14ac:dyDescent="0.3">
      <c r="B24" s="4" t="str">
        <f>IF(ROW(A12)&lt;=profilKelas!$F$14,ROW(A12),"")</f>
        <v/>
      </c>
      <c r="C24" s="94" t="str">
        <f>IF(ISBLANK(identitasMurid!C17),"",identitasMurid!C17)</f>
        <v/>
      </c>
      <c r="D24" s="6" t="str">
        <f>IF(ISBLANK(identitasMurid!D17),"",identitasMurid!D17)</f>
        <v/>
      </c>
      <c r="E24" s="95"/>
      <c r="F24" s="95"/>
      <c r="G24" s="95"/>
      <c r="H24" s="95"/>
      <c r="I24" s="95"/>
      <c r="J24" s="95"/>
      <c r="K24" s="95"/>
      <c r="L24" s="95"/>
      <c r="M24" s="95"/>
      <c r="Q24" s="5" t="str">
        <f>IF(ROW(A12)&lt;=profilKelas!$F$14,ROW(A12),"")</f>
        <v/>
      </c>
      <c r="R24" s="12" t="str">
        <f t="shared" si="0"/>
        <v/>
      </c>
      <c r="S24" s="108" t="str">
        <f t="shared" si="4"/>
        <v/>
      </c>
      <c r="T24" s="108" t="str">
        <f t="shared" si="2"/>
        <v/>
      </c>
      <c r="U24" s="108" t="str">
        <f t="shared" si="3"/>
        <v/>
      </c>
      <c r="V24" s="108" t="str">
        <f t="shared" si="3"/>
        <v/>
      </c>
      <c r="W24" s="108" t="str">
        <f t="shared" si="3"/>
        <v/>
      </c>
      <c r="X24" s="108" t="str">
        <f t="shared" si="3"/>
        <v/>
      </c>
      <c r="Y24" s="108" t="str">
        <f t="shared" si="3"/>
        <v/>
      </c>
      <c r="Z24" s="108" t="str">
        <f t="shared" si="3"/>
        <v/>
      </c>
      <c r="AA24" s="108" t="str">
        <f t="shared" si="3"/>
        <v/>
      </c>
      <c r="AB24" s="108" t="str" cm="1">
        <f t="array" ref="AB24">IF(LEN($B24)=0,"",IF(LEN(C24)=0,"Nama Siswa Kosong",IF($E24="","Status Siswa Kosong",IF(S24&lt;&gt;"Aktif","Siswa Tidak Aktif",
IF(OR(U24:AA24="Belum mengisi"),"Belum mengisi",IF(AND(U24:AA24="Sudah terbiasa"),"Sudah terbiasa","Belum terbiasa"))))))</f>
        <v/>
      </c>
      <c r="AC24" s="99">
        <f t="shared" si="5"/>
        <v>1</v>
      </c>
      <c r="AD24" s="41">
        <v>2</v>
      </c>
      <c r="AE24" s="161" t="s">
        <v>3</v>
      </c>
      <c r="AF24" s="161"/>
      <c r="AG24" s="10">
        <f>COUNTIF(JulTaatBeribadah,SudahTerbiasa)</f>
        <v>0</v>
      </c>
      <c r="AH24" s="50">
        <f>AG24/profilKelas!$F$14</f>
        <v>0</v>
      </c>
      <c r="AI24" s="10">
        <f>COUNTIF(JulTaatBeribadah,BelumTerbiasa)</f>
        <v>0</v>
      </c>
      <c r="AJ24" s="50">
        <f>AI24/profilKelas!$F$14</f>
        <v>0</v>
      </c>
      <c r="AK24" s="13"/>
      <c r="AL24" s="13"/>
      <c r="AM24" s="13"/>
      <c r="AN24" s="13"/>
      <c r="AO24" s="13"/>
      <c r="AP24" s="13"/>
      <c r="AQ24" s="13"/>
    </row>
    <row r="25" spans="2:43" hidden="1" x14ac:dyDescent="0.3">
      <c r="B25" s="4" t="str">
        <f>IF(ROW(A13)&lt;=profilKelas!$F$14,ROW(A13),"")</f>
        <v/>
      </c>
      <c r="C25" s="94" t="str">
        <f>IF(ISBLANK(identitasMurid!C18),"",identitasMurid!C18)</f>
        <v/>
      </c>
      <c r="D25" s="6" t="str">
        <f>IF(ISBLANK(identitasMurid!D18),"",identitasMurid!D18)</f>
        <v/>
      </c>
      <c r="E25" s="95"/>
      <c r="F25" s="95"/>
      <c r="G25" s="95"/>
      <c r="H25" s="95"/>
      <c r="I25" s="95"/>
      <c r="J25" s="95"/>
      <c r="K25" s="95"/>
      <c r="L25" s="95"/>
      <c r="M25" s="95"/>
      <c r="Q25" s="5" t="str">
        <f>IF(ROW(A13)&lt;=profilKelas!$F$14,ROW(A13),"")</f>
        <v/>
      </c>
      <c r="R25" s="12" t="str">
        <f t="shared" si="0"/>
        <v/>
      </c>
      <c r="S25" s="108" t="str">
        <f t="shared" si="4"/>
        <v/>
      </c>
      <c r="T25" s="108" t="str">
        <f t="shared" si="2"/>
        <v/>
      </c>
      <c r="U25" s="108" t="str">
        <f t="shared" si="3"/>
        <v/>
      </c>
      <c r="V25" s="108" t="str">
        <f t="shared" si="3"/>
        <v/>
      </c>
      <c r="W25" s="108" t="str">
        <f t="shared" si="3"/>
        <v/>
      </c>
      <c r="X25" s="108" t="str">
        <f t="shared" si="3"/>
        <v/>
      </c>
      <c r="Y25" s="108" t="str">
        <f t="shared" si="3"/>
        <v/>
      </c>
      <c r="Z25" s="108" t="str">
        <f t="shared" si="3"/>
        <v/>
      </c>
      <c r="AA25" s="108" t="str">
        <f t="shared" si="3"/>
        <v/>
      </c>
      <c r="AB25" s="108" t="str" cm="1">
        <f t="array" ref="AB25">IF(LEN($B25)=0,"",IF(LEN(C25)=0,"Nama Siswa Kosong",IF($E25="","Status Siswa Kosong",IF(S25&lt;&gt;"Aktif","Siswa Tidak Aktif",
IF(OR(U25:AA25="Belum mengisi"),"Belum mengisi",IF(AND(U25:AA25="Sudah terbiasa"),"Sudah terbiasa","Belum terbiasa"))))))</f>
        <v/>
      </c>
      <c r="AC25" s="99">
        <f t="shared" si="5"/>
        <v>1</v>
      </c>
      <c r="AD25" s="41">
        <v>3</v>
      </c>
      <c r="AE25" s="161" t="s">
        <v>4</v>
      </c>
      <c r="AF25" s="161"/>
      <c r="AG25" s="10">
        <f>COUNTIF(JulBerolahraga,SudahTerbiasa)</f>
        <v>0</v>
      </c>
      <c r="AH25" s="50">
        <f>AG25/profilKelas!$F$14</f>
        <v>0</v>
      </c>
      <c r="AI25" s="10">
        <f>COUNTIF(JulBerolahraga,BelumTerbiasa)</f>
        <v>0</v>
      </c>
      <c r="AJ25" s="50">
        <f>AI25/profilKelas!$F$14</f>
        <v>0</v>
      </c>
      <c r="AK25" s="13"/>
      <c r="AL25" s="13"/>
      <c r="AM25" s="13"/>
      <c r="AN25" s="13"/>
      <c r="AO25" s="13"/>
      <c r="AP25" s="13"/>
      <c r="AQ25" s="13"/>
    </row>
    <row r="26" spans="2:43" hidden="1" x14ac:dyDescent="0.3">
      <c r="B26" s="4" t="str">
        <f>IF(ROW(A14)&lt;=profilKelas!$F$14,ROW(A14),"")</f>
        <v/>
      </c>
      <c r="C26" s="94" t="str">
        <f>IF(ISBLANK(identitasMurid!C19),"",identitasMurid!C19)</f>
        <v/>
      </c>
      <c r="D26" s="6" t="str">
        <f>IF(ISBLANK(identitasMurid!D19),"",identitasMurid!D19)</f>
        <v/>
      </c>
      <c r="E26" s="95"/>
      <c r="F26" s="95"/>
      <c r="G26" s="95"/>
      <c r="H26" s="95"/>
      <c r="I26" s="95"/>
      <c r="J26" s="95"/>
      <c r="K26" s="95"/>
      <c r="L26" s="95"/>
      <c r="M26" s="95"/>
      <c r="Q26" s="5" t="str">
        <f>IF(ROW(A14)&lt;=profilKelas!$F$14,ROW(A14),"")</f>
        <v/>
      </c>
      <c r="R26" s="12" t="str">
        <f t="shared" si="0"/>
        <v/>
      </c>
      <c r="S26" s="108" t="str">
        <f t="shared" si="4"/>
        <v/>
      </c>
      <c r="T26" s="108" t="str">
        <f t="shared" si="2"/>
        <v/>
      </c>
      <c r="U26" s="108" t="str">
        <f t="shared" si="3"/>
        <v/>
      </c>
      <c r="V26" s="108" t="str">
        <f t="shared" si="3"/>
        <v/>
      </c>
      <c r="W26" s="108" t="str">
        <f t="shared" si="3"/>
        <v/>
      </c>
      <c r="X26" s="108" t="str">
        <f t="shared" si="3"/>
        <v/>
      </c>
      <c r="Y26" s="108" t="str">
        <f t="shared" si="3"/>
        <v/>
      </c>
      <c r="Z26" s="108" t="str">
        <f t="shared" si="3"/>
        <v/>
      </c>
      <c r="AA26" s="108" t="str">
        <f t="shared" si="3"/>
        <v/>
      </c>
      <c r="AB26" s="108" t="str" cm="1">
        <f t="array" ref="AB26">IF(LEN($B26)=0,"",IF(LEN(C26)=0,"Nama Siswa Kosong",IF($E26="","Status Siswa Kosong",IF(S26&lt;&gt;"Aktif","Siswa Tidak Aktif",
IF(OR(U26:AA26="Belum mengisi"),"Belum mengisi",IF(AND(U26:AA26="Sudah terbiasa"),"Sudah terbiasa","Belum terbiasa"))))))</f>
        <v/>
      </c>
      <c r="AC26" s="99">
        <f t="shared" si="5"/>
        <v>1</v>
      </c>
      <c r="AD26" s="41">
        <v>4</v>
      </c>
      <c r="AE26" s="161" t="s">
        <v>5</v>
      </c>
      <c r="AF26" s="161"/>
      <c r="AG26" s="10">
        <f>COUNTIF(JulMakanSehatBergizi,SudahTerbiasa)</f>
        <v>0</v>
      </c>
      <c r="AH26" s="50">
        <f>AG26/profilKelas!$F$14</f>
        <v>0</v>
      </c>
      <c r="AI26" s="10">
        <f>COUNTIF(JulMakanSehatBergizi,BelumTerbiasa)</f>
        <v>0</v>
      </c>
      <c r="AJ26" s="50">
        <f>AI26/profilKelas!$F$14</f>
        <v>0</v>
      </c>
      <c r="AK26" s="13"/>
      <c r="AL26" s="13"/>
      <c r="AM26" s="13"/>
      <c r="AN26" s="13"/>
      <c r="AO26" s="13"/>
      <c r="AP26" s="13"/>
      <c r="AQ26" s="13"/>
    </row>
    <row r="27" spans="2:43" hidden="1" x14ac:dyDescent="0.3">
      <c r="B27" s="4" t="str">
        <f>IF(ROW(A15)&lt;=profilKelas!$F$14,ROW(A15),"")</f>
        <v/>
      </c>
      <c r="C27" s="94" t="str">
        <f>IF(ISBLANK(identitasMurid!C20),"",identitasMurid!C20)</f>
        <v/>
      </c>
      <c r="D27" s="6" t="str">
        <f>IF(ISBLANK(identitasMurid!D20),"",identitasMurid!D20)</f>
        <v/>
      </c>
      <c r="E27" s="95"/>
      <c r="F27" s="95"/>
      <c r="G27" s="95"/>
      <c r="H27" s="95"/>
      <c r="I27" s="95"/>
      <c r="J27" s="95"/>
      <c r="K27" s="95"/>
      <c r="L27" s="95"/>
      <c r="M27" s="95"/>
      <c r="Q27" s="5" t="str">
        <f>IF(ROW(A15)&lt;=profilKelas!$F$14,ROW(A15),"")</f>
        <v/>
      </c>
      <c r="R27" s="12" t="str">
        <f t="shared" si="0"/>
        <v/>
      </c>
      <c r="S27" s="108" t="str">
        <f t="shared" si="4"/>
        <v/>
      </c>
      <c r="T27" s="108" t="str">
        <f t="shared" si="2"/>
        <v/>
      </c>
      <c r="U27" s="108" t="str">
        <f t="shared" si="3"/>
        <v/>
      </c>
      <c r="V27" s="108" t="str">
        <f t="shared" si="3"/>
        <v/>
      </c>
      <c r="W27" s="108" t="str">
        <f t="shared" si="3"/>
        <v/>
      </c>
      <c r="X27" s="108" t="str">
        <f t="shared" si="3"/>
        <v/>
      </c>
      <c r="Y27" s="108" t="str">
        <f t="shared" si="3"/>
        <v/>
      </c>
      <c r="Z27" s="108" t="str">
        <f t="shared" si="3"/>
        <v/>
      </c>
      <c r="AA27" s="108" t="str">
        <f t="shared" si="3"/>
        <v/>
      </c>
      <c r="AB27" s="108" t="str" cm="1">
        <f t="array" ref="AB27">IF(LEN($B27)=0,"",IF(LEN(C27)=0,"Nama Siswa Kosong",IF($E27="","Status Siswa Kosong",IF(S27&lt;&gt;"Aktif","Siswa Tidak Aktif",
IF(OR(U27:AA27="Belum mengisi"),"Belum mengisi",IF(AND(U27:AA27="Sudah terbiasa"),"Sudah terbiasa","Belum terbiasa"))))))</f>
        <v/>
      </c>
      <c r="AC27" s="99">
        <f t="shared" si="5"/>
        <v>1</v>
      </c>
      <c r="AD27" s="41">
        <v>5</v>
      </c>
      <c r="AE27" s="161" t="s">
        <v>6</v>
      </c>
      <c r="AF27" s="161"/>
      <c r="AG27" s="10">
        <f>COUNTIF(JulGemarBelajar,SudahTerbiasa)</f>
        <v>0</v>
      </c>
      <c r="AH27" s="50">
        <f>AG27/profilKelas!$F$14</f>
        <v>0</v>
      </c>
      <c r="AI27" s="10">
        <f>COUNTIF(JulGemarBelajar,BelumTerbiasa)</f>
        <v>0</v>
      </c>
      <c r="AJ27" s="50">
        <f>AI27/profilKelas!$F$14</f>
        <v>0</v>
      </c>
      <c r="AK27" s="13"/>
      <c r="AL27" s="13"/>
      <c r="AM27" s="13"/>
      <c r="AN27" s="13"/>
      <c r="AO27" s="13"/>
      <c r="AP27" s="13"/>
      <c r="AQ27" s="13"/>
    </row>
    <row r="28" spans="2:43" hidden="1" x14ac:dyDescent="0.3">
      <c r="B28" s="4" t="str">
        <f>IF(ROW(A16)&lt;=profilKelas!$F$14,ROW(A16),"")</f>
        <v/>
      </c>
      <c r="C28" s="94" t="str">
        <f>IF(ISBLANK(identitasMurid!C21),"",identitasMurid!C21)</f>
        <v/>
      </c>
      <c r="D28" s="6" t="str">
        <f>IF(ISBLANK(identitasMurid!D21),"",identitasMurid!D21)</f>
        <v/>
      </c>
      <c r="E28" s="95"/>
      <c r="F28" s="95"/>
      <c r="G28" s="95"/>
      <c r="H28" s="95"/>
      <c r="I28" s="95"/>
      <c r="J28" s="95"/>
      <c r="K28" s="95"/>
      <c r="L28" s="95"/>
      <c r="M28" s="95"/>
      <c r="Q28" s="5" t="str">
        <f>IF(ROW(A16)&lt;=profilKelas!$F$14,ROW(A16),"")</f>
        <v/>
      </c>
      <c r="R28" s="12" t="str">
        <f t="shared" si="0"/>
        <v/>
      </c>
      <c r="S28" s="108" t="str">
        <f t="shared" si="4"/>
        <v/>
      </c>
      <c r="T28" s="108" t="str">
        <f t="shared" si="2"/>
        <v/>
      </c>
      <c r="U28" s="108" t="str">
        <f t="shared" si="3"/>
        <v/>
      </c>
      <c r="V28" s="108" t="str">
        <f t="shared" si="3"/>
        <v/>
      </c>
      <c r="W28" s="108" t="str">
        <f t="shared" si="3"/>
        <v/>
      </c>
      <c r="X28" s="108" t="str">
        <f t="shared" si="3"/>
        <v/>
      </c>
      <c r="Y28" s="108" t="str">
        <f t="shared" si="3"/>
        <v/>
      </c>
      <c r="Z28" s="108" t="str">
        <f t="shared" si="3"/>
        <v/>
      </c>
      <c r="AA28" s="108" t="str">
        <f t="shared" si="3"/>
        <v/>
      </c>
      <c r="AB28" s="108" t="str" cm="1">
        <f t="array" ref="AB28">IF(LEN($B28)=0,"",IF(LEN(C28)=0,"Nama Siswa Kosong",IF($E28="","Status Siswa Kosong",IF(S28&lt;&gt;"Aktif","Siswa Tidak Aktif",
IF(OR(U28:AA28="Belum mengisi"),"Belum mengisi",IF(AND(U28:AA28="Sudah terbiasa"),"Sudah terbiasa","Belum terbiasa"))))))</f>
        <v/>
      </c>
      <c r="AC28" s="99">
        <f t="shared" si="5"/>
        <v>1</v>
      </c>
      <c r="AD28" s="41">
        <v>6</v>
      </c>
      <c r="AE28" s="161" t="s">
        <v>7</v>
      </c>
      <c r="AF28" s="161"/>
      <c r="AG28" s="10">
        <f>COUNTIF(JulAktifBermasyarakat,SudahTerbiasa)</f>
        <v>0</v>
      </c>
      <c r="AH28" s="50">
        <f>AG28/profilKelas!$F$14</f>
        <v>0</v>
      </c>
      <c r="AI28" s="10">
        <f>COUNTIF(JulAktifBermasyarakat,BelumTerbiasa)</f>
        <v>0</v>
      </c>
      <c r="AJ28" s="50">
        <f>AI28/profilKelas!$F$14</f>
        <v>0</v>
      </c>
      <c r="AK28" s="13"/>
      <c r="AL28" s="43"/>
      <c r="AM28" s="43"/>
      <c r="AN28" s="43"/>
      <c r="AO28" s="43"/>
      <c r="AP28" s="43"/>
      <c r="AQ28" s="43"/>
    </row>
    <row r="29" spans="2:43" hidden="1" x14ac:dyDescent="0.3">
      <c r="B29" s="4" t="str">
        <f>IF(ROW(A17)&lt;=profilKelas!$F$14,ROW(A17),"")</f>
        <v/>
      </c>
      <c r="C29" s="94" t="str">
        <f>IF(ISBLANK(identitasMurid!C22),"",identitasMurid!C22)</f>
        <v/>
      </c>
      <c r="D29" s="6" t="str">
        <f>IF(ISBLANK(identitasMurid!D22),"",identitasMurid!D22)</f>
        <v/>
      </c>
      <c r="E29" s="95"/>
      <c r="F29" s="95"/>
      <c r="G29" s="95"/>
      <c r="H29" s="95"/>
      <c r="I29" s="95"/>
      <c r="J29" s="95"/>
      <c r="K29" s="95"/>
      <c r="L29" s="95"/>
      <c r="M29" s="95"/>
      <c r="Q29" s="5" t="str">
        <f>IF(ROW(A17)&lt;=profilKelas!$F$14,ROW(A17),"")</f>
        <v/>
      </c>
      <c r="R29" s="12" t="str">
        <f t="shared" si="0"/>
        <v/>
      </c>
      <c r="S29" s="108" t="str">
        <f t="shared" si="4"/>
        <v/>
      </c>
      <c r="T29" s="108" t="str">
        <f t="shared" si="2"/>
        <v/>
      </c>
      <c r="U29" s="108" t="str">
        <f t="shared" ref="U29:AA57" si="6">IF(LEN($B29)=0,"",IF(LEN($C29)=0,"Nama Siswa Kosong",IF($E29="","Status Siswa Kosong",IF($E29&lt;&gt;"Aktif","Siswa Tidak Aktif",
IF(ISBLANK(F29),"Belum mengisi",IF(F29&gt;=20,"Sudah terbiasa","Belum terbiasa"))))))</f>
        <v/>
      </c>
      <c r="V29" s="108" t="str">
        <f t="shared" si="6"/>
        <v/>
      </c>
      <c r="W29" s="108" t="str">
        <f t="shared" si="6"/>
        <v/>
      </c>
      <c r="X29" s="108" t="str">
        <f t="shared" si="6"/>
        <v/>
      </c>
      <c r="Y29" s="108" t="str">
        <f t="shared" si="6"/>
        <v/>
      </c>
      <c r="Z29" s="108" t="str">
        <f t="shared" si="6"/>
        <v/>
      </c>
      <c r="AA29" s="108" t="str">
        <f t="shared" si="6"/>
        <v/>
      </c>
      <c r="AB29" s="108" t="str" cm="1">
        <f t="array" ref="AB29">IF(LEN($B29)=0,"",IF(LEN(C29)=0,"Nama Siswa Kosong",IF($E29="","Status Siswa Kosong",IF(S29&lt;&gt;"Aktif","Siswa Tidak Aktif",
IF(OR(U29:AA29="Belum mengisi"),"Belum mengisi",IF(AND(U29:AA29="Sudah terbiasa"),"Sudah terbiasa","Belum terbiasa"))))))</f>
        <v/>
      </c>
      <c r="AC29" s="99">
        <f t="shared" si="5"/>
        <v>1</v>
      </c>
      <c r="AD29" s="41">
        <v>7</v>
      </c>
      <c r="AE29" s="161" t="s">
        <v>8</v>
      </c>
      <c r="AF29" s="161"/>
      <c r="AG29" s="10">
        <f>COUNTIF(JulTidurCepat,SudahTerbiasa)</f>
        <v>0</v>
      </c>
      <c r="AH29" s="50">
        <f>AG29/profilKelas!$F$14</f>
        <v>0</v>
      </c>
      <c r="AI29" s="10">
        <f>COUNTIF(JulTidurCepat,BelumTerbiasa)</f>
        <v>0</v>
      </c>
      <c r="AJ29" s="50">
        <f>AI29/profilKelas!$F$14</f>
        <v>0</v>
      </c>
      <c r="AK29" s="13"/>
      <c r="AL29" s="43"/>
      <c r="AM29" s="43"/>
      <c r="AN29" s="43"/>
      <c r="AO29" s="43"/>
      <c r="AP29" s="43"/>
      <c r="AQ29" s="43"/>
    </row>
    <row r="30" spans="2:43" hidden="1" x14ac:dyDescent="0.3">
      <c r="B30" s="4" t="str">
        <f>IF(ROW(A18)&lt;=profilKelas!$F$14,ROW(A18),"")</f>
        <v/>
      </c>
      <c r="C30" s="94" t="str">
        <f>IF(ISBLANK(identitasMurid!C23),"",identitasMurid!C23)</f>
        <v/>
      </c>
      <c r="D30" s="6" t="str">
        <f>IF(ISBLANK(identitasMurid!D23),"",identitasMurid!D23)</f>
        <v/>
      </c>
      <c r="E30" s="95"/>
      <c r="F30" s="95"/>
      <c r="G30" s="95"/>
      <c r="H30" s="95"/>
      <c r="I30" s="95"/>
      <c r="J30" s="95"/>
      <c r="K30" s="95"/>
      <c r="L30" s="95"/>
      <c r="M30" s="95"/>
      <c r="Q30" s="5" t="str">
        <f>IF(ROW(A18)&lt;=profilKelas!$F$14,ROW(A18),"")</f>
        <v/>
      </c>
      <c r="R30" s="12" t="str">
        <f t="shared" si="0"/>
        <v/>
      </c>
      <c r="S30" s="108" t="str">
        <f t="shared" si="4"/>
        <v/>
      </c>
      <c r="T30" s="108" t="str">
        <f t="shared" si="2"/>
        <v/>
      </c>
      <c r="U30" s="108" t="str">
        <f t="shared" si="6"/>
        <v/>
      </c>
      <c r="V30" s="108" t="str">
        <f t="shared" si="6"/>
        <v/>
      </c>
      <c r="W30" s="108" t="str">
        <f t="shared" si="6"/>
        <v/>
      </c>
      <c r="X30" s="108" t="str">
        <f t="shared" si="6"/>
        <v/>
      </c>
      <c r="Y30" s="108" t="str">
        <f t="shared" si="6"/>
        <v/>
      </c>
      <c r="Z30" s="108" t="str">
        <f t="shared" si="6"/>
        <v/>
      </c>
      <c r="AA30" s="108" t="str">
        <f t="shared" si="6"/>
        <v/>
      </c>
      <c r="AB30" s="108" t="str" cm="1">
        <f t="array" ref="AB30">IF(LEN($B30)=0,"",IF(LEN(C30)=0,"Nama Siswa Kosong",IF($E30="","Status Siswa Kosong",IF(S30&lt;&gt;"Aktif","Siswa Tidak Aktif",
IF(OR(U30:AA30="Belum mengisi"),"Belum mengisi",IF(AND(U30:AA30="Sudah terbiasa"),"Sudah terbiasa","Belum terbiasa"))))))</f>
        <v/>
      </c>
      <c r="AD30" s="13"/>
      <c r="AE30" s="13"/>
      <c r="AF30" s="13"/>
      <c r="AG30" s="13"/>
      <c r="AH30" s="13"/>
      <c r="AI30" s="13"/>
      <c r="AJ30" s="13"/>
      <c r="AK30" s="13"/>
      <c r="AL30" s="43"/>
      <c r="AM30" s="43"/>
      <c r="AN30" s="43"/>
      <c r="AO30" s="43"/>
      <c r="AP30" s="43"/>
      <c r="AQ30" s="43"/>
    </row>
    <row r="31" spans="2:43" hidden="1" x14ac:dyDescent="0.3">
      <c r="B31" s="4" t="str">
        <f>IF(ROW(A19)&lt;=profilKelas!$F$14,ROW(A19),"")</f>
        <v/>
      </c>
      <c r="C31" s="94" t="str">
        <f>IF(ISBLANK(identitasMurid!C24),"",identitasMurid!C24)</f>
        <v/>
      </c>
      <c r="D31" s="6" t="str">
        <f>IF(ISBLANK(identitasMurid!D24),"",identitasMurid!D24)</f>
        <v/>
      </c>
      <c r="E31" s="95"/>
      <c r="F31" s="95"/>
      <c r="G31" s="95"/>
      <c r="H31" s="95"/>
      <c r="I31" s="95"/>
      <c r="J31" s="95"/>
      <c r="K31" s="95"/>
      <c r="L31" s="95"/>
      <c r="M31" s="95"/>
      <c r="Q31" s="5" t="str">
        <f>IF(ROW(A19)&lt;=profilKelas!$F$14,ROW(A19),"")</f>
        <v/>
      </c>
      <c r="R31" s="12" t="str">
        <f t="shared" si="0"/>
        <v/>
      </c>
      <c r="S31" s="108" t="str">
        <f t="shared" si="4"/>
        <v/>
      </c>
      <c r="T31" s="108" t="str">
        <f t="shared" si="2"/>
        <v/>
      </c>
      <c r="U31" s="108" t="str">
        <f t="shared" si="6"/>
        <v/>
      </c>
      <c r="V31" s="108" t="str">
        <f t="shared" si="6"/>
        <v/>
      </c>
      <c r="W31" s="108" t="str">
        <f t="shared" si="6"/>
        <v/>
      </c>
      <c r="X31" s="108" t="str">
        <f t="shared" si="6"/>
        <v/>
      </c>
      <c r="Y31" s="108" t="str">
        <f t="shared" si="6"/>
        <v/>
      </c>
      <c r="Z31" s="108" t="str">
        <f t="shared" si="6"/>
        <v/>
      </c>
      <c r="AA31" s="108" t="str">
        <f t="shared" si="6"/>
        <v/>
      </c>
      <c r="AB31" s="108" t="str" cm="1">
        <f t="array" ref="AB31">IF(LEN($B31)=0,"",IF(LEN(C31)=0,"Nama Siswa Kosong",IF($E31="","Status Siswa Kosong",IF(S31&lt;&gt;"Aktif","Siswa Tidak Aktif",
IF(OR(U31:AA31="Belum mengisi"),"Belum mengisi",IF(AND(U31:AA31="Sudah terbiasa"),"Sudah terbiasa","Belum terbiasa"))))))</f>
        <v/>
      </c>
      <c r="AD31" s="13"/>
      <c r="AE31" s="13"/>
      <c r="AF31" s="13"/>
      <c r="AG31" s="148" t="s">
        <v>607</v>
      </c>
      <c r="AH31" s="148"/>
      <c r="AI31" s="148"/>
      <c r="AJ31" s="148"/>
      <c r="AK31" s="148" t="s">
        <v>608</v>
      </c>
      <c r="AL31" s="148"/>
      <c r="AM31" s="148"/>
      <c r="AN31" s="148"/>
      <c r="AO31" s="13"/>
      <c r="AP31" s="13"/>
      <c r="AQ31" s="13"/>
    </row>
    <row r="32" spans="2:43" hidden="1" x14ac:dyDescent="0.3">
      <c r="B32" s="4" t="str">
        <f>IF(ROW(A20)&lt;=profilKelas!$F$14,ROW(A20),"")</f>
        <v/>
      </c>
      <c r="C32" s="94" t="str">
        <f>IF(ISBLANK(identitasMurid!C25),"",identitasMurid!C25)</f>
        <v/>
      </c>
      <c r="D32" s="6" t="str">
        <f>IF(ISBLANK(identitasMurid!D25),"",identitasMurid!D25)</f>
        <v/>
      </c>
      <c r="E32" s="95"/>
      <c r="F32" s="95"/>
      <c r="G32" s="95"/>
      <c r="H32" s="95"/>
      <c r="I32" s="95"/>
      <c r="J32" s="95"/>
      <c r="K32" s="95"/>
      <c r="L32" s="95"/>
      <c r="M32" s="95"/>
      <c r="Q32" s="5" t="str">
        <f>IF(ROW(A20)&lt;=profilKelas!$F$14,ROW(A20),"")</f>
        <v/>
      </c>
      <c r="R32" s="12" t="str">
        <f t="shared" si="0"/>
        <v/>
      </c>
      <c r="S32" s="108" t="str">
        <f t="shared" si="4"/>
        <v/>
      </c>
      <c r="T32" s="108" t="str">
        <f t="shared" si="2"/>
        <v/>
      </c>
      <c r="U32" s="108" t="str">
        <f t="shared" si="6"/>
        <v/>
      </c>
      <c r="V32" s="108" t="str">
        <f t="shared" si="6"/>
        <v/>
      </c>
      <c r="W32" s="108" t="str">
        <f t="shared" si="6"/>
        <v/>
      </c>
      <c r="X32" s="108" t="str">
        <f t="shared" si="6"/>
        <v/>
      </c>
      <c r="Y32" s="108" t="str">
        <f t="shared" si="6"/>
        <v/>
      </c>
      <c r="Z32" s="108" t="str">
        <f t="shared" si="6"/>
        <v/>
      </c>
      <c r="AA32" s="108" t="str">
        <f t="shared" si="6"/>
        <v/>
      </c>
      <c r="AB32" s="108" t="str" cm="1">
        <f t="array" ref="AB32">IF(LEN($B32)=0,"",IF(LEN(C32)=0,"Nama Siswa Kosong",IF($E32="","Status Siswa Kosong",IF(S32&lt;&gt;"Aktif","Siswa Tidak Aktif",
IF(OR(U32:AA32="Belum mengisi"),"Belum mengisi",IF(AND(U32:AA32="Sudah terbiasa"),"Sudah terbiasa","Belum terbiasa"))))))</f>
        <v/>
      </c>
      <c r="AD32" s="98" t="s">
        <v>0</v>
      </c>
      <c r="AE32" s="148" t="s">
        <v>18</v>
      </c>
      <c r="AF32" s="148"/>
      <c r="AG32" s="148" t="s">
        <v>597</v>
      </c>
      <c r="AH32" s="148"/>
      <c r="AI32" s="148" t="s">
        <v>598</v>
      </c>
      <c r="AJ32" s="148"/>
      <c r="AK32" s="148" t="s">
        <v>597</v>
      </c>
      <c r="AL32" s="148"/>
      <c r="AM32" s="148" t="s">
        <v>598</v>
      </c>
      <c r="AN32" s="148"/>
      <c r="AO32" s="13"/>
      <c r="AP32" s="13"/>
      <c r="AQ32" s="13"/>
    </row>
    <row r="33" spans="2:43" hidden="1" x14ac:dyDescent="0.3">
      <c r="B33" s="4" t="str">
        <f>IF(ROW(A21)&lt;=profilKelas!$F$14,ROW(A21),"")</f>
        <v/>
      </c>
      <c r="C33" s="94" t="str">
        <f>IF(ISBLANK(identitasMurid!C26),"",identitasMurid!C26)</f>
        <v/>
      </c>
      <c r="D33" s="6" t="str">
        <f>IF(ISBLANK(identitasMurid!D26),"",identitasMurid!D26)</f>
        <v/>
      </c>
      <c r="E33" s="95"/>
      <c r="F33" s="95"/>
      <c r="G33" s="95"/>
      <c r="H33" s="95"/>
      <c r="I33" s="95"/>
      <c r="J33" s="95"/>
      <c r="K33" s="95"/>
      <c r="L33" s="95"/>
      <c r="M33" s="95"/>
      <c r="Q33" s="5" t="str">
        <f>IF(ROW(A21)&lt;=profilKelas!$F$14,ROW(A21),"")</f>
        <v/>
      </c>
      <c r="R33" s="12" t="str">
        <f t="shared" si="0"/>
        <v/>
      </c>
      <c r="S33" s="108" t="str">
        <f t="shared" si="4"/>
        <v/>
      </c>
      <c r="T33" s="108" t="str">
        <f t="shared" si="2"/>
        <v/>
      </c>
      <c r="U33" s="108" t="str">
        <f t="shared" si="6"/>
        <v/>
      </c>
      <c r="V33" s="108" t="str">
        <f t="shared" si="6"/>
        <v/>
      </c>
      <c r="W33" s="108" t="str">
        <f t="shared" si="6"/>
        <v/>
      </c>
      <c r="X33" s="108" t="str">
        <f t="shared" si="6"/>
        <v/>
      </c>
      <c r="Y33" s="108" t="str">
        <f t="shared" si="6"/>
        <v/>
      </c>
      <c r="Z33" s="108" t="str">
        <f t="shared" si="6"/>
        <v/>
      </c>
      <c r="AA33" s="108" t="str">
        <f t="shared" si="6"/>
        <v/>
      </c>
      <c r="AB33" s="108" t="str" cm="1">
        <f t="array" ref="AB33">IF(LEN($B33)=0,"",IF(LEN(C33)=0,"Nama Siswa Kosong",IF($E33="","Status Siswa Kosong",IF(S33&lt;&gt;"Aktif","Siswa Tidak Aktif",
IF(OR(U33:AA33="Belum mengisi"),"Belum mengisi",IF(AND(U33:AA33="Sudah terbiasa"),"Sudah terbiasa","Belum terbiasa"))))))</f>
        <v/>
      </c>
      <c r="AD33" s="41">
        <v>1</v>
      </c>
      <c r="AE33" s="161" t="s">
        <v>2</v>
      </c>
      <c r="AF33" s="161"/>
      <c r="AG33" s="51">
        <f>COUNTIFS(JulBangunPagi,SudahTerbiasa,JulPL,Perempuan)</f>
        <v>0</v>
      </c>
      <c r="AH33" s="52" t="str">
        <f>IFERROR(IF($AF$18=0,"",COUNTIFS(JulBangunPagi,SudahTerbiasa,JulPL,Perempuan)/COUNTIFS(JulPL,Perempuan)),)</f>
        <v/>
      </c>
      <c r="AI33" s="53">
        <f>COUNTIFS(JulBangunPagi,BelumTerbiasa,JulPL,Perempuan)</f>
        <v>0</v>
      </c>
      <c r="AJ33" s="54" t="str">
        <f>IFERROR(IF($AF$18=0,"",COUNTIFS(JulBangunPagi,BelumTerbiasa,JulPL,Perempuan)/COUNTIF(JulPL,Perempuan)),)</f>
        <v/>
      </c>
      <c r="AK33" s="55">
        <f>COUNTIFS(JulBangunPagi,SudahTerbiasa,JulPL,Laki_Laki)</f>
        <v>0</v>
      </c>
      <c r="AL33" s="56" t="str">
        <f>IFERROR(IF($AF$18=0,"",COUNTIFS(JulBangunPagi,SudahTerbiasa,JulPL,Laki_Laki)/COUNTIFS(JulPL,Laki_Laki)),)</f>
        <v/>
      </c>
      <c r="AM33" s="57">
        <f>COUNTIFS(JulBangunPagi,BelumTerbiasa,JulPL,Laki_Laki)</f>
        <v>0</v>
      </c>
      <c r="AN33" s="58" t="str">
        <f>IFERROR(IF($AF$18=0,"",COUNTIFS(JulBangunPagi,BelumTerbiasa,JulPL,Laki_Laki)/COUNTIFS(JulPL,Laki_Laki)),)</f>
        <v/>
      </c>
      <c r="AO33" s="13"/>
      <c r="AP33" s="13"/>
      <c r="AQ33" s="13"/>
    </row>
    <row r="34" spans="2:43" hidden="1" x14ac:dyDescent="0.3">
      <c r="B34" s="4" t="str">
        <f>IF(ROW(A22)&lt;=profilKelas!$F$14,ROW(A22),"")</f>
        <v/>
      </c>
      <c r="C34" s="94" t="str">
        <f>IF(ISBLANK(identitasMurid!C27),"",identitasMurid!C27)</f>
        <v/>
      </c>
      <c r="D34" s="6" t="str">
        <f>IF(ISBLANK(identitasMurid!D27),"",identitasMurid!D27)</f>
        <v/>
      </c>
      <c r="E34" s="95"/>
      <c r="F34" s="95"/>
      <c r="G34" s="95"/>
      <c r="H34" s="95"/>
      <c r="I34" s="95"/>
      <c r="J34" s="95"/>
      <c r="K34" s="95"/>
      <c r="L34" s="95"/>
      <c r="M34" s="95"/>
      <c r="Q34" s="5" t="str">
        <f>IF(ROW(A22)&lt;=profilKelas!$F$14,ROW(A22),"")</f>
        <v/>
      </c>
      <c r="R34" s="12" t="str">
        <f t="shared" si="0"/>
        <v/>
      </c>
      <c r="S34" s="108" t="str">
        <f t="shared" si="4"/>
        <v/>
      </c>
      <c r="T34" s="108" t="str">
        <f t="shared" si="2"/>
        <v/>
      </c>
      <c r="U34" s="108" t="str">
        <f t="shared" si="6"/>
        <v/>
      </c>
      <c r="V34" s="108" t="str">
        <f t="shared" si="6"/>
        <v/>
      </c>
      <c r="W34" s="108" t="str">
        <f t="shared" si="6"/>
        <v/>
      </c>
      <c r="X34" s="108" t="str">
        <f t="shared" si="6"/>
        <v/>
      </c>
      <c r="Y34" s="108" t="str">
        <f t="shared" si="6"/>
        <v/>
      </c>
      <c r="Z34" s="108" t="str">
        <f t="shared" si="6"/>
        <v/>
      </c>
      <c r="AA34" s="108" t="str">
        <f t="shared" si="6"/>
        <v/>
      </c>
      <c r="AB34" s="108" t="str" cm="1">
        <f t="array" ref="AB34">IF(LEN($B34)=0,"",IF(LEN(C34)=0,"Nama Siswa Kosong",IF($E34="","Status Siswa Kosong",IF(S34&lt;&gt;"Aktif","Siswa Tidak Aktif",
IF(OR(U34:AA34="Belum mengisi"),"Belum mengisi",IF(AND(U34:AA34="Sudah terbiasa"),"Sudah terbiasa","Belum terbiasa"))))))</f>
        <v/>
      </c>
      <c r="AD34" s="41">
        <v>2</v>
      </c>
      <c r="AE34" s="161" t="s">
        <v>3</v>
      </c>
      <c r="AF34" s="161"/>
      <c r="AG34" s="51">
        <f>COUNTIFS(JulTaatBeribadah,SudahTerbiasa,JulPL,Perempuan)</f>
        <v>0</v>
      </c>
      <c r="AH34" s="52" t="str">
        <f>IFERROR(IF($AF$18=0,"",COUNTIFS(JulTaatBeribadah,SudahTerbiasa,JulPL,Perempuan)/COUNTIFS(JulPL,Perempuan)),)</f>
        <v/>
      </c>
      <c r="AI34" s="53">
        <f>COUNTIFS(JulTaatBeribadah,BelumTerbiasa,JulPL,Perempuan)</f>
        <v>0</v>
      </c>
      <c r="AJ34" s="59" t="str">
        <f>IFERROR(IF($AF$18=0,"",COUNTIFS(JulTaatBeribadah,BelumTerbiasa,JulPL,Perempuan)/COUNTIFS(JulPL,Perempuan)),)</f>
        <v/>
      </c>
      <c r="AK34" s="55">
        <f>COUNTIFS(JulTaatBeribadah,SudahTerbiasa,JulPL,Laki_Laki)</f>
        <v>0</v>
      </c>
      <c r="AL34" s="56" t="str">
        <f>IFERROR(IF($AF$18=0,"",COUNTIFS(JulTaatBeribadah,SudahTerbiasa,JulPL,Laki_Laki)/COUNTIFS(JulPL,Laki_Laki)),)</f>
        <v/>
      </c>
      <c r="AM34" s="57">
        <f>COUNTIFS(JulTaatBeribadah,BelumTerbiasa,JulPL,Laki_Laki)</f>
        <v>0</v>
      </c>
      <c r="AN34" s="58" t="str">
        <f>IFERROR(IF($AF$18=0,"",COUNTIFS(JulTaatBeribadah,BelumTerbiasa,JulPL,Laki_Laki)/COUNTIFS(JulPL,Laki_Laki)),)</f>
        <v/>
      </c>
      <c r="AO34" s="13"/>
      <c r="AP34" s="13"/>
      <c r="AQ34" s="13"/>
    </row>
    <row r="35" spans="2:43" hidden="1" x14ac:dyDescent="0.3">
      <c r="B35" s="4" t="str">
        <f>IF(ROW(A23)&lt;=profilKelas!$F$14,ROW(A23),"")</f>
        <v/>
      </c>
      <c r="C35" s="94" t="str">
        <f>IF(ISBLANK(identitasMurid!C28),"",identitasMurid!C28)</f>
        <v/>
      </c>
      <c r="D35" s="6" t="str">
        <f>IF(ISBLANK(identitasMurid!D28),"",identitasMurid!D28)</f>
        <v/>
      </c>
      <c r="E35" s="95"/>
      <c r="F35" s="95"/>
      <c r="G35" s="95"/>
      <c r="H35" s="95"/>
      <c r="I35" s="95"/>
      <c r="J35" s="95"/>
      <c r="K35" s="95"/>
      <c r="L35" s="95"/>
      <c r="M35" s="95"/>
      <c r="Q35" s="5" t="str">
        <f>IF(ROW(A23)&lt;=profilKelas!$F$14,ROW(A23),"")</f>
        <v/>
      </c>
      <c r="R35" s="12" t="str">
        <f t="shared" si="0"/>
        <v/>
      </c>
      <c r="S35" s="108" t="str">
        <f t="shared" si="4"/>
        <v/>
      </c>
      <c r="T35" s="108" t="str">
        <f t="shared" si="2"/>
        <v/>
      </c>
      <c r="U35" s="108" t="str">
        <f t="shared" si="6"/>
        <v/>
      </c>
      <c r="V35" s="108" t="str">
        <f t="shared" si="6"/>
        <v/>
      </c>
      <c r="W35" s="108" t="str">
        <f t="shared" si="6"/>
        <v/>
      </c>
      <c r="X35" s="108" t="str">
        <f t="shared" si="6"/>
        <v/>
      </c>
      <c r="Y35" s="108" t="str">
        <f t="shared" si="6"/>
        <v/>
      </c>
      <c r="Z35" s="108" t="str">
        <f t="shared" si="6"/>
        <v/>
      </c>
      <c r="AA35" s="108" t="str">
        <f t="shared" si="6"/>
        <v/>
      </c>
      <c r="AB35" s="108" t="str" cm="1">
        <f t="array" ref="AB35">IF(LEN($B35)=0,"",IF(LEN(C35)=0,"Nama Siswa Kosong",IF($E35="","Status Siswa Kosong",IF(S35&lt;&gt;"Aktif","Siswa Tidak Aktif",
IF(OR(U35:AA35="Belum mengisi"),"Belum mengisi",IF(AND(U35:AA35="Sudah terbiasa"),"Sudah terbiasa","Belum terbiasa"))))))</f>
        <v/>
      </c>
      <c r="AD35" s="41">
        <v>3</v>
      </c>
      <c r="AE35" s="161" t="s">
        <v>4</v>
      </c>
      <c r="AF35" s="161"/>
      <c r="AG35" s="51">
        <f>COUNTIFS(JulBerolahraga,SudahTerbiasa,JulPL,Perempuan)</f>
        <v>0</v>
      </c>
      <c r="AH35" s="52" t="str">
        <f>IFERROR(IF($AF$18=0,"",COUNTIFS(JulBerolahraga,SudahTerbiasa,JulPL,Perempuan)/COUNTIFS(JulPL,Perempuan)),)</f>
        <v/>
      </c>
      <c r="AI35" s="53">
        <f>COUNTIFS(JulBerolahraga,BelumTerbiasa,JulPL,Perempuan)</f>
        <v>0</v>
      </c>
      <c r="AJ35" s="59" t="str">
        <f>IFERROR(IF($AF$18=0,"",COUNTIFS(JulBerolahraga,BelumTerbiasa,JulPL,Perempuan)/COUNTIFS(JulPL,Perempuan)),)</f>
        <v/>
      </c>
      <c r="AK35" s="55">
        <f>COUNTIFS(JulBerolahraga,SudahTerbiasa,JulPL,Laki_Laki)</f>
        <v>0</v>
      </c>
      <c r="AL35" s="56" t="str">
        <f>IFERROR(IF($AF$18=0,"",COUNTIFS(JulBerolahraga,SudahTerbiasa,JulPL,Laki_Laki)/COUNTIFS(JulPL,Laki_Laki)),)</f>
        <v/>
      </c>
      <c r="AM35" s="57">
        <f>COUNTIFS(JulBerolahraga,BelumTerbiasa,JulPL,Laki_Laki)</f>
        <v>0</v>
      </c>
      <c r="AN35" s="58" t="str">
        <f>IFERROR(IF($AF$18=0,"",COUNTIFS(JulBerolahraga,BelumTerbiasa,JulPL,Laki_Laki)/COUNTIFS(JulPL,Laki_Laki)),)</f>
        <v/>
      </c>
      <c r="AO35" s="13"/>
      <c r="AP35" s="13"/>
      <c r="AQ35" s="13"/>
    </row>
    <row r="36" spans="2:43" hidden="1" x14ac:dyDescent="0.3">
      <c r="B36" s="4" t="str">
        <f>IF(ROW(A24)&lt;=profilKelas!$F$14,ROW(A24),"")</f>
        <v/>
      </c>
      <c r="C36" s="94" t="str">
        <f>IF(ISBLANK(identitasMurid!C29),"",identitasMurid!C29)</f>
        <v/>
      </c>
      <c r="D36" s="6" t="str">
        <f>IF(ISBLANK(identitasMurid!D29),"",identitasMurid!D29)</f>
        <v/>
      </c>
      <c r="E36" s="95"/>
      <c r="F36" s="95"/>
      <c r="G36" s="95"/>
      <c r="H36" s="95"/>
      <c r="I36" s="95"/>
      <c r="J36" s="95"/>
      <c r="K36" s="95"/>
      <c r="L36" s="95"/>
      <c r="M36" s="95"/>
      <c r="Q36" s="5" t="str">
        <f>IF(ROW(A24)&lt;=profilKelas!$F$14,ROW(A24),"")</f>
        <v/>
      </c>
      <c r="R36" s="12" t="str">
        <f t="shared" si="0"/>
        <v/>
      </c>
      <c r="S36" s="108" t="str">
        <f t="shared" si="4"/>
        <v/>
      </c>
      <c r="T36" s="108" t="str">
        <f t="shared" si="2"/>
        <v/>
      </c>
      <c r="U36" s="108" t="str">
        <f t="shared" si="6"/>
        <v/>
      </c>
      <c r="V36" s="108" t="str">
        <f t="shared" si="6"/>
        <v/>
      </c>
      <c r="W36" s="108" t="str">
        <f t="shared" si="6"/>
        <v/>
      </c>
      <c r="X36" s="108" t="str">
        <f t="shared" si="6"/>
        <v/>
      </c>
      <c r="Y36" s="108" t="str">
        <f t="shared" si="6"/>
        <v/>
      </c>
      <c r="Z36" s="108" t="str">
        <f t="shared" si="6"/>
        <v/>
      </c>
      <c r="AA36" s="108" t="str">
        <f t="shared" si="6"/>
        <v/>
      </c>
      <c r="AB36" s="108" t="str" cm="1">
        <f t="array" ref="AB36">IF(LEN($B36)=0,"",IF(LEN(C36)=0,"Nama Siswa Kosong",IF($E36="","Status Siswa Kosong",IF(S36&lt;&gt;"Aktif","Siswa Tidak Aktif",
IF(OR(U36:AA36="Belum mengisi"),"Belum mengisi",IF(AND(U36:AA36="Sudah terbiasa"),"Sudah terbiasa","Belum terbiasa"))))))</f>
        <v/>
      </c>
      <c r="AD36" s="41">
        <v>4</v>
      </c>
      <c r="AE36" s="161" t="s">
        <v>5</v>
      </c>
      <c r="AF36" s="161"/>
      <c r="AG36" s="51">
        <f>COUNTIFS(JulMakanSehatBergizi,SudahTerbiasa,JulPL,Perempuan)</f>
        <v>0</v>
      </c>
      <c r="AH36" s="52" t="str">
        <f>IFERROR(IF($AF$18=0,"",COUNTIFS(JulMakanSehatBergizi,SudahTerbiasa,JulPL,Perempuan)/COUNTIFS(JulPL,Perempuan)),)</f>
        <v/>
      </c>
      <c r="AI36" s="53">
        <f>COUNTIFS(JulMakanSehatBergizi,BelumTerbiasa,JulPL,Perempuan)</f>
        <v>0</v>
      </c>
      <c r="AJ36" s="59" t="str">
        <f>IFERROR(IF($AF$18=0,"",COUNTIFS(JulMakanSehatBergizi,BelumTerbiasa,JulPL,Perempuan)/COUNTIFS(JulPL,Perempuan)),)</f>
        <v/>
      </c>
      <c r="AK36" s="55">
        <f>COUNTIFS(JulMakanSehatBergizi,SudahTerbiasa,JulPL,Laki_Laki)</f>
        <v>0</v>
      </c>
      <c r="AL36" s="56" t="str">
        <f>IFERROR(IF($AF$18=0,"",COUNTIFS(JulMakanSehatBergizi,SudahTerbiasa,JulPL,Laki_Laki)/COUNTIFS(JulPL,Laki_Laki)),)</f>
        <v/>
      </c>
      <c r="AM36" s="57">
        <f>COUNTIFS(JulMakanSehatBergizi,BelumTerbiasa,JulPL,Laki_Laki)</f>
        <v>0</v>
      </c>
      <c r="AN36" s="58" t="str">
        <f>IFERROR(IF($AF$18=0,"",COUNTIFS(JulMakanSehatBergizi,BelumTerbiasa,JulPL,Laki_Laki)/COUNTIFS(JulPL,Laki_Laki)),)</f>
        <v/>
      </c>
      <c r="AO36" s="13"/>
      <c r="AP36" s="13"/>
      <c r="AQ36" s="13"/>
    </row>
    <row r="37" spans="2:43" hidden="1" x14ac:dyDescent="0.3">
      <c r="B37" s="4" t="str">
        <f>IF(ROW(A25)&lt;=profilKelas!$F$14,ROW(A25),"")</f>
        <v/>
      </c>
      <c r="C37" s="94" t="str">
        <f>IF(ISBLANK(identitasMurid!C30),"",identitasMurid!C30)</f>
        <v/>
      </c>
      <c r="D37" s="6" t="str">
        <f>IF(ISBLANK(identitasMurid!D30),"",identitasMurid!D30)</f>
        <v/>
      </c>
      <c r="E37" s="95"/>
      <c r="F37" s="95"/>
      <c r="G37" s="95"/>
      <c r="H37" s="95"/>
      <c r="I37" s="95"/>
      <c r="J37" s="95"/>
      <c r="K37" s="95"/>
      <c r="L37" s="95"/>
      <c r="M37" s="95"/>
      <c r="Q37" s="5" t="str">
        <f>IF(ROW(A25)&lt;=profilKelas!$F$14,ROW(A25),"")</f>
        <v/>
      </c>
      <c r="R37" s="12" t="str">
        <f t="shared" si="0"/>
        <v/>
      </c>
      <c r="S37" s="108" t="str">
        <f t="shared" si="4"/>
        <v/>
      </c>
      <c r="T37" s="108" t="str">
        <f t="shared" si="2"/>
        <v/>
      </c>
      <c r="U37" s="108" t="str">
        <f t="shared" si="6"/>
        <v/>
      </c>
      <c r="V37" s="108" t="str">
        <f t="shared" si="6"/>
        <v/>
      </c>
      <c r="W37" s="108" t="str">
        <f t="shared" si="6"/>
        <v/>
      </c>
      <c r="X37" s="108" t="str">
        <f t="shared" si="6"/>
        <v/>
      </c>
      <c r="Y37" s="108" t="str">
        <f t="shared" si="6"/>
        <v/>
      </c>
      <c r="Z37" s="108" t="str">
        <f t="shared" si="6"/>
        <v/>
      </c>
      <c r="AA37" s="108" t="str">
        <f t="shared" si="6"/>
        <v/>
      </c>
      <c r="AB37" s="108" t="str" cm="1">
        <f t="array" ref="AB37">IF(LEN($B37)=0,"",IF(LEN(C37)=0,"Nama Siswa Kosong",IF($E37="","Status Siswa Kosong",IF(S37&lt;&gt;"Aktif","Siswa Tidak Aktif",
IF(OR(U37:AA37="Belum mengisi"),"Belum mengisi",IF(AND(U37:AA37="Sudah terbiasa"),"Sudah terbiasa","Belum terbiasa"))))))</f>
        <v/>
      </c>
      <c r="AD37" s="41">
        <v>5</v>
      </c>
      <c r="AE37" s="161" t="s">
        <v>6</v>
      </c>
      <c r="AF37" s="161"/>
      <c r="AG37" s="51">
        <f>COUNTIFS(JulGemarBelajar,SudahTerbiasa,JulPL,Perempuan)</f>
        <v>0</v>
      </c>
      <c r="AH37" s="52" t="str">
        <f>IFERROR(IF($AF$18=0,"",COUNTIFS(JulGemarBelajar,SudahTerbiasa,JulPL,Perempuan)/COUNTIFS(JulPL,Perempuan)),)</f>
        <v/>
      </c>
      <c r="AI37" s="53">
        <f>COUNTIFS(JulGemarBelajar,BelumTerbiasa,JulPL,Perempuan)</f>
        <v>0</v>
      </c>
      <c r="AJ37" s="59" t="str">
        <f>IFERROR(IF($AF$18=0,"",COUNTIFS(JulGemarBelajar,BelumTerbiasa,JulPL,Perempuan)/COUNTIFS(JulPL,Perempuan)),)</f>
        <v/>
      </c>
      <c r="AK37" s="55">
        <f>COUNTIFS(JulGemarBelajar,SudahTerbiasa,JulPL,Laki_Laki)</f>
        <v>0</v>
      </c>
      <c r="AL37" s="56" t="str">
        <f>IFERROR(IF($AF$18=0,"",COUNTIFS(JulGemarBelajar,SudahTerbiasa,JulPL,Laki_Laki)/COUNTIFS(JulPL,Laki_Laki)),)</f>
        <v/>
      </c>
      <c r="AM37" s="57">
        <f>COUNTIFS(JulGemarBelajar,BelumTerbiasa,JulPL,Laki_Laki)</f>
        <v>0</v>
      </c>
      <c r="AN37" s="58" t="str">
        <f>IFERROR(IF($AF$18=0,"",COUNTIFS(JulGemarBelajar,BelumTerbiasa,JulPL,Laki_Laki)/COUNTIFS(JulPL,Laki_Laki)),)</f>
        <v/>
      </c>
      <c r="AO37" s="13"/>
      <c r="AP37" s="13"/>
      <c r="AQ37" s="13"/>
    </row>
    <row r="38" spans="2:43" hidden="1" x14ac:dyDescent="0.3">
      <c r="B38" s="4" t="str">
        <f>IF(ROW(A26)&lt;=profilKelas!$F$14,ROW(A26),"")</f>
        <v/>
      </c>
      <c r="C38" s="94" t="str">
        <f>IF(ISBLANK(identitasMurid!C31),"",identitasMurid!C31)</f>
        <v/>
      </c>
      <c r="D38" s="6" t="str">
        <f>IF(ISBLANK(identitasMurid!D31),"",identitasMurid!D31)</f>
        <v/>
      </c>
      <c r="E38" s="95"/>
      <c r="F38" s="95"/>
      <c r="G38" s="95"/>
      <c r="H38" s="95"/>
      <c r="I38" s="95"/>
      <c r="J38" s="95"/>
      <c r="K38" s="95"/>
      <c r="L38" s="95"/>
      <c r="M38" s="95"/>
      <c r="Q38" s="5" t="str">
        <f>IF(ROW(A26)&lt;=profilKelas!$F$14,ROW(A26),"")</f>
        <v/>
      </c>
      <c r="R38" s="12" t="str">
        <f t="shared" si="0"/>
        <v/>
      </c>
      <c r="S38" s="108" t="str">
        <f t="shared" si="4"/>
        <v/>
      </c>
      <c r="T38" s="108" t="str">
        <f t="shared" si="2"/>
        <v/>
      </c>
      <c r="U38" s="108" t="str">
        <f t="shared" si="6"/>
        <v/>
      </c>
      <c r="V38" s="108" t="str">
        <f t="shared" si="6"/>
        <v/>
      </c>
      <c r="W38" s="108" t="str">
        <f t="shared" si="6"/>
        <v/>
      </c>
      <c r="X38" s="108" t="str">
        <f t="shared" si="6"/>
        <v/>
      </c>
      <c r="Y38" s="108" t="str">
        <f t="shared" si="6"/>
        <v/>
      </c>
      <c r="Z38" s="108" t="str">
        <f t="shared" si="6"/>
        <v/>
      </c>
      <c r="AA38" s="108" t="str">
        <f t="shared" si="6"/>
        <v/>
      </c>
      <c r="AB38" s="108" t="str" cm="1">
        <f t="array" ref="AB38">IF(LEN($B38)=0,"",IF(LEN(C38)=0,"Nama Siswa Kosong",IF($E38="","Status Siswa Kosong",IF(S38&lt;&gt;"Aktif","Siswa Tidak Aktif",
IF(OR(U38:AA38="Belum mengisi"),"Belum mengisi",IF(AND(U38:AA38="Sudah terbiasa"),"Sudah terbiasa","Belum terbiasa"))))))</f>
        <v/>
      </c>
      <c r="AD38" s="41">
        <v>6</v>
      </c>
      <c r="AE38" s="161" t="s">
        <v>7</v>
      </c>
      <c r="AF38" s="161"/>
      <c r="AG38" s="51">
        <f>COUNTIFS(JulAktifBermasyarakat,SudahTerbiasa,JulPL,Perempuan)</f>
        <v>0</v>
      </c>
      <c r="AH38" s="52" t="str">
        <f>IFERROR(IF($AF$18=0,"",COUNTIFS(JulAktifBermasyarakat,SudahTerbiasa,JulPL,Perempuan)/COUNTIFS(JulPL,Perempuan)),)</f>
        <v/>
      </c>
      <c r="AI38" s="53">
        <f>COUNTIFS(JulAktifBermasyarakat,BelumTerbiasa,JulPL,Perempuan)</f>
        <v>0</v>
      </c>
      <c r="AJ38" s="59" t="str">
        <f>IFERROR(IF($AF$18=0,"",COUNTIFS(JulAktifBermasyarakat,BelumTerbiasa,JulPL,Perempuan)/COUNTIFS(JulPL,Perempuan)),)</f>
        <v/>
      </c>
      <c r="AK38" s="55">
        <f>COUNTIFS(JulAktifBermasyarakat,SudahTerbiasa,JulPL,Laki_Laki)</f>
        <v>0</v>
      </c>
      <c r="AL38" s="56" t="str">
        <f>IFERROR(IF($AF$18=0,"",COUNTIFS(JulAktifBermasyarakat,SudahTerbiasa,JulPL,Laki_Laki)/COUNTIFS(JulPL,Laki_Laki)),)</f>
        <v/>
      </c>
      <c r="AM38" s="57">
        <f>COUNTIFS(JulAktifBermasyarakat,BelumTerbiasa,JulPL,Laki_Laki)</f>
        <v>0</v>
      </c>
      <c r="AN38" s="58" t="str">
        <f>IFERROR(IF($AF$18=0,"",COUNTIFS(JulAktifBermasyarakat,BelumTerbiasa,JulPL,Laki_Laki)/COUNTIFS(JulPL,Laki_Laki)),)</f>
        <v/>
      </c>
      <c r="AO38" s="13"/>
      <c r="AP38" s="13"/>
      <c r="AQ38" s="13"/>
    </row>
    <row r="39" spans="2:43" hidden="1" x14ac:dyDescent="0.3">
      <c r="B39" s="4" t="str">
        <f>IF(ROW(A27)&lt;=profilKelas!$F$14,ROW(A27),"")</f>
        <v/>
      </c>
      <c r="C39" s="94" t="str">
        <f>IF(ISBLANK(identitasMurid!C32),"",identitasMurid!C32)</f>
        <v/>
      </c>
      <c r="D39" s="6" t="str">
        <f>IF(ISBLANK(identitasMurid!D32),"",identitasMurid!D32)</f>
        <v/>
      </c>
      <c r="E39" s="95"/>
      <c r="F39" s="95"/>
      <c r="G39" s="95"/>
      <c r="H39" s="95"/>
      <c r="I39" s="95"/>
      <c r="J39" s="95"/>
      <c r="K39" s="95"/>
      <c r="L39" s="95"/>
      <c r="M39" s="95"/>
      <c r="Q39" s="5" t="str">
        <f>IF(ROW(A27)&lt;=profilKelas!$F$14,ROW(A27),"")</f>
        <v/>
      </c>
      <c r="R39" s="12" t="str">
        <f t="shared" si="0"/>
        <v/>
      </c>
      <c r="S39" s="108" t="str">
        <f t="shared" si="4"/>
        <v/>
      </c>
      <c r="T39" s="108" t="str">
        <f t="shared" si="2"/>
        <v/>
      </c>
      <c r="U39" s="108" t="str">
        <f t="shared" si="6"/>
        <v/>
      </c>
      <c r="V39" s="108" t="str">
        <f t="shared" si="6"/>
        <v/>
      </c>
      <c r="W39" s="108" t="str">
        <f t="shared" si="6"/>
        <v/>
      </c>
      <c r="X39" s="108" t="str">
        <f t="shared" si="6"/>
        <v/>
      </c>
      <c r="Y39" s="108" t="str">
        <f t="shared" si="6"/>
        <v/>
      </c>
      <c r="Z39" s="108" t="str">
        <f t="shared" si="6"/>
        <v/>
      </c>
      <c r="AA39" s="108" t="str">
        <f t="shared" si="6"/>
        <v/>
      </c>
      <c r="AB39" s="108" t="str" cm="1">
        <f t="array" ref="AB39">IF(LEN($B39)=0,"",IF(LEN(C39)=0,"Nama Siswa Kosong",IF($E39="","Status Siswa Kosong",IF(S39&lt;&gt;"Aktif","Siswa Tidak Aktif",
IF(OR(U39:AA39="Belum mengisi"),"Belum mengisi",IF(AND(U39:AA39="Sudah terbiasa"),"Sudah terbiasa","Belum terbiasa"))))))</f>
        <v/>
      </c>
      <c r="AD39" s="41">
        <v>7</v>
      </c>
      <c r="AE39" s="161" t="s">
        <v>8</v>
      </c>
      <c r="AF39" s="161"/>
      <c r="AG39" s="51">
        <f>COUNTIFS(JulTidurCepat,SudahTerbiasa,JulPL,Perempuan)</f>
        <v>0</v>
      </c>
      <c r="AH39" s="52" t="str">
        <f>IFERROR(IF($AF$18=0,"",COUNTIFS(JulTidurCepat,SudahTerbiasa,JulPL,Perempuan)/COUNTIFS(JulPL,Perempuan)),)</f>
        <v/>
      </c>
      <c r="AI39" s="53">
        <f>COUNTIFS(JulTidurCepat,BelumTerbiasa,JulPL,Perempuan)</f>
        <v>0</v>
      </c>
      <c r="AJ39" s="59" t="str">
        <f>IFERROR(IF($AF$18=0,"",COUNTIFS(JulTidurCepat,BelumTerbiasa,JulPL,Perempuan)/COUNTIFS(JulPL,Perempuan)),)</f>
        <v/>
      </c>
      <c r="AK39" s="55">
        <f>COUNTIFS(JulTidurCepat,SudahTerbiasa,JulPL,Laki_Laki)</f>
        <v>0</v>
      </c>
      <c r="AL39" s="56" t="str">
        <f>IFERROR(IF($AF$18=0,"",COUNTIFS(JulTidurCepat,SudahTerbiasa,JulPL,Laki_Laki)/COUNTIFS(JulPL,Laki_Laki)),)</f>
        <v/>
      </c>
      <c r="AM39" s="57">
        <f>COUNTIFS(JulTidurCepat,BelumTerbiasa,JulPL,Laki_Laki)</f>
        <v>0</v>
      </c>
      <c r="AN39" s="58" t="str">
        <f>IFERROR(IF($AF$18=0,"",COUNTIFS(JulTidurCepat,BelumTerbiasa,JulPL,Laki_Laki)/COUNTIFS(JulPL,Laki_Laki)),)</f>
        <v/>
      </c>
      <c r="AO39" s="13"/>
      <c r="AP39" s="13"/>
      <c r="AQ39" s="13"/>
    </row>
    <row r="40" spans="2:43" hidden="1" x14ac:dyDescent="0.3">
      <c r="B40" s="4" t="str">
        <f>IF(ROW(A28)&lt;=profilKelas!$F$14,ROW(A28),"")</f>
        <v/>
      </c>
      <c r="C40" s="94" t="str">
        <f>IF(ISBLANK(identitasMurid!C33),"",identitasMurid!C33)</f>
        <v/>
      </c>
      <c r="D40" s="6" t="str">
        <f>IF(ISBLANK(identitasMurid!D33),"",identitasMurid!D33)</f>
        <v/>
      </c>
      <c r="E40" s="95"/>
      <c r="F40" s="95"/>
      <c r="G40" s="95"/>
      <c r="H40" s="95"/>
      <c r="I40" s="95"/>
      <c r="J40" s="95"/>
      <c r="K40" s="95"/>
      <c r="L40" s="95"/>
      <c r="M40" s="95"/>
      <c r="Q40" s="5" t="str">
        <f>IF(ROW(A28)&lt;=profilKelas!$F$14,ROW(A28),"")</f>
        <v/>
      </c>
      <c r="R40" s="12" t="str">
        <f t="shared" si="0"/>
        <v/>
      </c>
      <c r="S40" s="108" t="str">
        <f t="shared" si="4"/>
        <v/>
      </c>
      <c r="T40" s="108" t="str">
        <f t="shared" si="2"/>
        <v/>
      </c>
      <c r="U40" s="108" t="str">
        <f t="shared" si="6"/>
        <v/>
      </c>
      <c r="V40" s="108" t="str">
        <f t="shared" si="6"/>
        <v/>
      </c>
      <c r="W40" s="108" t="str">
        <f t="shared" si="6"/>
        <v/>
      </c>
      <c r="X40" s="108" t="str">
        <f t="shared" si="6"/>
        <v/>
      </c>
      <c r="Y40" s="108" t="str">
        <f t="shared" si="6"/>
        <v/>
      </c>
      <c r="Z40" s="108" t="str">
        <f t="shared" si="6"/>
        <v/>
      </c>
      <c r="AA40" s="108" t="str">
        <f t="shared" si="6"/>
        <v/>
      </c>
      <c r="AB40" s="108" t="str" cm="1">
        <f t="array" ref="AB40">IF(LEN($B40)=0,"",IF(LEN(C40)=0,"Nama Siswa Kosong",IF($E40="","Status Siswa Kosong",IF(S40&lt;&gt;"Aktif","Siswa Tidak Aktif",
IF(OR(U40:AA40="Belum mengisi"),"Belum mengisi",IF(AND(U40:AA40="Sudah terbiasa"),"Sudah terbiasa","Belum terbiasa"))))))</f>
        <v/>
      </c>
    </row>
    <row r="41" spans="2:43" hidden="1" x14ac:dyDescent="0.3">
      <c r="B41" s="4" t="str">
        <f>IF(ROW(A29)&lt;=profilKelas!$F$14,ROW(A29),"")</f>
        <v/>
      </c>
      <c r="C41" s="94" t="str">
        <f>IF(ISBLANK(identitasMurid!C34),"",identitasMurid!C34)</f>
        <v/>
      </c>
      <c r="D41" s="6" t="str">
        <f>IF(ISBLANK(identitasMurid!D34),"",identitasMurid!D34)</f>
        <v/>
      </c>
      <c r="E41" s="95"/>
      <c r="F41" s="95"/>
      <c r="G41" s="95"/>
      <c r="H41" s="95"/>
      <c r="I41" s="95"/>
      <c r="J41" s="95"/>
      <c r="K41" s="95"/>
      <c r="L41" s="95"/>
      <c r="M41" s="95"/>
      <c r="Q41" s="5" t="str">
        <f>IF(ROW(A29)&lt;=profilKelas!$F$14,ROW(A29),"")</f>
        <v/>
      </c>
      <c r="R41" s="12" t="str">
        <f t="shared" si="0"/>
        <v/>
      </c>
      <c r="S41" s="108" t="str">
        <f t="shared" si="4"/>
        <v/>
      </c>
      <c r="T41" s="108" t="str">
        <f t="shared" si="2"/>
        <v/>
      </c>
      <c r="U41" s="108" t="str">
        <f t="shared" si="6"/>
        <v/>
      </c>
      <c r="V41" s="108" t="str">
        <f t="shared" si="6"/>
        <v/>
      </c>
      <c r="W41" s="108" t="str">
        <f t="shared" si="6"/>
        <v/>
      </c>
      <c r="X41" s="108" t="str">
        <f t="shared" si="6"/>
        <v/>
      </c>
      <c r="Y41" s="108" t="str">
        <f t="shared" si="6"/>
        <v/>
      </c>
      <c r="Z41" s="108" t="str">
        <f t="shared" si="6"/>
        <v/>
      </c>
      <c r="AA41" s="108" t="str">
        <f t="shared" si="6"/>
        <v/>
      </c>
      <c r="AB41" s="108" t="str" cm="1">
        <f t="array" ref="AB41">IF(LEN($B41)=0,"",IF(LEN(C41)=0,"Nama Siswa Kosong",IF($E41="","Status Siswa Kosong",IF(S41&lt;&gt;"Aktif","Siswa Tidak Aktif",
IF(OR(U41:AA41="Belum mengisi"),"Belum mengisi",IF(AND(U41:AA41="Sudah terbiasa"),"Sudah terbiasa","Belum terbiasa"))))))</f>
        <v/>
      </c>
    </row>
    <row r="42" spans="2:43" hidden="1" x14ac:dyDescent="0.3">
      <c r="B42" s="4" t="str">
        <f>IF(ROW(A30)&lt;=profilKelas!$F$14,ROW(A30),"")</f>
        <v/>
      </c>
      <c r="C42" s="94" t="str">
        <f>IF(ISBLANK(identitasMurid!C35),"",identitasMurid!C35)</f>
        <v/>
      </c>
      <c r="D42" s="6" t="str">
        <f>IF(ISBLANK(identitasMurid!D35),"",identitasMurid!D35)</f>
        <v/>
      </c>
      <c r="E42" s="95"/>
      <c r="F42" s="95"/>
      <c r="G42" s="95"/>
      <c r="H42" s="95"/>
      <c r="I42" s="95"/>
      <c r="J42" s="95"/>
      <c r="K42" s="95"/>
      <c r="L42" s="95"/>
      <c r="M42" s="95"/>
      <c r="Q42" s="5" t="str">
        <f>IF(ROW(A30)&lt;=profilKelas!$F$14,ROW(A30),"")</f>
        <v/>
      </c>
      <c r="R42" s="12" t="str">
        <f t="shared" si="0"/>
        <v/>
      </c>
      <c r="S42" s="108" t="str">
        <f t="shared" si="4"/>
        <v/>
      </c>
      <c r="T42" s="108" t="str">
        <f t="shared" si="2"/>
        <v/>
      </c>
      <c r="U42" s="108" t="str">
        <f t="shared" si="6"/>
        <v/>
      </c>
      <c r="V42" s="108" t="str">
        <f t="shared" si="6"/>
        <v/>
      </c>
      <c r="W42" s="108" t="str">
        <f t="shared" si="6"/>
        <v/>
      </c>
      <c r="X42" s="108" t="str">
        <f t="shared" si="6"/>
        <v/>
      </c>
      <c r="Y42" s="108" t="str">
        <f t="shared" si="6"/>
        <v/>
      </c>
      <c r="Z42" s="108" t="str">
        <f t="shared" si="6"/>
        <v/>
      </c>
      <c r="AA42" s="108" t="str">
        <f t="shared" si="6"/>
        <v/>
      </c>
      <c r="AB42" s="108" t="str" cm="1">
        <f t="array" ref="AB42">IF(LEN($B42)=0,"",IF(LEN(C42)=0,"Nama Siswa Kosong",IF($E42="","Status Siswa Kosong",IF(S42&lt;&gt;"Aktif","Siswa Tidak Aktif",
IF(OR(U42:AA42="Belum mengisi"),"Belum mengisi",IF(AND(U42:AA42="Sudah terbiasa"),"Sudah terbiasa","Belum terbiasa"))))))</f>
        <v/>
      </c>
    </row>
    <row r="43" spans="2:43" hidden="1" x14ac:dyDescent="0.3">
      <c r="B43" s="4" t="str">
        <f>IF(ROW(A31)&lt;=profilKelas!$F$14,ROW(A31),"")</f>
        <v/>
      </c>
      <c r="C43" s="94" t="str">
        <f>IF(ISBLANK(identitasMurid!C36),"",identitasMurid!C36)</f>
        <v/>
      </c>
      <c r="D43" s="6" t="str">
        <f>IF(ISBLANK(identitasMurid!D36),"",identitasMurid!D36)</f>
        <v/>
      </c>
      <c r="E43" s="95"/>
      <c r="F43" s="95"/>
      <c r="G43" s="95"/>
      <c r="H43" s="95"/>
      <c r="I43" s="95"/>
      <c r="J43" s="95"/>
      <c r="K43" s="95"/>
      <c r="L43" s="95"/>
      <c r="M43" s="95"/>
      <c r="Q43" s="5" t="str">
        <f>IF(ROW(A31)&lt;=profilKelas!$F$14,ROW(A31),"")</f>
        <v/>
      </c>
      <c r="R43" s="12" t="str">
        <f t="shared" si="0"/>
        <v/>
      </c>
      <c r="S43" s="108" t="str">
        <f t="shared" si="4"/>
        <v/>
      </c>
      <c r="T43" s="108" t="str">
        <f t="shared" si="2"/>
        <v/>
      </c>
      <c r="U43" s="108" t="str">
        <f t="shared" si="6"/>
        <v/>
      </c>
      <c r="V43" s="108" t="str">
        <f t="shared" si="6"/>
        <v/>
      </c>
      <c r="W43" s="108" t="str">
        <f t="shared" si="6"/>
        <v/>
      </c>
      <c r="X43" s="108" t="str">
        <f t="shared" si="6"/>
        <v/>
      </c>
      <c r="Y43" s="108" t="str">
        <f t="shared" si="6"/>
        <v/>
      </c>
      <c r="Z43" s="108" t="str">
        <f t="shared" si="6"/>
        <v/>
      </c>
      <c r="AA43" s="108" t="str">
        <f t="shared" si="6"/>
        <v/>
      </c>
      <c r="AB43" s="108" t="str" cm="1">
        <f t="array" ref="AB43">IF(LEN($B43)=0,"",IF(LEN(C43)=0,"Nama Siswa Kosong",IF($E43="","Status Siswa Kosong",IF(S43&lt;&gt;"Aktif","Siswa Tidak Aktif",
IF(OR(U43:AA43="Belum mengisi"),"Belum mengisi",IF(AND(U43:AA43="Sudah terbiasa"),"Sudah terbiasa","Belum terbiasa"))))))</f>
        <v/>
      </c>
    </row>
    <row r="44" spans="2:43" hidden="1" x14ac:dyDescent="0.3">
      <c r="B44" s="4" t="str">
        <f>IF(ROW(A32)&lt;=profilKelas!$F$14,ROW(A32),"")</f>
        <v/>
      </c>
      <c r="C44" s="94" t="str">
        <f>IF(ISBLANK(identitasMurid!C37),"",identitasMurid!C37)</f>
        <v/>
      </c>
      <c r="D44" s="6" t="str">
        <f>IF(ISBLANK(identitasMurid!D37),"",identitasMurid!D37)</f>
        <v/>
      </c>
      <c r="E44" s="95"/>
      <c r="F44" s="95"/>
      <c r="G44" s="95"/>
      <c r="H44" s="95"/>
      <c r="I44" s="95"/>
      <c r="J44" s="95"/>
      <c r="K44" s="95"/>
      <c r="L44" s="95"/>
      <c r="M44" s="95"/>
      <c r="Q44" s="5" t="str">
        <f>IF(ROW(A32)&lt;=profilKelas!$F$14,ROW(A32),"")</f>
        <v/>
      </c>
      <c r="R44" s="12" t="str">
        <f t="shared" si="0"/>
        <v/>
      </c>
      <c r="S44" s="108" t="str">
        <f t="shared" si="4"/>
        <v/>
      </c>
      <c r="T44" s="108" t="str">
        <f t="shared" si="2"/>
        <v/>
      </c>
      <c r="U44" s="108" t="str">
        <f t="shared" si="6"/>
        <v/>
      </c>
      <c r="V44" s="108" t="str">
        <f t="shared" si="6"/>
        <v/>
      </c>
      <c r="W44" s="108" t="str">
        <f t="shared" si="6"/>
        <v/>
      </c>
      <c r="X44" s="108" t="str">
        <f t="shared" si="6"/>
        <v/>
      </c>
      <c r="Y44" s="108" t="str">
        <f t="shared" si="6"/>
        <v/>
      </c>
      <c r="Z44" s="108" t="str">
        <f t="shared" si="6"/>
        <v/>
      </c>
      <c r="AA44" s="108" t="str">
        <f t="shared" si="6"/>
        <v/>
      </c>
      <c r="AB44" s="108" t="str" cm="1">
        <f t="array" ref="AB44">IF(LEN($B44)=0,"",IF(LEN(C44)=0,"Nama Siswa Kosong",IF($E44="","Status Siswa Kosong",IF(S44&lt;&gt;"Aktif","Siswa Tidak Aktif",
IF(OR(U44:AA44="Belum mengisi"),"Belum mengisi",IF(AND(U44:AA44="Sudah terbiasa"),"Sudah terbiasa","Belum terbiasa"))))))</f>
        <v/>
      </c>
    </row>
    <row r="45" spans="2:43" hidden="1" x14ac:dyDescent="0.3">
      <c r="B45" s="4" t="str">
        <f>IF(ROW(A33)&lt;=profilKelas!$F$14,ROW(A33),"")</f>
        <v/>
      </c>
      <c r="C45" s="94" t="str">
        <f>IF(ISBLANK(identitasMurid!C38),"",identitasMurid!C38)</f>
        <v/>
      </c>
      <c r="D45" s="6" t="str">
        <f>IF(ISBLANK(identitasMurid!D38),"",identitasMurid!D38)</f>
        <v/>
      </c>
      <c r="E45" s="95"/>
      <c r="F45" s="95"/>
      <c r="G45" s="95"/>
      <c r="H45" s="95"/>
      <c r="I45" s="95"/>
      <c r="J45" s="95"/>
      <c r="K45" s="95"/>
      <c r="L45" s="95"/>
      <c r="M45" s="95"/>
      <c r="Q45" s="5" t="str">
        <f>IF(ROW(A33)&lt;=profilKelas!$F$14,ROW(A33),"")</f>
        <v/>
      </c>
      <c r="R45" s="12" t="str">
        <f t="shared" si="0"/>
        <v/>
      </c>
      <c r="S45" s="108" t="str">
        <f t="shared" si="4"/>
        <v/>
      </c>
      <c r="T45" s="108" t="str">
        <f t="shared" si="2"/>
        <v/>
      </c>
      <c r="U45" s="108" t="str">
        <f t="shared" si="6"/>
        <v/>
      </c>
      <c r="V45" s="108" t="str">
        <f t="shared" si="6"/>
        <v/>
      </c>
      <c r="W45" s="108" t="str">
        <f t="shared" si="6"/>
        <v/>
      </c>
      <c r="X45" s="108" t="str">
        <f t="shared" si="6"/>
        <v/>
      </c>
      <c r="Y45" s="108" t="str">
        <f t="shared" si="6"/>
        <v/>
      </c>
      <c r="Z45" s="108" t="str">
        <f t="shared" si="6"/>
        <v/>
      </c>
      <c r="AA45" s="108" t="str">
        <f t="shared" si="6"/>
        <v/>
      </c>
      <c r="AB45" s="108" t="str" cm="1">
        <f t="array" ref="AB45">IF(LEN($B45)=0,"",IF(LEN(C45)=0,"Nama Siswa Kosong",IF($E45="","Status Siswa Kosong",IF(S45&lt;&gt;"Aktif","Siswa Tidak Aktif",
IF(OR(U45:AA45="Belum mengisi"),"Belum mengisi",IF(AND(U45:AA45="Sudah terbiasa"),"Sudah terbiasa","Belum terbiasa"))))))</f>
        <v/>
      </c>
    </row>
    <row r="46" spans="2:43" hidden="1" x14ac:dyDescent="0.3">
      <c r="B46" s="4" t="str">
        <f>IF(ROW(A34)&lt;=profilKelas!$F$14,ROW(A34),"")</f>
        <v/>
      </c>
      <c r="C46" s="94" t="str">
        <f>IF(ISBLANK(identitasMurid!C39),"",identitasMurid!C39)</f>
        <v/>
      </c>
      <c r="D46" s="6" t="str">
        <f>IF(ISBLANK(identitasMurid!D39),"",identitasMurid!D39)</f>
        <v/>
      </c>
      <c r="E46" s="95"/>
      <c r="F46" s="95"/>
      <c r="G46" s="95"/>
      <c r="H46" s="95"/>
      <c r="I46" s="95"/>
      <c r="J46" s="95"/>
      <c r="K46" s="95"/>
      <c r="L46" s="95"/>
      <c r="M46" s="95"/>
      <c r="Q46" s="5" t="str">
        <f>IF(ROW(A34)&lt;=profilKelas!$F$14,ROW(A34),"")</f>
        <v/>
      </c>
      <c r="R46" s="12" t="str">
        <f t="shared" si="0"/>
        <v/>
      </c>
      <c r="S46" s="108" t="str">
        <f t="shared" si="4"/>
        <v/>
      </c>
      <c r="T46" s="108" t="str">
        <f t="shared" si="2"/>
        <v/>
      </c>
      <c r="U46" s="108" t="str">
        <f t="shared" si="6"/>
        <v/>
      </c>
      <c r="V46" s="108" t="str">
        <f t="shared" si="6"/>
        <v/>
      </c>
      <c r="W46" s="108" t="str">
        <f t="shared" si="6"/>
        <v/>
      </c>
      <c r="X46" s="108" t="str">
        <f t="shared" si="6"/>
        <v/>
      </c>
      <c r="Y46" s="108" t="str">
        <f t="shared" si="6"/>
        <v/>
      </c>
      <c r="Z46" s="108" t="str">
        <f t="shared" si="6"/>
        <v/>
      </c>
      <c r="AA46" s="108" t="str">
        <f t="shared" si="6"/>
        <v/>
      </c>
      <c r="AB46" s="108" t="str" cm="1">
        <f t="array" ref="AB46">IF(LEN($B46)=0,"",IF(LEN(C46)=0,"Nama Siswa Kosong",IF($E46="","Status Siswa Kosong",IF(S46&lt;&gt;"Aktif","Siswa Tidak Aktif",
IF(OR(U46:AA46="Belum mengisi"),"Belum mengisi",IF(AND(U46:AA46="Sudah terbiasa"),"Sudah terbiasa","Belum terbiasa"))))))</f>
        <v/>
      </c>
    </row>
    <row r="47" spans="2:43" hidden="1" x14ac:dyDescent="0.3">
      <c r="B47" s="4" t="str">
        <f>IF(ROW(A35)&lt;=profilKelas!$F$14,ROW(A35),"")</f>
        <v/>
      </c>
      <c r="C47" s="94" t="str">
        <f>IF(ISBLANK(identitasMurid!C40),"",identitasMurid!C40)</f>
        <v/>
      </c>
      <c r="D47" s="6" t="str">
        <f>IF(ISBLANK(identitasMurid!D40),"",identitasMurid!D40)</f>
        <v/>
      </c>
      <c r="E47" s="95"/>
      <c r="F47" s="95"/>
      <c r="G47" s="95"/>
      <c r="H47" s="95"/>
      <c r="I47" s="95"/>
      <c r="J47" s="95"/>
      <c r="K47" s="95"/>
      <c r="L47" s="95"/>
      <c r="M47" s="95"/>
      <c r="Q47" s="5" t="str">
        <f>IF(ROW(A35)&lt;=profilKelas!$F$14,ROW(A35),"")</f>
        <v/>
      </c>
      <c r="R47" s="12" t="str">
        <f t="shared" si="0"/>
        <v/>
      </c>
      <c r="S47" s="108" t="str">
        <f t="shared" si="4"/>
        <v/>
      </c>
      <c r="T47" s="108" t="str">
        <f t="shared" si="2"/>
        <v/>
      </c>
      <c r="U47" s="108" t="str">
        <f t="shared" si="6"/>
        <v/>
      </c>
      <c r="V47" s="108" t="str">
        <f t="shared" si="6"/>
        <v/>
      </c>
      <c r="W47" s="108" t="str">
        <f t="shared" si="6"/>
        <v/>
      </c>
      <c r="X47" s="108" t="str">
        <f t="shared" si="6"/>
        <v/>
      </c>
      <c r="Y47" s="108" t="str">
        <f t="shared" si="6"/>
        <v/>
      </c>
      <c r="Z47" s="108" t="str">
        <f t="shared" si="6"/>
        <v/>
      </c>
      <c r="AA47" s="108" t="str">
        <f t="shared" si="6"/>
        <v/>
      </c>
      <c r="AB47" s="108" t="str" cm="1">
        <f t="array" ref="AB47">IF(LEN($B47)=0,"",IF(LEN(C47)=0,"Nama Siswa Kosong",IF($E47="","Status Siswa Kosong",IF(S47&lt;&gt;"Aktif","Siswa Tidak Aktif",
IF(OR(U47:AA47="Belum mengisi"),"Belum mengisi",IF(AND(U47:AA47="Sudah terbiasa"),"Sudah terbiasa","Belum terbiasa"))))))</f>
        <v/>
      </c>
    </row>
    <row r="48" spans="2:43" hidden="1" x14ac:dyDescent="0.3">
      <c r="B48" s="4" t="str">
        <f>IF(ROW(A36)&lt;=profilKelas!$F$14,ROW(A36),"")</f>
        <v/>
      </c>
      <c r="C48" s="94" t="str">
        <f>IF(ISBLANK(identitasMurid!C41),"",identitasMurid!C41)</f>
        <v/>
      </c>
      <c r="D48" s="6" t="str">
        <f>IF(ISBLANK(identitasMurid!D41),"",identitasMurid!D41)</f>
        <v/>
      </c>
      <c r="E48" s="95"/>
      <c r="F48" s="95"/>
      <c r="G48" s="95"/>
      <c r="H48" s="95"/>
      <c r="I48" s="95"/>
      <c r="J48" s="95"/>
      <c r="K48" s="95"/>
      <c r="L48" s="95"/>
      <c r="M48" s="30"/>
      <c r="Q48" s="5" t="str">
        <f>IF(ROW(A36)&lt;=profilKelas!$F$14,ROW(A36),"")</f>
        <v/>
      </c>
      <c r="R48" s="12" t="str">
        <f t="shared" si="0"/>
        <v/>
      </c>
      <c r="S48" s="108" t="str">
        <f t="shared" si="4"/>
        <v/>
      </c>
      <c r="T48" s="108" t="str">
        <f t="shared" si="2"/>
        <v/>
      </c>
      <c r="U48" s="108" t="str">
        <f t="shared" si="6"/>
        <v/>
      </c>
      <c r="V48" s="108" t="str">
        <f t="shared" si="6"/>
        <v/>
      </c>
      <c r="W48" s="108" t="str">
        <f t="shared" si="6"/>
        <v/>
      </c>
      <c r="X48" s="108" t="str">
        <f t="shared" si="6"/>
        <v/>
      </c>
      <c r="Y48" s="108" t="str">
        <f t="shared" si="6"/>
        <v/>
      </c>
      <c r="Z48" s="108" t="str">
        <f t="shared" si="6"/>
        <v/>
      </c>
      <c r="AA48" s="108" t="str">
        <f t="shared" si="6"/>
        <v/>
      </c>
      <c r="AB48" s="108" t="str" cm="1">
        <f t="array" ref="AB48">IF(LEN($B48)=0,"",IF(LEN(C48)=0,"Nama Siswa Kosong",IF($E48="","Status Siswa Kosong",IF(S48&lt;&gt;"Aktif","Siswa Tidak Aktif",
IF(OR(U48:AA48="Belum mengisi"),"Belum mengisi",IF(AND(U48:AA48="Sudah terbiasa"),"Sudah terbiasa","Belum terbiasa"))))))</f>
        <v/>
      </c>
    </row>
    <row r="49" spans="2:28" hidden="1" x14ac:dyDescent="0.3">
      <c r="B49" s="4" t="str">
        <f>IF(ROW(A37)&lt;=profilKelas!$F$14,ROW(A37),"")</f>
        <v/>
      </c>
      <c r="C49" s="94" t="str">
        <f>IF(ISBLANK(identitasMurid!C42),"",identitasMurid!C42)</f>
        <v/>
      </c>
      <c r="D49" s="6" t="str">
        <f>IF(ISBLANK(identitasMurid!D42),"",identitasMurid!D42)</f>
        <v/>
      </c>
      <c r="E49" s="95"/>
      <c r="F49" s="95"/>
      <c r="G49" s="95"/>
      <c r="H49" s="95"/>
      <c r="I49" s="95"/>
      <c r="J49" s="95"/>
      <c r="K49" s="95"/>
      <c r="L49" s="95"/>
      <c r="M49" s="30"/>
      <c r="Q49" s="5" t="str">
        <f>IF(ROW(A37)&lt;=profilKelas!$F$14,ROW(A37),"")</f>
        <v/>
      </c>
      <c r="R49" s="12" t="str">
        <f t="shared" si="0"/>
        <v/>
      </c>
      <c r="S49" s="108" t="str">
        <f t="shared" si="4"/>
        <v/>
      </c>
      <c r="T49" s="108" t="str">
        <f t="shared" si="2"/>
        <v/>
      </c>
      <c r="U49" s="108" t="str">
        <f t="shared" si="6"/>
        <v/>
      </c>
      <c r="V49" s="108" t="str">
        <f t="shared" si="6"/>
        <v/>
      </c>
      <c r="W49" s="108" t="str">
        <f t="shared" si="6"/>
        <v/>
      </c>
      <c r="X49" s="108" t="str">
        <f t="shared" si="6"/>
        <v/>
      </c>
      <c r="Y49" s="108" t="str">
        <f t="shared" si="6"/>
        <v/>
      </c>
      <c r="Z49" s="108" t="str">
        <f t="shared" si="6"/>
        <v/>
      </c>
      <c r="AA49" s="108" t="str">
        <f t="shared" si="6"/>
        <v/>
      </c>
      <c r="AB49" s="108" t="str" cm="1">
        <f t="array" ref="AB49">IF(LEN($B49)=0,"",IF(LEN(C49)=0,"Nama Siswa Kosong",IF($E49="","Status Siswa Kosong",IF(S49&lt;&gt;"Aktif","Siswa Tidak Aktif",
IF(OR(U49:AA49="Belum mengisi"),"Belum mengisi",IF(AND(U49:AA49="Sudah terbiasa"),"Sudah terbiasa","Belum terbiasa"))))))</f>
        <v/>
      </c>
    </row>
    <row r="50" spans="2:28" hidden="1" x14ac:dyDescent="0.3">
      <c r="B50" s="4" t="str">
        <f>IF(ROW(A38)&lt;=profilKelas!$F$14,ROW(A38),"")</f>
        <v/>
      </c>
      <c r="C50" s="94" t="str">
        <f>IF(ISBLANK(identitasMurid!C43),"",identitasMurid!C43)</f>
        <v/>
      </c>
      <c r="D50" s="6" t="str">
        <f>IF(ISBLANK(identitasMurid!D43),"",identitasMurid!D43)</f>
        <v/>
      </c>
      <c r="E50" s="95"/>
      <c r="F50" s="95"/>
      <c r="G50" s="95"/>
      <c r="H50" s="95"/>
      <c r="I50" s="95"/>
      <c r="J50" s="95"/>
      <c r="K50" s="95"/>
      <c r="L50" s="95"/>
      <c r="M50" s="30"/>
      <c r="Q50" s="5" t="str">
        <f>IF(ROW(A38)&lt;=profilKelas!$F$14,ROW(A38),"")</f>
        <v/>
      </c>
      <c r="R50" s="12" t="str">
        <f t="shared" si="0"/>
        <v/>
      </c>
      <c r="S50" s="108" t="str">
        <f t="shared" si="4"/>
        <v/>
      </c>
      <c r="T50" s="108" t="str">
        <f t="shared" si="2"/>
        <v/>
      </c>
      <c r="U50" s="108" t="str">
        <f t="shared" si="6"/>
        <v/>
      </c>
      <c r="V50" s="108" t="str">
        <f t="shared" si="6"/>
        <v/>
      </c>
      <c r="W50" s="108" t="str">
        <f t="shared" si="6"/>
        <v/>
      </c>
      <c r="X50" s="108" t="str">
        <f t="shared" si="6"/>
        <v/>
      </c>
      <c r="Y50" s="108" t="str">
        <f t="shared" si="6"/>
        <v/>
      </c>
      <c r="Z50" s="108" t="str">
        <f t="shared" si="6"/>
        <v/>
      </c>
      <c r="AA50" s="108" t="str">
        <f t="shared" si="6"/>
        <v/>
      </c>
      <c r="AB50" s="108" t="str" cm="1">
        <f t="array" ref="AB50">IF(LEN($B50)=0,"",IF(LEN(C50)=0,"Nama Siswa Kosong",IF($E50="","Status Siswa Kosong",IF(S50&lt;&gt;"Aktif","Siswa Tidak Aktif",
IF(OR(U50:AA50="Belum mengisi"),"Belum mengisi",IF(AND(U50:AA50="Sudah terbiasa"),"Sudah terbiasa","Belum terbiasa"))))))</f>
        <v/>
      </c>
    </row>
    <row r="51" spans="2:28" hidden="1" x14ac:dyDescent="0.3">
      <c r="B51" s="4" t="str">
        <f>IF(ROW(A39)&lt;=profilKelas!$F$14,ROW(A39),"")</f>
        <v/>
      </c>
      <c r="C51" s="94" t="str">
        <f>IF(ISBLANK(identitasMurid!C44),"",identitasMurid!C44)</f>
        <v/>
      </c>
      <c r="D51" s="6" t="str">
        <f>IF(ISBLANK(identitasMurid!D44),"",identitasMurid!D44)</f>
        <v/>
      </c>
      <c r="E51" s="95"/>
      <c r="F51" s="95"/>
      <c r="G51" s="95"/>
      <c r="H51" s="95"/>
      <c r="I51" s="95"/>
      <c r="J51" s="95"/>
      <c r="K51" s="95"/>
      <c r="L51" s="95"/>
      <c r="M51" s="30"/>
      <c r="Q51" s="5" t="str">
        <f>IF(ROW(A39)&lt;=profilKelas!$F$14,ROW(A39),"")</f>
        <v/>
      </c>
      <c r="R51" s="12" t="str">
        <f t="shared" si="0"/>
        <v/>
      </c>
      <c r="S51" s="108" t="str">
        <f t="shared" si="4"/>
        <v/>
      </c>
      <c r="T51" s="108" t="str">
        <f t="shared" si="2"/>
        <v/>
      </c>
      <c r="U51" s="108" t="str">
        <f t="shared" si="6"/>
        <v/>
      </c>
      <c r="V51" s="108" t="str">
        <f t="shared" si="6"/>
        <v/>
      </c>
      <c r="W51" s="108" t="str">
        <f t="shared" si="6"/>
        <v/>
      </c>
      <c r="X51" s="108" t="str">
        <f t="shared" si="6"/>
        <v/>
      </c>
      <c r="Y51" s="108" t="str">
        <f t="shared" si="6"/>
        <v/>
      </c>
      <c r="Z51" s="108" t="str">
        <f t="shared" si="6"/>
        <v/>
      </c>
      <c r="AA51" s="108" t="str">
        <f t="shared" si="6"/>
        <v/>
      </c>
      <c r="AB51" s="108" t="str" cm="1">
        <f t="array" ref="AB51">IF(LEN($B51)=0,"",IF(LEN(C51)=0,"Nama Siswa Kosong",IF($E51="","Status Siswa Kosong",IF(S51&lt;&gt;"Aktif","Siswa Tidak Aktif",
IF(OR(U51:AA51="Belum mengisi"),"Belum mengisi",IF(AND(U51:AA51="Sudah terbiasa"),"Sudah terbiasa","Belum terbiasa"))))))</f>
        <v/>
      </c>
    </row>
    <row r="52" spans="2:28" hidden="1" x14ac:dyDescent="0.3">
      <c r="B52" s="4" t="str">
        <f>IF(ROW(A40)&lt;=profilKelas!$F$14,ROW(A40),"")</f>
        <v/>
      </c>
      <c r="C52" s="94" t="str">
        <f>IF(ISBLANK(identitasMurid!C45),"",identitasMurid!C45)</f>
        <v/>
      </c>
      <c r="D52" s="6" t="str">
        <f>IF(ISBLANK(identitasMurid!D45),"",identitasMurid!D45)</f>
        <v/>
      </c>
      <c r="E52" s="95"/>
      <c r="F52" s="95"/>
      <c r="G52" s="95"/>
      <c r="H52" s="95"/>
      <c r="I52" s="95"/>
      <c r="J52" s="95"/>
      <c r="K52" s="95"/>
      <c r="L52" s="95"/>
      <c r="M52" s="30"/>
      <c r="Q52" s="5" t="str">
        <f>IF(ROW(A40)&lt;=profilKelas!$F$14,ROW(A40),"")</f>
        <v/>
      </c>
      <c r="R52" s="12" t="str">
        <f t="shared" si="0"/>
        <v/>
      </c>
      <c r="S52" s="108" t="str">
        <f t="shared" si="4"/>
        <v/>
      </c>
      <c r="T52" s="108" t="str">
        <f t="shared" si="2"/>
        <v/>
      </c>
      <c r="U52" s="108" t="str">
        <f t="shared" si="6"/>
        <v/>
      </c>
      <c r="V52" s="108" t="str">
        <f t="shared" si="6"/>
        <v/>
      </c>
      <c r="W52" s="108" t="str">
        <f t="shared" si="6"/>
        <v/>
      </c>
      <c r="X52" s="108" t="str">
        <f t="shared" si="6"/>
        <v/>
      </c>
      <c r="Y52" s="108" t="str">
        <f t="shared" si="6"/>
        <v/>
      </c>
      <c r="Z52" s="108" t="str">
        <f t="shared" si="6"/>
        <v/>
      </c>
      <c r="AA52" s="108" t="str">
        <f t="shared" si="6"/>
        <v/>
      </c>
      <c r="AB52" s="108" t="str" cm="1">
        <f t="array" ref="AB52">IF(LEN($B52)=0,"",IF(LEN(C52)=0,"Nama Siswa Kosong",IF($E52="","Status Siswa Kosong",IF(S52&lt;&gt;"Aktif","Siswa Tidak Aktif",
IF(OR(U52:AA52="Belum mengisi"),"Belum mengisi",IF(AND(U52:AA52="Sudah terbiasa"),"Sudah terbiasa","Belum terbiasa"))))))</f>
        <v/>
      </c>
    </row>
    <row r="53" spans="2:28" hidden="1" x14ac:dyDescent="0.3">
      <c r="B53" s="4" t="str">
        <f>IF(ROW(A41)&lt;=profilKelas!$F$14,ROW(A41),"")</f>
        <v/>
      </c>
      <c r="C53" s="94" t="str">
        <f>IF(ISBLANK(identitasMurid!C46),"",identitasMurid!C46)</f>
        <v/>
      </c>
      <c r="D53" s="6" t="str">
        <f>IF(ISBLANK(identitasMurid!D46),"",identitasMurid!D46)</f>
        <v/>
      </c>
      <c r="E53" s="95"/>
      <c r="F53" s="95"/>
      <c r="G53" s="95"/>
      <c r="H53" s="95"/>
      <c r="I53" s="95"/>
      <c r="J53" s="95"/>
      <c r="K53" s="95"/>
      <c r="L53" s="95"/>
      <c r="M53" s="30"/>
      <c r="Q53" s="5" t="str">
        <f>IF(ROW(A41)&lt;=profilKelas!$F$14,ROW(A41),"")</f>
        <v/>
      </c>
      <c r="R53" s="12" t="str">
        <f t="shared" si="0"/>
        <v/>
      </c>
      <c r="S53" s="108" t="str">
        <f t="shared" si="4"/>
        <v/>
      </c>
      <c r="T53" s="108" t="str">
        <f t="shared" si="2"/>
        <v/>
      </c>
      <c r="U53" s="108" t="str">
        <f t="shared" si="6"/>
        <v/>
      </c>
      <c r="V53" s="108" t="str">
        <f t="shared" si="6"/>
        <v/>
      </c>
      <c r="W53" s="108" t="str">
        <f t="shared" si="6"/>
        <v/>
      </c>
      <c r="X53" s="108" t="str">
        <f t="shared" si="6"/>
        <v/>
      </c>
      <c r="Y53" s="108" t="str">
        <f t="shared" si="6"/>
        <v/>
      </c>
      <c r="Z53" s="108" t="str">
        <f t="shared" si="6"/>
        <v/>
      </c>
      <c r="AA53" s="108" t="str">
        <f t="shared" si="6"/>
        <v/>
      </c>
      <c r="AB53" s="108" t="str" cm="1">
        <f t="array" ref="AB53">IF(LEN($B53)=0,"",IF(LEN(C53)=0,"Nama Siswa Kosong",IF($E53="","Status Siswa Kosong",IF(S53&lt;&gt;"Aktif","Siswa Tidak Aktif",
IF(OR(U53:AA53="Belum mengisi"),"Belum mengisi",IF(AND(U53:AA53="Sudah terbiasa"),"Sudah terbiasa","Belum terbiasa"))))))</f>
        <v/>
      </c>
    </row>
    <row r="54" spans="2:28" hidden="1" x14ac:dyDescent="0.3">
      <c r="B54" s="4" t="str">
        <f>IF(ROW(A42)&lt;=profilKelas!$F$14,ROW(A42),"")</f>
        <v/>
      </c>
      <c r="C54" s="94" t="str">
        <f>IF(ISBLANK(identitasMurid!C47),"",identitasMurid!C47)</f>
        <v/>
      </c>
      <c r="D54" s="6" t="str">
        <f>IF(ISBLANK(identitasMurid!D47),"",identitasMurid!D47)</f>
        <v/>
      </c>
      <c r="E54" s="95"/>
      <c r="F54" s="95"/>
      <c r="G54" s="95"/>
      <c r="H54" s="95"/>
      <c r="I54" s="95"/>
      <c r="J54" s="95"/>
      <c r="K54" s="95"/>
      <c r="L54" s="95"/>
      <c r="M54" s="30"/>
      <c r="Q54" s="5" t="str">
        <f>IF(ROW(A42)&lt;=profilKelas!$F$14,ROW(A42),"")</f>
        <v/>
      </c>
      <c r="R54" s="12" t="str">
        <f t="shared" si="0"/>
        <v/>
      </c>
      <c r="S54" s="108" t="str">
        <f t="shared" si="4"/>
        <v/>
      </c>
      <c r="T54" s="108" t="str">
        <f t="shared" si="2"/>
        <v/>
      </c>
      <c r="U54" s="108" t="str">
        <f t="shared" si="6"/>
        <v/>
      </c>
      <c r="V54" s="108" t="str">
        <f t="shared" si="6"/>
        <v/>
      </c>
      <c r="W54" s="108" t="str">
        <f t="shared" si="6"/>
        <v/>
      </c>
      <c r="X54" s="108" t="str">
        <f t="shared" si="6"/>
        <v/>
      </c>
      <c r="Y54" s="108" t="str">
        <f t="shared" si="6"/>
        <v/>
      </c>
      <c r="Z54" s="108" t="str">
        <f t="shared" si="6"/>
        <v/>
      </c>
      <c r="AA54" s="108" t="str">
        <f t="shared" si="6"/>
        <v/>
      </c>
      <c r="AB54" s="108" t="str" cm="1">
        <f t="array" ref="AB54">IF(LEN($B54)=0,"",IF(LEN(C54)=0,"Nama Siswa Kosong",IF($E54="","Status Siswa Kosong",IF(S54&lt;&gt;"Aktif","Siswa Tidak Aktif",
IF(OR(U54:AA54="Belum mengisi"),"Belum mengisi",IF(AND(U54:AA54="Sudah terbiasa"),"Sudah terbiasa","Belum terbiasa"))))))</f>
        <v/>
      </c>
    </row>
    <row r="55" spans="2:28" hidden="1" x14ac:dyDescent="0.3">
      <c r="B55" s="4" t="str">
        <f>IF(ROW(A43)&lt;=profilKelas!$F$14,ROW(A43),"")</f>
        <v/>
      </c>
      <c r="C55" s="94" t="str">
        <f>IF(ISBLANK(identitasMurid!C48),"",identitasMurid!C48)</f>
        <v/>
      </c>
      <c r="D55" s="6" t="str">
        <f>IF(ISBLANK(identitasMurid!D48),"",identitasMurid!D48)</f>
        <v/>
      </c>
      <c r="E55" s="95"/>
      <c r="F55" s="95"/>
      <c r="G55" s="95"/>
      <c r="H55" s="95"/>
      <c r="I55" s="95"/>
      <c r="J55" s="95"/>
      <c r="K55" s="95"/>
      <c r="L55" s="95"/>
      <c r="M55" s="30"/>
      <c r="Q55" s="5" t="str">
        <f>IF(ROW(A43)&lt;=profilKelas!$F$14,ROW(A43),"")</f>
        <v/>
      </c>
      <c r="R55" s="12" t="str">
        <f t="shared" si="0"/>
        <v/>
      </c>
      <c r="S55" s="108" t="str">
        <f t="shared" si="4"/>
        <v/>
      </c>
      <c r="T55" s="108" t="str">
        <f t="shared" si="2"/>
        <v/>
      </c>
      <c r="U55" s="108" t="str">
        <f t="shared" si="6"/>
        <v/>
      </c>
      <c r="V55" s="108" t="str">
        <f t="shared" si="6"/>
        <v/>
      </c>
      <c r="W55" s="108" t="str">
        <f t="shared" si="6"/>
        <v/>
      </c>
      <c r="X55" s="108" t="str">
        <f t="shared" si="6"/>
        <v/>
      </c>
      <c r="Y55" s="108" t="str">
        <f t="shared" si="6"/>
        <v/>
      </c>
      <c r="Z55" s="108" t="str">
        <f t="shared" si="6"/>
        <v/>
      </c>
      <c r="AA55" s="108" t="str">
        <f t="shared" si="6"/>
        <v/>
      </c>
      <c r="AB55" s="108" t="str" cm="1">
        <f t="array" ref="AB55">IF(LEN($B55)=0,"",IF(LEN(C55)=0,"Nama Siswa Kosong",IF($E55="","Status Siswa Kosong",IF(S55&lt;&gt;"Aktif","Siswa Tidak Aktif",
IF(OR(U55:AA55="Belum mengisi"),"Belum mengisi",IF(AND(U55:AA55="Sudah terbiasa"),"Sudah terbiasa","Belum terbiasa"))))))</f>
        <v/>
      </c>
    </row>
    <row r="56" spans="2:28" hidden="1" x14ac:dyDescent="0.3">
      <c r="B56" s="4" t="str">
        <f>IF(ROW(A44)&lt;=profilKelas!$F$14,ROW(A44),"")</f>
        <v/>
      </c>
      <c r="C56" s="94" t="str">
        <f>IF(ISBLANK(identitasMurid!C49),"",identitasMurid!C49)</f>
        <v/>
      </c>
      <c r="D56" s="6" t="str">
        <f>IF(ISBLANK(identitasMurid!D49),"",identitasMurid!D49)</f>
        <v/>
      </c>
      <c r="E56" s="95"/>
      <c r="F56" s="95"/>
      <c r="G56" s="95"/>
      <c r="H56" s="95"/>
      <c r="I56" s="95"/>
      <c r="J56" s="95"/>
      <c r="K56" s="95"/>
      <c r="L56" s="95"/>
      <c r="M56" s="30"/>
      <c r="Q56" s="5" t="str">
        <f>IF(ROW(A44)&lt;=profilKelas!$F$14,ROW(A44),"")</f>
        <v/>
      </c>
      <c r="R56" s="12" t="str">
        <f t="shared" si="0"/>
        <v/>
      </c>
      <c r="S56" s="108" t="str">
        <f t="shared" si="4"/>
        <v/>
      </c>
      <c r="T56" s="108" t="str">
        <f t="shared" si="2"/>
        <v/>
      </c>
      <c r="U56" s="108" t="str">
        <f t="shared" si="6"/>
        <v/>
      </c>
      <c r="V56" s="108" t="str">
        <f t="shared" si="6"/>
        <v/>
      </c>
      <c r="W56" s="108" t="str">
        <f t="shared" si="6"/>
        <v/>
      </c>
      <c r="X56" s="108" t="str">
        <f t="shared" si="6"/>
        <v/>
      </c>
      <c r="Y56" s="108" t="str">
        <f t="shared" si="6"/>
        <v/>
      </c>
      <c r="Z56" s="108" t="str">
        <f t="shared" si="6"/>
        <v/>
      </c>
      <c r="AA56" s="108" t="str">
        <f t="shared" si="6"/>
        <v/>
      </c>
      <c r="AB56" s="108" t="str" cm="1">
        <f t="array" ref="AB56">IF(LEN($B56)=0,"",IF(LEN(C56)=0,"Nama Siswa Kosong",IF($E56="","Status Siswa Kosong",IF(S56&lt;&gt;"Aktif","Siswa Tidak Aktif",
IF(OR(U56:AA56="Belum mengisi"),"Belum mengisi",IF(AND(U56:AA56="Sudah terbiasa"),"Sudah terbiasa","Belum terbiasa"))))))</f>
        <v/>
      </c>
    </row>
    <row r="57" spans="2:28" hidden="1" x14ac:dyDescent="0.3">
      <c r="B57" s="4" t="str">
        <f>IF(ROW(A45)&lt;=profilKelas!$F$14,ROW(A45),"")</f>
        <v/>
      </c>
      <c r="C57" s="94" t="str">
        <f>IF(ISBLANK(identitasMurid!C50),"",identitasMurid!C50)</f>
        <v/>
      </c>
      <c r="D57" s="6" t="str">
        <f>IF(ISBLANK(identitasMurid!D50),"",identitasMurid!D50)</f>
        <v/>
      </c>
      <c r="E57" s="95"/>
      <c r="F57" s="95"/>
      <c r="G57" s="95"/>
      <c r="H57" s="95"/>
      <c r="I57" s="95"/>
      <c r="J57" s="95"/>
      <c r="K57" s="95"/>
      <c r="L57" s="95"/>
      <c r="M57" s="30"/>
      <c r="Q57" s="5" t="str">
        <f>IF(ROW(A45)&lt;=profilKelas!$F$14,ROW(A45),"")</f>
        <v/>
      </c>
      <c r="R57" s="12" t="str">
        <f t="shared" si="0"/>
        <v/>
      </c>
      <c r="S57" s="108" t="str">
        <f t="shared" si="4"/>
        <v/>
      </c>
      <c r="T57" s="108" t="str">
        <f t="shared" si="2"/>
        <v/>
      </c>
      <c r="U57" s="108" t="str">
        <f t="shared" si="6"/>
        <v/>
      </c>
      <c r="V57" s="108" t="str">
        <f t="shared" si="6"/>
        <v/>
      </c>
      <c r="W57" s="108" t="str">
        <f t="shared" si="6"/>
        <v/>
      </c>
      <c r="X57" s="108" t="str">
        <f t="shared" si="6"/>
        <v/>
      </c>
      <c r="Y57" s="108" t="str">
        <f t="shared" si="6"/>
        <v/>
      </c>
      <c r="Z57" s="108" t="str">
        <f t="shared" si="6"/>
        <v/>
      </c>
      <c r="AA57" s="108" t="str">
        <f t="shared" si="6"/>
        <v/>
      </c>
      <c r="AB57" s="108" t="str" cm="1">
        <f t="array" ref="AB57">IF(LEN($B57)=0,"",IF(LEN(C57)=0,"Nama Siswa Kosong",IF($E57="","Status Siswa Kosong",IF(S57&lt;&gt;"Aktif","Siswa Tidak Aktif",
IF(OR(U57:AA57="Belum mengisi"),"Belum mengisi",IF(AND(U57:AA57="Sudah terbiasa"),"Sudah terbiasa","Belum terbiasa"))))))</f>
        <v/>
      </c>
    </row>
    <row r="58" spans="2:28" x14ac:dyDescent="0.3"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</row>
    <row r="59" spans="2:28" ht="16.2" x14ac:dyDescent="0.35">
      <c r="B59" s="13"/>
      <c r="C59" s="71"/>
      <c r="D59" s="71" t="s">
        <v>15</v>
      </c>
      <c r="E59" s="13"/>
      <c r="F59" s="13"/>
      <c r="G59" s="13"/>
      <c r="H59" s="13"/>
      <c r="I59" s="13"/>
      <c r="J59" s="13"/>
      <c r="K59" s="13" t="str">
        <f>profilKelas!F9&amp;", "&amp;O60</f>
        <v>, 30 Juni 2025</v>
      </c>
      <c r="L59" s="13"/>
      <c r="M59" s="13"/>
      <c r="O59" s="31" t="s">
        <v>860</v>
      </c>
      <c r="Q59" s="13"/>
      <c r="R59" s="13"/>
      <c r="S59" s="13" t="s">
        <v>15</v>
      </c>
      <c r="T59" s="13"/>
      <c r="U59" s="13"/>
      <c r="V59" s="13"/>
      <c r="W59" s="13"/>
      <c r="X59" s="13"/>
      <c r="Y59" s="13"/>
      <c r="Z59" s="13" t="str">
        <f>profilKelas!F9&amp;", "&amp;O60</f>
        <v>, 30 Juni 2025</v>
      </c>
      <c r="AA59" s="13"/>
      <c r="AB59" s="13"/>
    </row>
    <row r="60" spans="2:28" x14ac:dyDescent="0.3">
      <c r="B60" s="13"/>
      <c r="C60" s="71"/>
      <c r="D60" s="71" t="str">
        <f>IF(ISBLANK(profilKelas!B10),"",SUBSTITUTE(profilKelas!B10,"Nama ",""))</f>
        <v>Kepala Sekolah</v>
      </c>
      <c r="E60" s="13"/>
      <c r="F60" s="13"/>
      <c r="G60" s="13"/>
      <c r="H60" s="13"/>
      <c r="I60" s="13"/>
      <c r="J60" s="13"/>
      <c r="K60" s="13" t="str">
        <f>SUBSTITUTE(profilKelas!B15,"Nama ","")&amp;","</f>
        <v>Guru Wali Kelas,</v>
      </c>
      <c r="L60" s="13"/>
      <c r="M60" s="13"/>
      <c r="O60" s="100" t="s">
        <v>916</v>
      </c>
      <c r="Q60" s="13"/>
      <c r="R60" s="13"/>
      <c r="S60" s="13" t="str">
        <f>IF(ISBLANK(profilKelas!B10),"",profilKelas!B10)</f>
        <v>Nama Kepala Sekolah</v>
      </c>
      <c r="T60" s="13"/>
      <c r="U60" s="13"/>
      <c r="V60" s="13"/>
      <c r="W60" s="13"/>
      <c r="X60" s="13"/>
      <c r="Y60" s="13"/>
      <c r="Z60" s="13" t="str">
        <f>SUBSTITUTE(profilKelas!B15,"Nama ","")&amp;","</f>
        <v>Guru Wali Kelas,</v>
      </c>
      <c r="AA60" s="13"/>
      <c r="AB60" s="13"/>
    </row>
    <row r="61" spans="2:28" x14ac:dyDescent="0.3"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</row>
    <row r="62" spans="2:28" x14ac:dyDescent="0.3"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</row>
    <row r="63" spans="2:28" x14ac:dyDescent="0.3"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</row>
    <row r="64" spans="2:28" x14ac:dyDescent="0.3">
      <c r="B64" s="13"/>
      <c r="C64" s="13"/>
      <c r="D64" s="101" t="str">
        <f>IF(ISBLANK(profilKelas!F10),"",profilKelas!F10)</f>
        <v/>
      </c>
      <c r="E64" s="13"/>
      <c r="F64" s="13"/>
      <c r="G64" s="13"/>
      <c r="H64" s="13"/>
      <c r="I64" s="13"/>
      <c r="J64" s="13"/>
      <c r="K64" s="101" t="str">
        <f>IF(LEN(profilKelas!F15)=0,"",profilKelas!F15)</f>
        <v/>
      </c>
      <c r="L64" s="13"/>
      <c r="M64" s="13"/>
      <c r="Q64" s="13"/>
      <c r="R64" s="13"/>
      <c r="S64" s="101" t="str">
        <f>IF(ISBLANK(profilKelas!F10),"",profilKelas!F10)</f>
        <v/>
      </c>
      <c r="T64" s="13"/>
      <c r="U64" s="13"/>
      <c r="V64" s="13"/>
      <c r="W64" s="13"/>
      <c r="X64" s="13"/>
      <c r="Y64" s="13"/>
      <c r="Z64" s="101">
        <f>profilKelas!F15</f>
        <v>0</v>
      </c>
      <c r="AA64" s="13"/>
      <c r="AB64" s="13"/>
    </row>
    <row r="65" spans="2:28" x14ac:dyDescent="0.3">
      <c r="B65" s="13"/>
      <c r="C65" s="13"/>
      <c r="D65" s="13" t="str">
        <f>"NIP. "&amp;profilKelas!F11</f>
        <v xml:space="preserve">NIP. </v>
      </c>
      <c r="E65" s="13"/>
      <c r="F65" s="13"/>
      <c r="G65" s="13"/>
      <c r="H65" s="13"/>
      <c r="I65" s="13"/>
      <c r="J65" s="13"/>
      <c r="K65" s="13" t="str">
        <f>"NIP. "&amp;profilKelas!F16</f>
        <v xml:space="preserve">NIP. </v>
      </c>
      <c r="L65" s="13"/>
      <c r="M65" s="13"/>
      <c r="Q65" s="13"/>
      <c r="R65" s="13"/>
      <c r="S65" s="13" t="str">
        <f>"NIP. "&amp;profilKelas!F11</f>
        <v xml:space="preserve">NIP. </v>
      </c>
      <c r="T65" s="13"/>
      <c r="U65" s="13"/>
      <c r="V65" s="13"/>
      <c r="W65" s="13"/>
      <c r="X65" s="13"/>
      <c r="Y65" s="13"/>
      <c r="Z65" s="13" t="str">
        <f>"NIP. "&amp;profilKelas!F16</f>
        <v xml:space="preserve">NIP. </v>
      </c>
      <c r="AA65" s="13"/>
      <c r="AB65" s="13"/>
    </row>
    <row r="66" spans="2:28" x14ac:dyDescent="0.3"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</row>
    <row r="67" spans="2:28" x14ac:dyDescent="0.3">
      <c r="B67" s="13"/>
      <c r="C67" s="102" t="s">
        <v>10</v>
      </c>
      <c r="D67" s="71" t="s">
        <v>609</v>
      </c>
      <c r="E67" s="13"/>
      <c r="F67" s="13"/>
      <c r="G67" s="13"/>
      <c r="H67" s="13"/>
      <c r="I67" s="13"/>
      <c r="J67" s="13"/>
      <c r="K67" s="13"/>
      <c r="L67" s="13"/>
      <c r="M67" s="13"/>
      <c r="Q67" s="13"/>
      <c r="R67" s="102" t="s">
        <v>10</v>
      </c>
      <c r="S67" s="71" t="s">
        <v>609</v>
      </c>
      <c r="T67" s="13"/>
      <c r="U67" s="13"/>
      <c r="V67" s="13"/>
      <c r="W67" s="13"/>
      <c r="X67" s="13"/>
      <c r="Y67" s="13"/>
      <c r="Z67" s="13"/>
      <c r="AA67" s="13"/>
      <c r="AB67" s="13"/>
    </row>
    <row r="68" spans="2:28" ht="15.6" customHeight="1" x14ac:dyDescent="0.3"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63">
        <f>SUBTOTAL(109,N69)</f>
        <v>0</v>
      </c>
      <c r="O68" s="63" t="str">
        <f>IF(N68=0,"ATUR HALAMAN","TAMPILAN NORMAL")</f>
        <v>ATUR HALAMAN</v>
      </c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</row>
    <row r="69" spans="2:28" hidden="1" x14ac:dyDescent="0.3">
      <c r="N69" s="7">
        <v>1</v>
      </c>
    </row>
  </sheetData>
  <sheetProtection algorithmName="SHA-512" hashValue="W87XmJ3MPH+61aHU8W17ODRz0Ce63gGu/ONowgKixKiWzykPbFY8uXUk3pKmOT0nv4dBWSpdHq9IgIQX1vLY1Q==" saltValue="k5Il5hO2KuVhvTr4XZuU6g==" spinCount="100000" sheet="1" objects="1" scenarios="1" formatCells="0" formatColumns="0" formatRows="0" insertColumns="0" insertRows="0" insertHyperlinks="0" deleteColumns="0" deleteRows="0" autoFilter="0"/>
  <mergeCells count="41">
    <mergeCell ref="AL14:AQ18"/>
    <mergeCell ref="AG15:AH15"/>
    <mergeCell ref="AI15:AJ15"/>
    <mergeCell ref="AD18:AE18"/>
    <mergeCell ref="B6:M6"/>
    <mergeCell ref="Q6:AB6"/>
    <mergeCell ref="AD6:AQ7"/>
    <mergeCell ref="B10:B12"/>
    <mergeCell ref="C10:C12"/>
    <mergeCell ref="D10:D12"/>
    <mergeCell ref="E10:E12"/>
    <mergeCell ref="M10:M12"/>
    <mergeCell ref="AE24:AF24"/>
    <mergeCell ref="AD14:AD15"/>
    <mergeCell ref="AE14:AE15"/>
    <mergeCell ref="AF14:AF15"/>
    <mergeCell ref="AG14:AJ14"/>
    <mergeCell ref="AG21:AJ21"/>
    <mergeCell ref="AE22:AF22"/>
    <mergeCell ref="AG22:AH22"/>
    <mergeCell ref="AI22:AJ22"/>
    <mergeCell ref="AE23:AF23"/>
    <mergeCell ref="AE25:AF25"/>
    <mergeCell ref="AE26:AF26"/>
    <mergeCell ref="AE27:AF27"/>
    <mergeCell ref="AE28:AF28"/>
    <mergeCell ref="AE29:AF29"/>
    <mergeCell ref="AK31:AN31"/>
    <mergeCell ref="AE32:AF32"/>
    <mergeCell ref="AG32:AH32"/>
    <mergeCell ref="AI32:AJ32"/>
    <mergeCell ref="AK32:AL32"/>
    <mergeCell ref="AM32:AN32"/>
    <mergeCell ref="AG31:AJ31"/>
    <mergeCell ref="AE39:AF39"/>
    <mergeCell ref="AE33:AF33"/>
    <mergeCell ref="AE34:AF34"/>
    <mergeCell ref="AE35:AF35"/>
    <mergeCell ref="AE36:AF36"/>
    <mergeCell ref="AE37:AF37"/>
    <mergeCell ref="AE38:AF38"/>
  </mergeCells>
  <conditionalFormatting sqref="F17:F57">
    <cfRule type="expression" dxfId="13" priority="14">
      <formula>AND($C17="",$F17="")</formula>
    </cfRule>
  </conditionalFormatting>
  <conditionalFormatting sqref="E17:M57 B13:C57 M13:M16">
    <cfRule type="expression" dxfId="12" priority="13">
      <formula>$B13&lt;&gt;""</formula>
    </cfRule>
  </conditionalFormatting>
  <conditionalFormatting sqref="D13:D57">
    <cfRule type="expression" dxfId="11" priority="12">
      <formula>$B13&lt;&gt;""</formula>
    </cfRule>
  </conditionalFormatting>
  <conditionalFormatting sqref="R13:T57">
    <cfRule type="expression" dxfId="10" priority="11">
      <formula>$Q13&lt;&gt;""</formula>
    </cfRule>
  </conditionalFormatting>
  <conditionalFormatting sqref="Q13">
    <cfRule type="expression" dxfId="9" priority="10">
      <formula>$B13&lt;&gt;""</formula>
    </cfRule>
  </conditionalFormatting>
  <conditionalFormatting sqref="U13:AA57">
    <cfRule type="containsText" dxfId="8" priority="7" operator="containsText" text="Belum terbiasa">
      <formula>NOT(ISERROR(SEARCH("Belum terbiasa",U13)))</formula>
    </cfRule>
    <cfRule type="containsText" dxfId="7" priority="8" operator="containsText" text="Sudah terbiasa">
      <formula>NOT(ISERROR(SEARCH("Sudah terbiasa",U13)))</formula>
    </cfRule>
    <cfRule type="containsText" dxfId="6" priority="9" operator="containsText" text="Belum mengisi">
      <formula>NOT(ISERROR(SEARCH("Belum mengisi",U13)))</formula>
    </cfRule>
  </conditionalFormatting>
  <conditionalFormatting sqref="AB13:AB57">
    <cfRule type="containsText" dxfId="5" priority="4" operator="containsText" text="mengisi">
      <formula>NOT(ISERROR(SEARCH("mengisi",AB13)))</formula>
    </cfRule>
    <cfRule type="containsText" dxfId="4" priority="5" operator="containsText" text="Belum terbiasa">
      <formula>NOT(ISERROR(SEARCH("Belum terbiasa",AB13)))</formula>
    </cfRule>
    <cfRule type="containsText" dxfId="3" priority="6" operator="containsText" text="Sudah terbiasa">
      <formula>NOT(ISERROR(SEARCH("Sudah terbiasa",AB13)))</formula>
    </cfRule>
  </conditionalFormatting>
  <conditionalFormatting sqref="Q14:Q57">
    <cfRule type="expression" dxfId="2" priority="3">
      <formula>$B14&lt;&gt;""</formula>
    </cfRule>
  </conditionalFormatting>
  <conditionalFormatting sqref="F13:L16">
    <cfRule type="expression" dxfId="1" priority="2">
      <formula>AND($C13="",$F13="")</formula>
    </cfRule>
  </conditionalFormatting>
  <conditionalFormatting sqref="E13:L16">
    <cfRule type="expression" dxfId="0" priority="1">
      <formula>$B13&lt;&gt;""</formula>
    </cfRule>
  </conditionalFormatting>
  <dataValidations disablePrompts="1" count="2">
    <dataValidation allowBlank="1" showInputMessage="1" showErrorMessage="1" promptTitle="Tanggal pengesahan" prompt="Contoh penulisan_x000a_31 Juli 2025" sqref="O60:P60" xr:uid="{00000000-0002-0000-1900-000000000000}"/>
    <dataValidation type="whole" allowBlank="1" showInputMessage="1" showErrorMessage="1" errorTitle="Angka" error="Isian hanya berupa angka 0 s.d. 30." promptTitle="Angka" prompt="Inputan angka dari 0 s.d. 30 sesuai bulan berjalan." sqref="F13:L57" xr:uid="{00000000-0002-0000-1900-000001000000}">
      <formula1>0</formula1>
      <formula2>30</formula2>
    </dataValidation>
  </dataValidations>
  <pageMargins left="0.19685039370078741" right="0.19685039370078741" top="0.74803149606299213" bottom="0.74803149606299213" header="0.31496062992125984" footer="0.31496062992125984"/>
  <pageSetup paperSize="9" scale="59" fitToHeight="0" orientation="landscape" r:id="rId1"/>
  <headerFooter>
    <oddHeader>&amp;C&amp;G</oddHeader>
  </headerFooter>
  <drawing r:id="rId2"/>
  <legacyDrawingHF r:id="rId3"/>
  <picture r:id="rId4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Catatan" error="Harap dipilih." promptTitle="Catatan" prompt="Pilih keterangan siswa_x000a_aktif: aktif pada bulan berjalan_x000a_pindah: pada bulan berjalan sudah pindah_x000a_berhenti: pada bulan berjalan berhenti _x000a_meninggal: pada bulan berjalan meninggal_x000a__x000a_Jika terdapat penambahan siswa, keterangan bulan sebelumnya dipilih tidak." xr:uid="{00000000-0002-0000-1900-000002000000}">
          <x14:formula1>
            <xm:f>info!$AD$2:$AD$6</xm:f>
          </x14:formula1>
          <xm:sqref>E13:E57</xm:sqref>
        </x14:dataValidation>
      </x14:dataValidations>
    </ext>
  </extLst>
</worksheet>
</file>

<file path=customUI/_rels/customUI.xml.rels><?xml version="1.0" encoding="UTF-8" standalone="yes"?>
<Relationships xmlns="http://schemas.openxmlformats.org/package/2006/relationships"><Relationship Id="whatsApp" Type="http://schemas.openxmlformats.org/officeDocument/2006/relationships/image" Target="images/whatsApp.png"/><Relationship Id="user-guide" Type="http://schemas.openxmlformats.org/officeDocument/2006/relationships/image" Target="images/user-guide.png"/><Relationship Id="multiple-users-silhouette" Type="http://schemas.openxmlformats.org/officeDocument/2006/relationships/image" Target="images/multiple-users-silhouette.png"/><Relationship Id="google-forms" Type="http://schemas.openxmlformats.org/officeDocument/2006/relationships/image" Target="images/google-forms.png"/><Relationship Id="school" Type="http://schemas.openxmlformats.org/officeDocument/2006/relationships/image" Target="images/school.png"/><Relationship Id="copy" Type="http://schemas.openxmlformats.org/officeDocument/2006/relationships/image" Target="images/copy.png"/><Relationship Id="help" Type="http://schemas.openxmlformats.org/officeDocument/2006/relationships/image" Target="images/help.png"/><Relationship Id="slides" Type="http://schemas.openxmlformats.org/officeDocument/2006/relationships/image" Target="images/slides.png"/><Relationship Id="home-button" Type="http://schemas.openxmlformats.org/officeDocument/2006/relationships/image" Target="images/home-button.png"/><Relationship Id="paper" Type="http://schemas.openxmlformats.org/officeDocument/2006/relationships/image" Target="images/paper.png"/></Relationships>
</file>

<file path=customUI/customUI.xml><?xml version="1.0" encoding="utf-8"?>
<customUI xmlns="http://schemas.microsoft.com/office/2006/01/customui">
  <!-- Hide Excels Option -->
  <commands>
    <command idMso="ApplicationOptionsDialog" enabled="false"/>
    <command idMso="FileExit" enabled="true"/>
  </commands>
  <!-- Hide Ribbon Default dan QAT -->
  <ribbon startFromScratch="true">
    <!-- Hide New, Open, Save, Print, Print Preview, Close -->
    <officeMenu>
      <button idMso="FileNew" visible="true"/>
      <button idMso="FileOpen" visible="true"/>
      <button idMso="FileSave" visible="true"/>
      <button idMso="FilePrint" visible="true"/>
      <button idMso="FilePrintPreview" visible="true"/>
      <button idMso="FileClose" visible="true"/>
    </officeMenu>
    <tabs>
      <!-- Hide Default Tab -->
      <tab idMso="TabHome" visible="false"/>
      <tab idMso="TabPageLayoutExcel" visible="false"/>
      <tab idMso="TabInsert" visible="false"/>
      <tab idMso="TabFormulas" visible="false"/>
      <tab idMso="TabData" visible="false"/>
      <tab idMso="TabReview" visible="false"/>
      <tab idMso="TabView" visible="false"/>
      <tab idMso="TabDeveloper" visible="false"/>
      <tab idMso="TabAddIns" visible="false"/>
      <!-- id = tab|grup|sequence-->
      <!-- Tab 1 -->
      <tab id="hMenu" label="Beranda">
        <group id="hSheets" label="   Data Utama   ">
          <button id="Sheet111" label=" Beranda " size="large" image="home-button" onAction="oSheet1"/>
          <separator id="Separator111"/>
          <button id="Sheet110" label=" Panduan " size="large" image="user-guide" onAction="oSheet0"/>
          <button id="Sheet112" label=" Profil Kelas " size="large" image="school" onAction="oSheet2"/>
          <button id="Sheet113" label="Identitas Murid" size="large" image="multiple-users-silhouette" onAction="oSheet3"/>
        </group>
        <group id="hTools" label="Tools">
          <button idMso="FileSave" label="Simpan" size="large"/>
          <separator id="Separator122"/>
          <button idMso="Copy" label="Copy" size="normal"/>
          <button idMso="PasteValues" label="Paste Value" visible="true" size="normal" imageMso="Paste"/>
          <button idMso="PasteDestinationFormatting" label="Paste Format" visible="true" size="normal" imageMso="Paste"/>
          <button idMso="ClearContents" label="Hapus" size="normal" imageMso="Clear"/>
          <checkBox idMso="ViewHeadings" visible="true" label="Headings"/>
          <checkBox idMso="ViewFormulaBar" visible="true" label="Formula Bar"/>
          <button idMso="SheetProtect" size="normal"/>
          <separator id="Separator123"/>
          <control idMso="Undo" imageMso="Undo" size="large" label="Undo"/>
          <control idMso="Redo" imageMso="Redo" size="large" label="Redo"/>
          <separator id="Separator125"/>
          <button idMso="MacroSecurity" size="large"/>
        </group>
        <group id="hFaQ">
          <button id="Sheet131" visible="true" size="large" label="FAQ" image="help" onAction="oSheet4"/>
        </group>
        <group id="hQnAs">
          <button id="Sheet141" visible="true" size="large" label="Kirim Pertanyaan" image="google-forms" onAction="tanya7kaih"/>
        </group>
        <group id="copyOperator">
          <!-- <button id="sheet53" visible="true" size="large" label=" Tutorial R. Intra" image="youtube" onAction="youtube" />
                    <separator id="Separator531" />
                    <button id="sheet531" visible="true" size="large" label=" Tutorial R. Projek" image="youtube" onAction="youtubep" />
                    <separator id="Separator53" />
                    <button id="sheet7" visible="true" size="large" label="Pengarsa (Alit Sentanu)" image="Alit" onAction="Bukasheet7" />
                    <separator id="Separator530" /> -->
          <button id="Sheet151" visible="true" size="large" label="Copy oleh Operator" image="copy" onAction="copyRCHS"/>
        </group>
      </tab>
      <!-- id = tab|grup|sequence-->
      <!-- Tab 2 -->
      <tab id="mMonths" label="Pengisian Data">
        <group id="mMonth" label="Bulan">
          <button id="Sheet211" imageMso="SignatureLineInsert" label="Juli" size="normal" onAction="mSheet1"/>
          <button id="Sheet212" imageMso="SignatureLineInsert" label="Agustus" size="normal" onAction="mSheet2"/>
          <button id="Sheet213" imageMso="SignatureLineInsert" label="September" size="normal" onAction="mSheet3"/>
          <button id="Sheet214" imageMso="SignatureLineInsert" label="Oktober" size="normal" onAction="mSheet4"/>
          <button id="Sheet215" imageMso="SignatureLineInsert" label="November" size="normal" onAction="mSheet5"/>
          <button id="Sheet216" imageMso="SignatureLineInsert" label="Desember" size="normal" onAction="mSheet6"/>
          <button id="Sheet217" imageMso="SignatureLineInsert" label="Januari" size="normal" onAction="mSheet7"/>
          <button id="Sheet218" imageMso="SignatureLineInsert" label="Februari" size="normal" onAction="mSheet8"/>
          <button id="Sheet219" imageMso="SignatureLineInsert" label="Maret" size="normal" onAction="mSheet9"/>
          <button id="Sheet2110" imageMso="SignatureLineInsert" label="April" size="normal" onAction="mSheet10"/>
          <button id="Sheet2111" imageMso="SignatureLineInsert" label="Mei" size="normal" onAction="mSheet11"/>
          <button id="Sheet2112" imageMso="SignatureLineInsert" label="Juni" size="normal" onAction="mSheet12"/>
        </group>
        <group id="mCetak" label="Cetak">
          <button id="Sheet201" visible="true" size="large" label="Versi Cetak" image="paper" onAction="ccetak"/>
        </group>
        <group id="mTools" label="Tools">
          <button idMso="FileSave" label="Simpan" size="large"/>
          <separator id="Separator221"/>
          <button idMso="Copy" label="Copy" size="normal"/>
          <button idMso="PasteValues" label="Paste Value" visible="true" size="normal" imageMso="Paste"/>
          <button idMso="PasteDestinationFormatting" label="Paste Format" visible="true" size="normal" imageMso="Paste"/>
          <button idMso="ClearContents" label="Hapus" size="normal" imageMso="Clear"/>
          <checkBox idMso="ViewHeadings" visible="true" label="Headings"/>
          <checkBox idMso="ViewFormulaBar" visible="true" label="Formula Bar"/>
          <button idMso="SheetProtect" size="normal"/>
          <separator id="Separator222"/>
          <control idMso="Undo" imageMso="Undo" size="large" label="Undo"/>
          <control idMso="Redo" imageMso="Redo" size="large" label="Redo"/>
          <separator id="Separator223"/>
          <button idMso="MacroSecurity" size="large"/>
          <separator id="Separator224"/>
          <button idMso="FilePrintPreview" size="large"/>
          <separator id="Separator225"/>
          <button idMso="FileSaveAsPdfOrXps" label="Ubah ke PDF" size="large"/>
          <separator id="Separator226"/>
          <button idMso="FilePrint" size="large"/>
        </group>
      </tab>
      <!-- Tab 3 -->
      <tab id="rRekapitulasi" label="Rekapitulasi">
        <group id="rRecap">
          <button id="Sheet310" visible="true" size="large" label="Rekapitulasi Bulan" image="slides" onAction="rSheet0"/>
          <button id="Sheet311" visible="true" size="large" label="Rekapitulasi Semester" image="slides" onAction="rSheet1"/>
          <button id="Sheet312" visible="true" size="large" label="Rekapitulasi Tahun" image="slides" onAction="rSheet2"/>
        </group>
        <group id="rCetak" label="Cetak">
          <button id="Sheet301" visible="true" size="large" label="Versi Cetak" image="paper" onAction="ccetak"/>
        </group>
        <group id="rTools" label="Tools">
          <button idMso="FileSave" label="Simpan" size="large"/>
          <separator id="Separator321"/>
          <checkBox idMso="ViewHeadings" visible="true" label="Headings"/>
          <checkBox idMso="ViewFormulaBar" visible="true" label="Formula Bar"/>
          <button idMso="SheetProtect" size="normal"/>
          <separator id="Separator322"/>
          <button idMso="MacroSecurity" size="large"/>
          <separator id="Separator323"/>
          <button idMso="FilePrintPreview" size="large"/>
          <separator id="Separator324"/>
          <button idMso="FileSaveAsPdfOrXps" label="Ubah ke PDF" size="large"/>
          <separator id="Separator325"/>
          <button idMso="FilePrint" size="large"/>
        </group>
      </tab>
      <!-- Tab 4 -->
      <tab id="dTools" label="Default Tools">
        <group idMso="GroupClipboard"/>
        <group idMso="GroupFont"/>
        <group idMso="GroupAlignmentExcel"/>
        <group idMso="GroupNumber"/>
        <group idMso="GroupStyles"/>
        <group idMso="GroupCells"/>
        <group idMso="GroupEditingExcel"/>
        <group idMso="GroupInsertTablesExcel"/>
        <group idMso="GroupInsertIllustrations"/>
        <group idMso="GroupInsertChartsExcel"/>
        <group idMso="GroupInsertLinks"/>
        <group idMso="GroupInsertText"/>
        <group idMso="GroupInsertBarcode"/>
        <group idMso="GroupThemesExcel"/>
        <group idMso="GroupPageSetup"/>
        <group idMso="GroupPageLayoutScaleToFit"/>
        <group idMso="GroupPageLayoutSheetOptions"/>
        <group idMso="GroupArrange"/>
        <group idMso="GroupFunctionLibrary"/>
        <group idMso="GroupNamedCells"/>
        <group idMso="GroupFormulaAuditing"/>
        <group idMso="GroupCalculation"/>
        <group idMso="GroupGetExternalData"/>
        <group idMso="GroupConnections"/>
        <group idMso="GroupSortFilter"/>
        <group idMso="GroupDataTools"/>
        <group idMso="GroupOutline"/>
        <group idMso="GroupProofing"/>
        <group idMso="GroupComments"/>
        <group idMso="GroupChangesExcel"/>
        <group idMso="GroupInk"/>
        <group idMso="GroupWorkbookViews"/>
        <group idMso="GroupViewShowHide"/>
        <group idMso="GroupZoom"/>
        <group idMso="GroupWindow"/>
        <group idMso="GroupMacros"/>
        <group idMso="GroupCode"/>
        <group idMso="GroupControls"/>
        <group idMso="GroupXml"/>
        <group idMso="GroupModify"/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0CA0C26-9361-4C87-8B43-984DE8113F8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183</vt:i4>
      </vt:variant>
    </vt:vector>
  </HeadingPairs>
  <TitlesOfParts>
    <vt:vector size="209" baseType="lpstr">
      <vt:lpstr>info</vt:lpstr>
      <vt:lpstr>progress</vt:lpstr>
      <vt:lpstr>12Month</vt:lpstr>
      <vt:lpstr>R</vt:lpstr>
      <vt:lpstr>CopyIni</vt:lpstr>
      <vt:lpstr>beranda</vt:lpstr>
      <vt:lpstr>panduan</vt:lpstr>
      <vt:lpstr>profilKelas</vt:lpstr>
      <vt:lpstr>identitasMurid</vt:lpstr>
      <vt:lpstr>RkpBulan</vt:lpstr>
      <vt:lpstr>RkpSemester</vt:lpstr>
      <vt:lpstr>RkpTahun</vt:lpstr>
      <vt:lpstr>FAQ</vt:lpstr>
      <vt:lpstr>Cetak</vt:lpstr>
      <vt:lpstr>Juli</vt:lpstr>
      <vt:lpstr>Agustus</vt:lpstr>
      <vt:lpstr>September</vt:lpstr>
      <vt:lpstr>Oktober</vt:lpstr>
      <vt:lpstr>November</vt:lpstr>
      <vt:lpstr>Desember</vt:lpstr>
      <vt:lpstr>Januari</vt:lpstr>
      <vt:lpstr>Februari</vt:lpstr>
      <vt:lpstr>Maret</vt:lpstr>
      <vt:lpstr>April</vt:lpstr>
      <vt:lpstr>Mei</vt:lpstr>
      <vt:lpstr>Juni</vt:lpstr>
      <vt:lpstr>BelumTerbiasa</vt:lpstr>
      <vt:lpstr>Agustus!JulAktifBermasyarakat</vt:lpstr>
      <vt:lpstr>April!JulAktifBermasyarakat</vt:lpstr>
      <vt:lpstr>Desember!JulAktifBermasyarakat</vt:lpstr>
      <vt:lpstr>Februari!JulAktifBermasyarakat</vt:lpstr>
      <vt:lpstr>Januari!JulAktifBermasyarakat</vt:lpstr>
      <vt:lpstr>Juli!JulAktifBermasyarakat</vt:lpstr>
      <vt:lpstr>Juni!JulAktifBermasyarakat</vt:lpstr>
      <vt:lpstr>Maret!JulAktifBermasyarakat</vt:lpstr>
      <vt:lpstr>Mei!JulAktifBermasyarakat</vt:lpstr>
      <vt:lpstr>November!JulAktifBermasyarakat</vt:lpstr>
      <vt:lpstr>Oktober!JulAktifBermasyarakat</vt:lpstr>
      <vt:lpstr>September!JulAktifBermasyarakat</vt:lpstr>
      <vt:lpstr>Agustus!JulBangunPagi</vt:lpstr>
      <vt:lpstr>April!JulBangunPagi</vt:lpstr>
      <vt:lpstr>Desember!JulBangunPagi</vt:lpstr>
      <vt:lpstr>Februari!JulBangunPagi</vt:lpstr>
      <vt:lpstr>Januari!JulBangunPagi</vt:lpstr>
      <vt:lpstr>Juli!JulBangunPagi</vt:lpstr>
      <vt:lpstr>Juni!JulBangunPagi</vt:lpstr>
      <vt:lpstr>Maret!JulBangunPagi</vt:lpstr>
      <vt:lpstr>Mei!JulBangunPagi</vt:lpstr>
      <vt:lpstr>November!JulBangunPagi</vt:lpstr>
      <vt:lpstr>Oktober!JulBangunPagi</vt:lpstr>
      <vt:lpstr>September!JulBangunPagi</vt:lpstr>
      <vt:lpstr>Agustus!JulBerolahraga</vt:lpstr>
      <vt:lpstr>April!JulBerolahraga</vt:lpstr>
      <vt:lpstr>Desember!JulBerolahraga</vt:lpstr>
      <vt:lpstr>Februari!JulBerolahraga</vt:lpstr>
      <vt:lpstr>Januari!JulBerolahraga</vt:lpstr>
      <vt:lpstr>Juli!JulBerolahraga</vt:lpstr>
      <vt:lpstr>Juni!JulBerolahraga</vt:lpstr>
      <vt:lpstr>Maret!JulBerolahraga</vt:lpstr>
      <vt:lpstr>Mei!JulBerolahraga</vt:lpstr>
      <vt:lpstr>November!JulBerolahraga</vt:lpstr>
      <vt:lpstr>Oktober!JulBerolahraga</vt:lpstr>
      <vt:lpstr>September!JulBerolahraga</vt:lpstr>
      <vt:lpstr>Agustus!JulGemarBelajar</vt:lpstr>
      <vt:lpstr>April!JulGemarBelajar</vt:lpstr>
      <vt:lpstr>Desember!JulGemarBelajar</vt:lpstr>
      <vt:lpstr>Februari!JulGemarBelajar</vt:lpstr>
      <vt:lpstr>Januari!JulGemarBelajar</vt:lpstr>
      <vt:lpstr>Juli!JulGemarBelajar</vt:lpstr>
      <vt:lpstr>Juni!JulGemarBelajar</vt:lpstr>
      <vt:lpstr>Maret!JulGemarBelajar</vt:lpstr>
      <vt:lpstr>Mei!JulGemarBelajar</vt:lpstr>
      <vt:lpstr>November!JulGemarBelajar</vt:lpstr>
      <vt:lpstr>Oktober!JulGemarBelajar</vt:lpstr>
      <vt:lpstr>September!JulGemarBelajar</vt:lpstr>
      <vt:lpstr>Agustus!JulKategoriAkhir</vt:lpstr>
      <vt:lpstr>April!JulKategoriAkhir</vt:lpstr>
      <vt:lpstr>Desember!JulKategoriAkhir</vt:lpstr>
      <vt:lpstr>Februari!JulKategoriAkhir</vt:lpstr>
      <vt:lpstr>Januari!JulKategoriAkhir</vt:lpstr>
      <vt:lpstr>Juli!JulKategoriAkhir</vt:lpstr>
      <vt:lpstr>Juni!JulKategoriAkhir</vt:lpstr>
      <vt:lpstr>Maret!JulKategoriAkhir</vt:lpstr>
      <vt:lpstr>Mei!JulKategoriAkhir</vt:lpstr>
      <vt:lpstr>November!JulKategoriAkhir</vt:lpstr>
      <vt:lpstr>Oktober!JulKategoriAkhir</vt:lpstr>
      <vt:lpstr>September!JulKategoriAkhir</vt:lpstr>
      <vt:lpstr>Agustus!JulMakanSehatBergizi</vt:lpstr>
      <vt:lpstr>April!JulMakanSehatBergizi</vt:lpstr>
      <vt:lpstr>Desember!JulMakanSehatBergizi</vt:lpstr>
      <vt:lpstr>Februari!JulMakanSehatBergizi</vt:lpstr>
      <vt:lpstr>Januari!JulMakanSehatBergizi</vt:lpstr>
      <vt:lpstr>Juli!JulMakanSehatBergizi</vt:lpstr>
      <vt:lpstr>Juni!JulMakanSehatBergizi</vt:lpstr>
      <vt:lpstr>Maret!JulMakanSehatBergizi</vt:lpstr>
      <vt:lpstr>Mei!JulMakanSehatBergizi</vt:lpstr>
      <vt:lpstr>November!JulMakanSehatBergizi</vt:lpstr>
      <vt:lpstr>Oktober!JulMakanSehatBergizi</vt:lpstr>
      <vt:lpstr>September!JulMakanSehatBergizi</vt:lpstr>
      <vt:lpstr>Agustus!JulPL</vt:lpstr>
      <vt:lpstr>April!JulPL</vt:lpstr>
      <vt:lpstr>Desember!JulPL</vt:lpstr>
      <vt:lpstr>Februari!JulPL</vt:lpstr>
      <vt:lpstr>Januari!JulPL</vt:lpstr>
      <vt:lpstr>Juli!JulPL</vt:lpstr>
      <vt:lpstr>Juni!JulPL</vt:lpstr>
      <vt:lpstr>Maret!JulPL</vt:lpstr>
      <vt:lpstr>Mei!JulPL</vt:lpstr>
      <vt:lpstr>November!JulPL</vt:lpstr>
      <vt:lpstr>Oktober!JulPL</vt:lpstr>
      <vt:lpstr>September!JulPL</vt:lpstr>
      <vt:lpstr>Agustus!JulStsSw</vt:lpstr>
      <vt:lpstr>April!JulStsSw</vt:lpstr>
      <vt:lpstr>Cetak!JulStsSw</vt:lpstr>
      <vt:lpstr>Desember!JulStsSw</vt:lpstr>
      <vt:lpstr>Februari!JulStsSw</vt:lpstr>
      <vt:lpstr>Januari!JulStsSw</vt:lpstr>
      <vt:lpstr>Juni!JulStsSw</vt:lpstr>
      <vt:lpstr>Maret!JulStsSw</vt:lpstr>
      <vt:lpstr>Mei!JulStsSw</vt:lpstr>
      <vt:lpstr>November!JulStsSw</vt:lpstr>
      <vt:lpstr>Oktober!JulStsSw</vt:lpstr>
      <vt:lpstr>September!JulStsSw</vt:lpstr>
      <vt:lpstr>JulStsSw</vt:lpstr>
      <vt:lpstr>Agustus!JulTaatBeribadah</vt:lpstr>
      <vt:lpstr>April!JulTaatBeribadah</vt:lpstr>
      <vt:lpstr>Desember!JulTaatBeribadah</vt:lpstr>
      <vt:lpstr>Februari!JulTaatBeribadah</vt:lpstr>
      <vt:lpstr>Januari!JulTaatBeribadah</vt:lpstr>
      <vt:lpstr>Juli!JulTaatBeribadah</vt:lpstr>
      <vt:lpstr>Juni!JulTaatBeribadah</vt:lpstr>
      <vt:lpstr>Maret!JulTaatBeribadah</vt:lpstr>
      <vt:lpstr>Mei!JulTaatBeribadah</vt:lpstr>
      <vt:lpstr>November!JulTaatBeribadah</vt:lpstr>
      <vt:lpstr>Oktober!JulTaatBeribadah</vt:lpstr>
      <vt:lpstr>September!JulTaatBeribadah</vt:lpstr>
      <vt:lpstr>Agustus!JulTidurCepat</vt:lpstr>
      <vt:lpstr>April!JulTidurCepat</vt:lpstr>
      <vt:lpstr>Desember!JulTidurCepat</vt:lpstr>
      <vt:lpstr>Februari!JulTidurCepat</vt:lpstr>
      <vt:lpstr>Januari!JulTidurCepat</vt:lpstr>
      <vt:lpstr>Juli!JulTidurCepat</vt:lpstr>
      <vt:lpstr>Juni!JulTidurCepat</vt:lpstr>
      <vt:lpstr>Maret!JulTidurCepat</vt:lpstr>
      <vt:lpstr>Mei!JulTidurCepat</vt:lpstr>
      <vt:lpstr>November!JulTidurCepat</vt:lpstr>
      <vt:lpstr>Oktober!JulTidurCepat</vt:lpstr>
      <vt:lpstr>September!JulTidurCepat</vt:lpstr>
      <vt:lpstr>Laki_Laki</vt:lpstr>
      <vt:lpstr>Perempuan</vt:lpstr>
      <vt:lpstr>Agustus!Print_Area</vt:lpstr>
      <vt:lpstr>April!Print_Area</vt:lpstr>
      <vt:lpstr>beranda!Print_Area</vt:lpstr>
      <vt:lpstr>Cetak!Print_Area</vt:lpstr>
      <vt:lpstr>Desember!Print_Area</vt:lpstr>
      <vt:lpstr>Februari!Print_Area</vt:lpstr>
      <vt:lpstr>identitasMurid!Print_Area</vt:lpstr>
      <vt:lpstr>Januari!Print_Area</vt:lpstr>
      <vt:lpstr>Juli!Print_Area</vt:lpstr>
      <vt:lpstr>Juni!Print_Area</vt:lpstr>
      <vt:lpstr>Maret!Print_Area</vt:lpstr>
      <vt:lpstr>Mei!Print_Area</vt:lpstr>
      <vt:lpstr>November!Print_Area</vt:lpstr>
      <vt:lpstr>Oktober!Print_Area</vt:lpstr>
      <vt:lpstr>RkpBulan!Print_Area</vt:lpstr>
      <vt:lpstr>RkpSemester!Print_Area</vt:lpstr>
      <vt:lpstr>RkpTahun!Print_Area</vt:lpstr>
      <vt:lpstr>September!Print_Area</vt:lpstr>
      <vt:lpstr>RkpBulan!RepAktifBermasyarakat</vt:lpstr>
      <vt:lpstr>RkpSemester!RepAktifBermasyarakat</vt:lpstr>
      <vt:lpstr>RkpTahun!RepAktifBermasyarakat</vt:lpstr>
      <vt:lpstr>RkpBulan!RepBangunPagi</vt:lpstr>
      <vt:lpstr>RkpSemester!RepBangunPagi</vt:lpstr>
      <vt:lpstr>RkpTahun!RepBangunPagi</vt:lpstr>
      <vt:lpstr>RkpBulan!RepBerolahraga</vt:lpstr>
      <vt:lpstr>RkpSemester!RepBerolahraga</vt:lpstr>
      <vt:lpstr>RkpTahun!RepBerolahraga</vt:lpstr>
      <vt:lpstr>RkpBulan!RepGemarBelajar</vt:lpstr>
      <vt:lpstr>RkpSemester!RepGemarBelajar</vt:lpstr>
      <vt:lpstr>RkpTahun!RepGemarBelajar</vt:lpstr>
      <vt:lpstr>RkpBulan!RepKategoriAkhir</vt:lpstr>
      <vt:lpstr>RkpSemester!RepKategoriAkhir</vt:lpstr>
      <vt:lpstr>RkpTahun!RepKategoriAkhir</vt:lpstr>
      <vt:lpstr>RkpBulan!RepMakanSehatBergizi</vt:lpstr>
      <vt:lpstr>RkpSemester!RepMakanSehatBergizi</vt:lpstr>
      <vt:lpstr>RkpTahun!RepMakanSehatBergizi</vt:lpstr>
      <vt:lpstr>RkpBulan!RepPL</vt:lpstr>
      <vt:lpstr>RkpSemester!RepPL</vt:lpstr>
      <vt:lpstr>RkpTahun!RepPL</vt:lpstr>
      <vt:lpstr>RkpBulan!RepTaatBeribadah</vt:lpstr>
      <vt:lpstr>RkpSemester!RepTaatBeribadah</vt:lpstr>
      <vt:lpstr>RkpTahun!RepTaatBeribadah</vt:lpstr>
      <vt:lpstr>RkpBulan!RepTidurCepat</vt:lpstr>
      <vt:lpstr>RkpSemester!RepTidurCepat</vt:lpstr>
      <vt:lpstr>RkpTahun!RepTidurCepat</vt:lpstr>
      <vt:lpstr>Agustus!Status_Siswa</vt:lpstr>
      <vt:lpstr>April!Status_Siswa</vt:lpstr>
      <vt:lpstr>Cetak!Status_Siswa</vt:lpstr>
      <vt:lpstr>Desember!Status_Siswa</vt:lpstr>
      <vt:lpstr>Februari!Status_Siswa</vt:lpstr>
      <vt:lpstr>Januari!Status_Siswa</vt:lpstr>
      <vt:lpstr>Juni!Status_Siswa</vt:lpstr>
      <vt:lpstr>Maret!Status_Siswa</vt:lpstr>
      <vt:lpstr>Mei!Status_Siswa</vt:lpstr>
      <vt:lpstr>November!Status_Siswa</vt:lpstr>
      <vt:lpstr>Oktober!Status_Siswa</vt:lpstr>
      <vt:lpstr>September!Status_Siswa</vt:lpstr>
      <vt:lpstr>Status_Siswa</vt:lpstr>
      <vt:lpstr>SudahTerbiasa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Rekapitulasi Catatan Harian Kelas (RCHK)</dc:title>
  <dc:subject>7KAIH</dc:subject>
  <dc:creator>Aaron Aletheia Sanger</dc:creator>
  <cp:lastModifiedBy>Aaron Aletheia Sanger</cp:lastModifiedBy>
  <cp:lastPrinted>2025-04-29T09:10:17Z</cp:lastPrinted>
  <dcterms:created xsi:type="dcterms:W3CDTF">2025-02-21T04:52:52Z</dcterms:created>
  <dcterms:modified xsi:type="dcterms:W3CDTF">2025-05-02T03:06:39Z</dcterms:modified>
</cp:coreProperties>
</file>