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7"/>
  </bookViews>
  <sheets>
    <sheet name="oldBailey_descStats" sheetId="4" r:id="rId1"/>
    <sheet name="oldBailey_raw_count" sheetId="1" r:id="rId2"/>
    <sheet name="oldBailey_raw_gender" sheetId="7" r:id="rId3"/>
    <sheet name="beattie_raw" sheetId="5" r:id="rId4"/>
    <sheet name="chisquared_tables_count" sheetId="3" r:id="rId5"/>
    <sheet name="chisquared_tables_gender" sheetId="8" r:id="rId6"/>
    <sheet name="verdict" sheetId="9" r:id="rId7"/>
    <sheet name="sentences" sheetId="10" r:id="rId8"/>
  </sheets>
  <calcPr calcId="145621"/>
</workbook>
</file>

<file path=xl/calcChain.xml><?xml version="1.0" encoding="utf-8"?>
<calcChain xmlns="http://schemas.openxmlformats.org/spreadsheetml/2006/main">
  <c r="C20" i="10" l="1"/>
  <c r="A28" i="10" s="1"/>
  <c r="B20" i="10"/>
  <c r="A26" i="10" s="1"/>
  <c r="C19" i="10"/>
  <c r="B19" i="10"/>
  <c r="B18" i="10"/>
  <c r="G18" i="10" s="1"/>
  <c r="A25" i="10"/>
  <c r="F20" i="10"/>
  <c r="F19" i="10"/>
  <c r="N3" i="10"/>
  <c r="C57" i="9"/>
  <c r="B57" i="9"/>
  <c r="B58" i="9" s="1"/>
  <c r="C56" i="9"/>
  <c r="B56" i="9"/>
  <c r="A53" i="9"/>
  <c r="A63" i="9"/>
  <c r="A62" i="9"/>
  <c r="F57" i="9"/>
  <c r="A65" i="9"/>
  <c r="F56" i="9"/>
  <c r="C58" i="9"/>
  <c r="B55" i="9"/>
  <c r="G55" i="9" s="1"/>
  <c r="N21" i="9"/>
  <c r="L29" i="9" s="1"/>
  <c r="M21" i="9"/>
  <c r="N39" i="9"/>
  <c r="M39" i="9"/>
  <c r="N38" i="9"/>
  <c r="M38" i="9"/>
  <c r="L35" i="9"/>
  <c r="L46" i="9"/>
  <c r="L44" i="9"/>
  <c r="Q39" i="9"/>
  <c r="O39" i="9"/>
  <c r="L45" i="9"/>
  <c r="Q38" i="9"/>
  <c r="N40" i="9"/>
  <c r="M37" i="9"/>
  <c r="R37" i="9" s="1"/>
  <c r="C39" i="9"/>
  <c r="C40" i="9" s="1"/>
  <c r="B39" i="9"/>
  <c r="B40" i="9"/>
  <c r="C38" i="9"/>
  <c r="B38" i="9"/>
  <c r="A44" i="9" s="1"/>
  <c r="A35" i="9"/>
  <c r="A46" i="9"/>
  <c r="F39" i="9"/>
  <c r="A47" i="9"/>
  <c r="A45" i="9"/>
  <c r="F38" i="9"/>
  <c r="B37" i="9"/>
  <c r="G37" i="9" s="1"/>
  <c r="N20" i="9"/>
  <c r="M20" i="9"/>
  <c r="L17" i="9"/>
  <c r="L27" i="9"/>
  <c r="L26" i="9"/>
  <c r="Q21" i="9"/>
  <c r="Q20" i="9"/>
  <c r="M22" i="9"/>
  <c r="M19" i="9"/>
  <c r="N19" i="9" s="1"/>
  <c r="S19" i="9" s="1"/>
  <c r="B19" i="9"/>
  <c r="A17" i="9"/>
  <c r="C22" i="9"/>
  <c r="C21" i="9"/>
  <c r="A29" i="9" s="1"/>
  <c r="B21" i="9"/>
  <c r="C20" i="9"/>
  <c r="B20" i="9"/>
  <c r="B22" i="9" s="1"/>
  <c r="C19" i="9"/>
  <c r="H19" i="9" s="1"/>
  <c r="F21" i="9"/>
  <c r="A27" i="9"/>
  <c r="F20" i="9"/>
  <c r="C4" i="8"/>
  <c r="B4" i="8"/>
  <c r="A1" i="8"/>
  <c r="C5" i="8"/>
  <c r="D26" i="5"/>
  <c r="C26" i="5"/>
  <c r="B3" i="8"/>
  <c r="G3" i="8" s="1"/>
  <c r="B5" i="8"/>
  <c r="A11" i="8" s="1"/>
  <c r="F5" i="8"/>
  <c r="F4" i="8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A13" i="5"/>
  <c r="A12" i="5"/>
  <c r="A11" i="5"/>
  <c r="A7" i="5"/>
  <c r="B41" i="3" s="1"/>
  <c r="A47" i="3" s="1"/>
  <c r="A3" i="5"/>
  <c r="N5" i="3" s="1"/>
  <c r="L13" i="3" s="1"/>
  <c r="A1" i="5"/>
  <c r="C94" i="3"/>
  <c r="C96" i="3" s="1"/>
  <c r="B94" i="3"/>
  <c r="B93" i="3"/>
  <c r="G93" i="3" s="1"/>
  <c r="A91" i="3"/>
  <c r="N76" i="3"/>
  <c r="L84" i="3" s="1"/>
  <c r="M76" i="3"/>
  <c r="L82" i="3" s="1"/>
  <c r="M75" i="3"/>
  <c r="R75" i="3" s="1"/>
  <c r="L73" i="3"/>
  <c r="C76" i="3"/>
  <c r="C78" i="3" s="1"/>
  <c r="B76" i="3"/>
  <c r="A82" i="3" s="1"/>
  <c r="B75" i="3"/>
  <c r="A73" i="3"/>
  <c r="N58" i="3"/>
  <c r="N60" i="3" s="1"/>
  <c r="M58" i="3"/>
  <c r="M60" i="3" s="1"/>
  <c r="M57" i="3"/>
  <c r="N57" i="3" s="1"/>
  <c r="S57" i="3" s="1"/>
  <c r="L55" i="3"/>
  <c r="C58" i="3"/>
  <c r="A66" i="3" s="1"/>
  <c r="B58" i="3"/>
  <c r="B60" i="3" s="1"/>
  <c r="B57" i="3"/>
  <c r="G57" i="3" s="1"/>
  <c r="A55" i="3"/>
  <c r="N40" i="3"/>
  <c r="L48" i="3" s="1"/>
  <c r="M40" i="3"/>
  <c r="L46" i="3" s="1"/>
  <c r="M39" i="3"/>
  <c r="N39" i="3" s="1"/>
  <c r="L37" i="3"/>
  <c r="C40" i="3"/>
  <c r="B40" i="3"/>
  <c r="A46" i="3" s="1"/>
  <c r="C39" i="3"/>
  <c r="B39" i="3"/>
  <c r="G39" i="3" s="1"/>
  <c r="A37" i="3"/>
  <c r="A103" i="3"/>
  <c r="A101" i="3"/>
  <c r="F95" i="3"/>
  <c r="D95" i="3"/>
  <c r="F94" i="3"/>
  <c r="L85" i="3"/>
  <c r="A85" i="3"/>
  <c r="L83" i="3"/>
  <c r="A83" i="3"/>
  <c r="M78" i="3"/>
  <c r="Q77" i="3"/>
  <c r="O77" i="3"/>
  <c r="F77" i="3"/>
  <c r="D77" i="3"/>
  <c r="Q76" i="3"/>
  <c r="F76" i="3"/>
  <c r="G75" i="3"/>
  <c r="L67" i="3"/>
  <c r="A67" i="3"/>
  <c r="L65" i="3"/>
  <c r="A65" i="3"/>
  <c r="Q59" i="3"/>
  <c r="O59" i="3"/>
  <c r="F59" i="3"/>
  <c r="D59" i="3"/>
  <c r="Q58" i="3"/>
  <c r="F58" i="3"/>
  <c r="L49" i="3"/>
  <c r="L47" i="3"/>
  <c r="Q41" i="3"/>
  <c r="O41" i="3"/>
  <c r="F41" i="3"/>
  <c r="Q40" i="3"/>
  <c r="F40" i="3"/>
  <c r="R39" i="3"/>
  <c r="N22" i="3"/>
  <c r="M22" i="3"/>
  <c r="M21" i="3"/>
  <c r="R21" i="3" s="1"/>
  <c r="L19" i="3"/>
  <c r="C22" i="3"/>
  <c r="C24" i="3" s="1"/>
  <c r="B22" i="3"/>
  <c r="B21" i="3"/>
  <c r="G21" i="3" s="1"/>
  <c r="A19" i="3"/>
  <c r="A31" i="3"/>
  <c r="A29" i="3"/>
  <c r="Q23" i="3"/>
  <c r="F23" i="3"/>
  <c r="D23" i="3"/>
  <c r="Q22" i="3"/>
  <c r="F22" i="3"/>
  <c r="N4" i="3"/>
  <c r="L12" i="3" s="1"/>
  <c r="M4" i="3"/>
  <c r="M3" i="3"/>
  <c r="R3" i="3" s="1"/>
  <c r="L1" i="3"/>
  <c r="Q5" i="3"/>
  <c r="Q4" i="3"/>
  <c r="B3" i="3"/>
  <c r="C3" i="3" s="1"/>
  <c r="H3" i="3" s="1"/>
  <c r="B4" i="3"/>
  <c r="B6" i="3" s="1"/>
  <c r="C4" i="3"/>
  <c r="C6" i="3" s="1"/>
  <c r="F4" i="3"/>
  <c r="D5" i="3"/>
  <c r="F5" i="3"/>
  <c r="A11" i="3"/>
  <c r="A13" i="3"/>
  <c r="C21" i="10" l="1"/>
  <c r="B21" i="10"/>
  <c r="D20" i="10"/>
  <c r="A27" i="10"/>
  <c r="C18" i="10"/>
  <c r="H18" i="10" s="1"/>
  <c r="D19" i="10"/>
  <c r="C55" i="9"/>
  <c r="H55" i="9" s="1"/>
  <c r="A64" i="9"/>
  <c r="D56" i="9"/>
  <c r="D57" i="9"/>
  <c r="L47" i="9"/>
  <c r="O38" i="9"/>
  <c r="M40" i="9"/>
  <c r="N37" i="9"/>
  <c r="S37" i="9" s="1"/>
  <c r="D39" i="9"/>
  <c r="D38" i="9"/>
  <c r="C37" i="9"/>
  <c r="H37" i="9" s="1"/>
  <c r="N22" i="9"/>
  <c r="O21" i="9"/>
  <c r="R19" i="9"/>
  <c r="L28" i="9"/>
  <c r="O20" i="9"/>
  <c r="G19" i="9"/>
  <c r="A28" i="9"/>
  <c r="A26" i="9"/>
  <c r="D21" i="9"/>
  <c r="D20" i="9"/>
  <c r="A13" i="8"/>
  <c r="D5" i="8"/>
  <c r="C6" i="8"/>
  <c r="D4" i="8"/>
  <c r="B6" i="8"/>
  <c r="A12" i="8"/>
  <c r="A10" i="8"/>
  <c r="C3" i="8"/>
  <c r="H3" i="8" s="1"/>
  <c r="C57" i="3"/>
  <c r="H57" i="3" s="1"/>
  <c r="C21" i="3"/>
  <c r="C41" i="3"/>
  <c r="A49" i="3" s="1"/>
  <c r="M23" i="3"/>
  <c r="L29" i="3" s="1"/>
  <c r="M5" i="3"/>
  <c r="N23" i="3"/>
  <c r="M6" i="3"/>
  <c r="D94" i="3"/>
  <c r="D96" i="3" s="1"/>
  <c r="C93" i="3"/>
  <c r="H93" i="3" s="1"/>
  <c r="M42" i="3"/>
  <c r="O76" i="3"/>
  <c r="A102" i="3"/>
  <c r="D76" i="3"/>
  <c r="D78" i="3" s="1"/>
  <c r="B96" i="3"/>
  <c r="A100" i="3"/>
  <c r="N75" i="3"/>
  <c r="S75" i="3" s="1"/>
  <c r="A84" i="3"/>
  <c r="C75" i="3"/>
  <c r="H75" i="3" s="1"/>
  <c r="N78" i="3"/>
  <c r="B78" i="3"/>
  <c r="D40" i="3"/>
  <c r="O58" i="3"/>
  <c r="O60" i="3" s="1"/>
  <c r="A48" i="3"/>
  <c r="D58" i="3"/>
  <c r="S39" i="3"/>
  <c r="O40" i="3"/>
  <c r="R57" i="3"/>
  <c r="H39" i="3"/>
  <c r="A64" i="3"/>
  <c r="N42" i="3"/>
  <c r="C60" i="3"/>
  <c r="L66" i="3"/>
  <c r="L64" i="3"/>
  <c r="B42" i="3"/>
  <c r="D22" i="3"/>
  <c r="A30" i="3"/>
  <c r="N21" i="3"/>
  <c r="S21" i="3" s="1"/>
  <c r="O22" i="3"/>
  <c r="B24" i="3"/>
  <c r="A28" i="3"/>
  <c r="L30" i="3"/>
  <c r="H21" i="3"/>
  <c r="L28" i="3"/>
  <c r="L10" i="3"/>
  <c r="N6" i="3"/>
  <c r="O4" i="3"/>
  <c r="N3" i="3"/>
  <c r="S3" i="3" s="1"/>
  <c r="A10" i="3"/>
  <c r="A12" i="3"/>
  <c r="D4" i="3"/>
  <c r="D6" i="3" s="1"/>
  <c r="G3" i="3"/>
  <c r="A1" i="3"/>
  <c r="D21" i="10" l="1"/>
  <c r="H19" i="10" s="1"/>
  <c r="D58" i="9"/>
  <c r="G57" i="9" s="1"/>
  <c r="O40" i="9"/>
  <c r="S39" i="9" s="1"/>
  <c r="M47" i="9" s="1"/>
  <c r="N47" i="9" s="1"/>
  <c r="O47" i="9" s="1"/>
  <c r="P47" i="9" s="1"/>
  <c r="D40" i="9"/>
  <c r="H39" i="9" s="1"/>
  <c r="B47" i="9" s="1"/>
  <c r="C47" i="9" s="1"/>
  <c r="D47" i="9" s="1"/>
  <c r="E47" i="9" s="1"/>
  <c r="O22" i="9"/>
  <c r="S20" i="9" s="1"/>
  <c r="D22" i="9"/>
  <c r="H20" i="9" s="1"/>
  <c r="D6" i="8"/>
  <c r="G4" i="8" s="1"/>
  <c r="D41" i="3"/>
  <c r="M24" i="3"/>
  <c r="O23" i="3"/>
  <c r="C42" i="3"/>
  <c r="D42" i="3" s="1"/>
  <c r="H41" i="3" s="1"/>
  <c r="B49" i="3" s="1"/>
  <c r="C49" i="3" s="1"/>
  <c r="D49" i="3" s="1"/>
  <c r="E49" i="3" s="1"/>
  <c r="O42" i="3"/>
  <c r="D24" i="3"/>
  <c r="H23" i="3" s="1"/>
  <c r="B31" i="3" s="1"/>
  <c r="C31" i="3" s="1"/>
  <c r="D31" i="3" s="1"/>
  <c r="E31" i="3" s="1"/>
  <c r="H94" i="3"/>
  <c r="H96" i="3" s="1"/>
  <c r="D60" i="3"/>
  <c r="G59" i="3" s="1"/>
  <c r="O78" i="3"/>
  <c r="R76" i="3" s="1"/>
  <c r="M82" i="3" s="1"/>
  <c r="N82" i="3" s="1"/>
  <c r="O82" i="3" s="1"/>
  <c r="P82" i="3" s="1"/>
  <c r="L31" i="3"/>
  <c r="N24" i="3"/>
  <c r="O24" i="3" s="1"/>
  <c r="L11" i="3"/>
  <c r="O5" i="3"/>
  <c r="O6" i="3" s="1"/>
  <c r="R4" i="3" s="1"/>
  <c r="G95" i="3"/>
  <c r="H95" i="3"/>
  <c r="B103" i="3" s="1"/>
  <c r="C103" i="3" s="1"/>
  <c r="D103" i="3" s="1"/>
  <c r="E103" i="3" s="1"/>
  <c r="H76" i="3"/>
  <c r="I95" i="3"/>
  <c r="B101" i="3"/>
  <c r="C101" i="3" s="1"/>
  <c r="D101" i="3" s="1"/>
  <c r="E101" i="3" s="1"/>
  <c r="R77" i="3"/>
  <c r="S76" i="3"/>
  <c r="G94" i="3"/>
  <c r="S40" i="3"/>
  <c r="S58" i="3"/>
  <c r="G22" i="3"/>
  <c r="H22" i="3"/>
  <c r="G23" i="3"/>
  <c r="H4" i="3"/>
  <c r="G20" i="10" l="1"/>
  <c r="B26" i="10" s="1"/>
  <c r="C26" i="10" s="1"/>
  <c r="D26" i="10" s="1"/>
  <c r="E26" i="10" s="1"/>
  <c r="B27" i="10"/>
  <c r="C27" i="10" s="1"/>
  <c r="D27" i="10" s="1"/>
  <c r="E27" i="10" s="1"/>
  <c r="G19" i="10"/>
  <c r="H20" i="10"/>
  <c r="B28" i="10" s="1"/>
  <c r="C28" i="10" s="1"/>
  <c r="D28" i="10" s="1"/>
  <c r="E28" i="10" s="1"/>
  <c r="B63" i="9"/>
  <c r="C63" i="9" s="1"/>
  <c r="D63" i="9" s="1"/>
  <c r="E63" i="9" s="1"/>
  <c r="H56" i="9"/>
  <c r="G56" i="9"/>
  <c r="H57" i="9"/>
  <c r="B65" i="9" s="1"/>
  <c r="C65" i="9" s="1"/>
  <c r="D65" i="9" s="1"/>
  <c r="E65" i="9" s="1"/>
  <c r="S38" i="9"/>
  <c r="R38" i="9"/>
  <c r="R39" i="9"/>
  <c r="H38" i="9"/>
  <c r="G39" i="9"/>
  <c r="G38" i="9"/>
  <c r="R21" i="9"/>
  <c r="M27" i="9" s="1"/>
  <c r="N27" i="9" s="1"/>
  <c r="O27" i="9" s="1"/>
  <c r="P27" i="9" s="1"/>
  <c r="S21" i="9"/>
  <c r="M29" i="9" s="1"/>
  <c r="N29" i="9" s="1"/>
  <c r="O29" i="9" s="1"/>
  <c r="P29" i="9" s="1"/>
  <c r="M28" i="9"/>
  <c r="N28" i="9" s="1"/>
  <c r="O28" i="9" s="1"/>
  <c r="P28" i="9" s="1"/>
  <c r="R20" i="9"/>
  <c r="G21" i="9"/>
  <c r="B27" i="9" s="1"/>
  <c r="C27" i="9" s="1"/>
  <c r="D27" i="9" s="1"/>
  <c r="E27" i="9" s="1"/>
  <c r="H21" i="9"/>
  <c r="B29" i="9" s="1"/>
  <c r="C29" i="9" s="1"/>
  <c r="D29" i="9" s="1"/>
  <c r="E29" i="9" s="1"/>
  <c r="B28" i="9"/>
  <c r="C28" i="9" s="1"/>
  <c r="D28" i="9" s="1"/>
  <c r="E28" i="9" s="1"/>
  <c r="G20" i="9"/>
  <c r="B10" i="8"/>
  <c r="C10" i="8" s="1"/>
  <c r="D10" i="8" s="1"/>
  <c r="E10" i="8" s="1"/>
  <c r="H4" i="8"/>
  <c r="H5" i="8"/>
  <c r="B13" i="8" s="1"/>
  <c r="C13" i="8" s="1"/>
  <c r="D13" i="8" s="1"/>
  <c r="E13" i="8" s="1"/>
  <c r="G5" i="8"/>
  <c r="G6" i="8" s="1"/>
  <c r="T76" i="3"/>
  <c r="S77" i="3"/>
  <c r="M85" i="3" s="1"/>
  <c r="N85" i="3" s="1"/>
  <c r="O85" i="3" s="1"/>
  <c r="P85" i="3" s="1"/>
  <c r="B102" i="3"/>
  <c r="C102" i="3" s="1"/>
  <c r="D102" i="3" s="1"/>
  <c r="E102" i="3" s="1"/>
  <c r="G4" i="3"/>
  <c r="I4" i="3" s="1"/>
  <c r="B84" i="3"/>
  <c r="C84" i="3" s="1"/>
  <c r="D84" i="3" s="1"/>
  <c r="E84" i="3" s="1"/>
  <c r="I94" i="3"/>
  <c r="G96" i="3"/>
  <c r="I96" i="3" s="1"/>
  <c r="B100" i="3"/>
  <c r="C100" i="3" s="1"/>
  <c r="D100" i="3" s="1"/>
  <c r="E100" i="3" s="1"/>
  <c r="E105" i="3" s="1"/>
  <c r="B107" i="3" s="1"/>
  <c r="T77" i="3"/>
  <c r="M83" i="3"/>
  <c r="N83" i="3" s="1"/>
  <c r="O83" i="3" s="1"/>
  <c r="P83" i="3" s="1"/>
  <c r="R78" i="3"/>
  <c r="P87" i="3"/>
  <c r="M89" i="3" s="1"/>
  <c r="G76" i="3"/>
  <c r="H77" i="3"/>
  <c r="B85" i="3" s="1"/>
  <c r="C85" i="3" s="1"/>
  <c r="D85" i="3" s="1"/>
  <c r="E85" i="3" s="1"/>
  <c r="G77" i="3"/>
  <c r="S78" i="3"/>
  <c r="M84" i="3"/>
  <c r="N84" i="3" s="1"/>
  <c r="O84" i="3" s="1"/>
  <c r="P84" i="3" s="1"/>
  <c r="M48" i="3"/>
  <c r="N48" i="3" s="1"/>
  <c r="O48" i="3" s="1"/>
  <c r="P48" i="3" s="1"/>
  <c r="B65" i="3"/>
  <c r="C65" i="3" s="1"/>
  <c r="D65" i="3" s="1"/>
  <c r="E65" i="3" s="1"/>
  <c r="G58" i="3"/>
  <c r="H58" i="3"/>
  <c r="M66" i="3"/>
  <c r="N66" i="3" s="1"/>
  <c r="O66" i="3" s="1"/>
  <c r="P66" i="3" s="1"/>
  <c r="R59" i="3"/>
  <c r="S59" i="3"/>
  <c r="M67" i="3" s="1"/>
  <c r="N67" i="3" s="1"/>
  <c r="O67" i="3" s="1"/>
  <c r="P67" i="3" s="1"/>
  <c r="H59" i="3"/>
  <c r="B67" i="3" s="1"/>
  <c r="C67" i="3" s="1"/>
  <c r="D67" i="3" s="1"/>
  <c r="E67" i="3" s="1"/>
  <c r="S41" i="3"/>
  <c r="M49" i="3" s="1"/>
  <c r="N49" i="3" s="1"/>
  <c r="O49" i="3" s="1"/>
  <c r="P49" i="3" s="1"/>
  <c r="R41" i="3"/>
  <c r="G40" i="3"/>
  <c r="R40" i="3"/>
  <c r="H40" i="3"/>
  <c r="R58" i="3"/>
  <c r="G41" i="3"/>
  <c r="S23" i="3"/>
  <c r="M31" i="3" s="1"/>
  <c r="N31" i="3" s="1"/>
  <c r="O31" i="3" s="1"/>
  <c r="P31" i="3" s="1"/>
  <c r="R23" i="3"/>
  <c r="R22" i="3"/>
  <c r="S22" i="3"/>
  <c r="B29" i="3"/>
  <c r="C29" i="3" s="1"/>
  <c r="D29" i="3" s="1"/>
  <c r="E29" i="3" s="1"/>
  <c r="I23" i="3"/>
  <c r="H24" i="3"/>
  <c r="B30" i="3"/>
  <c r="C30" i="3" s="1"/>
  <c r="D30" i="3" s="1"/>
  <c r="E30" i="3" s="1"/>
  <c r="I22" i="3"/>
  <c r="G24" i="3"/>
  <c r="B28" i="3"/>
  <c r="C28" i="3" s="1"/>
  <c r="D28" i="3" s="1"/>
  <c r="E28" i="3" s="1"/>
  <c r="M10" i="3"/>
  <c r="N10" i="3" s="1"/>
  <c r="O10" i="3" s="1"/>
  <c r="P10" i="3" s="1"/>
  <c r="R5" i="3"/>
  <c r="R6" i="3" s="1"/>
  <c r="S5" i="3"/>
  <c r="M13" i="3" s="1"/>
  <c r="N13" i="3" s="1"/>
  <c r="O13" i="3" s="1"/>
  <c r="P13" i="3" s="1"/>
  <c r="S4" i="3"/>
  <c r="T4" i="3" s="1"/>
  <c r="B12" i="3"/>
  <c r="C12" i="3" s="1"/>
  <c r="D12" i="3" s="1"/>
  <c r="E12" i="3" s="1"/>
  <c r="B10" i="3"/>
  <c r="C10" i="3" s="1"/>
  <c r="D10" i="3" s="1"/>
  <c r="E10" i="3" s="1"/>
  <c r="G5" i="3"/>
  <c r="H5" i="3"/>
  <c r="B13" i="3" s="1"/>
  <c r="C13" i="3" s="1"/>
  <c r="D13" i="3" s="1"/>
  <c r="E13" i="3" s="1"/>
  <c r="H21" i="10" l="1"/>
  <c r="I20" i="10"/>
  <c r="G21" i="10"/>
  <c r="I21" i="10" s="1"/>
  <c r="B25" i="10"/>
  <c r="C25" i="10" s="1"/>
  <c r="D25" i="10" s="1"/>
  <c r="E25" i="10" s="1"/>
  <c r="E30" i="10" s="1"/>
  <c r="B32" i="10" s="1"/>
  <c r="I19" i="10"/>
  <c r="I57" i="9"/>
  <c r="G58" i="9"/>
  <c r="B62" i="9"/>
  <c r="C62" i="9" s="1"/>
  <c r="D62" i="9" s="1"/>
  <c r="E62" i="9" s="1"/>
  <c r="I56" i="9"/>
  <c r="B64" i="9"/>
  <c r="C64" i="9" s="1"/>
  <c r="D64" i="9" s="1"/>
  <c r="E64" i="9" s="1"/>
  <c r="H58" i="9"/>
  <c r="T21" i="9"/>
  <c r="S22" i="9"/>
  <c r="S40" i="9"/>
  <c r="M46" i="9"/>
  <c r="N46" i="9" s="1"/>
  <c r="O46" i="9" s="1"/>
  <c r="P46" i="9" s="1"/>
  <c r="R40" i="9"/>
  <c r="T40" i="9" s="1"/>
  <c r="M44" i="9"/>
  <c r="N44" i="9" s="1"/>
  <c r="O44" i="9" s="1"/>
  <c r="P44" i="9" s="1"/>
  <c r="T38" i="9"/>
  <c r="M45" i="9"/>
  <c r="N45" i="9" s="1"/>
  <c r="O45" i="9" s="1"/>
  <c r="P45" i="9" s="1"/>
  <c r="T39" i="9"/>
  <c r="G40" i="9"/>
  <c r="B44" i="9"/>
  <c r="C44" i="9" s="1"/>
  <c r="D44" i="9" s="1"/>
  <c r="E44" i="9" s="1"/>
  <c r="I38" i="9"/>
  <c r="I39" i="9"/>
  <c r="B45" i="9"/>
  <c r="C45" i="9" s="1"/>
  <c r="D45" i="9" s="1"/>
  <c r="E45" i="9" s="1"/>
  <c r="H40" i="9"/>
  <c r="B46" i="9"/>
  <c r="C46" i="9" s="1"/>
  <c r="D46" i="9" s="1"/>
  <c r="E46" i="9" s="1"/>
  <c r="R22" i="9"/>
  <c r="T22" i="9" s="1"/>
  <c r="M26" i="9"/>
  <c r="N26" i="9" s="1"/>
  <c r="O26" i="9" s="1"/>
  <c r="P26" i="9" s="1"/>
  <c r="P31" i="9" s="1"/>
  <c r="M33" i="9" s="1"/>
  <c r="T20" i="9"/>
  <c r="I21" i="9"/>
  <c r="H22" i="9"/>
  <c r="G22" i="9"/>
  <c r="I22" i="9" s="1"/>
  <c r="B26" i="9"/>
  <c r="C26" i="9" s="1"/>
  <c r="D26" i="9" s="1"/>
  <c r="E26" i="9" s="1"/>
  <c r="E31" i="9" s="1"/>
  <c r="B33" i="9" s="1"/>
  <c r="I20" i="9"/>
  <c r="B12" i="8"/>
  <c r="C12" i="8" s="1"/>
  <c r="D12" i="8" s="1"/>
  <c r="E12" i="8" s="1"/>
  <c r="H6" i="8"/>
  <c r="I6" i="8" s="1"/>
  <c r="I5" i="8"/>
  <c r="B11" i="8"/>
  <c r="C11" i="8" s="1"/>
  <c r="D11" i="8" s="1"/>
  <c r="E11" i="8" s="1"/>
  <c r="E15" i="8" s="1"/>
  <c r="B17" i="8" s="1"/>
  <c r="I4" i="8"/>
  <c r="T78" i="3"/>
  <c r="I24" i="3"/>
  <c r="I77" i="3"/>
  <c r="B83" i="3"/>
  <c r="C83" i="3" s="1"/>
  <c r="D83" i="3" s="1"/>
  <c r="E83" i="3" s="1"/>
  <c r="B82" i="3"/>
  <c r="C82" i="3" s="1"/>
  <c r="D82" i="3" s="1"/>
  <c r="E82" i="3" s="1"/>
  <c r="E87" i="3" s="1"/>
  <c r="B89" i="3" s="1"/>
  <c r="I76" i="3"/>
  <c r="G78" i="3"/>
  <c r="H78" i="3"/>
  <c r="I58" i="3"/>
  <c r="B64" i="3"/>
  <c r="C64" i="3" s="1"/>
  <c r="D64" i="3" s="1"/>
  <c r="E64" i="3" s="1"/>
  <c r="E69" i="3" s="1"/>
  <c r="B71" i="3" s="1"/>
  <c r="G60" i="3"/>
  <c r="T40" i="3"/>
  <c r="M46" i="3"/>
  <c r="N46" i="3" s="1"/>
  <c r="O46" i="3" s="1"/>
  <c r="P46" i="3" s="1"/>
  <c r="R42" i="3"/>
  <c r="I59" i="3"/>
  <c r="M65" i="3"/>
  <c r="N65" i="3" s="1"/>
  <c r="O65" i="3" s="1"/>
  <c r="P65" i="3" s="1"/>
  <c r="T59" i="3"/>
  <c r="B47" i="3"/>
  <c r="C47" i="3" s="1"/>
  <c r="D47" i="3" s="1"/>
  <c r="E47" i="3" s="1"/>
  <c r="I41" i="3"/>
  <c r="M64" i="3"/>
  <c r="N64" i="3" s="1"/>
  <c r="O64" i="3" s="1"/>
  <c r="P64" i="3" s="1"/>
  <c r="P69" i="3" s="1"/>
  <c r="M71" i="3" s="1"/>
  <c r="T58" i="3"/>
  <c r="R60" i="3"/>
  <c r="B46" i="3"/>
  <c r="C46" i="3" s="1"/>
  <c r="D46" i="3" s="1"/>
  <c r="E46" i="3" s="1"/>
  <c r="I40" i="3"/>
  <c r="G42" i="3"/>
  <c r="S42" i="3"/>
  <c r="S60" i="3"/>
  <c r="B66" i="3"/>
  <c r="C66" i="3" s="1"/>
  <c r="D66" i="3" s="1"/>
  <c r="E66" i="3" s="1"/>
  <c r="H60" i="3"/>
  <c r="H42" i="3"/>
  <c r="B48" i="3"/>
  <c r="C48" i="3" s="1"/>
  <c r="D48" i="3" s="1"/>
  <c r="E48" i="3" s="1"/>
  <c r="T41" i="3"/>
  <c r="M47" i="3"/>
  <c r="N47" i="3" s="1"/>
  <c r="O47" i="3" s="1"/>
  <c r="P47" i="3" s="1"/>
  <c r="E33" i="3"/>
  <c r="B35" i="3" s="1"/>
  <c r="S24" i="3"/>
  <c r="M30" i="3"/>
  <c r="N30" i="3" s="1"/>
  <c r="O30" i="3" s="1"/>
  <c r="P30" i="3" s="1"/>
  <c r="M28" i="3"/>
  <c r="N28" i="3" s="1"/>
  <c r="O28" i="3" s="1"/>
  <c r="P28" i="3" s="1"/>
  <c r="T22" i="3"/>
  <c r="R24" i="3"/>
  <c r="T23" i="3"/>
  <c r="M29" i="3"/>
  <c r="N29" i="3" s="1"/>
  <c r="O29" i="3" s="1"/>
  <c r="P29" i="3" s="1"/>
  <c r="M11" i="3"/>
  <c r="N11" i="3" s="1"/>
  <c r="O11" i="3" s="1"/>
  <c r="P11" i="3" s="1"/>
  <c r="T5" i="3"/>
  <c r="M12" i="3"/>
  <c r="N12" i="3" s="1"/>
  <c r="O12" i="3" s="1"/>
  <c r="P12" i="3" s="1"/>
  <c r="S6" i="3"/>
  <c r="T6" i="3" s="1"/>
  <c r="B11" i="3"/>
  <c r="C11" i="3" s="1"/>
  <c r="D11" i="3" s="1"/>
  <c r="E11" i="3" s="1"/>
  <c r="E15" i="3" s="1"/>
  <c r="B17" i="3" s="1"/>
  <c r="I5" i="3"/>
  <c r="G6" i="3"/>
  <c r="H6" i="3"/>
  <c r="E67" i="9" l="1"/>
  <c r="B69" i="9" s="1"/>
  <c r="I58" i="9"/>
  <c r="P49" i="9"/>
  <c r="M51" i="9" s="1"/>
  <c r="E49" i="9"/>
  <c r="B51" i="9" s="1"/>
  <c r="I40" i="9"/>
  <c r="P15" i="3"/>
  <c r="M17" i="3" s="1"/>
  <c r="P51" i="3"/>
  <c r="M53" i="3" s="1"/>
  <c r="I78" i="3"/>
  <c r="E51" i="3"/>
  <c r="B53" i="3" s="1"/>
  <c r="I60" i="3"/>
  <c r="I42" i="3"/>
  <c r="T42" i="3"/>
  <c r="T60" i="3"/>
  <c r="P33" i="3"/>
  <c r="M35" i="3" s="1"/>
  <c r="T24" i="3"/>
  <c r="I6" i="3"/>
</calcChain>
</file>

<file path=xl/sharedStrings.xml><?xml version="1.0" encoding="utf-8"?>
<sst xmlns="http://schemas.openxmlformats.org/spreadsheetml/2006/main" count="501" uniqueCount="96">
  <si>
    <t>Year</t>
  </si>
  <si>
    <t>Total</t>
  </si>
  <si>
    <t>multiple offences</t>
  </si>
  <si>
    <t>Killing</t>
  </si>
  <si>
    <t>Royal Offences</t>
  </si>
  <si>
    <t>Sexual Offences</t>
  </si>
  <si>
    <t>Theft</t>
  </si>
  <si>
    <t>Violent Theft</t>
  </si>
  <si>
    <t>unknown</t>
  </si>
  <si>
    <t>Breaking Peace</t>
  </si>
  <si>
    <t>Deception</t>
  </si>
  <si>
    <t>Miscellaneous</t>
  </si>
  <si>
    <t>Damage to Property</t>
  </si>
  <si>
    <t>https://www.oldbaileyonline.org/forms/formStats.jsp</t>
  </si>
  <si>
    <t>https://www.oldbaileyonline.org/stats.jsp?y=year&amp;x=offenceCategory&amp;countBy=_defendantNames&amp;render=&amp;_offences_offenceCategory_offenceSubcategory=&amp;_verdicts_verdictCategory_verdictSubcategory=&amp;_punishments_punishmentCategory_punishmentSubcategory=&amp;_defendantNames_defendantGender=&amp;defendantAgeFrom=&amp;defendantAgeTo=&amp;_victimNames_victimGender=&amp;victimAgeFrom=&amp;victimAgeTo=&amp;_divs_fulltext=&amp;kwparse=and&amp;fromMonth=&amp;fromYear=&amp;toMonth=&amp;toYear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</si>
  <si>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</si>
  <si>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</si>
  <si>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</si>
  <si>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</si>
  <si>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</si>
  <si>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</si>
  <si>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</si>
  <si>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</si>
  <si>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</si>
  <si>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</si>
  <si>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</si>
  <si>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</si>
  <si>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</si>
  <si>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OBSERVED</t>
  </si>
  <si>
    <t>EXPECTED</t>
  </si>
  <si>
    <t>oldBailey</t>
  </si>
  <si>
    <t>notOB</t>
  </si>
  <si>
    <t>O</t>
  </si>
  <si>
    <t>E</t>
  </si>
  <si>
    <t>o-e</t>
  </si>
  <si>
    <t>(o-e)2</t>
  </si>
  <si>
    <t>(o-e)2/e</t>
  </si>
  <si>
    <t>df=1</t>
  </si>
  <si>
    <t>x2=</t>
  </si>
  <si>
    <t>Table 3.1 (Verdicts in Homicide Cases)</t>
  </si>
  <si>
    <t>Table 3.6 (Indictments for Infanticide)</t>
  </si>
  <si>
    <t>Table 3.7 (Indictments for Rape and Attempted Rape)</t>
  </si>
  <si>
    <t>Table 4.1 (Indictments for Crimes Against Property)</t>
  </si>
  <si>
    <t>Robbery</t>
  </si>
  <si>
    <t>Burglary</t>
  </si>
  <si>
    <t>Housebreaking</t>
  </si>
  <si>
    <t>Nonclergyable Larceny</t>
  </si>
  <si>
    <t>simple grand Larceny</t>
  </si>
  <si>
    <t>petty larceny</t>
  </si>
  <si>
    <t>fraud</t>
  </si>
  <si>
    <t>https://www.oldbaileyonline.org/static/DoingStatistics.jsp</t>
  </si>
  <si>
    <t>Table 4.5 (Indictments for Burglary and Housebreaking)</t>
  </si>
  <si>
    <t>Table 4.6 (Nonclergyable Larcenies)</t>
  </si>
  <si>
    <t>Table 4.7 (Indictments for Crimes Against Property)</t>
  </si>
  <si>
    <t>Robbery, burglary, housebreaking, horse-theft</t>
  </si>
  <si>
    <t>other nonclergyable larcenies</t>
  </si>
  <si>
    <t>simple grand larceny and petty larceny</t>
  </si>
  <si>
    <t>male</t>
  </si>
  <si>
    <t>female</t>
  </si>
  <si>
    <t>indeterminate</t>
  </si>
  <si>
    <t>Offence</t>
  </si>
  <si>
    <t>Male</t>
  </si>
  <si>
    <t>Female</t>
  </si>
  <si>
    <t>simple grand larceny</t>
  </si>
  <si>
    <t>Table 5.3 (Gender of Accused in Property Offenses)</t>
  </si>
  <si>
    <t>multiple verdicts</t>
  </si>
  <si>
    <t>Guilty</t>
  </si>
  <si>
    <t>Not Guilty</t>
  </si>
  <si>
    <t>Special Verdict</t>
  </si>
  <si>
    <t>Old Bailey</t>
  </si>
  <si>
    <t>Beattie</t>
  </si>
  <si>
    <t>Partial Verdict</t>
  </si>
  <si>
    <t>Property</t>
  </si>
  <si>
    <t>Forgery</t>
  </si>
  <si>
    <t>Fraud</t>
  </si>
  <si>
    <t>Murder</t>
  </si>
  <si>
    <t>Infanticide</t>
  </si>
  <si>
    <t>Assault</t>
  </si>
  <si>
    <t>Rape</t>
  </si>
  <si>
    <t>Attempted Rape</t>
  </si>
  <si>
    <t>Table 8.3 (Trial Verdicts)</t>
  </si>
  <si>
    <t>multiple punishments</t>
  </si>
  <si>
    <t>Corporal</t>
  </si>
  <si>
    <t>Death</t>
  </si>
  <si>
    <t>Imprisonment</t>
  </si>
  <si>
    <t>No Punishment</t>
  </si>
  <si>
    <t>Transportation</t>
  </si>
  <si>
    <t>Table 9.1 (Capital Punishment in Surrey)</t>
  </si>
  <si>
    <t>Offense</t>
  </si>
  <si>
    <t>Sentenced to death</t>
  </si>
  <si>
    <t>Not Sentenced to death</t>
  </si>
  <si>
    <t>Horse-theft</t>
  </si>
  <si>
    <t>Pickingpockets</t>
  </si>
  <si>
    <t>simple larceny</t>
  </si>
  <si>
    <t>Coining</t>
  </si>
  <si>
    <t>h1: there is an association between being in London and being sentneced to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</si>
</sst>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1" fontId="0" fillId="0" borderId="7" xfId="0" applyNumberFormat="1" applyBorder="1"/>
    <xf numFmtId="1" fontId="0" fillId="0" borderId="4" xfId="0" applyNumberFormat="1" applyBorder="1"/>
    <xf numFmtId="0" fontId="0" fillId="0" borderId="4" xfId="0" applyBorder="1"/>
    <xf numFmtId="0" fontId="0" fillId="0" borderId="8" xfId="0" applyBorder="1"/>
    <xf numFmtId="1" fontId="0" fillId="0" borderId="9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0" xfId="0" applyBorder="1"/>
    <xf numFmtId="1" fontId="0" fillId="3" borderId="11" xfId="0" applyNumberFormat="1" applyFill="1" applyBorder="1"/>
    <xf numFmtId="1" fontId="0" fillId="0" borderId="0" xfId="0" quotePrefix="1" applyNumberFormat="1" applyBorder="1"/>
    <xf numFmtId="1" fontId="0" fillId="3" borderId="0" xfId="0" applyNumberFormat="1" applyFill="1" applyBorder="1"/>
    <xf numFmtId="1" fontId="0" fillId="3" borderId="12" xfId="0" applyNumberFormat="1" applyFill="1" applyBorder="1"/>
    <xf numFmtId="9" fontId="0" fillId="0" borderId="0" xfId="0" applyNumberFormat="1" applyBorder="1"/>
    <xf numFmtId="10" fontId="0" fillId="0" borderId="10" xfId="0" applyNumberFormat="1" applyBorder="1"/>
    <xf numFmtId="1" fontId="0" fillId="0" borderId="1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left" vertical="center"/>
    </xf>
    <xf numFmtId="0" fontId="0" fillId="6" borderId="0" xfId="0" applyFill="1"/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" fontId="0" fillId="0" borderId="0" xfId="0" applyNumberFormat="1"/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239" totalsRowShown="0" headerRowDxfId="4" headerRowBorderDxfId="3">
  <autoFilter ref="A1:M239"/>
  <tableColumns count="13">
    <tableColumn id="1" name="Year" dataDxfId="2"/>
    <tableColumn id="2" name="Total"/>
    <tableColumn id="3" name="multiple offences"/>
    <tableColumn id="4" name="Killing"/>
    <tableColumn id="5" name="Royal Offences"/>
    <tableColumn id="6" name="Sexual Offences"/>
    <tableColumn id="7" name="Theft"/>
    <tableColumn id="8" name="Violent Theft"/>
    <tableColumn id="9" name="unknown"/>
    <tableColumn id="10" name="Breaking Peace"/>
    <tableColumn id="11" name="Deception"/>
    <tableColumn id="12" name="Miscellaneous"/>
    <tableColumn id="13" name="Damage to Proper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 headerRowDxfId="0">
  <autoFilter ref="A1:E13"/>
  <tableColumns count="5">
    <tableColumn id="1" name="Offence" dataDxfId="1"/>
    <tableColumn id="2" name="Total"/>
    <tableColumn id="3" name="male"/>
    <tableColumn id="4" name="female"/>
    <tableColumn id="5" name="indetermin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.7109375" bestFit="1" customWidth="1"/>
    <col min="21" max="21" width="18.140625" bestFit="1" customWidth="1"/>
    <col min="22" max="22" width="12" bestFit="1" customWidth="1"/>
    <col min="23" max="23" width="19.5703125" bestFit="1" customWidth="1"/>
    <col min="24" max="24" width="12" bestFit="1" customWidth="1"/>
  </cols>
  <sheetData>
    <row r="1" spans="1:24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  <c r="Q1" s="7" t="s">
        <v>9</v>
      </c>
      <c r="R1" s="7"/>
      <c r="S1" s="7" t="s">
        <v>10</v>
      </c>
      <c r="T1" s="7"/>
      <c r="U1" s="7" t="s">
        <v>11</v>
      </c>
      <c r="V1" s="7"/>
      <c r="W1" s="7" t="s">
        <v>12</v>
      </c>
      <c r="X1" s="7"/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5" t="s">
        <v>15</v>
      </c>
      <c r="B3" s="5">
        <v>1061.1428571428571</v>
      </c>
      <c r="C3" s="5" t="s">
        <v>15</v>
      </c>
      <c r="D3" s="5">
        <v>8.6260504201680668</v>
      </c>
      <c r="E3" s="5" t="s">
        <v>15</v>
      </c>
      <c r="F3" s="5">
        <v>25.642857142857142</v>
      </c>
      <c r="G3" s="5" t="s">
        <v>15</v>
      </c>
      <c r="H3" s="5">
        <v>58.138655462184872</v>
      </c>
      <c r="I3" s="5" t="s">
        <v>15</v>
      </c>
      <c r="J3" s="5">
        <v>31.663865546218489</v>
      </c>
      <c r="K3" s="5" t="s">
        <v>15</v>
      </c>
      <c r="L3" s="5">
        <v>729.16386554621852</v>
      </c>
      <c r="M3" s="5" t="s">
        <v>15</v>
      </c>
      <c r="N3" s="5">
        <v>52.991596638655459</v>
      </c>
      <c r="O3" s="5" t="s">
        <v>15</v>
      </c>
      <c r="P3" s="5">
        <v>30.340336134453782</v>
      </c>
      <c r="Q3" s="5" t="s">
        <v>15</v>
      </c>
      <c r="R3" s="5">
        <v>36.180672268907564</v>
      </c>
      <c r="S3" s="5" t="s">
        <v>15</v>
      </c>
      <c r="T3" s="5">
        <v>67.277310924369743</v>
      </c>
      <c r="U3" s="5" t="s">
        <v>15</v>
      </c>
      <c r="V3" s="5">
        <v>16.218487394957982</v>
      </c>
      <c r="W3" s="5" t="s">
        <v>15</v>
      </c>
      <c r="X3" s="5">
        <v>4.8991596638655466</v>
      </c>
    </row>
    <row r="4" spans="1:24" x14ac:dyDescent="0.25">
      <c r="A4" s="5" t="s">
        <v>16</v>
      </c>
      <c r="B4" s="5">
        <v>49.72758701545191</v>
      </c>
      <c r="C4" s="5" t="s">
        <v>16</v>
      </c>
      <c r="D4" s="5">
        <v>0.97491603311620778</v>
      </c>
      <c r="E4" s="5" t="s">
        <v>16</v>
      </c>
      <c r="F4" s="5">
        <v>1.0599904771607642</v>
      </c>
      <c r="G4" s="5" t="s">
        <v>16</v>
      </c>
      <c r="H4" s="5">
        <v>4.7174245058284088</v>
      </c>
      <c r="I4" s="5" t="s">
        <v>16</v>
      </c>
      <c r="J4" s="5">
        <v>2.7005625596459448</v>
      </c>
      <c r="K4" s="5" t="s">
        <v>16</v>
      </c>
      <c r="L4" s="5">
        <v>44.380284212692267</v>
      </c>
      <c r="M4" s="5" t="s">
        <v>16</v>
      </c>
      <c r="N4" s="5">
        <v>2.2506090261145166</v>
      </c>
      <c r="O4" s="5" t="s">
        <v>16</v>
      </c>
      <c r="P4" s="5">
        <v>3.1549008154998166</v>
      </c>
      <c r="Q4" s="5" t="s">
        <v>16</v>
      </c>
      <c r="R4" s="5">
        <v>3.1196723009417537</v>
      </c>
      <c r="S4" s="5" t="s">
        <v>16</v>
      </c>
      <c r="T4" s="5">
        <v>5.0707362050378846</v>
      </c>
      <c r="U4" s="5" t="s">
        <v>16</v>
      </c>
      <c r="V4" s="5">
        <v>1.0626631133711326</v>
      </c>
      <c r="W4" s="5" t="s">
        <v>16</v>
      </c>
      <c r="X4" s="5">
        <v>0.47367271889487828</v>
      </c>
    </row>
    <row r="5" spans="1:24" x14ac:dyDescent="0.25">
      <c r="A5" s="5" t="s">
        <v>17</v>
      </c>
      <c r="B5" s="5">
        <v>895</v>
      </c>
      <c r="C5" s="5" t="s">
        <v>17</v>
      </c>
      <c r="D5" s="5">
        <v>3</v>
      </c>
      <c r="E5" s="5" t="s">
        <v>17</v>
      </c>
      <c r="F5" s="5">
        <v>22</v>
      </c>
      <c r="G5" s="5" t="s">
        <v>17</v>
      </c>
      <c r="H5" s="5">
        <v>25</v>
      </c>
      <c r="I5" s="5" t="s">
        <v>17</v>
      </c>
      <c r="J5" s="5">
        <v>10</v>
      </c>
      <c r="K5" s="5" t="s">
        <v>17</v>
      </c>
      <c r="L5" s="5">
        <v>489.5</v>
      </c>
      <c r="M5" s="5" t="s">
        <v>17</v>
      </c>
      <c r="N5" s="5">
        <v>47.5</v>
      </c>
      <c r="O5" s="5" t="s">
        <v>17</v>
      </c>
      <c r="P5" s="5">
        <v>9</v>
      </c>
      <c r="Q5" s="5" t="s">
        <v>17</v>
      </c>
      <c r="R5" s="5">
        <v>6</v>
      </c>
      <c r="S5" s="5" t="s">
        <v>17</v>
      </c>
      <c r="T5" s="5">
        <v>22</v>
      </c>
      <c r="U5" s="5" t="s">
        <v>17</v>
      </c>
      <c r="V5" s="5">
        <v>12</v>
      </c>
      <c r="W5" s="5" t="s">
        <v>17</v>
      </c>
      <c r="X5" s="5">
        <v>1</v>
      </c>
    </row>
    <row r="6" spans="1:24" x14ac:dyDescent="0.25">
      <c r="A6" s="5" t="s">
        <v>18</v>
      </c>
      <c r="B6" s="5">
        <v>498</v>
      </c>
      <c r="C6" s="5" t="s">
        <v>18</v>
      </c>
      <c r="D6" s="5">
        <v>0</v>
      </c>
      <c r="E6" s="5" t="s">
        <v>18</v>
      </c>
      <c r="F6" s="5">
        <v>7</v>
      </c>
      <c r="G6" s="5" t="s">
        <v>18</v>
      </c>
      <c r="H6" s="5">
        <v>0</v>
      </c>
      <c r="I6" s="5" t="s">
        <v>18</v>
      </c>
      <c r="J6" s="5">
        <v>5</v>
      </c>
      <c r="K6" s="5" t="s">
        <v>18</v>
      </c>
      <c r="L6" s="5">
        <v>510</v>
      </c>
      <c r="M6" s="5" t="s">
        <v>18</v>
      </c>
      <c r="N6" s="5">
        <v>60</v>
      </c>
      <c r="O6" s="5" t="s">
        <v>18</v>
      </c>
      <c r="P6" s="5">
        <v>0</v>
      </c>
      <c r="Q6" s="5" t="s">
        <v>18</v>
      </c>
      <c r="R6" s="5">
        <v>0</v>
      </c>
      <c r="S6" s="5" t="s">
        <v>18</v>
      </c>
      <c r="T6" s="5">
        <v>0</v>
      </c>
      <c r="U6" s="5" t="s">
        <v>18</v>
      </c>
      <c r="V6" s="5">
        <v>0</v>
      </c>
      <c r="W6" s="5" t="s">
        <v>18</v>
      </c>
      <c r="X6" s="5">
        <v>0</v>
      </c>
    </row>
    <row r="7" spans="1:24" x14ac:dyDescent="0.25">
      <c r="A7" s="5" t="s">
        <v>19</v>
      </c>
      <c r="B7" s="5">
        <v>767.15984818698848</v>
      </c>
      <c r="C7" s="5" t="s">
        <v>19</v>
      </c>
      <c r="D7" s="5">
        <v>15.040272027035819</v>
      </c>
      <c r="E7" s="5" t="s">
        <v>19</v>
      </c>
      <c r="F7" s="5">
        <v>16.352736626565537</v>
      </c>
      <c r="G7" s="5" t="s">
        <v>19</v>
      </c>
      <c r="H7" s="5">
        <v>72.776880700050043</v>
      </c>
      <c r="I7" s="5" t="s">
        <v>19</v>
      </c>
      <c r="J7" s="5">
        <v>41.662250022983955</v>
      </c>
      <c r="K7" s="5" t="s">
        <v>19</v>
      </c>
      <c r="L7" s="5">
        <v>684.66567839949698</v>
      </c>
      <c r="M7" s="5" t="s">
        <v>19</v>
      </c>
      <c r="N7" s="5">
        <v>34.720704993503453</v>
      </c>
      <c r="O7" s="5" t="s">
        <v>19</v>
      </c>
      <c r="P7" s="5">
        <v>48.67143925386484</v>
      </c>
      <c r="Q7" s="5" t="s">
        <v>19</v>
      </c>
      <c r="R7" s="5">
        <v>48.127960201245237</v>
      </c>
      <c r="S7" s="5" t="s">
        <v>19</v>
      </c>
      <c r="T7" s="5">
        <v>78.227508124300613</v>
      </c>
      <c r="U7" s="5" t="s">
        <v>19</v>
      </c>
      <c r="V7" s="5">
        <v>16.393968049855154</v>
      </c>
      <c r="W7" s="5" t="s">
        <v>19</v>
      </c>
      <c r="X7" s="5">
        <v>7.3074667991591582</v>
      </c>
    </row>
    <row r="8" spans="1:24" x14ac:dyDescent="0.25">
      <c r="A8" s="5" t="s">
        <v>20</v>
      </c>
      <c r="B8" s="5">
        <v>588534.23267028329</v>
      </c>
      <c r="C8" s="5" t="s">
        <v>20</v>
      </c>
      <c r="D8" s="5">
        <v>226.20978264723612</v>
      </c>
      <c r="E8" s="5" t="s">
        <v>20</v>
      </c>
      <c r="F8" s="5">
        <v>267.41199517781803</v>
      </c>
      <c r="G8" s="5" t="s">
        <v>20</v>
      </c>
      <c r="H8" s="5">
        <v>5296.4743644293158</v>
      </c>
      <c r="I8" s="5" t="s">
        <v>20</v>
      </c>
      <c r="J8" s="5">
        <v>1735.7430769776265</v>
      </c>
      <c r="K8" s="5" t="s">
        <v>20</v>
      </c>
      <c r="L8" s="5">
        <v>468767.0911782434</v>
      </c>
      <c r="M8" s="5" t="s">
        <v>20</v>
      </c>
      <c r="N8" s="5">
        <v>1205.5273552458957</v>
      </c>
      <c r="O8" s="5" t="s">
        <v>20</v>
      </c>
      <c r="P8" s="5">
        <v>2368.9089990426551</v>
      </c>
      <c r="Q8" s="5" t="s">
        <v>20</v>
      </c>
      <c r="R8" s="5">
        <v>2316.3005531326453</v>
      </c>
      <c r="S8" s="5" t="s">
        <v>20</v>
      </c>
      <c r="T8" s="5">
        <v>6119.5430273375177</v>
      </c>
      <c r="U8" s="5" t="s">
        <v>20</v>
      </c>
      <c r="V8" s="5">
        <v>268.76218841967165</v>
      </c>
      <c r="W8" s="5" t="s">
        <v>20</v>
      </c>
      <c r="X8" s="5">
        <v>53.399071020813388</v>
      </c>
    </row>
    <row r="9" spans="1:24" x14ac:dyDescent="0.25">
      <c r="A9" s="5" t="s">
        <v>21</v>
      </c>
      <c r="B9" s="5">
        <v>1.904490707499412</v>
      </c>
      <c r="C9" s="5" t="s">
        <v>21</v>
      </c>
      <c r="D9" s="5">
        <v>11.710546597566431</v>
      </c>
      <c r="E9" s="5" t="s">
        <v>21</v>
      </c>
      <c r="F9" s="5">
        <v>-0.20046789421564259</v>
      </c>
      <c r="G9" s="5" t="s">
        <v>21</v>
      </c>
      <c r="H9" s="5">
        <v>2.029893637135638</v>
      </c>
      <c r="I9" s="5" t="s">
        <v>21</v>
      </c>
      <c r="J9" s="5">
        <v>1.7785037852145091</v>
      </c>
      <c r="K9" s="5" t="s">
        <v>21</v>
      </c>
      <c r="L9" s="5">
        <v>2.7867475691633254</v>
      </c>
      <c r="M9" s="5" t="s">
        <v>21</v>
      </c>
      <c r="N9" s="5">
        <v>-0.38344679753801181</v>
      </c>
      <c r="O9" s="5" t="s">
        <v>21</v>
      </c>
      <c r="P9" s="5">
        <v>9.0602056948319181</v>
      </c>
      <c r="Q9" s="5" t="s">
        <v>21</v>
      </c>
      <c r="R9" s="5">
        <v>-0.39399109311120073</v>
      </c>
      <c r="S9" s="5" t="s">
        <v>21</v>
      </c>
      <c r="T9" s="5">
        <v>-0.42964060235388724</v>
      </c>
      <c r="U9" s="5" t="s">
        <v>21</v>
      </c>
      <c r="V9" s="5">
        <v>5.6023264500203522</v>
      </c>
      <c r="W9" s="5" t="s">
        <v>21</v>
      </c>
      <c r="X9" s="5">
        <v>2.3835814826259769</v>
      </c>
    </row>
    <row r="10" spans="1:24" x14ac:dyDescent="0.25">
      <c r="A10" s="5" t="s">
        <v>22</v>
      </c>
      <c r="B10" s="5">
        <v>1.4537474610182506</v>
      </c>
      <c r="C10" s="5" t="s">
        <v>22</v>
      </c>
      <c r="D10" s="5">
        <v>3.1431551353868601</v>
      </c>
      <c r="E10" s="5" t="s">
        <v>22</v>
      </c>
      <c r="F10" s="5">
        <v>0.7221730818381491</v>
      </c>
      <c r="G10" s="5" t="s">
        <v>22</v>
      </c>
      <c r="H10" s="5">
        <v>1.6294910889131193</v>
      </c>
      <c r="I10" s="5" t="s">
        <v>22</v>
      </c>
      <c r="J10" s="5">
        <v>1.6669961884006756</v>
      </c>
      <c r="K10" s="5" t="s">
        <v>22</v>
      </c>
      <c r="L10" s="5">
        <v>1.8949038301550072</v>
      </c>
      <c r="M10" s="5" t="s">
        <v>22</v>
      </c>
      <c r="N10" s="5">
        <v>0.59171739883890229</v>
      </c>
      <c r="O10" s="5" t="s">
        <v>22</v>
      </c>
      <c r="P10" s="5">
        <v>2.6999881484577126</v>
      </c>
      <c r="Q10" s="5" t="s">
        <v>22</v>
      </c>
      <c r="R10" s="5">
        <v>1.0239569277390437</v>
      </c>
      <c r="S10" s="5" t="s">
        <v>22</v>
      </c>
      <c r="T10" s="5">
        <v>1.0322580087024278</v>
      </c>
      <c r="U10" s="5" t="s">
        <v>22</v>
      </c>
      <c r="V10" s="5">
        <v>1.9077726176779801</v>
      </c>
      <c r="W10" s="5" t="s">
        <v>22</v>
      </c>
      <c r="X10" s="5">
        <v>1.7313138746715804</v>
      </c>
    </row>
    <row r="11" spans="1:24" x14ac:dyDescent="0.25">
      <c r="A11" s="5" t="s">
        <v>23</v>
      </c>
      <c r="B11" s="5">
        <v>3784</v>
      </c>
      <c r="C11" s="5" t="s">
        <v>23</v>
      </c>
      <c r="D11" s="5">
        <v>96</v>
      </c>
      <c r="E11" s="5" t="s">
        <v>23</v>
      </c>
      <c r="F11" s="5">
        <v>75</v>
      </c>
      <c r="G11" s="5" t="s">
        <v>23</v>
      </c>
      <c r="H11" s="5">
        <v>356</v>
      </c>
      <c r="I11" s="5" t="s">
        <v>23</v>
      </c>
      <c r="J11" s="5">
        <v>174</v>
      </c>
      <c r="K11" s="5" t="s">
        <v>23</v>
      </c>
      <c r="L11" s="5">
        <v>3206</v>
      </c>
      <c r="M11" s="5" t="s">
        <v>23</v>
      </c>
      <c r="N11" s="5">
        <v>157</v>
      </c>
      <c r="O11" s="5" t="s">
        <v>23</v>
      </c>
      <c r="P11" s="5">
        <v>321</v>
      </c>
      <c r="Q11" s="5" t="s">
        <v>23</v>
      </c>
      <c r="R11" s="5">
        <v>197</v>
      </c>
      <c r="S11" s="5" t="s">
        <v>23</v>
      </c>
      <c r="T11" s="5">
        <v>273</v>
      </c>
      <c r="U11" s="5" t="s">
        <v>23</v>
      </c>
      <c r="V11" s="5">
        <v>95</v>
      </c>
      <c r="W11" s="5" t="s">
        <v>23</v>
      </c>
      <c r="X11" s="5">
        <v>35</v>
      </c>
    </row>
    <row r="12" spans="1:24" x14ac:dyDescent="0.25">
      <c r="A12" s="5" t="s">
        <v>24</v>
      </c>
      <c r="B12" s="5">
        <v>1</v>
      </c>
      <c r="C12" s="5" t="s">
        <v>24</v>
      </c>
      <c r="D12" s="5">
        <v>0</v>
      </c>
      <c r="E12" s="5" t="s">
        <v>24</v>
      </c>
      <c r="F12" s="5">
        <v>0</v>
      </c>
      <c r="G12" s="5" t="s">
        <v>24</v>
      </c>
      <c r="H12" s="5">
        <v>0</v>
      </c>
      <c r="I12" s="5" t="s">
        <v>24</v>
      </c>
      <c r="J12" s="5">
        <v>0</v>
      </c>
      <c r="K12" s="5" t="s">
        <v>24</v>
      </c>
      <c r="L12" s="5">
        <v>0</v>
      </c>
      <c r="M12" s="5" t="s">
        <v>24</v>
      </c>
      <c r="N12" s="5">
        <v>0</v>
      </c>
      <c r="O12" s="5" t="s">
        <v>24</v>
      </c>
      <c r="P12" s="5">
        <v>0</v>
      </c>
      <c r="Q12" s="5" t="s">
        <v>24</v>
      </c>
      <c r="R12" s="5">
        <v>0</v>
      </c>
      <c r="S12" s="5" t="s">
        <v>24</v>
      </c>
      <c r="T12" s="5">
        <v>0</v>
      </c>
      <c r="U12" s="5" t="s">
        <v>24</v>
      </c>
      <c r="V12" s="5">
        <v>0</v>
      </c>
      <c r="W12" s="5" t="s">
        <v>24</v>
      </c>
      <c r="X12" s="5">
        <v>0</v>
      </c>
    </row>
    <row r="13" spans="1:24" x14ac:dyDescent="0.25">
      <c r="A13" s="5" t="s">
        <v>25</v>
      </c>
      <c r="B13" s="5">
        <v>3785</v>
      </c>
      <c r="C13" s="5" t="s">
        <v>25</v>
      </c>
      <c r="D13" s="5">
        <v>96</v>
      </c>
      <c r="E13" s="5" t="s">
        <v>25</v>
      </c>
      <c r="F13" s="5">
        <v>75</v>
      </c>
      <c r="G13" s="5" t="s">
        <v>25</v>
      </c>
      <c r="H13" s="5">
        <v>356</v>
      </c>
      <c r="I13" s="5" t="s">
        <v>25</v>
      </c>
      <c r="J13" s="5">
        <v>174</v>
      </c>
      <c r="K13" s="5" t="s">
        <v>25</v>
      </c>
      <c r="L13" s="5">
        <v>3206</v>
      </c>
      <c r="M13" s="5" t="s">
        <v>25</v>
      </c>
      <c r="N13" s="5">
        <v>157</v>
      </c>
      <c r="O13" s="5" t="s">
        <v>25</v>
      </c>
      <c r="P13" s="5">
        <v>321</v>
      </c>
      <c r="Q13" s="5" t="s">
        <v>25</v>
      </c>
      <c r="R13" s="5">
        <v>197</v>
      </c>
      <c r="S13" s="5" t="s">
        <v>25</v>
      </c>
      <c r="T13" s="5">
        <v>273</v>
      </c>
      <c r="U13" s="5" t="s">
        <v>25</v>
      </c>
      <c r="V13" s="5">
        <v>95</v>
      </c>
      <c r="W13" s="5" t="s">
        <v>25</v>
      </c>
      <c r="X13" s="5">
        <v>35</v>
      </c>
    </row>
    <row r="14" spans="1:24" x14ac:dyDescent="0.25">
      <c r="A14" s="5" t="s">
        <v>26</v>
      </c>
      <c r="B14" s="5">
        <v>252552</v>
      </c>
      <c r="C14" s="5" t="s">
        <v>26</v>
      </c>
      <c r="D14" s="5">
        <v>2053</v>
      </c>
      <c r="E14" s="5" t="s">
        <v>26</v>
      </c>
      <c r="F14" s="5">
        <v>6103</v>
      </c>
      <c r="G14" s="5" t="s">
        <v>26</v>
      </c>
      <c r="H14" s="5">
        <v>13837</v>
      </c>
      <c r="I14" s="5" t="s">
        <v>26</v>
      </c>
      <c r="J14" s="5">
        <v>7536</v>
      </c>
      <c r="K14" s="5" t="s">
        <v>26</v>
      </c>
      <c r="L14" s="5">
        <v>173541</v>
      </c>
      <c r="M14" s="5" t="s">
        <v>26</v>
      </c>
      <c r="N14" s="5">
        <v>12612</v>
      </c>
      <c r="O14" s="5" t="s">
        <v>26</v>
      </c>
      <c r="P14" s="5">
        <v>7221</v>
      </c>
      <c r="Q14" s="5" t="s">
        <v>26</v>
      </c>
      <c r="R14" s="5">
        <v>8611</v>
      </c>
      <c r="S14" s="5" t="s">
        <v>26</v>
      </c>
      <c r="T14" s="5">
        <v>16012</v>
      </c>
      <c r="U14" s="5" t="s">
        <v>26</v>
      </c>
      <c r="V14" s="5">
        <v>3860</v>
      </c>
      <c r="W14" s="5" t="s">
        <v>26</v>
      </c>
      <c r="X14" s="5">
        <v>1166</v>
      </c>
    </row>
    <row r="15" spans="1:24" ht="15.75" thickBot="1" x14ac:dyDescent="0.3">
      <c r="A15" s="6" t="s">
        <v>27</v>
      </c>
      <c r="B15" s="6">
        <v>238</v>
      </c>
      <c r="C15" s="6" t="s">
        <v>27</v>
      </c>
      <c r="D15" s="6">
        <v>238</v>
      </c>
      <c r="E15" s="6" t="s">
        <v>27</v>
      </c>
      <c r="F15" s="6">
        <v>238</v>
      </c>
      <c r="G15" s="6" t="s">
        <v>27</v>
      </c>
      <c r="H15" s="6">
        <v>238</v>
      </c>
      <c r="I15" s="6" t="s">
        <v>27</v>
      </c>
      <c r="J15" s="6">
        <v>238</v>
      </c>
      <c r="K15" s="6" t="s">
        <v>27</v>
      </c>
      <c r="L15" s="6">
        <v>238</v>
      </c>
      <c r="M15" s="6" t="s">
        <v>27</v>
      </c>
      <c r="N15" s="6">
        <v>238</v>
      </c>
      <c r="O15" s="6" t="s">
        <v>27</v>
      </c>
      <c r="P15" s="6">
        <v>238</v>
      </c>
      <c r="Q15" s="6" t="s">
        <v>27</v>
      </c>
      <c r="R15" s="6">
        <v>238</v>
      </c>
      <c r="S15" s="6" t="s">
        <v>27</v>
      </c>
      <c r="T15" s="6">
        <v>238</v>
      </c>
      <c r="U15" s="6" t="s">
        <v>27</v>
      </c>
      <c r="V15" s="6">
        <v>238</v>
      </c>
      <c r="W15" s="6" t="s">
        <v>27</v>
      </c>
      <c r="X15" s="6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O2" sqref="O2"/>
    </sheetView>
  </sheetViews>
  <sheetFormatPr defaultRowHeight="15" x14ac:dyDescent="0.25"/>
  <cols>
    <col min="1" max="1" width="8.140625" bestFit="1" customWidth="1"/>
    <col min="2" max="2" width="8.28515625" bestFit="1" customWidth="1"/>
    <col min="3" max="3" width="20" bestFit="1" customWidth="1"/>
    <col min="4" max="4" width="9.42578125" bestFit="1" customWidth="1"/>
    <col min="5" max="5" width="18" bestFit="1" customWidth="1"/>
    <col min="6" max="6" width="19.140625" bestFit="1" customWidth="1"/>
    <col min="7" max="7" width="8.42578125" bestFit="1" customWidth="1"/>
    <col min="8" max="8" width="15.7109375" bestFit="1" customWidth="1"/>
    <col min="9" max="9" width="12.140625" bestFit="1" customWidth="1"/>
    <col min="10" max="10" width="18.42578125" bestFit="1" customWidth="1"/>
    <col min="11" max="11" width="13" bestFit="1" customWidth="1"/>
    <col min="12" max="12" width="16.85546875" bestFit="1" customWidth="1"/>
    <col min="13" max="13" width="22.8554687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/>
      <c r="O1" s="1" t="s">
        <v>50</v>
      </c>
    </row>
    <row r="2" spans="1:15" ht="15.75" thickBot="1" x14ac:dyDescent="0.3">
      <c r="A2" s="2">
        <v>1674</v>
      </c>
      <c r="B2" s="1">
        <v>46</v>
      </c>
      <c r="C2" s="1">
        <v>1</v>
      </c>
      <c r="D2" s="1">
        <v>4</v>
      </c>
      <c r="E2" s="1">
        <v>3</v>
      </c>
      <c r="F2" s="1">
        <v>2</v>
      </c>
      <c r="G2" s="1">
        <v>33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1" t="s">
        <v>13</v>
      </c>
    </row>
    <row r="3" spans="1:15" ht="15.75" thickBot="1" x14ac:dyDescent="0.3">
      <c r="A3" s="2">
        <v>1675</v>
      </c>
      <c r="B3" s="1">
        <v>61</v>
      </c>
      <c r="C3" s="1">
        <v>4</v>
      </c>
      <c r="D3" s="1">
        <v>12</v>
      </c>
      <c r="E3" s="1">
        <v>1</v>
      </c>
      <c r="F3" s="1">
        <v>2</v>
      </c>
      <c r="G3" s="1">
        <v>30</v>
      </c>
      <c r="H3" s="1">
        <v>8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/>
      <c r="O3" s="1" t="s">
        <v>14</v>
      </c>
    </row>
    <row r="4" spans="1:15" ht="15.75" thickBot="1" x14ac:dyDescent="0.3">
      <c r="A4" s="2">
        <v>1676</v>
      </c>
      <c r="B4" s="1">
        <v>101</v>
      </c>
      <c r="C4" s="1">
        <v>0</v>
      </c>
      <c r="D4" s="1">
        <v>16</v>
      </c>
      <c r="E4" s="1">
        <v>2</v>
      </c>
      <c r="F4" s="1">
        <v>7</v>
      </c>
      <c r="G4" s="1">
        <v>64</v>
      </c>
      <c r="H4" s="1">
        <v>3</v>
      </c>
      <c r="I4" s="1">
        <v>5</v>
      </c>
      <c r="J4" s="1">
        <v>0</v>
      </c>
      <c r="K4" s="1">
        <v>1</v>
      </c>
      <c r="L4" s="1">
        <v>2</v>
      </c>
      <c r="M4" s="1">
        <v>1</v>
      </c>
      <c r="N4" s="1"/>
      <c r="O4" s="1"/>
    </row>
    <row r="5" spans="1:15" ht="15.75" thickBot="1" x14ac:dyDescent="0.3">
      <c r="A5" s="2">
        <v>1677</v>
      </c>
      <c r="B5" s="1">
        <v>126</v>
      </c>
      <c r="C5" s="1">
        <v>1</v>
      </c>
      <c r="D5" s="1">
        <v>24</v>
      </c>
      <c r="E5" s="1">
        <v>7</v>
      </c>
      <c r="F5" s="1">
        <v>5</v>
      </c>
      <c r="G5" s="1">
        <v>53</v>
      </c>
      <c r="H5" s="1">
        <v>6</v>
      </c>
      <c r="I5" s="1">
        <v>25</v>
      </c>
      <c r="J5" s="1">
        <v>3</v>
      </c>
      <c r="K5" s="1">
        <v>0</v>
      </c>
      <c r="L5" s="1">
        <v>2</v>
      </c>
      <c r="M5" s="1">
        <v>0</v>
      </c>
      <c r="N5" s="1"/>
      <c r="O5" s="1"/>
    </row>
    <row r="6" spans="1:15" ht="15.75" thickBot="1" x14ac:dyDescent="0.3">
      <c r="A6" s="2">
        <v>1678</v>
      </c>
      <c r="B6" s="1">
        <v>152</v>
      </c>
      <c r="C6" s="1">
        <v>0</v>
      </c>
      <c r="D6" s="1">
        <v>22</v>
      </c>
      <c r="E6" s="1">
        <v>15</v>
      </c>
      <c r="F6" s="1">
        <v>9</v>
      </c>
      <c r="G6" s="1">
        <v>93</v>
      </c>
      <c r="H6" s="1">
        <v>6</v>
      </c>
      <c r="I6" s="1">
        <v>3</v>
      </c>
      <c r="J6" s="1">
        <v>3</v>
      </c>
      <c r="K6" s="1">
        <v>0</v>
      </c>
      <c r="L6" s="1">
        <v>1</v>
      </c>
      <c r="M6" s="1">
        <v>0</v>
      </c>
      <c r="N6" s="1"/>
      <c r="O6" s="1"/>
    </row>
    <row r="7" spans="1:15" ht="15.75" thickBot="1" x14ac:dyDescent="0.3">
      <c r="A7" s="2">
        <v>1679</v>
      </c>
      <c r="B7" s="1">
        <v>159</v>
      </c>
      <c r="C7" s="1">
        <v>5</v>
      </c>
      <c r="D7" s="1">
        <v>30</v>
      </c>
      <c r="E7" s="1">
        <v>20</v>
      </c>
      <c r="F7" s="1">
        <v>2</v>
      </c>
      <c r="G7" s="1">
        <v>82</v>
      </c>
      <c r="H7" s="1">
        <v>11</v>
      </c>
      <c r="I7" s="1">
        <v>4</v>
      </c>
      <c r="J7" s="1">
        <v>1</v>
      </c>
      <c r="K7" s="1">
        <v>0</v>
      </c>
      <c r="L7" s="1">
        <v>0</v>
      </c>
      <c r="M7" s="1">
        <v>4</v>
      </c>
      <c r="N7" s="1"/>
      <c r="O7" s="1"/>
    </row>
    <row r="8" spans="1:15" ht="15.75" thickBot="1" x14ac:dyDescent="0.3">
      <c r="A8" s="2">
        <v>1680</v>
      </c>
      <c r="B8" s="1">
        <v>174</v>
      </c>
      <c r="C8" s="1">
        <v>4</v>
      </c>
      <c r="D8" s="1">
        <v>24</v>
      </c>
      <c r="E8" s="1">
        <v>31</v>
      </c>
      <c r="F8" s="1">
        <v>2</v>
      </c>
      <c r="G8" s="1">
        <v>89</v>
      </c>
      <c r="H8" s="1">
        <v>10</v>
      </c>
      <c r="I8" s="1">
        <v>13</v>
      </c>
      <c r="J8" s="1">
        <v>0</v>
      </c>
      <c r="K8" s="1">
        <v>0</v>
      </c>
      <c r="L8" s="1">
        <v>1</v>
      </c>
      <c r="M8" s="1">
        <v>0</v>
      </c>
      <c r="N8" s="1"/>
      <c r="O8" s="1"/>
    </row>
    <row r="9" spans="1:15" ht="15.75" thickBot="1" x14ac:dyDescent="0.3">
      <c r="A9" s="2">
        <v>1681</v>
      </c>
      <c r="B9" s="1">
        <v>235</v>
      </c>
      <c r="C9" s="1">
        <v>0</v>
      </c>
      <c r="D9" s="1">
        <v>26</v>
      </c>
      <c r="E9" s="1">
        <v>7</v>
      </c>
      <c r="F9" s="1">
        <v>5</v>
      </c>
      <c r="G9" s="1">
        <v>109</v>
      </c>
      <c r="H9" s="1">
        <v>8</v>
      </c>
      <c r="I9" s="1">
        <v>80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ht="15.75" thickBot="1" x14ac:dyDescent="0.3">
      <c r="A10" s="2">
        <v>1682</v>
      </c>
      <c r="B10" s="1">
        <v>276</v>
      </c>
      <c r="C10" s="1">
        <v>5</v>
      </c>
      <c r="D10" s="1">
        <v>26</v>
      </c>
      <c r="E10" s="1">
        <v>5</v>
      </c>
      <c r="F10" s="1">
        <v>4</v>
      </c>
      <c r="G10" s="1">
        <v>146</v>
      </c>
      <c r="H10" s="1">
        <v>11</v>
      </c>
      <c r="I10" s="1">
        <v>69</v>
      </c>
      <c r="J10" s="1">
        <v>10</v>
      </c>
      <c r="K10" s="1">
        <v>0</v>
      </c>
      <c r="L10" s="1">
        <v>0</v>
      </c>
      <c r="M10" s="1">
        <v>0</v>
      </c>
      <c r="N10" s="1"/>
      <c r="O10" s="1"/>
    </row>
    <row r="11" spans="1:15" ht="15.75" thickBot="1" x14ac:dyDescent="0.3">
      <c r="A11" s="2">
        <v>1683</v>
      </c>
      <c r="B11" s="1">
        <v>346</v>
      </c>
      <c r="C11" s="1">
        <v>3</v>
      </c>
      <c r="D11" s="1">
        <v>48</v>
      </c>
      <c r="E11" s="1">
        <v>25</v>
      </c>
      <c r="F11" s="1">
        <v>5</v>
      </c>
      <c r="G11" s="1">
        <v>168</v>
      </c>
      <c r="H11" s="1">
        <v>10</v>
      </c>
      <c r="I11" s="1">
        <v>80</v>
      </c>
      <c r="J11" s="1">
        <v>3</v>
      </c>
      <c r="K11" s="1">
        <v>0</v>
      </c>
      <c r="L11" s="1">
        <v>4</v>
      </c>
      <c r="M11" s="1">
        <v>0</v>
      </c>
      <c r="N11" s="1"/>
      <c r="O11" s="1"/>
    </row>
    <row r="12" spans="1:15" ht="15.75" thickBot="1" x14ac:dyDescent="0.3">
      <c r="A12" s="2">
        <v>1684</v>
      </c>
      <c r="B12" s="1">
        <v>502</v>
      </c>
      <c r="C12" s="1">
        <v>3</v>
      </c>
      <c r="D12" s="1">
        <v>48</v>
      </c>
      <c r="E12" s="1">
        <v>41</v>
      </c>
      <c r="F12" s="1">
        <v>5</v>
      </c>
      <c r="G12" s="1">
        <v>262</v>
      </c>
      <c r="H12" s="1">
        <v>19</v>
      </c>
      <c r="I12" s="1">
        <v>105</v>
      </c>
      <c r="J12" s="1">
        <v>3</v>
      </c>
      <c r="K12" s="1">
        <v>7</v>
      </c>
      <c r="L12" s="1">
        <v>9</v>
      </c>
      <c r="M12" s="1">
        <v>0</v>
      </c>
      <c r="N12" s="1"/>
      <c r="O12" s="1"/>
    </row>
    <row r="13" spans="1:15" ht="15.75" thickBot="1" x14ac:dyDescent="0.3">
      <c r="A13" s="2">
        <v>1685</v>
      </c>
      <c r="B13" s="1">
        <v>457</v>
      </c>
      <c r="C13" s="1">
        <v>3</v>
      </c>
      <c r="D13" s="1">
        <v>47</v>
      </c>
      <c r="E13" s="1">
        <v>23</v>
      </c>
      <c r="F13" s="1">
        <v>7</v>
      </c>
      <c r="G13" s="1">
        <v>343</v>
      </c>
      <c r="H13" s="1">
        <v>15</v>
      </c>
      <c r="I13" s="1">
        <v>11</v>
      </c>
      <c r="J13" s="1">
        <v>0</v>
      </c>
      <c r="K13" s="1">
        <v>6</v>
      </c>
      <c r="L13" s="1">
        <v>2</v>
      </c>
      <c r="M13" s="1">
        <v>0</v>
      </c>
      <c r="N13" s="1"/>
      <c r="O13" s="1"/>
    </row>
    <row r="14" spans="1:15" ht="15.75" thickBot="1" x14ac:dyDescent="0.3">
      <c r="A14" s="2">
        <v>1686</v>
      </c>
      <c r="B14" s="1">
        <v>398</v>
      </c>
      <c r="C14" s="1">
        <v>0</v>
      </c>
      <c r="D14" s="1">
        <v>44</v>
      </c>
      <c r="E14" s="1">
        <v>25</v>
      </c>
      <c r="F14" s="1">
        <v>5</v>
      </c>
      <c r="G14" s="1">
        <v>295</v>
      </c>
      <c r="H14" s="1">
        <v>12</v>
      </c>
      <c r="I14" s="1">
        <v>7</v>
      </c>
      <c r="J14" s="1">
        <v>1</v>
      </c>
      <c r="K14" s="1">
        <v>5</v>
      </c>
      <c r="L14" s="1">
        <v>4</v>
      </c>
      <c r="M14" s="1">
        <v>0</v>
      </c>
      <c r="N14" s="1"/>
      <c r="O14" s="1"/>
    </row>
    <row r="15" spans="1:15" ht="15.75" thickBot="1" x14ac:dyDescent="0.3">
      <c r="A15" s="2">
        <v>1687</v>
      </c>
      <c r="B15" s="1">
        <v>498</v>
      </c>
      <c r="C15" s="1">
        <v>2</v>
      </c>
      <c r="D15" s="1">
        <v>40</v>
      </c>
      <c r="E15" s="1">
        <v>57</v>
      </c>
      <c r="F15" s="1">
        <v>7</v>
      </c>
      <c r="G15" s="1">
        <v>356</v>
      </c>
      <c r="H15" s="1">
        <v>10</v>
      </c>
      <c r="I15" s="1">
        <v>0</v>
      </c>
      <c r="J15" s="1">
        <v>17</v>
      </c>
      <c r="K15" s="1">
        <v>3</v>
      </c>
      <c r="L15" s="1">
        <v>4</v>
      </c>
      <c r="M15" s="1">
        <v>2</v>
      </c>
      <c r="N15" s="1"/>
      <c r="O15" s="1"/>
    </row>
    <row r="16" spans="1:15" ht="15.75" thickBot="1" x14ac:dyDescent="0.3">
      <c r="A16" s="2">
        <v>1688</v>
      </c>
      <c r="B16" s="1">
        <v>494</v>
      </c>
      <c r="C16" s="1">
        <v>1</v>
      </c>
      <c r="D16" s="1">
        <v>75</v>
      </c>
      <c r="E16" s="1">
        <v>24</v>
      </c>
      <c r="F16" s="1">
        <v>3</v>
      </c>
      <c r="G16" s="1">
        <v>250</v>
      </c>
      <c r="H16" s="1">
        <v>13</v>
      </c>
      <c r="I16" s="1">
        <v>120</v>
      </c>
      <c r="J16" s="1">
        <v>4</v>
      </c>
      <c r="K16" s="1">
        <v>1</v>
      </c>
      <c r="L16" s="1">
        <v>3</v>
      </c>
      <c r="M16" s="1">
        <v>0</v>
      </c>
      <c r="N16" s="1"/>
      <c r="O16" s="1"/>
    </row>
    <row r="17" spans="1:15" ht="15.75" thickBot="1" x14ac:dyDescent="0.3">
      <c r="A17" s="2">
        <v>1689</v>
      </c>
      <c r="B17" s="1">
        <v>388</v>
      </c>
      <c r="C17" s="1">
        <v>3</v>
      </c>
      <c r="D17" s="1">
        <v>59</v>
      </c>
      <c r="E17" s="1">
        <v>12</v>
      </c>
      <c r="F17" s="1">
        <v>7</v>
      </c>
      <c r="G17" s="1">
        <v>259</v>
      </c>
      <c r="H17" s="1">
        <v>23</v>
      </c>
      <c r="I17" s="1">
        <v>10</v>
      </c>
      <c r="J17" s="1">
        <v>4</v>
      </c>
      <c r="K17" s="1">
        <v>3</v>
      </c>
      <c r="L17" s="1">
        <v>6</v>
      </c>
      <c r="M17" s="1">
        <v>2</v>
      </c>
      <c r="O17" s="1"/>
    </row>
    <row r="18" spans="1:15" ht="15.75" thickBot="1" x14ac:dyDescent="0.3">
      <c r="A18" s="2">
        <v>1690</v>
      </c>
      <c r="B18" s="1">
        <v>489</v>
      </c>
      <c r="C18" s="1">
        <v>3</v>
      </c>
      <c r="D18" s="1">
        <v>51</v>
      </c>
      <c r="E18" s="1">
        <v>24</v>
      </c>
      <c r="F18" s="1">
        <v>3</v>
      </c>
      <c r="G18" s="1">
        <v>300</v>
      </c>
      <c r="H18" s="1">
        <v>16</v>
      </c>
      <c r="I18" s="1">
        <v>68</v>
      </c>
      <c r="J18" s="1">
        <v>3</v>
      </c>
      <c r="K18" s="1">
        <v>4</v>
      </c>
      <c r="L18" s="1">
        <v>13</v>
      </c>
      <c r="M18" s="1">
        <v>4</v>
      </c>
    </row>
    <row r="19" spans="1:15" ht="15.75" thickBot="1" x14ac:dyDescent="0.3">
      <c r="A19" s="2">
        <v>1691</v>
      </c>
      <c r="B19" s="1">
        <v>403</v>
      </c>
      <c r="C19" s="1">
        <v>6</v>
      </c>
      <c r="D19" s="1">
        <v>47</v>
      </c>
      <c r="E19" s="1">
        <v>38</v>
      </c>
      <c r="F19" s="1">
        <v>1</v>
      </c>
      <c r="G19" s="1">
        <v>256</v>
      </c>
      <c r="H19" s="1">
        <v>34</v>
      </c>
      <c r="I19" s="1">
        <v>8</v>
      </c>
      <c r="J19" s="1">
        <v>2</v>
      </c>
      <c r="K19" s="1">
        <v>8</v>
      </c>
      <c r="L19" s="1">
        <v>3</v>
      </c>
      <c r="M19" s="1">
        <v>0</v>
      </c>
    </row>
    <row r="20" spans="1:15" ht="15.75" thickBot="1" x14ac:dyDescent="0.3">
      <c r="A20" s="2">
        <v>1692</v>
      </c>
      <c r="B20" s="1">
        <v>394</v>
      </c>
      <c r="C20" s="1">
        <v>0</v>
      </c>
      <c r="D20" s="1">
        <v>23</v>
      </c>
      <c r="E20" s="1">
        <v>39</v>
      </c>
      <c r="F20" s="1">
        <v>5</v>
      </c>
      <c r="G20" s="1">
        <v>227</v>
      </c>
      <c r="H20" s="1">
        <v>17</v>
      </c>
      <c r="I20" s="1">
        <v>82</v>
      </c>
      <c r="J20" s="1">
        <v>0</v>
      </c>
      <c r="K20" s="1">
        <v>1</v>
      </c>
      <c r="L20" s="1">
        <v>0</v>
      </c>
      <c r="M20" s="1">
        <v>0</v>
      </c>
    </row>
    <row r="21" spans="1:15" ht="15.75" thickBot="1" x14ac:dyDescent="0.3">
      <c r="A21" s="2">
        <v>1693</v>
      </c>
      <c r="B21" s="1">
        <v>688</v>
      </c>
      <c r="C21" s="1">
        <v>0</v>
      </c>
      <c r="D21" s="1">
        <v>35</v>
      </c>
      <c r="E21" s="1">
        <v>115</v>
      </c>
      <c r="F21" s="1">
        <v>8</v>
      </c>
      <c r="G21" s="1">
        <v>402</v>
      </c>
      <c r="H21" s="1">
        <v>34</v>
      </c>
      <c r="I21" s="1">
        <v>69</v>
      </c>
      <c r="J21" s="1">
        <v>10</v>
      </c>
      <c r="K21" s="1">
        <v>5</v>
      </c>
      <c r="L21" s="1">
        <v>10</v>
      </c>
      <c r="M21" s="1">
        <v>0</v>
      </c>
    </row>
    <row r="22" spans="1:15" ht="15.75" thickBot="1" x14ac:dyDescent="0.3">
      <c r="A22" s="2">
        <v>1694</v>
      </c>
      <c r="B22" s="1">
        <v>427</v>
      </c>
      <c r="C22" s="1">
        <v>9</v>
      </c>
      <c r="D22" s="1">
        <v>23</v>
      </c>
      <c r="E22" s="1">
        <v>65</v>
      </c>
      <c r="F22" s="1">
        <v>7</v>
      </c>
      <c r="G22" s="1">
        <v>286</v>
      </c>
      <c r="H22" s="1">
        <v>24</v>
      </c>
      <c r="I22" s="1">
        <v>0</v>
      </c>
      <c r="J22" s="1">
        <v>0</v>
      </c>
      <c r="K22" s="1">
        <v>8</v>
      </c>
      <c r="L22" s="1">
        <v>5</v>
      </c>
      <c r="M22" s="1">
        <v>0</v>
      </c>
    </row>
    <row r="23" spans="1:15" ht="15.75" thickBot="1" x14ac:dyDescent="0.3">
      <c r="A23" s="2">
        <v>1695</v>
      </c>
      <c r="B23" s="1">
        <v>483</v>
      </c>
      <c r="C23" s="1">
        <v>3</v>
      </c>
      <c r="D23" s="1">
        <v>30</v>
      </c>
      <c r="E23" s="1">
        <v>117</v>
      </c>
      <c r="F23" s="1">
        <v>3</v>
      </c>
      <c r="G23" s="1">
        <v>239</v>
      </c>
      <c r="H23" s="1">
        <v>20</v>
      </c>
      <c r="I23" s="1">
        <v>36</v>
      </c>
      <c r="J23" s="1">
        <v>18</v>
      </c>
      <c r="K23" s="1">
        <v>10</v>
      </c>
      <c r="L23" s="1">
        <v>7</v>
      </c>
      <c r="M23" s="1">
        <v>0</v>
      </c>
    </row>
    <row r="24" spans="1:15" ht="15.75" thickBot="1" x14ac:dyDescent="0.3">
      <c r="A24" s="2">
        <v>1696</v>
      </c>
      <c r="B24" s="1">
        <v>408</v>
      </c>
      <c r="C24" s="1">
        <v>2</v>
      </c>
      <c r="D24" s="1">
        <v>41</v>
      </c>
      <c r="E24" s="1">
        <v>78</v>
      </c>
      <c r="F24" s="1">
        <v>2</v>
      </c>
      <c r="G24" s="1">
        <v>241</v>
      </c>
      <c r="H24" s="1">
        <v>14</v>
      </c>
      <c r="I24" s="1">
        <v>4</v>
      </c>
      <c r="J24" s="1">
        <v>0</v>
      </c>
      <c r="K24" s="1">
        <v>17</v>
      </c>
      <c r="L24" s="1">
        <v>9</v>
      </c>
      <c r="M24" s="1">
        <v>0</v>
      </c>
    </row>
    <row r="25" spans="1:15" ht="15.75" thickBot="1" x14ac:dyDescent="0.3">
      <c r="A25" s="2">
        <v>1697</v>
      </c>
      <c r="B25" s="1">
        <v>386</v>
      </c>
      <c r="C25" s="1">
        <v>5</v>
      </c>
      <c r="D25" s="1">
        <v>21</v>
      </c>
      <c r="E25" s="1">
        <v>47</v>
      </c>
      <c r="F25" s="1">
        <v>4</v>
      </c>
      <c r="G25" s="1">
        <v>257</v>
      </c>
      <c r="H25" s="1">
        <v>29</v>
      </c>
      <c r="I25" s="1">
        <v>0</v>
      </c>
      <c r="J25" s="1">
        <v>7</v>
      </c>
      <c r="K25" s="1">
        <v>9</v>
      </c>
      <c r="L25" s="1">
        <v>7</v>
      </c>
      <c r="M25" s="1">
        <v>0</v>
      </c>
    </row>
    <row r="26" spans="1:15" ht="15.75" thickBot="1" x14ac:dyDescent="0.3">
      <c r="A26" s="2">
        <v>1698</v>
      </c>
      <c r="B26" s="1">
        <v>459</v>
      </c>
      <c r="C26" s="1">
        <v>3</v>
      </c>
      <c r="D26" s="1">
        <v>40</v>
      </c>
      <c r="E26" s="1">
        <v>25</v>
      </c>
      <c r="F26" s="1">
        <v>4</v>
      </c>
      <c r="G26" s="1">
        <v>353</v>
      </c>
      <c r="H26" s="1">
        <v>21</v>
      </c>
      <c r="I26" s="1">
        <v>2</v>
      </c>
      <c r="J26" s="1">
        <v>3</v>
      </c>
      <c r="K26" s="1">
        <v>7</v>
      </c>
      <c r="L26" s="1">
        <v>1</v>
      </c>
      <c r="M26" s="1">
        <v>0</v>
      </c>
    </row>
    <row r="27" spans="1:15" ht="15.75" thickBot="1" x14ac:dyDescent="0.3">
      <c r="A27" s="2">
        <v>1699</v>
      </c>
      <c r="B27" s="1">
        <v>237</v>
      </c>
      <c r="C27" s="1">
        <v>1</v>
      </c>
      <c r="D27" s="1">
        <v>7</v>
      </c>
      <c r="E27" s="1">
        <v>8</v>
      </c>
      <c r="F27" s="1">
        <v>6</v>
      </c>
      <c r="G27" s="1">
        <v>196</v>
      </c>
      <c r="H27" s="1">
        <v>9</v>
      </c>
      <c r="I27" s="1">
        <v>0</v>
      </c>
      <c r="J27" s="1">
        <v>0</v>
      </c>
      <c r="K27" s="1">
        <v>9</v>
      </c>
      <c r="L27" s="1">
        <v>1</v>
      </c>
      <c r="M27" s="1">
        <v>0</v>
      </c>
    </row>
    <row r="28" spans="1:15" ht="15.75" thickBot="1" x14ac:dyDescent="0.3">
      <c r="A28" s="2">
        <v>1700</v>
      </c>
      <c r="B28" s="1">
        <v>156</v>
      </c>
      <c r="C28" s="1">
        <v>3</v>
      </c>
      <c r="D28" s="1">
        <v>2</v>
      </c>
      <c r="E28" s="1">
        <v>5</v>
      </c>
      <c r="F28" s="1">
        <v>2</v>
      </c>
      <c r="G28" s="1">
        <v>131</v>
      </c>
      <c r="H28" s="1">
        <v>7</v>
      </c>
      <c r="I28" s="1">
        <v>0</v>
      </c>
      <c r="J28" s="1">
        <v>0</v>
      </c>
      <c r="K28" s="1">
        <v>2</v>
      </c>
      <c r="L28" s="1">
        <v>4</v>
      </c>
      <c r="M28" s="1">
        <v>0</v>
      </c>
    </row>
    <row r="29" spans="1:15" ht="15.75" thickBot="1" x14ac:dyDescent="0.3">
      <c r="A29" s="2">
        <v>1702</v>
      </c>
      <c r="B29" s="1">
        <v>93</v>
      </c>
      <c r="C29" s="1">
        <v>0</v>
      </c>
      <c r="D29" s="1">
        <v>7</v>
      </c>
      <c r="E29" s="1">
        <v>4</v>
      </c>
      <c r="F29" s="1">
        <v>3</v>
      </c>
      <c r="G29" s="1">
        <v>78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5" ht="15.75" thickBot="1" x14ac:dyDescent="0.3">
      <c r="A30" s="2">
        <v>1703</v>
      </c>
      <c r="B30" s="1">
        <v>77</v>
      </c>
      <c r="C30" s="1">
        <v>0</v>
      </c>
      <c r="D30" s="1">
        <v>5</v>
      </c>
      <c r="E30" s="1">
        <v>5</v>
      </c>
      <c r="F30" s="1">
        <v>4</v>
      </c>
      <c r="G30" s="1">
        <v>57</v>
      </c>
      <c r="H30" s="1">
        <v>3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</row>
    <row r="31" spans="1:15" ht="15.75" thickBot="1" x14ac:dyDescent="0.3">
      <c r="A31" s="2">
        <v>1704</v>
      </c>
      <c r="B31" s="1">
        <v>133</v>
      </c>
      <c r="C31" s="1">
        <v>0</v>
      </c>
      <c r="D31" s="1">
        <v>9</v>
      </c>
      <c r="E31" s="1">
        <v>4</v>
      </c>
      <c r="F31" s="1">
        <v>3</v>
      </c>
      <c r="G31" s="1">
        <v>107</v>
      </c>
      <c r="H31" s="1">
        <v>5</v>
      </c>
      <c r="I31" s="1">
        <v>2</v>
      </c>
      <c r="J31" s="1">
        <v>0</v>
      </c>
      <c r="K31" s="1">
        <v>3</v>
      </c>
      <c r="L31" s="1">
        <v>0</v>
      </c>
      <c r="M31" s="1">
        <v>0</v>
      </c>
    </row>
    <row r="32" spans="1:15" ht="15.75" thickBot="1" x14ac:dyDescent="0.3">
      <c r="A32" s="2">
        <v>1706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ht="15.75" thickBot="1" x14ac:dyDescent="0.3">
      <c r="A33" s="2">
        <v>1707</v>
      </c>
      <c r="B33" s="1">
        <v>191</v>
      </c>
      <c r="C33" s="1">
        <v>1</v>
      </c>
      <c r="D33" s="1">
        <v>9</v>
      </c>
      <c r="E33" s="1">
        <v>1</v>
      </c>
      <c r="F33" s="1">
        <v>11</v>
      </c>
      <c r="G33" s="1">
        <v>160</v>
      </c>
      <c r="H33" s="1">
        <v>2</v>
      </c>
      <c r="I33" s="1">
        <v>0</v>
      </c>
      <c r="J33" s="1">
        <v>1</v>
      </c>
      <c r="K33" s="1">
        <v>4</v>
      </c>
      <c r="L33" s="1">
        <v>0</v>
      </c>
      <c r="M33" s="1">
        <v>2</v>
      </c>
    </row>
    <row r="34" spans="1:13" ht="15.75" thickBot="1" x14ac:dyDescent="0.3">
      <c r="A34" s="2">
        <v>1708</v>
      </c>
      <c r="B34" s="1">
        <v>196</v>
      </c>
      <c r="C34" s="1">
        <v>0</v>
      </c>
      <c r="D34" s="1">
        <v>21</v>
      </c>
      <c r="E34" s="1">
        <v>5</v>
      </c>
      <c r="F34" s="1">
        <v>5</v>
      </c>
      <c r="G34" s="1">
        <v>153</v>
      </c>
      <c r="H34" s="1">
        <v>4</v>
      </c>
      <c r="I34" s="1">
        <v>1</v>
      </c>
      <c r="J34" s="1">
        <v>2</v>
      </c>
      <c r="K34" s="1">
        <v>4</v>
      </c>
      <c r="L34" s="1">
        <v>1</v>
      </c>
      <c r="M34" s="1">
        <v>0</v>
      </c>
    </row>
    <row r="35" spans="1:13" ht="15.75" thickBot="1" x14ac:dyDescent="0.3">
      <c r="A35" s="2">
        <v>1709</v>
      </c>
      <c r="B35" s="1">
        <v>122</v>
      </c>
      <c r="C35" s="1">
        <v>2</v>
      </c>
      <c r="D35" s="1">
        <v>7</v>
      </c>
      <c r="E35" s="1">
        <v>0</v>
      </c>
      <c r="F35" s="1">
        <v>1</v>
      </c>
      <c r="G35" s="1">
        <v>102</v>
      </c>
      <c r="H35" s="1">
        <v>6</v>
      </c>
      <c r="I35" s="1">
        <v>2</v>
      </c>
      <c r="J35" s="1">
        <v>0</v>
      </c>
      <c r="K35" s="1">
        <v>1</v>
      </c>
      <c r="L35" s="1">
        <v>0</v>
      </c>
      <c r="M35" s="1">
        <v>1</v>
      </c>
    </row>
    <row r="36" spans="1:13" ht="15.75" thickBot="1" x14ac:dyDescent="0.3">
      <c r="A36" s="2">
        <v>1710</v>
      </c>
      <c r="B36" s="1">
        <v>271</v>
      </c>
      <c r="C36" s="1">
        <v>0</v>
      </c>
      <c r="D36" s="1">
        <v>8</v>
      </c>
      <c r="E36" s="1">
        <v>9</v>
      </c>
      <c r="F36" s="1">
        <v>5</v>
      </c>
      <c r="G36" s="1">
        <v>181</v>
      </c>
      <c r="H36" s="1">
        <v>3</v>
      </c>
      <c r="I36" s="1">
        <v>60</v>
      </c>
      <c r="J36" s="1">
        <v>3</v>
      </c>
      <c r="K36" s="1">
        <v>1</v>
      </c>
      <c r="L36" s="1">
        <v>1</v>
      </c>
      <c r="M36" s="1">
        <v>0</v>
      </c>
    </row>
    <row r="37" spans="1:13" ht="15.75" thickBot="1" x14ac:dyDescent="0.3">
      <c r="A37" s="2">
        <v>1711</v>
      </c>
      <c r="B37" s="1">
        <v>204</v>
      </c>
      <c r="C37" s="1">
        <v>2</v>
      </c>
      <c r="D37" s="1">
        <v>10</v>
      </c>
      <c r="E37" s="1">
        <v>0</v>
      </c>
      <c r="F37" s="1">
        <v>1</v>
      </c>
      <c r="G37" s="1">
        <v>171</v>
      </c>
      <c r="H37" s="1">
        <v>7</v>
      </c>
      <c r="I37" s="1">
        <v>6</v>
      </c>
      <c r="J37" s="1">
        <v>0</v>
      </c>
      <c r="K37" s="1">
        <v>4</v>
      </c>
      <c r="L37" s="1">
        <v>3</v>
      </c>
      <c r="M37" s="1">
        <v>0</v>
      </c>
    </row>
    <row r="38" spans="1:13" ht="15.75" thickBot="1" x14ac:dyDescent="0.3">
      <c r="A38" s="2">
        <v>1712</v>
      </c>
      <c r="B38" s="1">
        <v>215</v>
      </c>
      <c r="C38" s="1">
        <v>0</v>
      </c>
      <c r="D38" s="1">
        <v>7</v>
      </c>
      <c r="E38" s="1">
        <v>1</v>
      </c>
      <c r="F38" s="1">
        <v>0</v>
      </c>
      <c r="G38" s="1">
        <v>187</v>
      </c>
      <c r="H38" s="1">
        <v>2</v>
      </c>
      <c r="I38" s="1">
        <v>2</v>
      </c>
      <c r="J38" s="1">
        <v>0</v>
      </c>
      <c r="K38" s="1">
        <v>12</v>
      </c>
      <c r="L38" s="1">
        <v>4</v>
      </c>
      <c r="M38" s="1">
        <v>0</v>
      </c>
    </row>
    <row r="39" spans="1:13" ht="15.75" thickBot="1" x14ac:dyDescent="0.3">
      <c r="A39" s="2">
        <v>1713</v>
      </c>
      <c r="B39" s="1">
        <v>129</v>
      </c>
      <c r="C39" s="1">
        <v>3</v>
      </c>
      <c r="D39" s="1">
        <v>4</v>
      </c>
      <c r="E39" s="1">
        <v>0</v>
      </c>
      <c r="F39" s="1">
        <v>3</v>
      </c>
      <c r="G39" s="1">
        <v>112</v>
      </c>
      <c r="H39" s="1">
        <v>4</v>
      </c>
      <c r="I39" s="1">
        <v>0</v>
      </c>
      <c r="J39" s="1">
        <v>0</v>
      </c>
      <c r="K39" s="1">
        <v>3</v>
      </c>
      <c r="L39" s="1">
        <v>0</v>
      </c>
      <c r="M39" s="1">
        <v>0</v>
      </c>
    </row>
    <row r="40" spans="1:13" ht="15.75" thickBot="1" x14ac:dyDescent="0.3">
      <c r="A40" s="2">
        <v>1714</v>
      </c>
      <c r="B40" s="1">
        <v>364</v>
      </c>
      <c r="C40" s="1">
        <v>5</v>
      </c>
      <c r="D40" s="1">
        <v>18</v>
      </c>
      <c r="E40" s="1">
        <v>10</v>
      </c>
      <c r="F40" s="1">
        <v>5</v>
      </c>
      <c r="G40" s="1">
        <v>305</v>
      </c>
      <c r="H40" s="1">
        <v>14</v>
      </c>
      <c r="I40" s="1">
        <v>0</v>
      </c>
      <c r="J40" s="1">
        <v>0</v>
      </c>
      <c r="K40" s="1">
        <v>6</v>
      </c>
      <c r="L40" s="1">
        <v>1</v>
      </c>
      <c r="M40" s="1">
        <v>0</v>
      </c>
    </row>
    <row r="41" spans="1:13" ht="15.75" thickBot="1" x14ac:dyDescent="0.3">
      <c r="A41" s="2">
        <v>1715</v>
      </c>
      <c r="B41" s="1">
        <v>564</v>
      </c>
      <c r="C41" s="1">
        <v>0</v>
      </c>
      <c r="D41" s="1">
        <v>33</v>
      </c>
      <c r="E41" s="1">
        <v>5</v>
      </c>
      <c r="F41" s="1">
        <v>16</v>
      </c>
      <c r="G41" s="1">
        <v>453</v>
      </c>
      <c r="H41" s="1">
        <v>25</v>
      </c>
      <c r="I41" s="1">
        <v>3</v>
      </c>
      <c r="J41" s="1">
        <v>11</v>
      </c>
      <c r="K41" s="1">
        <v>17</v>
      </c>
      <c r="L41" s="1">
        <v>1</v>
      </c>
      <c r="M41" s="1">
        <v>0</v>
      </c>
    </row>
    <row r="42" spans="1:13" ht="15.75" thickBot="1" x14ac:dyDescent="0.3">
      <c r="A42" s="2">
        <v>1716</v>
      </c>
      <c r="B42" s="1">
        <v>518</v>
      </c>
      <c r="C42" s="1">
        <v>10</v>
      </c>
      <c r="D42" s="1">
        <v>9</v>
      </c>
      <c r="E42" s="1">
        <v>16</v>
      </c>
      <c r="F42" s="1">
        <v>6</v>
      </c>
      <c r="G42" s="1">
        <v>401</v>
      </c>
      <c r="H42" s="1">
        <v>34</v>
      </c>
      <c r="I42" s="1">
        <v>7</v>
      </c>
      <c r="J42" s="1">
        <v>7</v>
      </c>
      <c r="K42" s="1">
        <v>22</v>
      </c>
      <c r="L42" s="1">
        <v>1</v>
      </c>
      <c r="M42" s="1">
        <v>5</v>
      </c>
    </row>
    <row r="43" spans="1:13" ht="15.75" thickBot="1" x14ac:dyDescent="0.3">
      <c r="A43" s="2">
        <v>1717</v>
      </c>
      <c r="B43" s="1">
        <v>498</v>
      </c>
      <c r="C43" s="1">
        <v>4</v>
      </c>
      <c r="D43" s="1">
        <v>15</v>
      </c>
      <c r="E43" s="1">
        <v>6</v>
      </c>
      <c r="F43" s="1">
        <v>6</v>
      </c>
      <c r="G43" s="1">
        <v>403</v>
      </c>
      <c r="H43" s="1">
        <v>38</v>
      </c>
      <c r="I43" s="1">
        <v>4</v>
      </c>
      <c r="J43" s="1">
        <v>2</v>
      </c>
      <c r="K43" s="1">
        <v>17</v>
      </c>
      <c r="L43" s="1">
        <v>3</v>
      </c>
      <c r="M43" s="1">
        <v>0</v>
      </c>
    </row>
    <row r="44" spans="1:13" ht="15.75" thickBot="1" x14ac:dyDescent="0.3">
      <c r="A44" s="2">
        <v>1718</v>
      </c>
      <c r="B44" s="1">
        <v>487</v>
      </c>
      <c r="C44" s="1">
        <v>13</v>
      </c>
      <c r="D44" s="1">
        <v>26</v>
      </c>
      <c r="E44" s="1">
        <v>21</v>
      </c>
      <c r="F44" s="1">
        <v>12</v>
      </c>
      <c r="G44" s="1">
        <v>384</v>
      </c>
      <c r="H44" s="1">
        <v>25</v>
      </c>
      <c r="I44" s="1">
        <v>0</v>
      </c>
      <c r="J44" s="1">
        <v>1</v>
      </c>
      <c r="K44" s="1">
        <v>5</v>
      </c>
      <c r="L44" s="1">
        <v>0</v>
      </c>
      <c r="M44" s="1">
        <v>0</v>
      </c>
    </row>
    <row r="45" spans="1:13" ht="15.75" thickBot="1" x14ac:dyDescent="0.3">
      <c r="A45" s="2">
        <v>1719</v>
      </c>
      <c r="B45" s="1">
        <v>477</v>
      </c>
      <c r="C45" s="1">
        <v>5</v>
      </c>
      <c r="D45" s="1">
        <v>25</v>
      </c>
      <c r="E45" s="1">
        <v>4</v>
      </c>
      <c r="F45" s="1">
        <v>6</v>
      </c>
      <c r="G45" s="1">
        <v>380</v>
      </c>
      <c r="H45" s="1">
        <v>31</v>
      </c>
      <c r="I45" s="1">
        <v>4</v>
      </c>
      <c r="J45" s="1">
        <v>6</v>
      </c>
      <c r="K45" s="1">
        <v>9</v>
      </c>
      <c r="L45" s="1">
        <v>7</v>
      </c>
      <c r="M45" s="1">
        <v>0</v>
      </c>
    </row>
    <row r="46" spans="1:13" ht="15.75" thickBot="1" x14ac:dyDescent="0.3">
      <c r="A46" s="2">
        <v>1720</v>
      </c>
      <c r="B46" s="1">
        <v>477</v>
      </c>
      <c r="C46" s="1">
        <v>0</v>
      </c>
      <c r="D46" s="1">
        <v>21</v>
      </c>
      <c r="E46" s="1">
        <v>3</v>
      </c>
      <c r="F46" s="1">
        <v>12</v>
      </c>
      <c r="G46" s="1">
        <v>373</v>
      </c>
      <c r="H46" s="1">
        <v>35</v>
      </c>
      <c r="I46" s="1">
        <v>3</v>
      </c>
      <c r="J46" s="1">
        <v>3</v>
      </c>
      <c r="K46" s="1">
        <v>7</v>
      </c>
      <c r="L46" s="1">
        <v>17</v>
      </c>
      <c r="M46" s="1">
        <v>3</v>
      </c>
    </row>
    <row r="47" spans="1:13" ht="15.75" thickBot="1" x14ac:dyDescent="0.3">
      <c r="A47" s="2">
        <v>1721</v>
      </c>
      <c r="B47" s="1">
        <v>607</v>
      </c>
      <c r="C47" s="1">
        <v>12</v>
      </c>
      <c r="D47" s="1">
        <v>28</v>
      </c>
      <c r="E47" s="1">
        <v>11</v>
      </c>
      <c r="F47" s="1">
        <v>11</v>
      </c>
      <c r="G47" s="1">
        <v>434</v>
      </c>
      <c r="H47" s="1">
        <v>56</v>
      </c>
      <c r="I47" s="1">
        <v>12</v>
      </c>
      <c r="J47" s="1">
        <v>1</v>
      </c>
      <c r="K47" s="1">
        <v>22</v>
      </c>
      <c r="L47" s="1">
        <v>20</v>
      </c>
      <c r="M47" s="1">
        <v>0</v>
      </c>
    </row>
    <row r="48" spans="1:13" ht="15.75" thickBot="1" x14ac:dyDescent="0.3">
      <c r="A48" s="2">
        <v>1722</v>
      </c>
      <c r="B48" s="1">
        <v>552</v>
      </c>
      <c r="C48" s="1">
        <v>10</v>
      </c>
      <c r="D48" s="1">
        <v>21</v>
      </c>
      <c r="E48" s="1">
        <v>2</v>
      </c>
      <c r="F48" s="1">
        <v>10</v>
      </c>
      <c r="G48" s="1">
        <v>387</v>
      </c>
      <c r="H48" s="1">
        <v>58</v>
      </c>
      <c r="I48" s="1">
        <v>34</v>
      </c>
      <c r="J48" s="1">
        <v>6</v>
      </c>
      <c r="K48" s="1">
        <v>18</v>
      </c>
      <c r="L48" s="1">
        <v>6</v>
      </c>
      <c r="M48" s="1">
        <v>0</v>
      </c>
    </row>
    <row r="49" spans="1:13" ht="15.75" thickBot="1" x14ac:dyDescent="0.3">
      <c r="A49" s="2">
        <v>1723</v>
      </c>
      <c r="B49" s="1">
        <v>559</v>
      </c>
      <c r="C49" s="1">
        <v>6</v>
      </c>
      <c r="D49" s="1">
        <v>26</v>
      </c>
      <c r="E49" s="1">
        <v>0</v>
      </c>
      <c r="F49" s="1">
        <v>14</v>
      </c>
      <c r="G49" s="1">
        <v>418</v>
      </c>
      <c r="H49" s="1">
        <v>26</v>
      </c>
      <c r="I49" s="1">
        <v>46</v>
      </c>
      <c r="J49" s="1">
        <v>4</v>
      </c>
      <c r="K49" s="1">
        <v>14</v>
      </c>
      <c r="L49" s="1">
        <v>4</v>
      </c>
      <c r="M49" s="1">
        <v>1</v>
      </c>
    </row>
    <row r="50" spans="1:13" ht="15.75" thickBot="1" x14ac:dyDescent="0.3">
      <c r="A50" s="2">
        <v>1724</v>
      </c>
      <c r="B50" s="1">
        <v>623</v>
      </c>
      <c r="C50" s="1">
        <v>10</v>
      </c>
      <c r="D50" s="1">
        <v>18</v>
      </c>
      <c r="E50" s="1">
        <v>10</v>
      </c>
      <c r="F50" s="1">
        <v>10</v>
      </c>
      <c r="G50" s="1">
        <v>506</v>
      </c>
      <c r="H50" s="1">
        <v>22</v>
      </c>
      <c r="I50" s="1">
        <v>23</v>
      </c>
      <c r="J50" s="1">
        <v>8</v>
      </c>
      <c r="K50" s="1">
        <v>15</v>
      </c>
      <c r="L50" s="1">
        <v>1</v>
      </c>
      <c r="M50" s="1">
        <v>0</v>
      </c>
    </row>
    <row r="51" spans="1:13" ht="15.75" thickBot="1" x14ac:dyDescent="0.3">
      <c r="A51" s="2">
        <v>1725</v>
      </c>
      <c r="B51" s="1">
        <v>765</v>
      </c>
      <c r="C51" s="1">
        <v>7</v>
      </c>
      <c r="D51" s="1">
        <v>18</v>
      </c>
      <c r="E51" s="1">
        <v>6</v>
      </c>
      <c r="F51" s="1">
        <v>5</v>
      </c>
      <c r="G51" s="1">
        <v>642</v>
      </c>
      <c r="H51" s="1">
        <v>36</v>
      </c>
      <c r="I51" s="1">
        <v>28</v>
      </c>
      <c r="J51" s="1">
        <v>5</v>
      </c>
      <c r="K51" s="1">
        <v>12</v>
      </c>
      <c r="L51" s="1">
        <v>6</v>
      </c>
      <c r="M51" s="1">
        <v>0</v>
      </c>
    </row>
    <row r="52" spans="1:13" ht="15.75" thickBot="1" x14ac:dyDescent="0.3">
      <c r="A52" s="2">
        <v>1726</v>
      </c>
      <c r="B52" s="1">
        <v>634</v>
      </c>
      <c r="C52" s="1">
        <v>9</v>
      </c>
      <c r="D52" s="1">
        <v>24</v>
      </c>
      <c r="E52" s="1">
        <v>1</v>
      </c>
      <c r="F52" s="1">
        <v>18</v>
      </c>
      <c r="G52" s="1">
        <v>520</v>
      </c>
      <c r="H52" s="1">
        <v>24</v>
      </c>
      <c r="I52" s="1">
        <v>13</v>
      </c>
      <c r="J52" s="1">
        <v>1</v>
      </c>
      <c r="K52" s="1">
        <v>12</v>
      </c>
      <c r="L52" s="1">
        <v>8</v>
      </c>
      <c r="M52" s="1">
        <v>4</v>
      </c>
    </row>
    <row r="53" spans="1:13" ht="15.75" thickBot="1" x14ac:dyDescent="0.3">
      <c r="A53" s="2">
        <v>1727</v>
      </c>
      <c r="B53" s="1">
        <v>542</v>
      </c>
      <c r="C53" s="1">
        <v>2</v>
      </c>
      <c r="D53" s="1">
        <v>22</v>
      </c>
      <c r="E53" s="1">
        <v>6</v>
      </c>
      <c r="F53" s="1">
        <v>16</v>
      </c>
      <c r="G53" s="1">
        <v>447</v>
      </c>
      <c r="H53" s="1">
        <v>24</v>
      </c>
      <c r="I53" s="1">
        <v>3</v>
      </c>
      <c r="J53" s="1">
        <v>3</v>
      </c>
      <c r="K53" s="1">
        <v>14</v>
      </c>
      <c r="L53" s="1">
        <v>5</v>
      </c>
      <c r="M53" s="1">
        <v>0</v>
      </c>
    </row>
    <row r="54" spans="1:13" ht="15.75" thickBot="1" x14ac:dyDescent="0.3">
      <c r="A54" s="2">
        <v>1728</v>
      </c>
      <c r="B54" s="1">
        <v>641</v>
      </c>
      <c r="C54" s="1">
        <v>4</v>
      </c>
      <c r="D54" s="1">
        <v>13</v>
      </c>
      <c r="E54" s="1">
        <v>1</v>
      </c>
      <c r="F54" s="1">
        <v>14</v>
      </c>
      <c r="G54" s="1">
        <v>470</v>
      </c>
      <c r="H54" s="1">
        <v>57</v>
      </c>
      <c r="I54" s="1">
        <v>58</v>
      </c>
      <c r="J54" s="1">
        <v>0</v>
      </c>
      <c r="K54" s="1">
        <v>15</v>
      </c>
      <c r="L54" s="1">
        <v>9</v>
      </c>
      <c r="M54" s="1">
        <v>0</v>
      </c>
    </row>
    <row r="55" spans="1:13" ht="15.75" thickBot="1" x14ac:dyDescent="0.3">
      <c r="A55" s="2">
        <v>1729</v>
      </c>
      <c r="B55" s="1">
        <v>691</v>
      </c>
      <c r="C55" s="1">
        <v>2</v>
      </c>
      <c r="D55" s="1">
        <v>13</v>
      </c>
      <c r="E55" s="1">
        <v>7</v>
      </c>
      <c r="F55" s="1">
        <v>10</v>
      </c>
      <c r="G55" s="1">
        <v>572</v>
      </c>
      <c r="H55" s="1">
        <v>33</v>
      </c>
      <c r="I55" s="1">
        <v>30</v>
      </c>
      <c r="J55" s="1">
        <v>1</v>
      </c>
      <c r="K55" s="1">
        <v>15</v>
      </c>
      <c r="L55" s="1">
        <v>6</v>
      </c>
      <c r="M55" s="1">
        <v>2</v>
      </c>
    </row>
    <row r="56" spans="1:13" ht="15.75" thickBot="1" x14ac:dyDescent="0.3">
      <c r="A56" s="2">
        <v>1730</v>
      </c>
      <c r="B56" s="1">
        <v>681</v>
      </c>
      <c r="C56" s="1">
        <v>2</v>
      </c>
      <c r="D56" s="1">
        <v>12</v>
      </c>
      <c r="E56" s="1">
        <v>1</v>
      </c>
      <c r="F56" s="1">
        <v>22</v>
      </c>
      <c r="G56" s="1">
        <v>548</v>
      </c>
      <c r="H56" s="1">
        <v>80</v>
      </c>
      <c r="I56" s="1">
        <v>4</v>
      </c>
      <c r="J56" s="1">
        <v>0</v>
      </c>
      <c r="K56" s="1">
        <v>7</v>
      </c>
      <c r="L56" s="1">
        <v>5</v>
      </c>
      <c r="M56" s="1">
        <v>0</v>
      </c>
    </row>
    <row r="57" spans="1:13" ht="15.75" thickBot="1" x14ac:dyDescent="0.3">
      <c r="A57" s="2">
        <v>1731</v>
      </c>
      <c r="B57" s="1">
        <v>616</v>
      </c>
      <c r="C57" s="1">
        <v>2</v>
      </c>
      <c r="D57" s="1">
        <v>16</v>
      </c>
      <c r="E57" s="1">
        <v>1</v>
      </c>
      <c r="F57" s="1">
        <v>12</v>
      </c>
      <c r="G57" s="1">
        <v>510</v>
      </c>
      <c r="H57" s="1">
        <v>55</v>
      </c>
      <c r="I57" s="1">
        <v>3</v>
      </c>
      <c r="J57" s="1">
        <v>0</v>
      </c>
      <c r="K57" s="1">
        <v>12</v>
      </c>
      <c r="L57" s="1">
        <v>3</v>
      </c>
      <c r="M57" s="1">
        <v>2</v>
      </c>
    </row>
    <row r="58" spans="1:13" ht="15.75" thickBot="1" x14ac:dyDescent="0.3">
      <c r="A58" s="2">
        <v>1732</v>
      </c>
      <c r="B58" s="1">
        <v>593</v>
      </c>
      <c r="C58" s="1">
        <v>5</v>
      </c>
      <c r="D58" s="1">
        <v>19</v>
      </c>
      <c r="E58" s="1">
        <v>2</v>
      </c>
      <c r="F58" s="1">
        <v>8</v>
      </c>
      <c r="G58" s="1">
        <v>470</v>
      </c>
      <c r="H58" s="1">
        <v>72</v>
      </c>
      <c r="I58" s="1">
        <v>0</v>
      </c>
      <c r="J58" s="1">
        <v>0</v>
      </c>
      <c r="K58" s="1">
        <v>15</v>
      </c>
      <c r="L58" s="1">
        <v>2</v>
      </c>
      <c r="M58" s="1">
        <v>0</v>
      </c>
    </row>
    <row r="59" spans="1:13" ht="15.75" thickBot="1" x14ac:dyDescent="0.3">
      <c r="A59" s="2">
        <v>1733</v>
      </c>
      <c r="B59" s="1">
        <v>565</v>
      </c>
      <c r="C59" s="1">
        <v>9</v>
      </c>
      <c r="D59" s="1">
        <v>11</v>
      </c>
      <c r="E59" s="1">
        <v>5</v>
      </c>
      <c r="F59" s="1">
        <v>6</v>
      </c>
      <c r="G59" s="1">
        <v>455</v>
      </c>
      <c r="H59" s="1">
        <v>50</v>
      </c>
      <c r="I59" s="1">
        <v>9</v>
      </c>
      <c r="J59" s="1">
        <v>0</v>
      </c>
      <c r="K59" s="1">
        <v>19</v>
      </c>
      <c r="L59" s="1">
        <v>1</v>
      </c>
      <c r="M59" s="1">
        <v>0</v>
      </c>
    </row>
    <row r="60" spans="1:13" ht="15.75" thickBot="1" x14ac:dyDescent="0.3">
      <c r="A60" s="2">
        <v>1734</v>
      </c>
      <c r="B60" s="1">
        <v>494</v>
      </c>
      <c r="C60" s="1">
        <v>1</v>
      </c>
      <c r="D60" s="1">
        <v>22</v>
      </c>
      <c r="E60" s="1">
        <v>5</v>
      </c>
      <c r="F60" s="1">
        <v>4</v>
      </c>
      <c r="G60" s="1">
        <v>411</v>
      </c>
      <c r="H60" s="1">
        <v>27</v>
      </c>
      <c r="I60" s="1">
        <v>15</v>
      </c>
      <c r="J60" s="1">
        <v>1</v>
      </c>
      <c r="K60" s="1">
        <v>6</v>
      </c>
      <c r="L60" s="1">
        <v>1</v>
      </c>
      <c r="M60" s="1">
        <v>1</v>
      </c>
    </row>
    <row r="61" spans="1:13" ht="15.75" thickBot="1" x14ac:dyDescent="0.3">
      <c r="A61" s="2">
        <v>1735</v>
      </c>
      <c r="B61" s="1">
        <v>652</v>
      </c>
      <c r="C61" s="1">
        <v>14</v>
      </c>
      <c r="D61" s="1">
        <v>28</v>
      </c>
      <c r="E61" s="1">
        <v>2</v>
      </c>
      <c r="F61" s="1">
        <v>18</v>
      </c>
      <c r="G61" s="1">
        <v>517</v>
      </c>
      <c r="H61" s="1">
        <v>52</v>
      </c>
      <c r="I61" s="1">
        <v>4</v>
      </c>
      <c r="J61" s="1">
        <v>4</v>
      </c>
      <c r="K61" s="1">
        <v>9</v>
      </c>
      <c r="L61" s="1">
        <v>3</v>
      </c>
      <c r="M61" s="1">
        <v>1</v>
      </c>
    </row>
    <row r="62" spans="1:13" ht="15.75" thickBot="1" x14ac:dyDescent="0.3">
      <c r="A62" s="2">
        <v>1736</v>
      </c>
      <c r="B62" s="1">
        <v>609</v>
      </c>
      <c r="C62" s="1">
        <v>12</v>
      </c>
      <c r="D62" s="1">
        <v>9</v>
      </c>
      <c r="E62" s="1">
        <v>0</v>
      </c>
      <c r="F62" s="1">
        <v>8</v>
      </c>
      <c r="G62" s="1">
        <v>529</v>
      </c>
      <c r="H62" s="1">
        <v>32</v>
      </c>
      <c r="I62" s="1">
        <v>0</v>
      </c>
      <c r="J62" s="1">
        <v>5</v>
      </c>
      <c r="K62" s="1">
        <v>10</v>
      </c>
      <c r="L62" s="1">
        <v>3</v>
      </c>
      <c r="M62" s="1">
        <v>1</v>
      </c>
    </row>
    <row r="63" spans="1:13" ht="15.75" thickBot="1" x14ac:dyDescent="0.3">
      <c r="A63" s="2">
        <v>1737</v>
      </c>
      <c r="B63" s="1">
        <v>533</v>
      </c>
      <c r="C63" s="1">
        <v>6</v>
      </c>
      <c r="D63" s="1">
        <v>24</v>
      </c>
      <c r="E63" s="1">
        <v>3</v>
      </c>
      <c r="F63" s="1">
        <v>8</v>
      </c>
      <c r="G63" s="1">
        <v>436</v>
      </c>
      <c r="H63" s="1">
        <v>37</v>
      </c>
      <c r="I63" s="1">
        <v>2</v>
      </c>
      <c r="J63" s="1">
        <v>1</v>
      </c>
      <c r="K63" s="1">
        <v>11</v>
      </c>
      <c r="L63" s="1">
        <v>4</v>
      </c>
      <c r="M63" s="1">
        <v>1</v>
      </c>
    </row>
    <row r="64" spans="1:13" ht="15.75" thickBot="1" x14ac:dyDescent="0.3">
      <c r="A64" s="2">
        <v>1738</v>
      </c>
      <c r="B64" s="1">
        <v>436</v>
      </c>
      <c r="C64" s="1">
        <v>5</v>
      </c>
      <c r="D64" s="1">
        <v>12</v>
      </c>
      <c r="E64" s="1">
        <v>6</v>
      </c>
      <c r="F64" s="1">
        <v>6</v>
      </c>
      <c r="G64" s="1">
        <v>345</v>
      </c>
      <c r="H64" s="1">
        <v>43</v>
      </c>
      <c r="I64" s="1">
        <v>8</v>
      </c>
      <c r="J64" s="1">
        <v>0</v>
      </c>
      <c r="K64" s="1">
        <v>11</v>
      </c>
      <c r="L64" s="1">
        <v>0</v>
      </c>
      <c r="M64" s="1">
        <v>0</v>
      </c>
    </row>
    <row r="65" spans="1:13" ht="15.75" thickBot="1" x14ac:dyDescent="0.3">
      <c r="A65" s="2">
        <v>1739</v>
      </c>
      <c r="B65" s="1">
        <v>558</v>
      </c>
      <c r="C65" s="1">
        <v>3</v>
      </c>
      <c r="D65" s="1">
        <v>9</v>
      </c>
      <c r="E65" s="1">
        <v>3</v>
      </c>
      <c r="F65" s="1">
        <v>11</v>
      </c>
      <c r="G65" s="1">
        <v>471</v>
      </c>
      <c r="H65" s="1">
        <v>38</v>
      </c>
      <c r="I65" s="1">
        <v>8</v>
      </c>
      <c r="J65" s="1">
        <v>1</v>
      </c>
      <c r="K65" s="1">
        <v>10</v>
      </c>
      <c r="L65" s="1">
        <v>4</v>
      </c>
      <c r="M65" s="1">
        <v>0</v>
      </c>
    </row>
    <row r="66" spans="1:13" ht="15.75" thickBot="1" x14ac:dyDescent="0.3">
      <c r="A66" s="2">
        <v>1740</v>
      </c>
      <c r="B66" s="1">
        <v>587</v>
      </c>
      <c r="C66" s="1">
        <v>2</v>
      </c>
      <c r="D66" s="1">
        <v>13</v>
      </c>
      <c r="E66" s="1">
        <v>0</v>
      </c>
      <c r="F66" s="1">
        <v>10</v>
      </c>
      <c r="G66" s="1">
        <v>462</v>
      </c>
      <c r="H66" s="1">
        <v>35</v>
      </c>
      <c r="I66" s="1">
        <v>57</v>
      </c>
      <c r="J66" s="1">
        <v>0</v>
      </c>
      <c r="K66" s="1">
        <v>7</v>
      </c>
      <c r="L66" s="1">
        <v>1</v>
      </c>
      <c r="M66" s="1">
        <v>0</v>
      </c>
    </row>
    <row r="67" spans="1:13" ht="15.75" thickBot="1" x14ac:dyDescent="0.3">
      <c r="A67" s="2">
        <v>1741</v>
      </c>
      <c r="B67" s="1">
        <v>665</v>
      </c>
      <c r="C67" s="1">
        <v>2</v>
      </c>
      <c r="D67" s="1">
        <v>14</v>
      </c>
      <c r="E67" s="1">
        <v>0</v>
      </c>
      <c r="F67" s="1">
        <v>5</v>
      </c>
      <c r="G67" s="1">
        <v>536</v>
      </c>
      <c r="H67" s="1">
        <v>60</v>
      </c>
      <c r="I67" s="1">
        <v>41</v>
      </c>
      <c r="J67" s="1">
        <v>1</v>
      </c>
      <c r="K67" s="1">
        <v>5</v>
      </c>
      <c r="L67" s="1">
        <v>1</v>
      </c>
      <c r="M67" s="1">
        <v>0</v>
      </c>
    </row>
    <row r="68" spans="1:13" ht="15.75" thickBot="1" x14ac:dyDescent="0.3">
      <c r="A68" s="2">
        <v>1742</v>
      </c>
      <c r="B68" s="1">
        <v>475</v>
      </c>
      <c r="C68" s="1">
        <v>3</v>
      </c>
      <c r="D68" s="1">
        <v>18</v>
      </c>
      <c r="E68" s="1">
        <v>2</v>
      </c>
      <c r="F68" s="1">
        <v>7</v>
      </c>
      <c r="G68" s="1">
        <v>383</v>
      </c>
      <c r="H68" s="1">
        <v>31</v>
      </c>
      <c r="I68" s="1">
        <v>17</v>
      </c>
      <c r="J68" s="1">
        <v>0</v>
      </c>
      <c r="K68" s="1">
        <v>14</v>
      </c>
      <c r="L68" s="1">
        <v>0</v>
      </c>
      <c r="M68" s="1">
        <v>0</v>
      </c>
    </row>
    <row r="69" spans="1:13" ht="15.75" thickBot="1" x14ac:dyDescent="0.3">
      <c r="A69" s="2">
        <v>1743</v>
      </c>
      <c r="B69" s="1">
        <v>592</v>
      </c>
      <c r="C69" s="1">
        <v>1</v>
      </c>
      <c r="D69" s="1">
        <v>17</v>
      </c>
      <c r="E69" s="1">
        <v>10</v>
      </c>
      <c r="F69" s="1">
        <v>7</v>
      </c>
      <c r="G69" s="1">
        <v>432</v>
      </c>
      <c r="H69" s="1">
        <v>46</v>
      </c>
      <c r="I69" s="1">
        <v>59</v>
      </c>
      <c r="J69" s="1">
        <v>3</v>
      </c>
      <c r="K69" s="1">
        <v>14</v>
      </c>
      <c r="L69" s="1">
        <v>3</v>
      </c>
      <c r="M69" s="1">
        <v>0</v>
      </c>
    </row>
    <row r="70" spans="1:13" ht="15.75" thickBot="1" x14ac:dyDescent="0.3">
      <c r="A70" s="2">
        <v>1744</v>
      </c>
      <c r="B70" s="1">
        <v>610</v>
      </c>
      <c r="C70" s="1">
        <v>3</v>
      </c>
      <c r="D70" s="1">
        <v>15</v>
      </c>
      <c r="E70" s="1">
        <v>1</v>
      </c>
      <c r="F70" s="1">
        <v>3</v>
      </c>
      <c r="G70" s="1">
        <v>361</v>
      </c>
      <c r="H70" s="1">
        <v>88</v>
      </c>
      <c r="I70" s="1">
        <v>115</v>
      </c>
      <c r="J70" s="1">
        <v>4</v>
      </c>
      <c r="K70" s="1">
        <v>17</v>
      </c>
      <c r="L70" s="1">
        <v>3</v>
      </c>
      <c r="M70" s="1">
        <v>0</v>
      </c>
    </row>
    <row r="71" spans="1:13" ht="15.75" thickBot="1" x14ac:dyDescent="0.3">
      <c r="A71" s="2">
        <v>1745</v>
      </c>
      <c r="B71" s="1">
        <v>410</v>
      </c>
      <c r="C71" s="1">
        <v>0</v>
      </c>
      <c r="D71" s="1">
        <v>16</v>
      </c>
      <c r="E71" s="1">
        <v>4</v>
      </c>
      <c r="F71" s="1">
        <v>5</v>
      </c>
      <c r="G71" s="1">
        <v>282</v>
      </c>
      <c r="H71" s="1">
        <v>33</v>
      </c>
      <c r="I71" s="1">
        <v>58</v>
      </c>
      <c r="J71" s="1">
        <v>1</v>
      </c>
      <c r="K71" s="1">
        <v>9</v>
      </c>
      <c r="L71" s="1">
        <v>1</v>
      </c>
      <c r="M71" s="1">
        <v>1</v>
      </c>
    </row>
    <row r="72" spans="1:13" ht="15.75" thickBot="1" x14ac:dyDescent="0.3">
      <c r="A72" s="2">
        <v>1746</v>
      </c>
      <c r="B72" s="1">
        <v>547</v>
      </c>
      <c r="C72" s="1">
        <v>0</v>
      </c>
      <c r="D72" s="1">
        <v>10</v>
      </c>
      <c r="E72" s="1">
        <v>6</v>
      </c>
      <c r="F72" s="1">
        <v>2</v>
      </c>
      <c r="G72" s="1">
        <v>357</v>
      </c>
      <c r="H72" s="1">
        <v>30</v>
      </c>
      <c r="I72" s="1">
        <v>129</v>
      </c>
      <c r="J72" s="1">
        <v>2</v>
      </c>
      <c r="K72" s="1">
        <v>7</v>
      </c>
      <c r="L72" s="1">
        <v>4</v>
      </c>
      <c r="M72" s="1">
        <v>0</v>
      </c>
    </row>
    <row r="73" spans="1:13" ht="15.75" thickBot="1" x14ac:dyDescent="0.3">
      <c r="A73" s="2">
        <v>1747</v>
      </c>
      <c r="B73" s="1">
        <v>517</v>
      </c>
      <c r="C73" s="1">
        <v>0</v>
      </c>
      <c r="D73" s="1">
        <v>17</v>
      </c>
      <c r="E73" s="1">
        <v>12</v>
      </c>
      <c r="F73" s="1">
        <v>8</v>
      </c>
      <c r="G73" s="1">
        <v>371</v>
      </c>
      <c r="H73" s="1">
        <v>17</v>
      </c>
      <c r="I73" s="1">
        <v>89</v>
      </c>
      <c r="J73" s="1">
        <v>0</v>
      </c>
      <c r="K73" s="1">
        <v>2</v>
      </c>
      <c r="L73" s="1">
        <v>1</v>
      </c>
      <c r="M73" s="1">
        <v>0</v>
      </c>
    </row>
    <row r="74" spans="1:13" ht="15.75" thickBot="1" x14ac:dyDescent="0.3">
      <c r="A74" s="2">
        <v>1748</v>
      </c>
      <c r="B74" s="1">
        <v>646</v>
      </c>
      <c r="C74" s="1">
        <v>5</v>
      </c>
      <c r="D74" s="1">
        <v>16</v>
      </c>
      <c r="E74" s="1">
        <v>17</v>
      </c>
      <c r="F74" s="1">
        <v>6</v>
      </c>
      <c r="G74" s="1">
        <v>491</v>
      </c>
      <c r="H74" s="1">
        <v>22</v>
      </c>
      <c r="I74" s="1">
        <v>77</v>
      </c>
      <c r="J74" s="1">
        <v>1</v>
      </c>
      <c r="K74" s="1">
        <v>9</v>
      </c>
      <c r="L74" s="1">
        <v>2</v>
      </c>
      <c r="M74" s="1">
        <v>0</v>
      </c>
    </row>
    <row r="75" spans="1:13" ht="15.75" thickBot="1" x14ac:dyDescent="0.3">
      <c r="A75" s="2">
        <v>1749</v>
      </c>
      <c r="B75" s="1">
        <v>852</v>
      </c>
      <c r="C75" s="1">
        <v>4</v>
      </c>
      <c r="D75" s="1">
        <v>8</v>
      </c>
      <c r="E75" s="1">
        <v>13</v>
      </c>
      <c r="F75" s="1">
        <v>8</v>
      </c>
      <c r="G75" s="1">
        <v>561</v>
      </c>
      <c r="H75" s="1">
        <v>74</v>
      </c>
      <c r="I75" s="1">
        <v>163</v>
      </c>
      <c r="J75" s="1">
        <v>4</v>
      </c>
      <c r="K75" s="1">
        <v>13</v>
      </c>
      <c r="L75" s="1">
        <v>4</v>
      </c>
      <c r="M75" s="1">
        <v>0</v>
      </c>
    </row>
    <row r="76" spans="1:13" ht="15.75" thickBot="1" x14ac:dyDescent="0.3">
      <c r="A76" s="2">
        <v>1750</v>
      </c>
      <c r="B76" s="1">
        <v>929</v>
      </c>
      <c r="C76" s="1">
        <v>0</v>
      </c>
      <c r="D76" s="1">
        <v>16</v>
      </c>
      <c r="E76" s="1">
        <v>11</v>
      </c>
      <c r="F76" s="1">
        <v>8</v>
      </c>
      <c r="G76" s="1">
        <v>495</v>
      </c>
      <c r="H76" s="1">
        <v>101</v>
      </c>
      <c r="I76" s="1">
        <v>274</v>
      </c>
      <c r="J76" s="1">
        <v>1</v>
      </c>
      <c r="K76" s="1">
        <v>16</v>
      </c>
      <c r="L76" s="1">
        <v>7</v>
      </c>
      <c r="M76" s="1">
        <v>0</v>
      </c>
    </row>
    <row r="77" spans="1:13" ht="15.75" thickBot="1" x14ac:dyDescent="0.3">
      <c r="A77" s="2">
        <v>1751</v>
      </c>
      <c r="B77" s="1">
        <v>785</v>
      </c>
      <c r="C77" s="1">
        <v>2</v>
      </c>
      <c r="D77" s="1">
        <v>11</v>
      </c>
      <c r="E77" s="1">
        <v>15</v>
      </c>
      <c r="F77" s="1">
        <v>8</v>
      </c>
      <c r="G77" s="1">
        <v>462</v>
      </c>
      <c r="H77" s="1">
        <v>58</v>
      </c>
      <c r="I77" s="1">
        <v>179</v>
      </c>
      <c r="J77" s="1">
        <v>4</v>
      </c>
      <c r="K77" s="1">
        <v>34</v>
      </c>
      <c r="L77" s="1">
        <v>12</v>
      </c>
      <c r="M77" s="1">
        <v>0</v>
      </c>
    </row>
    <row r="78" spans="1:13" ht="15.75" thickBot="1" x14ac:dyDescent="0.3">
      <c r="A78" s="2">
        <v>1752</v>
      </c>
      <c r="B78" s="1">
        <v>762</v>
      </c>
      <c r="C78" s="1">
        <v>9</v>
      </c>
      <c r="D78" s="1">
        <v>26</v>
      </c>
      <c r="E78" s="1">
        <v>3</v>
      </c>
      <c r="F78" s="1">
        <v>6</v>
      </c>
      <c r="G78" s="1">
        <v>429</v>
      </c>
      <c r="H78" s="1">
        <v>31</v>
      </c>
      <c r="I78" s="1">
        <v>221</v>
      </c>
      <c r="J78" s="1">
        <v>0</v>
      </c>
      <c r="K78" s="1">
        <v>27</v>
      </c>
      <c r="L78" s="1">
        <v>10</v>
      </c>
      <c r="M78" s="1">
        <v>0</v>
      </c>
    </row>
    <row r="79" spans="1:13" ht="15.75" thickBot="1" x14ac:dyDescent="0.3">
      <c r="A79" s="2">
        <v>1753</v>
      </c>
      <c r="B79" s="1">
        <v>732</v>
      </c>
      <c r="C79" s="1">
        <v>3</v>
      </c>
      <c r="D79" s="1">
        <v>12</v>
      </c>
      <c r="E79" s="1">
        <v>2</v>
      </c>
      <c r="F79" s="1">
        <v>8</v>
      </c>
      <c r="G79" s="1">
        <v>449</v>
      </c>
      <c r="H79" s="1">
        <v>52</v>
      </c>
      <c r="I79" s="1">
        <v>175</v>
      </c>
      <c r="J79" s="1">
        <v>0</v>
      </c>
      <c r="K79" s="1">
        <v>19</v>
      </c>
      <c r="L79" s="1">
        <v>12</v>
      </c>
      <c r="M79" s="1">
        <v>0</v>
      </c>
    </row>
    <row r="80" spans="1:13" ht="15.75" thickBot="1" x14ac:dyDescent="0.3">
      <c r="A80" s="2">
        <v>1754</v>
      </c>
      <c r="B80" s="1">
        <v>633</v>
      </c>
      <c r="C80" s="1">
        <v>2</v>
      </c>
      <c r="D80" s="1">
        <v>17</v>
      </c>
      <c r="E80" s="1">
        <v>0</v>
      </c>
      <c r="F80" s="1">
        <v>7</v>
      </c>
      <c r="G80" s="1">
        <v>427</v>
      </c>
      <c r="H80" s="1">
        <v>34</v>
      </c>
      <c r="I80" s="1">
        <v>118</v>
      </c>
      <c r="J80" s="1">
        <v>0</v>
      </c>
      <c r="K80" s="1">
        <v>24</v>
      </c>
      <c r="L80" s="1">
        <v>4</v>
      </c>
      <c r="M80" s="1">
        <v>0</v>
      </c>
    </row>
    <row r="81" spans="1:13" ht="15.75" thickBot="1" x14ac:dyDescent="0.3">
      <c r="A81" s="2">
        <v>1755</v>
      </c>
      <c r="B81" s="1">
        <v>554</v>
      </c>
      <c r="C81" s="1">
        <v>1</v>
      </c>
      <c r="D81" s="1">
        <v>13</v>
      </c>
      <c r="E81" s="1">
        <v>1</v>
      </c>
      <c r="F81" s="1">
        <v>5</v>
      </c>
      <c r="G81" s="1">
        <v>355</v>
      </c>
      <c r="H81" s="1">
        <v>24</v>
      </c>
      <c r="I81" s="1">
        <v>126</v>
      </c>
      <c r="J81" s="1">
        <v>4</v>
      </c>
      <c r="K81" s="1">
        <v>12</v>
      </c>
      <c r="L81" s="1">
        <v>13</v>
      </c>
      <c r="M81" s="1">
        <v>0</v>
      </c>
    </row>
    <row r="82" spans="1:13" ht="15.75" thickBot="1" x14ac:dyDescent="0.3">
      <c r="A82" s="2">
        <v>1756</v>
      </c>
      <c r="B82" s="1">
        <v>511</v>
      </c>
      <c r="C82" s="1">
        <v>1</v>
      </c>
      <c r="D82" s="1">
        <v>19</v>
      </c>
      <c r="E82" s="1">
        <v>2</v>
      </c>
      <c r="F82" s="1">
        <v>3</v>
      </c>
      <c r="G82" s="1">
        <v>375</v>
      </c>
      <c r="H82" s="1">
        <v>23</v>
      </c>
      <c r="I82" s="1">
        <v>69</v>
      </c>
      <c r="J82" s="1">
        <v>1</v>
      </c>
      <c r="K82" s="1">
        <v>11</v>
      </c>
      <c r="L82" s="1">
        <v>7</v>
      </c>
      <c r="M82" s="1">
        <v>0</v>
      </c>
    </row>
    <row r="83" spans="1:13" ht="15.75" thickBot="1" x14ac:dyDescent="0.3">
      <c r="A83" s="2">
        <v>1757</v>
      </c>
      <c r="B83" s="1">
        <v>485</v>
      </c>
      <c r="C83" s="1">
        <v>5</v>
      </c>
      <c r="D83" s="1">
        <v>5</v>
      </c>
      <c r="E83" s="1">
        <v>4</v>
      </c>
      <c r="F83" s="1">
        <v>7</v>
      </c>
      <c r="G83" s="1">
        <v>347</v>
      </c>
      <c r="H83" s="1">
        <v>22</v>
      </c>
      <c r="I83" s="1">
        <v>67</v>
      </c>
      <c r="J83" s="1">
        <v>0</v>
      </c>
      <c r="K83" s="1">
        <v>18</v>
      </c>
      <c r="L83" s="1">
        <v>9</v>
      </c>
      <c r="M83" s="1">
        <v>1</v>
      </c>
    </row>
    <row r="84" spans="1:13" ht="15.75" thickBot="1" x14ac:dyDescent="0.3">
      <c r="A84" s="2">
        <v>1758</v>
      </c>
      <c r="B84" s="1">
        <v>429</v>
      </c>
      <c r="C84" s="1">
        <v>2</v>
      </c>
      <c r="D84" s="1">
        <v>3</v>
      </c>
      <c r="E84" s="1">
        <v>7</v>
      </c>
      <c r="F84" s="1">
        <v>3</v>
      </c>
      <c r="G84" s="1">
        <v>299</v>
      </c>
      <c r="H84" s="1">
        <v>18</v>
      </c>
      <c r="I84" s="1">
        <v>67</v>
      </c>
      <c r="J84" s="1">
        <v>1</v>
      </c>
      <c r="K84" s="1">
        <v>26</v>
      </c>
      <c r="L84" s="1">
        <v>3</v>
      </c>
      <c r="M84" s="1">
        <v>0</v>
      </c>
    </row>
    <row r="85" spans="1:13" ht="15.75" thickBot="1" x14ac:dyDescent="0.3">
      <c r="A85" s="2">
        <v>1759</v>
      </c>
      <c r="B85" s="1">
        <v>349</v>
      </c>
      <c r="C85" s="1">
        <v>3</v>
      </c>
      <c r="D85" s="1">
        <v>9</v>
      </c>
      <c r="E85" s="1">
        <v>0</v>
      </c>
      <c r="F85" s="1">
        <v>2</v>
      </c>
      <c r="G85" s="1">
        <v>283</v>
      </c>
      <c r="H85" s="1">
        <v>11</v>
      </c>
      <c r="I85" s="1">
        <v>17</v>
      </c>
      <c r="J85" s="1">
        <v>1</v>
      </c>
      <c r="K85" s="1">
        <v>20</v>
      </c>
      <c r="L85" s="1">
        <v>3</v>
      </c>
      <c r="M85" s="1">
        <v>0</v>
      </c>
    </row>
    <row r="86" spans="1:13" ht="15.75" thickBot="1" x14ac:dyDescent="0.3">
      <c r="A86" s="2">
        <v>1760</v>
      </c>
      <c r="B86" s="1">
        <v>334</v>
      </c>
      <c r="C86" s="1">
        <v>3</v>
      </c>
      <c r="D86" s="1">
        <v>15</v>
      </c>
      <c r="E86" s="1">
        <v>1</v>
      </c>
      <c r="F86" s="1">
        <v>1</v>
      </c>
      <c r="G86" s="1">
        <v>286</v>
      </c>
      <c r="H86" s="1">
        <v>7</v>
      </c>
      <c r="I86" s="1">
        <v>12</v>
      </c>
      <c r="J86" s="1">
        <v>0</v>
      </c>
      <c r="K86" s="1">
        <v>9</v>
      </c>
      <c r="L86" s="1">
        <v>0</v>
      </c>
      <c r="M86" s="1">
        <v>0</v>
      </c>
    </row>
    <row r="87" spans="1:13" ht="15.75" thickBot="1" x14ac:dyDescent="0.3">
      <c r="A87" s="2">
        <v>1761</v>
      </c>
      <c r="B87" s="1">
        <v>397</v>
      </c>
      <c r="C87" s="1">
        <v>1</v>
      </c>
      <c r="D87" s="1">
        <v>20</v>
      </c>
      <c r="E87" s="1">
        <v>3</v>
      </c>
      <c r="F87" s="1">
        <v>4</v>
      </c>
      <c r="G87" s="1">
        <v>307</v>
      </c>
      <c r="H87" s="1">
        <v>12</v>
      </c>
      <c r="I87" s="1">
        <v>34</v>
      </c>
      <c r="J87" s="1">
        <v>0</v>
      </c>
      <c r="K87" s="1">
        <v>16</v>
      </c>
      <c r="L87" s="1">
        <v>0</v>
      </c>
      <c r="M87" s="1">
        <v>0</v>
      </c>
    </row>
    <row r="88" spans="1:13" ht="15.75" thickBot="1" x14ac:dyDescent="0.3">
      <c r="A88" s="2">
        <v>1762</v>
      </c>
      <c r="B88" s="1">
        <v>387</v>
      </c>
      <c r="C88" s="1">
        <v>1</v>
      </c>
      <c r="D88" s="1">
        <v>10</v>
      </c>
      <c r="E88" s="1">
        <v>0</v>
      </c>
      <c r="F88" s="1">
        <v>7</v>
      </c>
      <c r="G88" s="1">
        <v>291</v>
      </c>
      <c r="H88" s="1">
        <v>13</v>
      </c>
      <c r="I88" s="1">
        <v>46</v>
      </c>
      <c r="J88" s="1">
        <v>1</v>
      </c>
      <c r="K88" s="1">
        <v>17</v>
      </c>
      <c r="L88" s="1">
        <v>1</v>
      </c>
      <c r="M88" s="1">
        <v>0</v>
      </c>
    </row>
    <row r="89" spans="1:13" ht="15.75" thickBot="1" x14ac:dyDescent="0.3">
      <c r="A89" s="2">
        <v>1763</v>
      </c>
      <c r="B89" s="1">
        <v>618</v>
      </c>
      <c r="C89" s="1">
        <v>3</v>
      </c>
      <c r="D89" s="1">
        <v>10</v>
      </c>
      <c r="E89" s="1">
        <v>0</v>
      </c>
      <c r="F89" s="1">
        <v>3</v>
      </c>
      <c r="G89" s="1">
        <v>409</v>
      </c>
      <c r="H89" s="1">
        <v>55</v>
      </c>
      <c r="I89" s="1">
        <v>102</v>
      </c>
      <c r="J89" s="1">
        <v>2</v>
      </c>
      <c r="K89" s="1">
        <v>29</v>
      </c>
      <c r="L89" s="1">
        <v>2</v>
      </c>
      <c r="M89" s="1">
        <v>3</v>
      </c>
    </row>
    <row r="90" spans="1:13" ht="15.75" thickBot="1" x14ac:dyDescent="0.3">
      <c r="A90" s="2">
        <v>1764</v>
      </c>
      <c r="B90" s="1">
        <v>736</v>
      </c>
      <c r="C90" s="1">
        <v>7</v>
      </c>
      <c r="D90" s="1">
        <v>7</v>
      </c>
      <c r="E90" s="1">
        <v>1</v>
      </c>
      <c r="F90" s="1">
        <v>4</v>
      </c>
      <c r="G90" s="1">
        <v>553</v>
      </c>
      <c r="H90" s="1">
        <v>38</v>
      </c>
      <c r="I90" s="1">
        <v>109</v>
      </c>
      <c r="J90" s="1">
        <v>1</v>
      </c>
      <c r="K90" s="1">
        <v>14</v>
      </c>
      <c r="L90" s="1">
        <v>2</v>
      </c>
      <c r="M90" s="1">
        <v>0</v>
      </c>
    </row>
    <row r="91" spans="1:13" ht="15.75" thickBot="1" x14ac:dyDescent="0.3">
      <c r="A91" s="2">
        <v>1765</v>
      </c>
      <c r="B91" s="1">
        <v>604</v>
      </c>
      <c r="C91" s="1">
        <v>6</v>
      </c>
      <c r="D91" s="1">
        <v>7</v>
      </c>
      <c r="E91" s="1">
        <v>0</v>
      </c>
      <c r="F91" s="1">
        <v>3</v>
      </c>
      <c r="G91" s="1">
        <v>468</v>
      </c>
      <c r="H91" s="1">
        <v>17</v>
      </c>
      <c r="I91" s="1">
        <v>66</v>
      </c>
      <c r="J91" s="1">
        <v>4</v>
      </c>
      <c r="K91" s="1">
        <v>19</v>
      </c>
      <c r="L91" s="1">
        <v>13</v>
      </c>
      <c r="M91" s="1">
        <v>1</v>
      </c>
    </row>
    <row r="92" spans="1:13" ht="15.75" thickBot="1" x14ac:dyDescent="0.3">
      <c r="A92" s="2">
        <v>1766</v>
      </c>
      <c r="B92" s="1">
        <v>605</v>
      </c>
      <c r="C92" s="1">
        <v>1</v>
      </c>
      <c r="D92" s="1">
        <v>9</v>
      </c>
      <c r="E92" s="1">
        <v>5</v>
      </c>
      <c r="F92" s="1">
        <v>7</v>
      </c>
      <c r="G92" s="1">
        <v>477</v>
      </c>
      <c r="H92" s="1">
        <v>25</v>
      </c>
      <c r="I92" s="1">
        <v>59</v>
      </c>
      <c r="J92" s="1">
        <v>2</v>
      </c>
      <c r="K92" s="1">
        <v>18</v>
      </c>
      <c r="L92" s="1">
        <v>2</v>
      </c>
      <c r="M92" s="1">
        <v>0</v>
      </c>
    </row>
    <row r="93" spans="1:13" ht="15.75" thickBot="1" x14ac:dyDescent="0.3">
      <c r="A93" s="2">
        <v>1767</v>
      </c>
      <c r="B93" s="1">
        <v>665</v>
      </c>
      <c r="C93" s="1">
        <v>4</v>
      </c>
      <c r="D93" s="1">
        <v>11</v>
      </c>
      <c r="E93" s="1">
        <v>3</v>
      </c>
      <c r="F93" s="1">
        <v>4</v>
      </c>
      <c r="G93" s="1">
        <v>540</v>
      </c>
      <c r="H93" s="1">
        <v>20</v>
      </c>
      <c r="I93" s="1">
        <v>68</v>
      </c>
      <c r="J93" s="1">
        <v>1</v>
      </c>
      <c r="K93" s="1">
        <v>14</v>
      </c>
      <c r="L93" s="1">
        <v>0</v>
      </c>
      <c r="M93" s="1">
        <v>0</v>
      </c>
    </row>
    <row r="94" spans="1:13" ht="15.75" thickBot="1" x14ac:dyDescent="0.3">
      <c r="A94" s="2">
        <v>1768</v>
      </c>
      <c r="B94" s="1">
        <v>712</v>
      </c>
      <c r="C94" s="1">
        <v>2</v>
      </c>
      <c r="D94" s="1">
        <v>28</v>
      </c>
      <c r="E94" s="1">
        <v>0</v>
      </c>
      <c r="F94" s="1">
        <v>8</v>
      </c>
      <c r="G94" s="1">
        <v>531</v>
      </c>
      <c r="H94" s="1">
        <v>32</v>
      </c>
      <c r="I94" s="1">
        <v>79</v>
      </c>
      <c r="J94" s="1">
        <v>14</v>
      </c>
      <c r="K94" s="1">
        <v>16</v>
      </c>
      <c r="L94" s="1">
        <v>2</v>
      </c>
      <c r="M94" s="1">
        <v>0</v>
      </c>
    </row>
    <row r="95" spans="1:13" ht="15.75" thickBot="1" x14ac:dyDescent="0.3">
      <c r="A95" s="2">
        <v>1769</v>
      </c>
      <c r="B95" s="1">
        <v>699</v>
      </c>
      <c r="C95" s="1">
        <v>4</v>
      </c>
      <c r="D95" s="1">
        <v>11</v>
      </c>
      <c r="E95" s="1">
        <v>2</v>
      </c>
      <c r="F95" s="1">
        <v>5</v>
      </c>
      <c r="G95" s="1">
        <v>509</v>
      </c>
      <c r="H95" s="1">
        <v>37</v>
      </c>
      <c r="I95" s="1">
        <v>98</v>
      </c>
      <c r="J95" s="1">
        <v>3</v>
      </c>
      <c r="K95" s="1">
        <v>25</v>
      </c>
      <c r="L95" s="1">
        <v>2</v>
      </c>
      <c r="M95" s="1">
        <v>3</v>
      </c>
    </row>
    <row r="96" spans="1:13" ht="15.75" thickBot="1" x14ac:dyDescent="0.3">
      <c r="A96" s="2">
        <v>1770</v>
      </c>
      <c r="B96" s="1">
        <v>849</v>
      </c>
      <c r="C96" s="1">
        <v>6</v>
      </c>
      <c r="D96" s="1">
        <v>24</v>
      </c>
      <c r="E96" s="1">
        <v>3</v>
      </c>
      <c r="F96" s="1">
        <v>4</v>
      </c>
      <c r="G96" s="1">
        <v>588</v>
      </c>
      <c r="H96" s="1">
        <v>59</v>
      </c>
      <c r="I96" s="1">
        <v>146</v>
      </c>
      <c r="J96" s="1">
        <v>2</v>
      </c>
      <c r="K96" s="1">
        <v>6</v>
      </c>
      <c r="L96" s="1">
        <v>9</v>
      </c>
      <c r="M96" s="1">
        <v>2</v>
      </c>
    </row>
    <row r="97" spans="1:13" ht="15.75" thickBot="1" x14ac:dyDescent="0.3">
      <c r="A97" s="2">
        <v>1771</v>
      </c>
      <c r="B97" s="1">
        <v>929</v>
      </c>
      <c r="C97" s="1">
        <v>5</v>
      </c>
      <c r="D97" s="1">
        <v>25</v>
      </c>
      <c r="E97" s="1">
        <v>7</v>
      </c>
      <c r="F97" s="1">
        <v>9</v>
      </c>
      <c r="G97" s="1">
        <v>721</v>
      </c>
      <c r="H97" s="1">
        <v>60</v>
      </c>
      <c r="I97" s="1">
        <v>79</v>
      </c>
      <c r="J97" s="1">
        <v>1</v>
      </c>
      <c r="K97" s="1">
        <v>16</v>
      </c>
      <c r="L97" s="1">
        <v>5</v>
      </c>
      <c r="M97" s="1">
        <v>1</v>
      </c>
    </row>
    <row r="98" spans="1:13" ht="15.75" thickBot="1" x14ac:dyDescent="0.3">
      <c r="A98" s="2">
        <v>1772</v>
      </c>
      <c r="B98" s="1">
        <v>986</v>
      </c>
      <c r="C98" s="1">
        <v>5</v>
      </c>
      <c r="D98" s="1">
        <v>5</v>
      </c>
      <c r="E98" s="1">
        <v>6</v>
      </c>
      <c r="F98" s="1">
        <v>15</v>
      </c>
      <c r="G98" s="1">
        <v>709</v>
      </c>
      <c r="H98" s="1">
        <v>94</v>
      </c>
      <c r="I98" s="1">
        <v>103</v>
      </c>
      <c r="J98" s="1">
        <v>3</v>
      </c>
      <c r="K98" s="1">
        <v>25</v>
      </c>
      <c r="L98" s="1">
        <v>21</v>
      </c>
      <c r="M98" s="1">
        <v>0</v>
      </c>
    </row>
    <row r="99" spans="1:13" ht="15.75" thickBot="1" x14ac:dyDescent="0.3">
      <c r="A99" s="2">
        <v>1773</v>
      </c>
      <c r="B99" s="1">
        <v>928</v>
      </c>
      <c r="C99" s="1">
        <v>5</v>
      </c>
      <c r="D99" s="1">
        <v>6</v>
      </c>
      <c r="E99" s="1">
        <v>9</v>
      </c>
      <c r="F99" s="1">
        <v>6</v>
      </c>
      <c r="G99" s="1">
        <v>749</v>
      </c>
      <c r="H99" s="1">
        <v>60</v>
      </c>
      <c r="I99" s="1">
        <v>59</v>
      </c>
      <c r="J99" s="1">
        <v>3</v>
      </c>
      <c r="K99" s="1">
        <v>22</v>
      </c>
      <c r="L99" s="1">
        <v>6</v>
      </c>
      <c r="M99" s="1">
        <v>3</v>
      </c>
    </row>
    <row r="100" spans="1:13" ht="15.75" thickBot="1" x14ac:dyDescent="0.3">
      <c r="A100" s="2">
        <v>1774</v>
      </c>
      <c r="B100" s="1">
        <v>951</v>
      </c>
      <c r="C100" s="1">
        <v>6</v>
      </c>
      <c r="D100" s="1">
        <v>9</v>
      </c>
      <c r="E100" s="1">
        <v>31</v>
      </c>
      <c r="F100" s="1">
        <v>5</v>
      </c>
      <c r="G100" s="1">
        <v>735</v>
      </c>
      <c r="H100" s="1">
        <v>69</v>
      </c>
      <c r="I100" s="1">
        <v>60</v>
      </c>
      <c r="J100" s="1">
        <v>2</v>
      </c>
      <c r="K100" s="1">
        <v>18</v>
      </c>
      <c r="L100" s="1">
        <v>16</v>
      </c>
      <c r="M100" s="1">
        <v>0</v>
      </c>
    </row>
    <row r="101" spans="1:13" ht="15.75" thickBot="1" x14ac:dyDescent="0.3">
      <c r="A101" s="2">
        <v>1775</v>
      </c>
      <c r="B101" s="1">
        <v>830</v>
      </c>
      <c r="C101" s="1">
        <v>3</v>
      </c>
      <c r="D101" s="1">
        <v>9</v>
      </c>
      <c r="E101" s="1">
        <v>32</v>
      </c>
      <c r="F101" s="1">
        <v>6</v>
      </c>
      <c r="G101" s="1">
        <v>656</v>
      </c>
      <c r="H101" s="1">
        <v>69</v>
      </c>
      <c r="I101" s="1">
        <v>16</v>
      </c>
      <c r="J101" s="1">
        <v>4</v>
      </c>
      <c r="K101" s="1">
        <v>22</v>
      </c>
      <c r="L101" s="1">
        <v>13</v>
      </c>
      <c r="M101" s="1">
        <v>0</v>
      </c>
    </row>
    <row r="102" spans="1:13" ht="15.75" thickBot="1" x14ac:dyDescent="0.3">
      <c r="A102" s="2">
        <v>1776</v>
      </c>
      <c r="B102" s="1">
        <v>857</v>
      </c>
      <c r="C102" s="1">
        <v>3</v>
      </c>
      <c r="D102" s="1">
        <v>20</v>
      </c>
      <c r="E102" s="1">
        <v>16</v>
      </c>
      <c r="F102" s="1">
        <v>6</v>
      </c>
      <c r="G102" s="1">
        <v>620</v>
      </c>
      <c r="H102" s="1">
        <v>95</v>
      </c>
      <c r="I102" s="1">
        <v>68</v>
      </c>
      <c r="J102" s="1">
        <v>1</v>
      </c>
      <c r="K102" s="1">
        <v>15</v>
      </c>
      <c r="L102" s="1">
        <v>11</v>
      </c>
      <c r="M102" s="1">
        <v>2</v>
      </c>
    </row>
    <row r="103" spans="1:13" ht="15.75" thickBot="1" x14ac:dyDescent="0.3">
      <c r="A103" s="2">
        <v>1777</v>
      </c>
      <c r="B103" s="1">
        <v>783</v>
      </c>
      <c r="C103" s="1">
        <v>0</v>
      </c>
      <c r="D103" s="1">
        <v>15</v>
      </c>
      <c r="E103" s="1">
        <v>5</v>
      </c>
      <c r="F103" s="1">
        <v>9</v>
      </c>
      <c r="G103" s="1">
        <v>681</v>
      </c>
      <c r="H103" s="1">
        <v>46</v>
      </c>
      <c r="I103" s="1">
        <v>4</v>
      </c>
      <c r="J103" s="1">
        <v>2</v>
      </c>
      <c r="K103" s="1">
        <v>15</v>
      </c>
      <c r="L103" s="1">
        <v>6</v>
      </c>
      <c r="M103" s="1">
        <v>0</v>
      </c>
    </row>
    <row r="104" spans="1:13" ht="15.75" thickBot="1" x14ac:dyDescent="0.3">
      <c r="A104" s="2">
        <v>1778</v>
      </c>
      <c r="B104" s="1">
        <v>906</v>
      </c>
      <c r="C104" s="1">
        <v>2</v>
      </c>
      <c r="D104" s="1">
        <v>17</v>
      </c>
      <c r="E104" s="1">
        <v>11</v>
      </c>
      <c r="F104" s="1">
        <v>4</v>
      </c>
      <c r="G104" s="1">
        <v>638</v>
      </c>
      <c r="H104" s="1">
        <v>66</v>
      </c>
      <c r="I104" s="1">
        <v>128</v>
      </c>
      <c r="J104" s="1">
        <v>6</v>
      </c>
      <c r="K104" s="1">
        <v>20</v>
      </c>
      <c r="L104" s="1">
        <v>14</v>
      </c>
      <c r="M104" s="1">
        <v>0</v>
      </c>
    </row>
    <row r="105" spans="1:13" ht="15.75" thickBot="1" x14ac:dyDescent="0.3">
      <c r="A105" s="2">
        <v>1779</v>
      </c>
      <c r="B105" s="1">
        <v>553</v>
      </c>
      <c r="C105" s="1">
        <v>1</v>
      </c>
      <c r="D105" s="1">
        <v>13</v>
      </c>
      <c r="E105" s="1">
        <v>15</v>
      </c>
      <c r="F105" s="1">
        <v>9</v>
      </c>
      <c r="G105" s="1">
        <v>375</v>
      </c>
      <c r="H105" s="1">
        <v>40</v>
      </c>
      <c r="I105" s="1">
        <v>77</v>
      </c>
      <c r="J105" s="1">
        <v>2</v>
      </c>
      <c r="K105" s="1">
        <v>14</v>
      </c>
      <c r="L105" s="1">
        <v>4</v>
      </c>
      <c r="M105" s="1">
        <v>3</v>
      </c>
    </row>
    <row r="106" spans="1:13" ht="15.75" thickBot="1" x14ac:dyDescent="0.3">
      <c r="A106" s="2">
        <v>1780</v>
      </c>
      <c r="B106" s="1">
        <v>750</v>
      </c>
      <c r="C106" s="1">
        <v>1</v>
      </c>
      <c r="D106" s="1">
        <v>5</v>
      </c>
      <c r="E106" s="1">
        <v>23</v>
      </c>
      <c r="F106" s="1">
        <v>4</v>
      </c>
      <c r="G106" s="1">
        <v>465</v>
      </c>
      <c r="H106" s="1">
        <v>60</v>
      </c>
      <c r="I106" s="1">
        <v>92</v>
      </c>
      <c r="J106" s="1">
        <v>82</v>
      </c>
      <c r="K106" s="1">
        <v>5</v>
      </c>
      <c r="L106" s="1">
        <v>7</v>
      </c>
      <c r="M106" s="1">
        <v>6</v>
      </c>
    </row>
    <row r="107" spans="1:13" ht="15.75" thickBot="1" x14ac:dyDescent="0.3">
      <c r="A107" s="2">
        <v>1781</v>
      </c>
      <c r="B107" s="1">
        <v>741</v>
      </c>
      <c r="C107" s="1">
        <v>0</v>
      </c>
      <c r="D107" s="1">
        <v>7</v>
      </c>
      <c r="E107" s="1">
        <v>21</v>
      </c>
      <c r="F107" s="1">
        <v>1</v>
      </c>
      <c r="G107" s="1">
        <v>547</v>
      </c>
      <c r="H107" s="1">
        <v>100</v>
      </c>
      <c r="I107" s="1">
        <v>47</v>
      </c>
      <c r="J107" s="1">
        <v>3</v>
      </c>
      <c r="K107" s="1">
        <v>11</v>
      </c>
      <c r="L107" s="1">
        <v>3</v>
      </c>
      <c r="M107" s="1">
        <v>1</v>
      </c>
    </row>
    <row r="108" spans="1:13" ht="15.75" thickBot="1" x14ac:dyDescent="0.3">
      <c r="A108" s="2">
        <v>1782</v>
      </c>
      <c r="B108" s="1">
        <v>819</v>
      </c>
      <c r="C108" s="1">
        <v>1</v>
      </c>
      <c r="D108" s="1">
        <v>12</v>
      </c>
      <c r="E108" s="1">
        <v>52</v>
      </c>
      <c r="F108" s="1">
        <v>1</v>
      </c>
      <c r="G108" s="1">
        <v>613</v>
      </c>
      <c r="H108" s="1">
        <v>83</v>
      </c>
      <c r="I108" s="1">
        <v>26</v>
      </c>
      <c r="J108" s="1">
        <v>2</v>
      </c>
      <c r="K108" s="1">
        <v>18</v>
      </c>
      <c r="L108" s="1">
        <v>9</v>
      </c>
      <c r="M108" s="1">
        <v>2</v>
      </c>
    </row>
    <row r="109" spans="1:13" ht="15.75" thickBot="1" x14ac:dyDescent="0.3">
      <c r="A109" s="2">
        <v>1783</v>
      </c>
      <c r="B109" s="1">
        <v>1278</v>
      </c>
      <c r="C109" s="1">
        <v>4</v>
      </c>
      <c r="D109" s="1">
        <v>8</v>
      </c>
      <c r="E109" s="1">
        <v>25</v>
      </c>
      <c r="F109" s="1">
        <v>1</v>
      </c>
      <c r="G109" s="1">
        <v>849</v>
      </c>
      <c r="H109" s="1">
        <v>132</v>
      </c>
      <c r="I109" s="1">
        <v>193</v>
      </c>
      <c r="J109" s="1">
        <v>3</v>
      </c>
      <c r="K109" s="1">
        <v>28</v>
      </c>
      <c r="L109" s="1">
        <v>34</v>
      </c>
      <c r="M109" s="1">
        <v>1</v>
      </c>
    </row>
    <row r="110" spans="1:13" ht="15.75" thickBot="1" x14ac:dyDescent="0.3">
      <c r="A110" s="2">
        <v>1784</v>
      </c>
      <c r="B110" s="1">
        <v>1389</v>
      </c>
      <c r="C110" s="1">
        <v>1</v>
      </c>
      <c r="D110" s="1">
        <v>20</v>
      </c>
      <c r="E110" s="1">
        <v>20</v>
      </c>
      <c r="F110" s="1">
        <v>1</v>
      </c>
      <c r="G110" s="1">
        <v>1030</v>
      </c>
      <c r="H110" s="1">
        <v>136</v>
      </c>
      <c r="I110" s="1">
        <v>111</v>
      </c>
      <c r="J110" s="1">
        <v>4</v>
      </c>
      <c r="K110" s="1">
        <v>50</v>
      </c>
      <c r="L110" s="1">
        <v>13</v>
      </c>
      <c r="M110" s="1">
        <v>3</v>
      </c>
    </row>
    <row r="111" spans="1:13" ht="15.75" thickBot="1" x14ac:dyDescent="0.3">
      <c r="A111" s="2">
        <v>1785</v>
      </c>
      <c r="B111" s="1">
        <v>1298</v>
      </c>
      <c r="C111" s="1">
        <v>0</v>
      </c>
      <c r="D111" s="1">
        <v>3</v>
      </c>
      <c r="E111" s="1">
        <v>21</v>
      </c>
      <c r="F111" s="1">
        <v>7</v>
      </c>
      <c r="G111" s="1">
        <v>917</v>
      </c>
      <c r="H111" s="1">
        <v>106</v>
      </c>
      <c r="I111" s="1">
        <v>173</v>
      </c>
      <c r="J111" s="1">
        <v>1</v>
      </c>
      <c r="K111" s="1">
        <v>44</v>
      </c>
      <c r="L111" s="1">
        <v>25</v>
      </c>
      <c r="M111" s="1">
        <v>1</v>
      </c>
    </row>
    <row r="112" spans="1:13" ht="15.75" thickBot="1" x14ac:dyDescent="0.3">
      <c r="A112" s="2">
        <v>1786</v>
      </c>
      <c r="B112" s="1">
        <v>1378</v>
      </c>
      <c r="C112" s="1">
        <v>1</v>
      </c>
      <c r="D112" s="1">
        <v>22</v>
      </c>
      <c r="E112" s="1">
        <v>38</v>
      </c>
      <c r="F112" s="1">
        <v>6</v>
      </c>
      <c r="G112" s="1">
        <v>983</v>
      </c>
      <c r="H112" s="1">
        <v>112</v>
      </c>
      <c r="I112" s="1">
        <v>166</v>
      </c>
      <c r="J112" s="1">
        <v>4</v>
      </c>
      <c r="K112" s="1">
        <v>38</v>
      </c>
      <c r="L112" s="1">
        <v>5</v>
      </c>
      <c r="M112" s="1">
        <v>3</v>
      </c>
    </row>
    <row r="113" spans="1:13" ht="15.75" thickBot="1" x14ac:dyDescent="0.3">
      <c r="A113" s="2">
        <v>1787</v>
      </c>
      <c r="B113" s="1">
        <v>1135</v>
      </c>
      <c r="C113" s="1">
        <v>0</v>
      </c>
      <c r="D113" s="1">
        <v>13</v>
      </c>
      <c r="E113" s="1">
        <v>26</v>
      </c>
      <c r="F113" s="1">
        <v>7</v>
      </c>
      <c r="G113" s="1">
        <v>867</v>
      </c>
      <c r="H113" s="1">
        <v>89</v>
      </c>
      <c r="I113" s="1">
        <v>92</v>
      </c>
      <c r="J113" s="1">
        <v>1</v>
      </c>
      <c r="K113" s="1">
        <v>34</v>
      </c>
      <c r="L113" s="1">
        <v>5</v>
      </c>
      <c r="M113" s="1">
        <v>1</v>
      </c>
    </row>
    <row r="114" spans="1:13" ht="15.75" thickBot="1" x14ac:dyDescent="0.3">
      <c r="A114" s="2">
        <v>1788</v>
      </c>
      <c r="B114" s="1">
        <v>911</v>
      </c>
      <c r="C114" s="1">
        <v>3</v>
      </c>
      <c r="D114" s="1">
        <v>7</v>
      </c>
      <c r="E114" s="1">
        <v>35</v>
      </c>
      <c r="F114" s="1">
        <v>2</v>
      </c>
      <c r="G114" s="1">
        <v>739</v>
      </c>
      <c r="H114" s="1">
        <v>77</v>
      </c>
      <c r="I114" s="1">
        <v>8</v>
      </c>
      <c r="J114" s="1">
        <v>1</v>
      </c>
      <c r="K114" s="1">
        <v>28</v>
      </c>
      <c r="L114" s="1">
        <v>9</v>
      </c>
      <c r="M114" s="1">
        <v>2</v>
      </c>
    </row>
    <row r="115" spans="1:13" ht="15.75" thickBot="1" x14ac:dyDescent="0.3">
      <c r="A115" s="2">
        <v>1789</v>
      </c>
      <c r="B115" s="1">
        <v>1349</v>
      </c>
      <c r="C115" s="1">
        <v>1</v>
      </c>
      <c r="D115" s="1">
        <v>8</v>
      </c>
      <c r="E115" s="1">
        <v>15</v>
      </c>
      <c r="F115" s="1">
        <v>8</v>
      </c>
      <c r="G115" s="1">
        <v>853</v>
      </c>
      <c r="H115" s="1">
        <v>109</v>
      </c>
      <c r="I115" s="1">
        <v>321</v>
      </c>
      <c r="J115" s="1">
        <v>2</v>
      </c>
      <c r="K115" s="1">
        <v>20</v>
      </c>
      <c r="L115" s="1">
        <v>10</v>
      </c>
      <c r="M115" s="1">
        <v>2</v>
      </c>
    </row>
    <row r="116" spans="1:13" ht="15.75" thickBot="1" x14ac:dyDescent="0.3">
      <c r="A116" s="2">
        <v>1790</v>
      </c>
      <c r="B116" s="1">
        <v>984</v>
      </c>
      <c r="C116" s="1">
        <v>0</v>
      </c>
      <c r="D116" s="1">
        <v>11</v>
      </c>
      <c r="E116" s="1">
        <v>27</v>
      </c>
      <c r="F116" s="1">
        <v>12</v>
      </c>
      <c r="G116" s="1">
        <v>721</v>
      </c>
      <c r="H116" s="1">
        <v>63</v>
      </c>
      <c r="I116" s="1">
        <v>101</v>
      </c>
      <c r="J116" s="1">
        <v>3</v>
      </c>
      <c r="K116" s="1">
        <v>30</v>
      </c>
      <c r="L116" s="1">
        <v>12</v>
      </c>
      <c r="M116" s="1">
        <v>4</v>
      </c>
    </row>
    <row r="117" spans="1:13" ht="15.75" thickBot="1" x14ac:dyDescent="0.3">
      <c r="A117" s="2">
        <v>1791</v>
      </c>
      <c r="B117" s="1">
        <v>572</v>
      </c>
      <c r="C117" s="1">
        <v>0</v>
      </c>
      <c r="D117" s="1">
        <v>5</v>
      </c>
      <c r="E117" s="1">
        <v>15</v>
      </c>
      <c r="F117" s="1">
        <v>3</v>
      </c>
      <c r="G117" s="1">
        <v>423</v>
      </c>
      <c r="H117" s="1">
        <v>50</v>
      </c>
      <c r="I117" s="1">
        <v>63</v>
      </c>
      <c r="J117" s="1">
        <v>1</v>
      </c>
      <c r="K117" s="1">
        <v>9</v>
      </c>
      <c r="L117" s="1">
        <v>2</v>
      </c>
      <c r="M117" s="1">
        <v>1</v>
      </c>
    </row>
    <row r="118" spans="1:13" ht="15.75" thickBot="1" x14ac:dyDescent="0.3">
      <c r="A118" s="2">
        <v>1792</v>
      </c>
      <c r="B118" s="1">
        <v>798</v>
      </c>
      <c r="C118" s="1">
        <v>0</v>
      </c>
      <c r="D118" s="1">
        <v>14</v>
      </c>
      <c r="E118" s="1">
        <v>14</v>
      </c>
      <c r="F118" s="1">
        <v>0</v>
      </c>
      <c r="G118" s="1">
        <v>616</v>
      </c>
      <c r="H118" s="1">
        <v>59</v>
      </c>
      <c r="I118" s="1">
        <v>79</v>
      </c>
      <c r="J118" s="1">
        <v>0</v>
      </c>
      <c r="K118" s="1">
        <v>12</v>
      </c>
      <c r="L118" s="1">
        <v>4</v>
      </c>
      <c r="M118" s="1">
        <v>0</v>
      </c>
    </row>
    <row r="119" spans="1:13" ht="15.75" thickBot="1" x14ac:dyDescent="0.3">
      <c r="A119" s="2">
        <v>1793</v>
      </c>
      <c r="B119" s="1">
        <v>867</v>
      </c>
      <c r="C119" s="1">
        <v>0</v>
      </c>
      <c r="D119" s="1">
        <v>10</v>
      </c>
      <c r="E119" s="1">
        <v>15</v>
      </c>
      <c r="F119" s="1">
        <v>10</v>
      </c>
      <c r="G119" s="1">
        <v>694</v>
      </c>
      <c r="H119" s="1">
        <v>71</v>
      </c>
      <c r="I119" s="1">
        <v>33</v>
      </c>
      <c r="J119" s="1">
        <v>4</v>
      </c>
      <c r="K119" s="1">
        <v>19</v>
      </c>
      <c r="L119" s="1">
        <v>8</v>
      </c>
      <c r="M119" s="1">
        <v>3</v>
      </c>
    </row>
    <row r="120" spans="1:13" ht="15.75" thickBot="1" x14ac:dyDescent="0.3">
      <c r="A120" s="2">
        <v>1794</v>
      </c>
      <c r="B120" s="1">
        <v>809</v>
      </c>
      <c r="C120" s="1">
        <v>0</v>
      </c>
      <c r="D120" s="1">
        <v>4</v>
      </c>
      <c r="E120" s="1">
        <v>28</v>
      </c>
      <c r="F120" s="1">
        <v>9</v>
      </c>
      <c r="G120" s="1">
        <v>617</v>
      </c>
      <c r="H120" s="1">
        <v>59</v>
      </c>
      <c r="I120" s="1">
        <v>48</v>
      </c>
      <c r="J120" s="1">
        <v>11</v>
      </c>
      <c r="K120" s="1">
        <v>23</v>
      </c>
      <c r="L120" s="1">
        <v>8</v>
      </c>
      <c r="M120" s="1">
        <v>2</v>
      </c>
    </row>
    <row r="121" spans="1:13" ht="15.75" thickBot="1" x14ac:dyDescent="0.3">
      <c r="A121" s="2">
        <v>1795</v>
      </c>
      <c r="B121" s="1">
        <v>689</v>
      </c>
      <c r="C121" s="1">
        <v>0</v>
      </c>
      <c r="D121" s="1">
        <v>14</v>
      </c>
      <c r="E121" s="1">
        <v>24</v>
      </c>
      <c r="F121" s="1">
        <v>3</v>
      </c>
      <c r="G121" s="1">
        <v>561</v>
      </c>
      <c r="H121" s="1">
        <v>27</v>
      </c>
      <c r="I121" s="1">
        <v>20</v>
      </c>
      <c r="J121" s="1">
        <v>4</v>
      </c>
      <c r="K121" s="1">
        <v>24</v>
      </c>
      <c r="L121" s="1">
        <v>12</v>
      </c>
      <c r="M121" s="1">
        <v>0</v>
      </c>
    </row>
    <row r="122" spans="1:13" ht="15.75" thickBot="1" x14ac:dyDescent="0.3">
      <c r="A122" s="2">
        <v>1796</v>
      </c>
      <c r="B122" s="1">
        <v>813</v>
      </c>
      <c r="C122" s="1">
        <v>0</v>
      </c>
      <c r="D122" s="1">
        <v>18</v>
      </c>
      <c r="E122" s="1">
        <v>62</v>
      </c>
      <c r="F122" s="1">
        <v>4</v>
      </c>
      <c r="G122" s="1">
        <v>619</v>
      </c>
      <c r="H122" s="1">
        <v>39</v>
      </c>
      <c r="I122" s="1">
        <v>31</v>
      </c>
      <c r="J122" s="1">
        <v>1</v>
      </c>
      <c r="K122" s="1">
        <v>19</v>
      </c>
      <c r="L122" s="1">
        <v>19</v>
      </c>
      <c r="M122" s="1">
        <v>1</v>
      </c>
    </row>
    <row r="123" spans="1:13" ht="15.75" thickBot="1" x14ac:dyDescent="0.3">
      <c r="A123" s="2">
        <v>1797</v>
      </c>
      <c r="B123" s="1">
        <v>659</v>
      </c>
      <c r="C123" s="1">
        <v>0</v>
      </c>
      <c r="D123" s="1">
        <v>10</v>
      </c>
      <c r="E123" s="1">
        <v>23</v>
      </c>
      <c r="F123" s="1">
        <v>6</v>
      </c>
      <c r="G123" s="1">
        <v>538</v>
      </c>
      <c r="H123" s="1">
        <v>36</v>
      </c>
      <c r="I123" s="1">
        <v>3</v>
      </c>
      <c r="J123" s="1">
        <v>2</v>
      </c>
      <c r="K123" s="1">
        <v>25</v>
      </c>
      <c r="L123" s="1">
        <v>16</v>
      </c>
      <c r="M123" s="1">
        <v>0</v>
      </c>
    </row>
    <row r="124" spans="1:13" ht="15.75" thickBot="1" x14ac:dyDescent="0.3">
      <c r="A124" s="2">
        <v>1798</v>
      </c>
      <c r="B124" s="1">
        <v>748</v>
      </c>
      <c r="C124" s="1">
        <v>0</v>
      </c>
      <c r="D124" s="1">
        <v>14</v>
      </c>
      <c r="E124" s="1">
        <v>25</v>
      </c>
      <c r="F124" s="1">
        <v>15</v>
      </c>
      <c r="G124" s="1">
        <v>612</v>
      </c>
      <c r="H124" s="1">
        <v>29</v>
      </c>
      <c r="I124" s="1">
        <v>12</v>
      </c>
      <c r="J124" s="1">
        <v>1</v>
      </c>
      <c r="K124" s="1">
        <v>23</v>
      </c>
      <c r="L124" s="1">
        <v>16</v>
      </c>
      <c r="M124" s="1">
        <v>1</v>
      </c>
    </row>
    <row r="125" spans="1:13" ht="15.75" thickBot="1" x14ac:dyDescent="0.3">
      <c r="A125" s="2">
        <v>1799</v>
      </c>
      <c r="B125" s="1">
        <v>714</v>
      </c>
      <c r="C125" s="1">
        <v>0</v>
      </c>
      <c r="D125" s="1">
        <v>18</v>
      </c>
      <c r="E125" s="1">
        <v>30</v>
      </c>
      <c r="F125" s="1">
        <v>5</v>
      </c>
      <c r="G125" s="1">
        <v>565</v>
      </c>
      <c r="H125" s="1">
        <v>53</v>
      </c>
      <c r="I125" s="1">
        <v>5</v>
      </c>
      <c r="J125" s="1">
        <v>3</v>
      </c>
      <c r="K125" s="1">
        <v>18</v>
      </c>
      <c r="L125" s="1">
        <v>17</v>
      </c>
      <c r="M125" s="1">
        <v>0</v>
      </c>
    </row>
    <row r="126" spans="1:13" ht="15.75" thickBot="1" x14ac:dyDescent="0.3">
      <c r="A126" s="2">
        <v>1800</v>
      </c>
      <c r="B126" s="1">
        <v>1013</v>
      </c>
      <c r="C126" s="1">
        <v>0</v>
      </c>
      <c r="D126" s="1">
        <v>11</v>
      </c>
      <c r="E126" s="1">
        <v>34</v>
      </c>
      <c r="F126" s="1">
        <v>5</v>
      </c>
      <c r="G126" s="1">
        <v>898</v>
      </c>
      <c r="H126" s="1">
        <v>41</v>
      </c>
      <c r="I126" s="1">
        <v>7</v>
      </c>
      <c r="J126" s="1">
        <v>1</v>
      </c>
      <c r="K126" s="1">
        <v>13</v>
      </c>
      <c r="L126" s="1">
        <v>3</v>
      </c>
      <c r="M126" s="1">
        <v>0</v>
      </c>
    </row>
    <row r="127" spans="1:13" ht="15.75" thickBot="1" x14ac:dyDescent="0.3">
      <c r="A127" s="2">
        <v>1801</v>
      </c>
      <c r="B127" s="1">
        <v>1007</v>
      </c>
      <c r="C127" s="1">
        <v>0</v>
      </c>
      <c r="D127" s="1">
        <v>7</v>
      </c>
      <c r="E127" s="1">
        <v>25</v>
      </c>
      <c r="F127" s="1">
        <v>6</v>
      </c>
      <c r="G127" s="1">
        <v>892</v>
      </c>
      <c r="H127" s="1">
        <v>41</v>
      </c>
      <c r="I127" s="1">
        <v>5</v>
      </c>
      <c r="J127" s="1">
        <v>3</v>
      </c>
      <c r="K127" s="1">
        <v>19</v>
      </c>
      <c r="L127" s="1">
        <v>7</v>
      </c>
      <c r="M127" s="1">
        <v>2</v>
      </c>
    </row>
    <row r="128" spans="1:13" ht="15.75" thickBot="1" x14ac:dyDescent="0.3">
      <c r="A128" s="2">
        <v>1802</v>
      </c>
      <c r="B128" s="1">
        <v>1072</v>
      </c>
      <c r="C128" s="1">
        <v>2</v>
      </c>
      <c r="D128" s="1">
        <v>6</v>
      </c>
      <c r="E128" s="1">
        <v>19</v>
      </c>
      <c r="F128" s="1">
        <v>5</v>
      </c>
      <c r="G128" s="1">
        <v>934</v>
      </c>
      <c r="H128" s="1">
        <v>79</v>
      </c>
      <c r="I128" s="1">
        <v>5</v>
      </c>
      <c r="J128" s="1">
        <v>2</v>
      </c>
      <c r="K128" s="1">
        <v>15</v>
      </c>
      <c r="L128" s="1">
        <v>4</v>
      </c>
      <c r="M128" s="1">
        <v>1</v>
      </c>
    </row>
    <row r="129" spans="1:13" ht="15.75" thickBot="1" x14ac:dyDescent="0.3">
      <c r="A129" s="2">
        <v>1803</v>
      </c>
      <c r="B129" s="1">
        <v>892</v>
      </c>
      <c r="C129" s="1">
        <v>0</v>
      </c>
      <c r="D129" s="1">
        <v>10</v>
      </c>
      <c r="E129" s="1">
        <v>25</v>
      </c>
      <c r="F129" s="1">
        <v>11</v>
      </c>
      <c r="G129" s="1">
        <v>772</v>
      </c>
      <c r="H129" s="1">
        <v>26</v>
      </c>
      <c r="I129" s="1">
        <v>2</v>
      </c>
      <c r="J129" s="1">
        <v>12</v>
      </c>
      <c r="K129" s="1">
        <v>18</v>
      </c>
      <c r="L129" s="1">
        <v>13</v>
      </c>
      <c r="M129" s="1">
        <v>3</v>
      </c>
    </row>
    <row r="130" spans="1:13" ht="15.75" thickBot="1" x14ac:dyDescent="0.3">
      <c r="A130" s="2">
        <v>1804</v>
      </c>
      <c r="B130" s="1">
        <v>719</v>
      </c>
      <c r="C130" s="1">
        <v>0</v>
      </c>
      <c r="D130" s="1">
        <v>11</v>
      </c>
      <c r="E130" s="1">
        <v>9</v>
      </c>
      <c r="F130" s="1">
        <v>6</v>
      </c>
      <c r="G130" s="1">
        <v>615</v>
      </c>
      <c r="H130" s="1">
        <v>27</v>
      </c>
      <c r="I130" s="1">
        <v>2</v>
      </c>
      <c r="J130" s="1">
        <v>6</v>
      </c>
      <c r="K130" s="1">
        <v>28</v>
      </c>
      <c r="L130" s="1">
        <v>14</v>
      </c>
      <c r="M130" s="1">
        <v>1</v>
      </c>
    </row>
    <row r="131" spans="1:13" ht="15.75" thickBot="1" x14ac:dyDescent="0.3">
      <c r="A131" s="2">
        <v>1805</v>
      </c>
      <c r="B131" s="1">
        <v>871</v>
      </c>
      <c r="C131" s="1">
        <v>0</v>
      </c>
      <c r="D131" s="1">
        <v>9</v>
      </c>
      <c r="E131" s="1">
        <v>27</v>
      </c>
      <c r="F131" s="1">
        <v>12</v>
      </c>
      <c r="G131" s="1">
        <v>748</v>
      </c>
      <c r="H131" s="1">
        <v>30</v>
      </c>
      <c r="I131" s="1">
        <v>3</v>
      </c>
      <c r="J131" s="1">
        <v>2</v>
      </c>
      <c r="K131" s="1">
        <v>21</v>
      </c>
      <c r="L131" s="1">
        <v>18</v>
      </c>
      <c r="M131" s="1">
        <v>1</v>
      </c>
    </row>
    <row r="132" spans="1:13" ht="15.75" thickBot="1" x14ac:dyDescent="0.3">
      <c r="A132" s="2">
        <v>1806</v>
      </c>
      <c r="B132" s="1">
        <v>756</v>
      </c>
      <c r="C132" s="1">
        <v>0</v>
      </c>
      <c r="D132" s="1">
        <v>4</v>
      </c>
      <c r="E132" s="1">
        <v>18</v>
      </c>
      <c r="F132" s="1">
        <v>6</v>
      </c>
      <c r="G132" s="1">
        <v>659</v>
      </c>
      <c r="H132" s="1">
        <v>29</v>
      </c>
      <c r="I132" s="1">
        <v>0</v>
      </c>
      <c r="J132" s="1">
        <v>1</v>
      </c>
      <c r="K132" s="1">
        <v>24</v>
      </c>
      <c r="L132" s="1">
        <v>15</v>
      </c>
      <c r="M132" s="1">
        <v>0</v>
      </c>
    </row>
    <row r="133" spans="1:13" ht="15.75" thickBot="1" x14ac:dyDescent="0.3">
      <c r="A133" s="2">
        <v>1807</v>
      </c>
      <c r="B133" s="1">
        <v>868</v>
      </c>
      <c r="C133" s="1">
        <v>0</v>
      </c>
      <c r="D133" s="1">
        <v>16</v>
      </c>
      <c r="E133" s="1">
        <v>22</v>
      </c>
      <c r="F133" s="1">
        <v>7</v>
      </c>
      <c r="G133" s="1">
        <v>766</v>
      </c>
      <c r="H133" s="1">
        <v>17</v>
      </c>
      <c r="I133" s="1">
        <v>0</v>
      </c>
      <c r="J133" s="1">
        <v>7</v>
      </c>
      <c r="K133" s="1">
        <v>19</v>
      </c>
      <c r="L133" s="1">
        <v>13</v>
      </c>
      <c r="M133" s="1">
        <v>1</v>
      </c>
    </row>
    <row r="134" spans="1:13" ht="15.75" thickBot="1" x14ac:dyDescent="0.3">
      <c r="A134" s="2">
        <v>1808</v>
      </c>
      <c r="B134" s="1">
        <v>913</v>
      </c>
      <c r="C134" s="1">
        <v>0</v>
      </c>
      <c r="D134" s="1">
        <v>10</v>
      </c>
      <c r="E134" s="1">
        <v>10</v>
      </c>
      <c r="F134" s="1">
        <v>7</v>
      </c>
      <c r="G134" s="1">
        <v>825</v>
      </c>
      <c r="H134" s="1">
        <v>32</v>
      </c>
      <c r="I134" s="1">
        <v>1</v>
      </c>
      <c r="J134" s="1">
        <v>4</v>
      </c>
      <c r="K134" s="1">
        <v>12</v>
      </c>
      <c r="L134" s="1">
        <v>12</v>
      </c>
      <c r="M134" s="1">
        <v>0</v>
      </c>
    </row>
    <row r="135" spans="1:13" ht="15.75" thickBot="1" x14ac:dyDescent="0.3">
      <c r="A135" s="2">
        <v>1809</v>
      </c>
      <c r="B135" s="1">
        <v>1103</v>
      </c>
      <c r="C135" s="1">
        <v>0</v>
      </c>
      <c r="D135" s="1">
        <v>11</v>
      </c>
      <c r="E135" s="1">
        <v>21</v>
      </c>
      <c r="F135" s="1">
        <v>13</v>
      </c>
      <c r="G135" s="1">
        <v>978</v>
      </c>
      <c r="H135" s="1">
        <v>29</v>
      </c>
      <c r="I135" s="1">
        <v>12</v>
      </c>
      <c r="J135" s="1">
        <v>10</v>
      </c>
      <c r="K135" s="1">
        <v>10</v>
      </c>
      <c r="L135" s="1">
        <v>18</v>
      </c>
      <c r="M135" s="1">
        <v>1</v>
      </c>
    </row>
    <row r="136" spans="1:13" ht="15.75" thickBot="1" x14ac:dyDescent="0.3">
      <c r="A136" s="2">
        <v>1810</v>
      </c>
      <c r="B136" s="1">
        <v>1107</v>
      </c>
      <c r="C136" s="1">
        <v>0</v>
      </c>
      <c r="D136" s="1">
        <v>7</v>
      </c>
      <c r="E136" s="1">
        <v>18</v>
      </c>
      <c r="F136" s="1">
        <v>13</v>
      </c>
      <c r="G136" s="1">
        <v>922</v>
      </c>
      <c r="H136" s="1">
        <v>55</v>
      </c>
      <c r="I136" s="1">
        <v>20</v>
      </c>
      <c r="J136" s="1">
        <v>8</v>
      </c>
      <c r="K136" s="1">
        <v>12</v>
      </c>
      <c r="L136" s="1">
        <v>51</v>
      </c>
      <c r="M136" s="1">
        <v>1</v>
      </c>
    </row>
    <row r="137" spans="1:13" ht="15.75" thickBot="1" x14ac:dyDescent="0.3">
      <c r="A137" s="2">
        <v>1811</v>
      </c>
      <c r="B137" s="1">
        <v>1097</v>
      </c>
      <c r="C137" s="1">
        <v>0</v>
      </c>
      <c r="D137" s="1">
        <v>17</v>
      </c>
      <c r="E137" s="1">
        <v>29</v>
      </c>
      <c r="F137" s="1">
        <v>12</v>
      </c>
      <c r="G137" s="1">
        <v>910</v>
      </c>
      <c r="H137" s="1">
        <v>50</v>
      </c>
      <c r="I137" s="1">
        <v>22</v>
      </c>
      <c r="J137" s="1">
        <v>13</v>
      </c>
      <c r="K137" s="1">
        <v>22</v>
      </c>
      <c r="L137" s="1">
        <v>20</v>
      </c>
      <c r="M137" s="1">
        <v>2</v>
      </c>
    </row>
    <row r="138" spans="1:13" ht="15.75" thickBot="1" x14ac:dyDescent="0.3">
      <c r="A138" s="2">
        <v>1812</v>
      </c>
      <c r="B138" s="1">
        <v>1234</v>
      </c>
      <c r="C138" s="1">
        <v>0</v>
      </c>
      <c r="D138" s="1">
        <v>10</v>
      </c>
      <c r="E138" s="1">
        <v>54</v>
      </c>
      <c r="F138" s="1">
        <v>9</v>
      </c>
      <c r="G138" s="1">
        <v>1052</v>
      </c>
      <c r="H138" s="1">
        <v>57</v>
      </c>
      <c r="I138" s="1">
        <v>3</v>
      </c>
      <c r="J138" s="1">
        <v>5</v>
      </c>
      <c r="K138" s="1">
        <v>22</v>
      </c>
      <c r="L138" s="1">
        <v>22</v>
      </c>
      <c r="M138" s="1">
        <v>0</v>
      </c>
    </row>
    <row r="139" spans="1:13" ht="15.75" thickBot="1" x14ac:dyDescent="0.3">
      <c r="A139" s="2">
        <v>1813</v>
      </c>
      <c r="B139" s="1">
        <v>1277</v>
      </c>
      <c r="C139" s="1">
        <v>1</v>
      </c>
      <c r="D139" s="1">
        <v>11</v>
      </c>
      <c r="E139" s="1">
        <v>81</v>
      </c>
      <c r="F139" s="1">
        <v>7</v>
      </c>
      <c r="G139" s="1">
        <v>1061</v>
      </c>
      <c r="H139" s="1">
        <v>60</v>
      </c>
      <c r="I139" s="1">
        <v>0</v>
      </c>
      <c r="J139" s="1">
        <v>5</v>
      </c>
      <c r="K139" s="1">
        <v>38</v>
      </c>
      <c r="L139" s="1">
        <v>10</v>
      </c>
      <c r="M139" s="1">
        <v>3</v>
      </c>
    </row>
    <row r="140" spans="1:13" ht="15.75" thickBot="1" x14ac:dyDescent="0.3">
      <c r="A140" s="2">
        <v>1814</v>
      </c>
      <c r="B140" s="1">
        <v>1333</v>
      </c>
      <c r="C140" s="1">
        <v>0</v>
      </c>
      <c r="D140" s="1">
        <v>21</v>
      </c>
      <c r="E140" s="1">
        <v>79</v>
      </c>
      <c r="F140" s="1">
        <v>11</v>
      </c>
      <c r="G140" s="1">
        <v>1101</v>
      </c>
      <c r="H140" s="1">
        <v>55</v>
      </c>
      <c r="I140" s="1">
        <v>11</v>
      </c>
      <c r="J140" s="1">
        <v>12</v>
      </c>
      <c r="K140" s="1">
        <v>17</v>
      </c>
      <c r="L140" s="1">
        <v>24</v>
      </c>
      <c r="M140" s="1">
        <v>2</v>
      </c>
    </row>
    <row r="141" spans="1:13" ht="15.75" thickBot="1" x14ac:dyDescent="0.3">
      <c r="A141" s="2">
        <v>1815</v>
      </c>
      <c r="B141" s="1">
        <v>1405</v>
      </c>
      <c r="C141" s="1">
        <v>0</v>
      </c>
      <c r="D141" s="1">
        <v>15</v>
      </c>
      <c r="E141" s="1">
        <v>60</v>
      </c>
      <c r="F141" s="1">
        <v>11</v>
      </c>
      <c r="G141" s="1">
        <v>1193</v>
      </c>
      <c r="H141" s="1">
        <v>65</v>
      </c>
      <c r="I141" s="1">
        <v>5</v>
      </c>
      <c r="J141" s="1">
        <v>10</v>
      </c>
      <c r="K141" s="1">
        <v>18</v>
      </c>
      <c r="L141" s="1">
        <v>25</v>
      </c>
      <c r="M141" s="1">
        <v>3</v>
      </c>
    </row>
    <row r="142" spans="1:13" ht="15.75" thickBot="1" x14ac:dyDescent="0.3">
      <c r="A142" s="2">
        <v>1816</v>
      </c>
      <c r="B142" s="1">
        <v>1621</v>
      </c>
      <c r="C142" s="1">
        <v>0</v>
      </c>
      <c r="D142" s="1">
        <v>16</v>
      </c>
      <c r="E142" s="1">
        <v>43</v>
      </c>
      <c r="F142" s="1">
        <v>7</v>
      </c>
      <c r="G142" s="1">
        <v>1393</v>
      </c>
      <c r="H142" s="1">
        <v>110</v>
      </c>
      <c r="I142" s="1">
        <v>0</v>
      </c>
      <c r="J142" s="1">
        <v>6</v>
      </c>
      <c r="K142" s="1">
        <v>35</v>
      </c>
      <c r="L142" s="1">
        <v>11</v>
      </c>
      <c r="M142" s="1">
        <v>0</v>
      </c>
    </row>
    <row r="143" spans="1:13" ht="15.75" thickBot="1" x14ac:dyDescent="0.3">
      <c r="A143" s="2">
        <v>1817</v>
      </c>
      <c r="B143" s="1">
        <v>1996</v>
      </c>
      <c r="C143" s="1">
        <v>0</v>
      </c>
      <c r="D143" s="1">
        <v>18</v>
      </c>
      <c r="E143" s="1">
        <v>46</v>
      </c>
      <c r="F143" s="1">
        <v>9</v>
      </c>
      <c r="G143" s="1">
        <v>1735</v>
      </c>
      <c r="H143" s="1">
        <v>106</v>
      </c>
      <c r="I143" s="1">
        <v>2</v>
      </c>
      <c r="J143" s="1">
        <v>11</v>
      </c>
      <c r="K143" s="1">
        <v>59</v>
      </c>
      <c r="L143" s="1">
        <v>10</v>
      </c>
      <c r="M143" s="1">
        <v>0</v>
      </c>
    </row>
    <row r="144" spans="1:13" ht="15.75" thickBot="1" x14ac:dyDescent="0.3">
      <c r="A144" s="2">
        <v>1818</v>
      </c>
      <c r="B144" s="1">
        <v>2030</v>
      </c>
      <c r="C144" s="1">
        <v>1</v>
      </c>
      <c r="D144" s="1">
        <v>16</v>
      </c>
      <c r="E144" s="1">
        <v>180</v>
      </c>
      <c r="F144" s="1">
        <v>5</v>
      </c>
      <c r="G144" s="1">
        <v>1645</v>
      </c>
      <c r="H144" s="1">
        <v>73</v>
      </c>
      <c r="I144" s="1">
        <v>8</v>
      </c>
      <c r="J144" s="1">
        <v>6</v>
      </c>
      <c r="K144" s="1">
        <v>84</v>
      </c>
      <c r="L144" s="1">
        <v>10</v>
      </c>
      <c r="M144" s="1">
        <v>2</v>
      </c>
    </row>
    <row r="145" spans="1:13" ht="15.75" thickBot="1" x14ac:dyDescent="0.3">
      <c r="A145" s="2">
        <v>1819</v>
      </c>
      <c r="B145" s="1">
        <v>2043</v>
      </c>
      <c r="C145" s="1">
        <v>0</v>
      </c>
      <c r="D145" s="1">
        <v>11</v>
      </c>
      <c r="E145" s="1">
        <v>174</v>
      </c>
      <c r="F145" s="1">
        <v>15</v>
      </c>
      <c r="G145" s="1">
        <v>1697</v>
      </c>
      <c r="H145" s="1">
        <v>60</v>
      </c>
      <c r="I145" s="1">
        <v>2</v>
      </c>
      <c r="J145" s="1">
        <v>14</v>
      </c>
      <c r="K145" s="1">
        <v>47</v>
      </c>
      <c r="L145" s="1">
        <v>16</v>
      </c>
      <c r="M145" s="1">
        <v>7</v>
      </c>
    </row>
    <row r="146" spans="1:13" ht="15.75" thickBot="1" x14ac:dyDescent="0.3">
      <c r="A146" s="2">
        <v>1820</v>
      </c>
      <c r="B146" s="1">
        <v>2096</v>
      </c>
      <c r="C146" s="1">
        <v>1</v>
      </c>
      <c r="D146" s="1">
        <v>13</v>
      </c>
      <c r="E146" s="1">
        <v>253</v>
      </c>
      <c r="F146" s="1">
        <v>10</v>
      </c>
      <c r="G146" s="1">
        <v>1613</v>
      </c>
      <c r="H146" s="1">
        <v>101</v>
      </c>
      <c r="I146" s="1">
        <v>29</v>
      </c>
      <c r="J146" s="1">
        <v>11</v>
      </c>
      <c r="K146" s="1">
        <v>50</v>
      </c>
      <c r="L146" s="1">
        <v>13</v>
      </c>
      <c r="M146" s="1">
        <v>2</v>
      </c>
    </row>
    <row r="147" spans="1:13" ht="15.75" thickBot="1" x14ac:dyDescent="0.3">
      <c r="A147" s="2">
        <v>1821</v>
      </c>
      <c r="B147" s="1">
        <v>1794</v>
      </c>
      <c r="C147" s="1">
        <v>0</v>
      </c>
      <c r="D147" s="1">
        <v>15</v>
      </c>
      <c r="E147" s="1">
        <v>133</v>
      </c>
      <c r="F147" s="1">
        <v>10</v>
      </c>
      <c r="G147" s="1">
        <v>1486</v>
      </c>
      <c r="H147" s="1">
        <v>68</v>
      </c>
      <c r="I147" s="1">
        <v>26</v>
      </c>
      <c r="J147" s="1">
        <v>10</v>
      </c>
      <c r="K147" s="1">
        <v>21</v>
      </c>
      <c r="L147" s="1">
        <v>25</v>
      </c>
      <c r="M147" s="1">
        <v>0</v>
      </c>
    </row>
    <row r="148" spans="1:13" ht="15.75" thickBot="1" x14ac:dyDescent="0.3">
      <c r="A148" s="2">
        <v>1822</v>
      </c>
      <c r="B148" s="1">
        <v>1860</v>
      </c>
      <c r="C148" s="1">
        <v>0</v>
      </c>
      <c r="D148" s="1">
        <v>22</v>
      </c>
      <c r="E148" s="1">
        <v>9</v>
      </c>
      <c r="F148" s="1">
        <v>18</v>
      </c>
      <c r="G148" s="1">
        <v>1662</v>
      </c>
      <c r="H148" s="1">
        <v>65</v>
      </c>
      <c r="I148" s="1">
        <v>3</v>
      </c>
      <c r="J148" s="1">
        <v>14</v>
      </c>
      <c r="K148" s="1">
        <v>38</v>
      </c>
      <c r="L148" s="1">
        <v>28</v>
      </c>
      <c r="M148" s="1">
        <v>1</v>
      </c>
    </row>
    <row r="149" spans="1:13" ht="15.75" thickBot="1" x14ac:dyDescent="0.3">
      <c r="A149" s="2">
        <v>1823</v>
      </c>
      <c r="B149" s="1">
        <v>1827</v>
      </c>
      <c r="C149" s="1">
        <v>1</v>
      </c>
      <c r="D149" s="1">
        <v>28</v>
      </c>
      <c r="E149" s="1">
        <v>11</v>
      </c>
      <c r="F149" s="1">
        <v>14</v>
      </c>
      <c r="G149" s="1">
        <v>1664</v>
      </c>
      <c r="H149" s="1">
        <v>37</v>
      </c>
      <c r="I149" s="1">
        <v>5</v>
      </c>
      <c r="J149" s="1">
        <v>14</v>
      </c>
      <c r="K149" s="1">
        <v>12</v>
      </c>
      <c r="L149" s="1">
        <v>39</v>
      </c>
      <c r="M149" s="1">
        <v>2</v>
      </c>
    </row>
    <row r="150" spans="1:13" ht="15.75" thickBot="1" x14ac:dyDescent="0.3">
      <c r="A150" s="2">
        <v>1824</v>
      </c>
      <c r="B150" s="1">
        <v>1998</v>
      </c>
      <c r="C150" s="1">
        <v>0</v>
      </c>
      <c r="D150" s="1">
        <v>15</v>
      </c>
      <c r="E150" s="1">
        <v>20</v>
      </c>
      <c r="F150" s="1">
        <v>4</v>
      </c>
      <c r="G150" s="1">
        <v>1863</v>
      </c>
      <c r="H150" s="1">
        <v>35</v>
      </c>
      <c r="I150" s="1">
        <v>4</v>
      </c>
      <c r="J150" s="1">
        <v>8</v>
      </c>
      <c r="K150" s="1">
        <v>31</v>
      </c>
      <c r="L150" s="1">
        <v>13</v>
      </c>
      <c r="M150" s="1">
        <v>5</v>
      </c>
    </row>
    <row r="151" spans="1:13" ht="15.75" thickBot="1" x14ac:dyDescent="0.3">
      <c r="A151" s="2">
        <v>1825</v>
      </c>
      <c r="B151" s="1">
        <v>2174</v>
      </c>
      <c r="C151" s="1">
        <v>0</v>
      </c>
      <c r="D151" s="1">
        <v>29</v>
      </c>
      <c r="E151" s="1">
        <v>22</v>
      </c>
      <c r="F151" s="1">
        <v>18</v>
      </c>
      <c r="G151" s="1">
        <v>1982</v>
      </c>
      <c r="H151" s="1">
        <v>50</v>
      </c>
      <c r="I151" s="1">
        <v>8</v>
      </c>
      <c r="J151" s="1">
        <v>9</v>
      </c>
      <c r="K151" s="1">
        <v>27</v>
      </c>
      <c r="L151" s="1">
        <v>28</v>
      </c>
      <c r="M151" s="1">
        <v>1</v>
      </c>
    </row>
    <row r="152" spans="1:13" ht="15.75" thickBot="1" x14ac:dyDescent="0.3">
      <c r="A152" s="2">
        <v>1826</v>
      </c>
      <c r="B152" s="1">
        <v>2590</v>
      </c>
      <c r="C152" s="1">
        <v>3</v>
      </c>
      <c r="D152" s="1">
        <v>45</v>
      </c>
      <c r="E152" s="1">
        <v>14</v>
      </c>
      <c r="F152" s="1">
        <v>18</v>
      </c>
      <c r="G152" s="1">
        <v>2344</v>
      </c>
      <c r="H152" s="1">
        <v>99</v>
      </c>
      <c r="I152" s="1">
        <v>2</v>
      </c>
      <c r="J152" s="1">
        <v>9</v>
      </c>
      <c r="K152" s="1">
        <v>21</v>
      </c>
      <c r="L152" s="1">
        <v>33</v>
      </c>
      <c r="M152" s="1">
        <v>2</v>
      </c>
    </row>
    <row r="153" spans="1:13" ht="15.75" thickBot="1" x14ac:dyDescent="0.3">
      <c r="A153" s="2">
        <v>1827</v>
      </c>
      <c r="B153" s="1">
        <v>2672</v>
      </c>
      <c r="C153" s="1">
        <v>0</v>
      </c>
      <c r="D153" s="1">
        <v>24</v>
      </c>
      <c r="E153" s="1">
        <v>25</v>
      </c>
      <c r="F153" s="1">
        <v>11</v>
      </c>
      <c r="G153" s="1">
        <v>2471</v>
      </c>
      <c r="H153" s="1">
        <v>86</v>
      </c>
      <c r="I153" s="1">
        <v>1</v>
      </c>
      <c r="J153" s="1">
        <v>7</v>
      </c>
      <c r="K153" s="1">
        <v>25</v>
      </c>
      <c r="L153" s="1">
        <v>22</v>
      </c>
      <c r="M153" s="1">
        <v>0</v>
      </c>
    </row>
    <row r="154" spans="1:13" ht="15.75" thickBot="1" x14ac:dyDescent="0.3">
      <c r="A154" s="2">
        <v>1828</v>
      </c>
      <c r="B154" s="1">
        <v>2738</v>
      </c>
      <c r="C154" s="1">
        <v>1</v>
      </c>
      <c r="D154" s="1">
        <v>33</v>
      </c>
      <c r="E154" s="1">
        <v>39</v>
      </c>
      <c r="F154" s="1">
        <v>30</v>
      </c>
      <c r="G154" s="1">
        <v>2478</v>
      </c>
      <c r="H154" s="1">
        <v>83</v>
      </c>
      <c r="I154" s="1">
        <v>9</v>
      </c>
      <c r="J154" s="1">
        <v>21</v>
      </c>
      <c r="K154" s="1">
        <v>16</v>
      </c>
      <c r="L154" s="1">
        <v>27</v>
      </c>
      <c r="M154" s="1">
        <v>1</v>
      </c>
    </row>
    <row r="155" spans="1:13" ht="15.75" thickBot="1" x14ac:dyDescent="0.3">
      <c r="A155" s="2">
        <v>1829</v>
      </c>
      <c r="B155" s="1">
        <v>2494</v>
      </c>
      <c r="C155" s="1">
        <v>0</v>
      </c>
      <c r="D155" s="1">
        <v>26</v>
      </c>
      <c r="E155" s="1">
        <v>22</v>
      </c>
      <c r="F155" s="1">
        <v>16</v>
      </c>
      <c r="G155" s="1">
        <v>2306</v>
      </c>
      <c r="H155" s="1">
        <v>50</v>
      </c>
      <c r="I155" s="1">
        <v>1</v>
      </c>
      <c r="J155" s="1">
        <v>9</v>
      </c>
      <c r="K155" s="1">
        <v>31</v>
      </c>
      <c r="L155" s="1">
        <v>31</v>
      </c>
      <c r="M155" s="1">
        <v>2</v>
      </c>
    </row>
    <row r="156" spans="1:13" ht="15.75" thickBot="1" x14ac:dyDescent="0.3">
      <c r="A156" s="2">
        <v>1830</v>
      </c>
      <c r="B156" s="1">
        <v>2473</v>
      </c>
      <c r="C156" s="1">
        <v>0</v>
      </c>
      <c r="D156" s="1">
        <v>17</v>
      </c>
      <c r="E156" s="1">
        <v>23</v>
      </c>
      <c r="F156" s="1">
        <v>19</v>
      </c>
      <c r="G156" s="1">
        <v>2311</v>
      </c>
      <c r="H156" s="1">
        <v>31</v>
      </c>
      <c r="I156" s="1">
        <v>4</v>
      </c>
      <c r="J156" s="1">
        <v>13</v>
      </c>
      <c r="K156" s="1">
        <v>32</v>
      </c>
      <c r="L156" s="1">
        <v>21</v>
      </c>
      <c r="M156" s="1">
        <v>2</v>
      </c>
    </row>
    <row r="157" spans="1:13" ht="15.75" thickBot="1" x14ac:dyDescent="0.3">
      <c r="A157" s="2">
        <v>1831</v>
      </c>
      <c r="B157" s="1">
        <v>2575</v>
      </c>
      <c r="C157" s="1">
        <v>2</v>
      </c>
      <c r="D157" s="1">
        <v>20</v>
      </c>
      <c r="E157" s="1">
        <v>23</v>
      </c>
      <c r="F157" s="1">
        <v>21</v>
      </c>
      <c r="G157" s="1">
        <v>2381</v>
      </c>
      <c r="H157" s="1">
        <v>45</v>
      </c>
      <c r="I157" s="1">
        <v>5</v>
      </c>
      <c r="J157" s="1">
        <v>16</v>
      </c>
      <c r="K157" s="1">
        <v>23</v>
      </c>
      <c r="L157" s="1">
        <v>37</v>
      </c>
      <c r="M157" s="1">
        <v>2</v>
      </c>
    </row>
    <row r="158" spans="1:13" ht="15.75" thickBot="1" x14ac:dyDescent="0.3">
      <c r="A158" s="2">
        <v>1832</v>
      </c>
      <c r="B158" s="1">
        <v>2845</v>
      </c>
      <c r="C158" s="1">
        <v>2</v>
      </c>
      <c r="D158" s="1">
        <v>32</v>
      </c>
      <c r="E158" s="1">
        <v>24</v>
      </c>
      <c r="F158" s="1">
        <v>9</v>
      </c>
      <c r="G158" s="1">
        <v>2662</v>
      </c>
      <c r="H158" s="1">
        <v>43</v>
      </c>
      <c r="I158" s="1">
        <v>0</v>
      </c>
      <c r="J158" s="1">
        <v>16</v>
      </c>
      <c r="K158" s="1">
        <v>47</v>
      </c>
      <c r="L158" s="1">
        <v>10</v>
      </c>
      <c r="M158" s="1">
        <v>0</v>
      </c>
    </row>
    <row r="159" spans="1:13" ht="15.75" thickBot="1" x14ac:dyDescent="0.3">
      <c r="A159" s="2">
        <v>1833</v>
      </c>
      <c r="B159" s="1">
        <v>1777</v>
      </c>
      <c r="C159" s="1">
        <v>3</v>
      </c>
      <c r="D159" s="1">
        <v>20</v>
      </c>
      <c r="E159" s="1">
        <v>36</v>
      </c>
      <c r="F159" s="1">
        <v>22</v>
      </c>
      <c r="G159" s="1">
        <v>1562</v>
      </c>
      <c r="H159" s="1">
        <v>48</v>
      </c>
      <c r="I159" s="1">
        <v>1</v>
      </c>
      <c r="J159" s="1">
        <v>23</v>
      </c>
      <c r="K159" s="1">
        <v>46</v>
      </c>
      <c r="L159" s="1">
        <v>15</v>
      </c>
      <c r="M159" s="1">
        <v>1</v>
      </c>
    </row>
    <row r="160" spans="1:13" ht="15.75" thickBot="1" x14ac:dyDescent="0.3">
      <c r="A160" s="2">
        <v>1834</v>
      </c>
      <c r="B160" s="1">
        <v>2122</v>
      </c>
      <c r="C160" s="1">
        <v>3</v>
      </c>
      <c r="D160" s="1">
        <v>31</v>
      </c>
      <c r="E160" s="1">
        <v>39</v>
      </c>
      <c r="F160" s="1">
        <v>23</v>
      </c>
      <c r="G160" s="1">
        <v>1890</v>
      </c>
      <c r="H160" s="1">
        <v>43</v>
      </c>
      <c r="I160" s="1">
        <v>1</v>
      </c>
      <c r="J160" s="1">
        <v>24</v>
      </c>
      <c r="K160" s="1">
        <v>36</v>
      </c>
      <c r="L160" s="1">
        <v>31</v>
      </c>
      <c r="M160" s="1">
        <v>1</v>
      </c>
    </row>
    <row r="161" spans="1:13" ht="15.75" thickBot="1" x14ac:dyDescent="0.3">
      <c r="A161" s="2">
        <v>1835</v>
      </c>
      <c r="B161" s="1">
        <v>2718</v>
      </c>
      <c r="C161" s="1">
        <v>0</v>
      </c>
      <c r="D161" s="1">
        <v>36</v>
      </c>
      <c r="E161" s="1">
        <v>111</v>
      </c>
      <c r="F161" s="1">
        <v>30</v>
      </c>
      <c r="G161" s="1">
        <v>2320</v>
      </c>
      <c r="H161" s="1">
        <v>31</v>
      </c>
      <c r="I161" s="1">
        <v>3</v>
      </c>
      <c r="J161" s="1">
        <v>37</v>
      </c>
      <c r="K161" s="1">
        <v>54</v>
      </c>
      <c r="L161" s="1">
        <v>95</v>
      </c>
      <c r="M161" s="1">
        <v>1</v>
      </c>
    </row>
    <row r="162" spans="1:13" ht="15.75" thickBot="1" x14ac:dyDescent="0.3">
      <c r="A162" s="2">
        <v>1836</v>
      </c>
      <c r="B162" s="1">
        <v>2966</v>
      </c>
      <c r="C162" s="1">
        <v>0</v>
      </c>
      <c r="D162" s="1">
        <v>25</v>
      </c>
      <c r="E162" s="1">
        <v>106</v>
      </c>
      <c r="F162" s="1">
        <v>42</v>
      </c>
      <c r="G162" s="1">
        <v>2557</v>
      </c>
      <c r="H162" s="1">
        <v>60</v>
      </c>
      <c r="I162" s="1">
        <v>10</v>
      </c>
      <c r="J162" s="1">
        <v>36</v>
      </c>
      <c r="K162" s="1">
        <v>67</v>
      </c>
      <c r="L162" s="1">
        <v>59</v>
      </c>
      <c r="M162" s="1">
        <v>4</v>
      </c>
    </row>
    <row r="163" spans="1:13" ht="15.75" thickBot="1" x14ac:dyDescent="0.3">
      <c r="A163" s="2">
        <v>1837</v>
      </c>
      <c r="B163" s="1">
        <v>3056</v>
      </c>
      <c r="C163" s="1">
        <v>1</v>
      </c>
      <c r="D163" s="1">
        <v>26</v>
      </c>
      <c r="E163" s="1">
        <v>84</v>
      </c>
      <c r="F163" s="1">
        <v>58</v>
      </c>
      <c r="G163" s="1">
        <v>2638</v>
      </c>
      <c r="H163" s="1">
        <v>45</v>
      </c>
      <c r="I163" s="1">
        <v>11</v>
      </c>
      <c r="J163" s="1">
        <v>37</v>
      </c>
      <c r="K163" s="1">
        <v>115</v>
      </c>
      <c r="L163" s="1">
        <v>41</v>
      </c>
      <c r="M163" s="1">
        <v>0</v>
      </c>
    </row>
    <row r="164" spans="1:13" ht="15.75" thickBot="1" x14ac:dyDescent="0.3">
      <c r="A164" s="2">
        <v>1838</v>
      </c>
      <c r="B164" s="1">
        <v>3283</v>
      </c>
      <c r="C164" s="1">
        <v>0</v>
      </c>
      <c r="D164" s="1">
        <v>42</v>
      </c>
      <c r="E164" s="1">
        <v>90</v>
      </c>
      <c r="F164" s="1">
        <v>51</v>
      </c>
      <c r="G164" s="1">
        <v>2812</v>
      </c>
      <c r="H164" s="1">
        <v>32</v>
      </c>
      <c r="I164" s="1">
        <v>4</v>
      </c>
      <c r="J164" s="1">
        <v>59</v>
      </c>
      <c r="K164" s="1">
        <v>127</v>
      </c>
      <c r="L164" s="1">
        <v>61</v>
      </c>
      <c r="M164" s="1">
        <v>5</v>
      </c>
    </row>
    <row r="165" spans="1:13" ht="15.75" thickBot="1" x14ac:dyDescent="0.3">
      <c r="A165" s="2">
        <v>1839</v>
      </c>
      <c r="B165" s="1">
        <v>3326</v>
      </c>
      <c r="C165" s="1">
        <v>5</v>
      </c>
      <c r="D165" s="1">
        <v>30</v>
      </c>
      <c r="E165" s="1">
        <v>59</v>
      </c>
      <c r="F165" s="1">
        <v>61</v>
      </c>
      <c r="G165" s="1">
        <v>2866</v>
      </c>
      <c r="H165" s="1">
        <v>31</v>
      </c>
      <c r="I165" s="1">
        <v>4</v>
      </c>
      <c r="J165" s="1">
        <v>105</v>
      </c>
      <c r="K165" s="1">
        <v>107</v>
      </c>
      <c r="L165" s="1">
        <v>57</v>
      </c>
      <c r="M165" s="1">
        <v>1</v>
      </c>
    </row>
    <row r="166" spans="1:13" ht="15.75" thickBot="1" x14ac:dyDescent="0.3">
      <c r="A166" s="2">
        <v>1840</v>
      </c>
      <c r="B166" s="1">
        <v>3155</v>
      </c>
      <c r="C166" s="1">
        <v>4</v>
      </c>
      <c r="D166" s="1">
        <v>21</v>
      </c>
      <c r="E166" s="1">
        <v>80</v>
      </c>
      <c r="F166" s="1">
        <v>34</v>
      </c>
      <c r="G166" s="1">
        <v>2729</v>
      </c>
      <c r="H166" s="1">
        <v>19</v>
      </c>
      <c r="I166" s="1">
        <v>3</v>
      </c>
      <c r="J166" s="1">
        <v>87</v>
      </c>
      <c r="K166" s="1">
        <v>102</v>
      </c>
      <c r="L166" s="1">
        <v>76</v>
      </c>
      <c r="M166" s="1">
        <v>0</v>
      </c>
    </row>
    <row r="167" spans="1:13" ht="15.75" thickBot="1" x14ac:dyDescent="0.3">
      <c r="A167" s="2">
        <v>1841</v>
      </c>
      <c r="B167" s="1">
        <v>3293</v>
      </c>
      <c r="C167" s="1">
        <v>0</v>
      </c>
      <c r="D167" s="1">
        <v>30</v>
      </c>
      <c r="E167" s="1">
        <v>69</v>
      </c>
      <c r="F167" s="1">
        <v>35</v>
      </c>
      <c r="G167" s="1">
        <v>2838</v>
      </c>
      <c r="H167" s="1">
        <v>19</v>
      </c>
      <c r="I167" s="1">
        <v>1</v>
      </c>
      <c r="J167" s="1">
        <v>106</v>
      </c>
      <c r="K167" s="1">
        <v>99</v>
      </c>
      <c r="L167" s="1">
        <v>92</v>
      </c>
      <c r="M167" s="1">
        <v>4</v>
      </c>
    </row>
    <row r="168" spans="1:13" ht="15.75" thickBot="1" x14ac:dyDescent="0.3">
      <c r="A168" s="2">
        <v>1842</v>
      </c>
      <c r="B168" s="1">
        <v>3725</v>
      </c>
      <c r="C168" s="1">
        <v>7</v>
      </c>
      <c r="D168" s="1">
        <v>23</v>
      </c>
      <c r="E168" s="1">
        <v>65</v>
      </c>
      <c r="F168" s="1">
        <v>58</v>
      </c>
      <c r="G168" s="1">
        <v>3184</v>
      </c>
      <c r="H168" s="1">
        <v>59</v>
      </c>
      <c r="I168" s="1">
        <v>8</v>
      </c>
      <c r="J168" s="1">
        <v>82</v>
      </c>
      <c r="K168" s="1">
        <v>144</v>
      </c>
      <c r="L168" s="1">
        <v>94</v>
      </c>
      <c r="M168" s="1">
        <v>1</v>
      </c>
    </row>
    <row r="169" spans="1:13" ht="15.75" thickBot="1" x14ac:dyDescent="0.3">
      <c r="A169" s="2">
        <v>1843</v>
      </c>
      <c r="B169" s="1">
        <v>3785</v>
      </c>
      <c r="C169" s="1">
        <v>5</v>
      </c>
      <c r="D169" s="1">
        <v>24</v>
      </c>
      <c r="E169" s="1">
        <v>106</v>
      </c>
      <c r="F169" s="1">
        <v>63</v>
      </c>
      <c r="G169" s="1">
        <v>3206</v>
      </c>
      <c r="H169" s="1">
        <v>38</v>
      </c>
      <c r="I169" s="1">
        <v>3</v>
      </c>
      <c r="J169" s="1">
        <v>140</v>
      </c>
      <c r="K169" s="1">
        <v>150</v>
      </c>
      <c r="L169" s="1">
        <v>49</v>
      </c>
      <c r="M169" s="1">
        <v>1</v>
      </c>
    </row>
    <row r="170" spans="1:13" ht="15.75" thickBot="1" x14ac:dyDescent="0.3">
      <c r="A170" s="2">
        <v>1844</v>
      </c>
      <c r="B170" s="1">
        <v>3092</v>
      </c>
      <c r="C170" s="1">
        <v>2</v>
      </c>
      <c r="D170" s="1">
        <v>40</v>
      </c>
      <c r="E170" s="1">
        <v>98</v>
      </c>
      <c r="F170" s="1">
        <v>60</v>
      </c>
      <c r="G170" s="1">
        <v>2539</v>
      </c>
      <c r="H170" s="1">
        <v>37</v>
      </c>
      <c r="I170" s="1">
        <v>10</v>
      </c>
      <c r="J170" s="1">
        <v>116</v>
      </c>
      <c r="K170" s="1">
        <v>131</v>
      </c>
      <c r="L170" s="1">
        <v>49</v>
      </c>
      <c r="M170" s="1">
        <v>10</v>
      </c>
    </row>
    <row r="171" spans="1:13" ht="15.75" thickBot="1" x14ac:dyDescent="0.3">
      <c r="A171" s="2">
        <v>1845</v>
      </c>
      <c r="B171" s="1">
        <v>2677</v>
      </c>
      <c r="C171" s="1">
        <v>2</v>
      </c>
      <c r="D171" s="1">
        <v>33</v>
      </c>
      <c r="E171" s="1">
        <v>111</v>
      </c>
      <c r="F171" s="1">
        <v>62</v>
      </c>
      <c r="G171" s="1">
        <v>2116</v>
      </c>
      <c r="H171" s="1">
        <v>35</v>
      </c>
      <c r="I171" s="1">
        <v>14</v>
      </c>
      <c r="J171" s="1">
        <v>126</v>
      </c>
      <c r="K171" s="1">
        <v>130</v>
      </c>
      <c r="L171" s="1">
        <v>47</v>
      </c>
      <c r="M171" s="1">
        <v>1</v>
      </c>
    </row>
    <row r="172" spans="1:13" ht="15.75" thickBot="1" x14ac:dyDescent="0.3">
      <c r="A172" s="2">
        <v>1846</v>
      </c>
      <c r="B172" s="1">
        <v>2727</v>
      </c>
      <c r="C172" s="1">
        <v>2</v>
      </c>
      <c r="D172" s="1">
        <v>42</v>
      </c>
      <c r="E172" s="1">
        <v>105</v>
      </c>
      <c r="F172" s="1">
        <v>69</v>
      </c>
      <c r="G172" s="1">
        <v>2121</v>
      </c>
      <c r="H172" s="1">
        <v>68</v>
      </c>
      <c r="I172" s="1">
        <v>5</v>
      </c>
      <c r="J172" s="1">
        <v>170</v>
      </c>
      <c r="K172" s="1">
        <v>105</v>
      </c>
      <c r="L172" s="1">
        <v>29</v>
      </c>
      <c r="M172" s="1">
        <v>11</v>
      </c>
    </row>
    <row r="173" spans="1:13" ht="15.75" thickBot="1" x14ac:dyDescent="0.3">
      <c r="A173" s="2">
        <v>1847</v>
      </c>
      <c r="B173" s="1">
        <v>3177</v>
      </c>
      <c r="C173" s="1">
        <v>17</v>
      </c>
      <c r="D173" s="1">
        <v>57</v>
      </c>
      <c r="E173" s="1">
        <v>130</v>
      </c>
      <c r="F173" s="1">
        <v>72</v>
      </c>
      <c r="G173" s="1">
        <v>2479</v>
      </c>
      <c r="H173" s="1">
        <v>59</v>
      </c>
      <c r="I173" s="1">
        <v>8</v>
      </c>
      <c r="J173" s="1">
        <v>134</v>
      </c>
      <c r="K173" s="1">
        <v>178</v>
      </c>
      <c r="L173" s="1">
        <v>38</v>
      </c>
      <c r="M173" s="1">
        <v>5</v>
      </c>
    </row>
    <row r="174" spans="1:13" ht="15.75" thickBot="1" x14ac:dyDescent="0.3">
      <c r="A174" s="2">
        <v>1848</v>
      </c>
      <c r="B174" s="1">
        <v>3205</v>
      </c>
      <c r="C174" s="1">
        <v>9</v>
      </c>
      <c r="D174" s="1">
        <v>34</v>
      </c>
      <c r="E174" s="1">
        <v>196</v>
      </c>
      <c r="F174" s="1">
        <v>76</v>
      </c>
      <c r="G174" s="1">
        <v>2379</v>
      </c>
      <c r="H174" s="1">
        <v>94</v>
      </c>
      <c r="I174" s="1">
        <v>15</v>
      </c>
      <c r="J174" s="1">
        <v>197</v>
      </c>
      <c r="K174" s="1">
        <v>156</v>
      </c>
      <c r="L174" s="1">
        <v>43</v>
      </c>
      <c r="M174" s="1">
        <v>6</v>
      </c>
    </row>
    <row r="175" spans="1:13" ht="15.75" thickBot="1" x14ac:dyDescent="0.3">
      <c r="A175" s="2">
        <v>1849</v>
      </c>
      <c r="B175" s="1">
        <v>2542</v>
      </c>
      <c r="C175" s="1">
        <v>8</v>
      </c>
      <c r="D175" s="1">
        <v>43</v>
      </c>
      <c r="E175" s="1">
        <v>123</v>
      </c>
      <c r="F175" s="1">
        <v>57</v>
      </c>
      <c r="G175" s="1">
        <v>1911</v>
      </c>
      <c r="H175" s="1">
        <v>50</v>
      </c>
      <c r="I175" s="1">
        <v>2</v>
      </c>
      <c r="J175" s="1">
        <v>156</v>
      </c>
      <c r="K175" s="1">
        <v>147</v>
      </c>
      <c r="L175" s="1">
        <v>34</v>
      </c>
      <c r="M175" s="1">
        <v>11</v>
      </c>
    </row>
    <row r="176" spans="1:13" ht="15.75" thickBot="1" x14ac:dyDescent="0.3">
      <c r="A176" s="2">
        <v>1850</v>
      </c>
      <c r="B176" s="1">
        <v>2508</v>
      </c>
      <c r="C176" s="1">
        <v>8</v>
      </c>
      <c r="D176" s="1">
        <v>36</v>
      </c>
      <c r="E176" s="1">
        <v>129</v>
      </c>
      <c r="F176" s="1">
        <v>60</v>
      </c>
      <c r="G176" s="1">
        <v>1844</v>
      </c>
      <c r="H176" s="1">
        <v>70</v>
      </c>
      <c r="I176" s="1">
        <v>12</v>
      </c>
      <c r="J176" s="1">
        <v>142</v>
      </c>
      <c r="K176" s="1">
        <v>172</v>
      </c>
      <c r="L176" s="1">
        <v>29</v>
      </c>
      <c r="M176" s="1">
        <v>6</v>
      </c>
    </row>
    <row r="177" spans="1:13" ht="15.75" thickBot="1" x14ac:dyDescent="0.3">
      <c r="A177" s="2">
        <v>1851</v>
      </c>
      <c r="B177" s="1">
        <v>2223</v>
      </c>
      <c r="C177" s="1">
        <v>7</v>
      </c>
      <c r="D177" s="1">
        <v>44</v>
      </c>
      <c r="E177" s="1">
        <v>209</v>
      </c>
      <c r="F177" s="1">
        <v>71</v>
      </c>
      <c r="G177" s="1">
        <v>1509</v>
      </c>
      <c r="H177" s="1">
        <v>62</v>
      </c>
      <c r="I177" s="1">
        <v>10</v>
      </c>
      <c r="J177" s="1">
        <v>123</v>
      </c>
      <c r="K177" s="1">
        <v>159</v>
      </c>
      <c r="L177" s="1">
        <v>19</v>
      </c>
      <c r="M177" s="1">
        <v>10</v>
      </c>
    </row>
    <row r="178" spans="1:13" ht="15.75" thickBot="1" x14ac:dyDescent="0.3">
      <c r="A178" s="2">
        <v>1852</v>
      </c>
      <c r="B178" s="1">
        <v>1368</v>
      </c>
      <c r="C178" s="1">
        <v>6</v>
      </c>
      <c r="D178" s="1">
        <v>34</v>
      </c>
      <c r="E178" s="1">
        <v>286</v>
      </c>
      <c r="F178" s="1">
        <v>37</v>
      </c>
      <c r="G178" s="1">
        <v>702</v>
      </c>
      <c r="H178" s="1">
        <v>25</v>
      </c>
      <c r="I178" s="1">
        <v>0</v>
      </c>
      <c r="J178" s="1">
        <v>100</v>
      </c>
      <c r="K178" s="1">
        <v>147</v>
      </c>
      <c r="L178" s="1">
        <v>22</v>
      </c>
      <c r="M178" s="1">
        <v>9</v>
      </c>
    </row>
    <row r="179" spans="1:13" ht="15.75" thickBot="1" x14ac:dyDescent="0.3">
      <c r="A179" s="2">
        <v>1853</v>
      </c>
      <c r="B179" s="1">
        <v>1427</v>
      </c>
      <c r="C179" s="1">
        <v>6</v>
      </c>
      <c r="D179" s="1">
        <v>32</v>
      </c>
      <c r="E179" s="1">
        <v>278</v>
      </c>
      <c r="F179" s="1">
        <v>29</v>
      </c>
      <c r="G179" s="1">
        <v>770</v>
      </c>
      <c r="H179" s="1">
        <v>41</v>
      </c>
      <c r="I179" s="1">
        <v>3</v>
      </c>
      <c r="J179" s="1">
        <v>74</v>
      </c>
      <c r="K179" s="1">
        <v>164</v>
      </c>
      <c r="L179" s="1">
        <v>28</v>
      </c>
      <c r="M179" s="1">
        <v>2</v>
      </c>
    </row>
    <row r="180" spans="1:13" ht="15.75" thickBot="1" x14ac:dyDescent="0.3">
      <c r="A180" s="2">
        <v>1854</v>
      </c>
      <c r="B180" s="1">
        <v>1540</v>
      </c>
      <c r="C180" s="1">
        <v>7</v>
      </c>
      <c r="D180" s="1">
        <v>29</v>
      </c>
      <c r="E180" s="1">
        <v>356</v>
      </c>
      <c r="F180" s="1">
        <v>36</v>
      </c>
      <c r="G180" s="1">
        <v>804</v>
      </c>
      <c r="H180" s="1">
        <v>32</v>
      </c>
      <c r="I180" s="1">
        <v>7</v>
      </c>
      <c r="J180" s="1">
        <v>73</v>
      </c>
      <c r="K180" s="1">
        <v>153</v>
      </c>
      <c r="L180" s="1">
        <v>30</v>
      </c>
      <c r="M180" s="1">
        <v>13</v>
      </c>
    </row>
    <row r="181" spans="1:13" ht="15.75" thickBot="1" x14ac:dyDescent="0.3">
      <c r="A181" s="2">
        <v>1855</v>
      </c>
      <c r="B181" s="1">
        <v>1232</v>
      </c>
      <c r="C181" s="1">
        <v>8</v>
      </c>
      <c r="D181" s="1">
        <v>35</v>
      </c>
      <c r="E181" s="1">
        <v>212</v>
      </c>
      <c r="F181" s="1">
        <v>27</v>
      </c>
      <c r="G181" s="1">
        <v>662</v>
      </c>
      <c r="H181" s="1">
        <v>42</v>
      </c>
      <c r="I181" s="1">
        <v>11</v>
      </c>
      <c r="J181" s="1">
        <v>62</v>
      </c>
      <c r="K181" s="1">
        <v>152</v>
      </c>
      <c r="L181" s="1">
        <v>16</v>
      </c>
      <c r="M181" s="1">
        <v>5</v>
      </c>
    </row>
    <row r="182" spans="1:13" ht="15.75" thickBot="1" x14ac:dyDescent="0.3">
      <c r="A182" s="2">
        <v>1856</v>
      </c>
      <c r="B182" s="1">
        <v>1467</v>
      </c>
      <c r="C182" s="1">
        <v>10</v>
      </c>
      <c r="D182" s="1">
        <v>30</v>
      </c>
      <c r="E182" s="1">
        <v>228</v>
      </c>
      <c r="F182" s="1">
        <v>30</v>
      </c>
      <c r="G182" s="1">
        <v>786</v>
      </c>
      <c r="H182" s="1">
        <v>75</v>
      </c>
      <c r="I182" s="1">
        <v>6</v>
      </c>
      <c r="J182" s="1">
        <v>90</v>
      </c>
      <c r="K182" s="1">
        <v>173</v>
      </c>
      <c r="L182" s="1">
        <v>27</v>
      </c>
      <c r="M182" s="1">
        <v>12</v>
      </c>
    </row>
    <row r="183" spans="1:13" ht="15.75" thickBot="1" x14ac:dyDescent="0.3">
      <c r="A183" s="2">
        <v>1857</v>
      </c>
      <c r="B183" s="1">
        <v>1434</v>
      </c>
      <c r="C183" s="1">
        <v>9</v>
      </c>
      <c r="D183" s="1">
        <v>39</v>
      </c>
      <c r="E183" s="1">
        <v>259</v>
      </c>
      <c r="F183" s="1">
        <v>47</v>
      </c>
      <c r="G183" s="1">
        <v>718</v>
      </c>
      <c r="H183" s="1">
        <v>78</v>
      </c>
      <c r="I183" s="1">
        <v>0</v>
      </c>
      <c r="J183" s="1">
        <v>114</v>
      </c>
      <c r="K183" s="1">
        <v>141</v>
      </c>
      <c r="L183" s="1">
        <v>16</v>
      </c>
      <c r="M183" s="1">
        <v>13</v>
      </c>
    </row>
    <row r="184" spans="1:13" ht="15.75" thickBot="1" x14ac:dyDescent="0.3">
      <c r="A184" s="2">
        <v>1858</v>
      </c>
      <c r="B184" s="1">
        <v>1300</v>
      </c>
      <c r="C184" s="1">
        <v>10</v>
      </c>
      <c r="D184" s="1">
        <v>36</v>
      </c>
      <c r="E184" s="1">
        <v>291</v>
      </c>
      <c r="F184" s="1">
        <v>47</v>
      </c>
      <c r="G184" s="1">
        <v>632</v>
      </c>
      <c r="H184" s="1">
        <v>78</v>
      </c>
      <c r="I184" s="1">
        <v>9</v>
      </c>
      <c r="J184" s="1">
        <v>61</v>
      </c>
      <c r="K184" s="1">
        <v>114</v>
      </c>
      <c r="L184" s="1">
        <v>15</v>
      </c>
      <c r="M184" s="1">
        <v>7</v>
      </c>
    </row>
    <row r="185" spans="1:13" ht="15.75" thickBot="1" x14ac:dyDescent="0.3">
      <c r="A185" s="2">
        <v>1859</v>
      </c>
      <c r="B185" s="1">
        <v>1206</v>
      </c>
      <c r="C185" s="1">
        <v>5</v>
      </c>
      <c r="D185" s="1">
        <v>34</v>
      </c>
      <c r="E185" s="1">
        <v>244</v>
      </c>
      <c r="F185" s="1">
        <v>43</v>
      </c>
      <c r="G185" s="1">
        <v>572</v>
      </c>
      <c r="H185" s="1">
        <v>63</v>
      </c>
      <c r="I185" s="1">
        <v>1</v>
      </c>
      <c r="J185" s="1">
        <v>81</v>
      </c>
      <c r="K185" s="1">
        <v>140</v>
      </c>
      <c r="L185" s="1">
        <v>16</v>
      </c>
      <c r="M185" s="1">
        <v>7</v>
      </c>
    </row>
    <row r="186" spans="1:13" ht="15.75" thickBot="1" x14ac:dyDescent="0.3">
      <c r="A186" s="2">
        <v>1860</v>
      </c>
      <c r="B186" s="1">
        <v>1128</v>
      </c>
      <c r="C186" s="1">
        <v>4</v>
      </c>
      <c r="D186" s="1">
        <v>26</v>
      </c>
      <c r="E186" s="1">
        <v>224</v>
      </c>
      <c r="F186" s="1">
        <v>42</v>
      </c>
      <c r="G186" s="1">
        <v>553</v>
      </c>
      <c r="H186" s="1">
        <v>43</v>
      </c>
      <c r="I186" s="1">
        <v>13</v>
      </c>
      <c r="J186" s="1">
        <v>80</v>
      </c>
      <c r="K186" s="1">
        <v>102</v>
      </c>
      <c r="L186" s="1">
        <v>34</v>
      </c>
      <c r="M186" s="1">
        <v>7</v>
      </c>
    </row>
    <row r="187" spans="1:13" ht="15.75" thickBot="1" x14ac:dyDescent="0.3">
      <c r="A187" s="2">
        <v>1861</v>
      </c>
      <c r="B187" s="1">
        <v>1210</v>
      </c>
      <c r="C187" s="1">
        <v>4</v>
      </c>
      <c r="D187" s="1">
        <v>39</v>
      </c>
      <c r="E187" s="1">
        <v>245</v>
      </c>
      <c r="F187" s="1">
        <v>42</v>
      </c>
      <c r="G187" s="1">
        <v>578</v>
      </c>
      <c r="H187" s="1">
        <v>75</v>
      </c>
      <c r="I187" s="1">
        <v>7</v>
      </c>
      <c r="J187" s="1">
        <v>55</v>
      </c>
      <c r="K187" s="1">
        <v>132</v>
      </c>
      <c r="L187" s="1">
        <v>22</v>
      </c>
      <c r="M187" s="1">
        <v>11</v>
      </c>
    </row>
    <row r="188" spans="1:13" ht="15.75" thickBot="1" x14ac:dyDescent="0.3">
      <c r="A188" s="2">
        <v>1862</v>
      </c>
      <c r="B188" s="1">
        <v>1477</v>
      </c>
      <c r="C188" s="1">
        <v>8</v>
      </c>
      <c r="D188" s="1">
        <v>65</v>
      </c>
      <c r="E188" s="1">
        <v>226</v>
      </c>
      <c r="F188" s="1">
        <v>55</v>
      </c>
      <c r="G188" s="1">
        <v>666</v>
      </c>
      <c r="H188" s="1">
        <v>126</v>
      </c>
      <c r="I188" s="1">
        <v>14</v>
      </c>
      <c r="J188" s="1">
        <v>122</v>
      </c>
      <c r="K188" s="1">
        <v>152</v>
      </c>
      <c r="L188" s="1">
        <v>30</v>
      </c>
      <c r="M188" s="1">
        <v>13</v>
      </c>
    </row>
    <row r="189" spans="1:13" ht="15.75" thickBot="1" x14ac:dyDescent="0.3">
      <c r="A189" s="2">
        <v>1863</v>
      </c>
      <c r="B189" s="1">
        <v>1498</v>
      </c>
      <c r="C189" s="1">
        <v>10</v>
      </c>
      <c r="D189" s="1">
        <v>61</v>
      </c>
      <c r="E189" s="1">
        <v>205</v>
      </c>
      <c r="F189" s="1">
        <v>71</v>
      </c>
      <c r="G189" s="1">
        <v>729</v>
      </c>
      <c r="H189" s="1">
        <v>99</v>
      </c>
      <c r="I189" s="1">
        <v>2</v>
      </c>
      <c r="J189" s="1">
        <v>111</v>
      </c>
      <c r="K189" s="1">
        <v>163</v>
      </c>
      <c r="L189" s="1">
        <v>21</v>
      </c>
      <c r="M189" s="1">
        <v>26</v>
      </c>
    </row>
    <row r="190" spans="1:13" ht="15.75" thickBot="1" x14ac:dyDescent="0.3">
      <c r="A190" s="2">
        <v>1864</v>
      </c>
      <c r="B190" s="1">
        <v>1279</v>
      </c>
      <c r="C190" s="1">
        <v>7</v>
      </c>
      <c r="D190" s="1">
        <v>52</v>
      </c>
      <c r="E190" s="1">
        <v>216</v>
      </c>
      <c r="F190" s="1">
        <v>48</v>
      </c>
      <c r="G190" s="1">
        <v>568</v>
      </c>
      <c r="H190" s="1">
        <v>110</v>
      </c>
      <c r="I190" s="1">
        <v>5</v>
      </c>
      <c r="J190" s="1">
        <v>125</v>
      </c>
      <c r="K190" s="1">
        <v>109</v>
      </c>
      <c r="L190" s="1">
        <v>27</v>
      </c>
      <c r="M190" s="1">
        <v>12</v>
      </c>
    </row>
    <row r="191" spans="1:13" ht="15.75" thickBot="1" x14ac:dyDescent="0.3">
      <c r="A191" s="2">
        <v>1865</v>
      </c>
      <c r="B191" s="1">
        <v>1339</v>
      </c>
      <c r="C191" s="1">
        <v>22</v>
      </c>
      <c r="D191" s="1">
        <v>43</v>
      </c>
      <c r="E191" s="1">
        <v>196</v>
      </c>
      <c r="F191" s="1">
        <v>44</v>
      </c>
      <c r="G191" s="1">
        <v>611</v>
      </c>
      <c r="H191" s="1">
        <v>141</v>
      </c>
      <c r="I191" s="1">
        <v>4</v>
      </c>
      <c r="J191" s="1">
        <v>98</v>
      </c>
      <c r="K191" s="1">
        <v>136</v>
      </c>
      <c r="L191" s="1">
        <v>28</v>
      </c>
      <c r="M191" s="1">
        <v>16</v>
      </c>
    </row>
    <row r="192" spans="1:13" ht="15.75" thickBot="1" x14ac:dyDescent="0.3">
      <c r="A192" s="2">
        <v>1866</v>
      </c>
      <c r="B192" s="1">
        <v>1271</v>
      </c>
      <c r="C192" s="1">
        <v>14</v>
      </c>
      <c r="D192" s="1">
        <v>66</v>
      </c>
      <c r="E192" s="1">
        <v>189</v>
      </c>
      <c r="F192" s="1">
        <v>38</v>
      </c>
      <c r="G192" s="1">
        <v>544</v>
      </c>
      <c r="H192" s="1">
        <v>121</v>
      </c>
      <c r="I192" s="1">
        <v>6</v>
      </c>
      <c r="J192" s="1">
        <v>129</v>
      </c>
      <c r="K192" s="1">
        <v>124</v>
      </c>
      <c r="L192" s="1">
        <v>26</v>
      </c>
      <c r="M192" s="1">
        <v>14</v>
      </c>
    </row>
    <row r="193" spans="1:13" ht="15.75" thickBot="1" x14ac:dyDescent="0.3">
      <c r="A193" s="2">
        <v>1867</v>
      </c>
      <c r="B193" s="1">
        <v>1313</v>
      </c>
      <c r="C193" s="1">
        <v>3</v>
      </c>
      <c r="D193" s="1">
        <v>26</v>
      </c>
      <c r="E193" s="1">
        <v>182</v>
      </c>
      <c r="F193" s="1">
        <v>43</v>
      </c>
      <c r="G193" s="1">
        <v>620</v>
      </c>
      <c r="H193" s="1">
        <v>141</v>
      </c>
      <c r="I193" s="1">
        <v>7</v>
      </c>
      <c r="J193" s="1">
        <v>99</v>
      </c>
      <c r="K193" s="1">
        <v>131</v>
      </c>
      <c r="L193" s="1">
        <v>45</v>
      </c>
      <c r="M193" s="1">
        <v>16</v>
      </c>
    </row>
    <row r="194" spans="1:13" ht="15.75" thickBot="1" x14ac:dyDescent="0.3">
      <c r="A194" s="2">
        <v>1868</v>
      </c>
      <c r="B194" s="1">
        <v>1330</v>
      </c>
      <c r="C194" s="1">
        <v>8</v>
      </c>
      <c r="D194" s="1">
        <v>60</v>
      </c>
      <c r="E194" s="1">
        <v>214</v>
      </c>
      <c r="F194" s="1">
        <v>51</v>
      </c>
      <c r="G194" s="1">
        <v>569</v>
      </c>
      <c r="H194" s="1">
        <v>115</v>
      </c>
      <c r="I194" s="1">
        <v>18</v>
      </c>
      <c r="J194" s="1">
        <v>101</v>
      </c>
      <c r="K194" s="1">
        <v>153</v>
      </c>
      <c r="L194" s="1">
        <v>24</v>
      </c>
      <c r="M194" s="1">
        <v>17</v>
      </c>
    </row>
    <row r="195" spans="1:13" ht="15.75" thickBot="1" x14ac:dyDescent="0.3">
      <c r="A195" s="2">
        <v>1869</v>
      </c>
      <c r="B195" s="1">
        <v>1316</v>
      </c>
      <c r="C195" s="1">
        <v>14</v>
      </c>
      <c r="D195" s="1">
        <v>28</v>
      </c>
      <c r="E195" s="1">
        <v>198</v>
      </c>
      <c r="F195" s="1">
        <v>67</v>
      </c>
      <c r="G195" s="1">
        <v>573</v>
      </c>
      <c r="H195" s="1">
        <v>134</v>
      </c>
      <c r="I195" s="1">
        <v>5</v>
      </c>
      <c r="J195" s="1">
        <v>75</v>
      </c>
      <c r="K195" s="1">
        <v>161</v>
      </c>
      <c r="L195" s="1">
        <v>41</v>
      </c>
      <c r="M195" s="1">
        <v>20</v>
      </c>
    </row>
    <row r="196" spans="1:13" ht="15.75" thickBot="1" x14ac:dyDescent="0.3">
      <c r="A196" s="2">
        <v>1870</v>
      </c>
      <c r="B196" s="1">
        <v>1144</v>
      </c>
      <c r="C196" s="1">
        <v>10</v>
      </c>
      <c r="D196" s="1">
        <v>38</v>
      </c>
      <c r="E196" s="1">
        <v>169</v>
      </c>
      <c r="F196" s="1">
        <v>65</v>
      </c>
      <c r="G196" s="1">
        <v>453</v>
      </c>
      <c r="H196" s="1">
        <v>100</v>
      </c>
      <c r="I196" s="1">
        <v>2</v>
      </c>
      <c r="J196" s="1">
        <v>102</v>
      </c>
      <c r="K196" s="1">
        <v>165</v>
      </c>
      <c r="L196" s="1">
        <v>24</v>
      </c>
      <c r="M196" s="1">
        <v>16</v>
      </c>
    </row>
    <row r="197" spans="1:13" ht="15.75" thickBot="1" x14ac:dyDescent="0.3">
      <c r="A197" s="2">
        <v>1871</v>
      </c>
      <c r="B197" s="1">
        <v>1072</v>
      </c>
      <c r="C197" s="1">
        <v>11</v>
      </c>
      <c r="D197" s="1">
        <v>46</v>
      </c>
      <c r="E197" s="1">
        <v>141</v>
      </c>
      <c r="F197" s="1">
        <v>55</v>
      </c>
      <c r="G197" s="1">
        <v>433</v>
      </c>
      <c r="H197" s="1">
        <v>109</v>
      </c>
      <c r="I197" s="1">
        <v>3</v>
      </c>
      <c r="J197" s="1">
        <v>84</v>
      </c>
      <c r="K197" s="1">
        <v>152</v>
      </c>
      <c r="L197" s="1">
        <v>18</v>
      </c>
      <c r="M197" s="1">
        <v>20</v>
      </c>
    </row>
    <row r="198" spans="1:13" ht="15.75" thickBot="1" x14ac:dyDescent="0.3">
      <c r="A198" s="2">
        <v>1872</v>
      </c>
      <c r="B198" s="1">
        <v>968</v>
      </c>
      <c r="C198" s="1">
        <v>11</v>
      </c>
      <c r="D198" s="1">
        <v>63</v>
      </c>
      <c r="E198" s="1">
        <v>117</v>
      </c>
      <c r="F198" s="1">
        <v>60</v>
      </c>
      <c r="G198" s="1">
        <v>378</v>
      </c>
      <c r="H198" s="1">
        <v>98</v>
      </c>
      <c r="I198" s="1">
        <v>4</v>
      </c>
      <c r="J198" s="1">
        <v>79</v>
      </c>
      <c r="K198" s="1">
        <v>116</v>
      </c>
      <c r="L198" s="1">
        <v>28</v>
      </c>
      <c r="M198" s="1">
        <v>14</v>
      </c>
    </row>
    <row r="199" spans="1:13" ht="15.75" thickBot="1" x14ac:dyDescent="0.3">
      <c r="A199" s="2">
        <v>1873</v>
      </c>
      <c r="B199" s="1">
        <v>890</v>
      </c>
      <c r="C199" s="1">
        <v>7</v>
      </c>
      <c r="D199" s="1">
        <v>52</v>
      </c>
      <c r="E199" s="1">
        <v>79</v>
      </c>
      <c r="F199" s="1">
        <v>51</v>
      </c>
      <c r="G199" s="1">
        <v>425</v>
      </c>
      <c r="H199" s="1">
        <v>51</v>
      </c>
      <c r="I199" s="1">
        <v>3</v>
      </c>
      <c r="J199" s="1">
        <v>78</v>
      </c>
      <c r="K199" s="1">
        <v>122</v>
      </c>
      <c r="L199" s="1">
        <v>17</v>
      </c>
      <c r="M199" s="1">
        <v>5</v>
      </c>
    </row>
    <row r="200" spans="1:13" ht="15.75" thickBot="1" x14ac:dyDescent="0.3">
      <c r="A200" s="2">
        <v>1874</v>
      </c>
      <c r="B200" s="1">
        <v>890</v>
      </c>
      <c r="C200" s="1">
        <v>13</v>
      </c>
      <c r="D200" s="1">
        <v>30</v>
      </c>
      <c r="E200" s="1">
        <v>113</v>
      </c>
      <c r="F200" s="1">
        <v>31</v>
      </c>
      <c r="G200" s="1">
        <v>367</v>
      </c>
      <c r="H200" s="1">
        <v>55</v>
      </c>
      <c r="I200" s="1">
        <v>12</v>
      </c>
      <c r="J200" s="1">
        <v>106</v>
      </c>
      <c r="K200" s="1">
        <v>126</v>
      </c>
      <c r="L200" s="1">
        <v>32</v>
      </c>
      <c r="M200" s="1">
        <v>5</v>
      </c>
    </row>
    <row r="201" spans="1:13" ht="15.75" thickBot="1" x14ac:dyDescent="0.3">
      <c r="A201" s="2">
        <v>1875</v>
      </c>
      <c r="B201" s="1">
        <v>899</v>
      </c>
      <c r="C201" s="1">
        <v>10</v>
      </c>
      <c r="D201" s="1">
        <v>50</v>
      </c>
      <c r="E201" s="1">
        <v>100</v>
      </c>
      <c r="F201" s="1">
        <v>46</v>
      </c>
      <c r="G201" s="1">
        <v>343</v>
      </c>
      <c r="H201" s="1">
        <v>37</v>
      </c>
      <c r="I201" s="1">
        <v>22</v>
      </c>
      <c r="J201" s="1">
        <v>89</v>
      </c>
      <c r="K201" s="1">
        <v>163</v>
      </c>
      <c r="L201" s="1">
        <v>28</v>
      </c>
      <c r="M201" s="1">
        <v>11</v>
      </c>
    </row>
    <row r="202" spans="1:13" ht="15.75" thickBot="1" x14ac:dyDescent="0.3">
      <c r="A202" s="2">
        <v>1876</v>
      </c>
      <c r="B202" s="1">
        <v>1058</v>
      </c>
      <c r="C202" s="1">
        <v>18</v>
      </c>
      <c r="D202" s="1">
        <v>55</v>
      </c>
      <c r="E202" s="1">
        <v>103</v>
      </c>
      <c r="F202" s="1">
        <v>52</v>
      </c>
      <c r="G202" s="1">
        <v>433</v>
      </c>
      <c r="H202" s="1">
        <v>85</v>
      </c>
      <c r="I202" s="1">
        <v>6</v>
      </c>
      <c r="J202" s="1">
        <v>104</v>
      </c>
      <c r="K202" s="1">
        <v>162</v>
      </c>
      <c r="L202" s="1">
        <v>21</v>
      </c>
      <c r="M202" s="1">
        <v>19</v>
      </c>
    </row>
    <row r="203" spans="1:13" ht="15.75" thickBot="1" x14ac:dyDescent="0.3">
      <c r="A203" s="2">
        <v>1877</v>
      </c>
      <c r="B203" s="1">
        <v>1092</v>
      </c>
      <c r="C203" s="1">
        <v>24</v>
      </c>
      <c r="D203" s="1">
        <v>47</v>
      </c>
      <c r="E203" s="1">
        <v>86</v>
      </c>
      <c r="F203" s="1">
        <v>61</v>
      </c>
      <c r="G203" s="1">
        <v>441</v>
      </c>
      <c r="H203" s="1">
        <v>67</v>
      </c>
      <c r="I203" s="1">
        <v>4</v>
      </c>
      <c r="J203" s="1">
        <v>104</v>
      </c>
      <c r="K203" s="1">
        <v>220</v>
      </c>
      <c r="L203" s="1">
        <v>26</v>
      </c>
      <c r="M203" s="1">
        <v>12</v>
      </c>
    </row>
    <row r="204" spans="1:13" ht="15.75" thickBot="1" x14ac:dyDescent="0.3">
      <c r="A204" s="2">
        <v>1878</v>
      </c>
      <c r="B204" s="1">
        <v>1250</v>
      </c>
      <c r="C204" s="1">
        <v>26</v>
      </c>
      <c r="D204" s="1">
        <v>40</v>
      </c>
      <c r="E204" s="1">
        <v>112</v>
      </c>
      <c r="F204" s="1">
        <v>44</v>
      </c>
      <c r="G204" s="1">
        <v>494</v>
      </c>
      <c r="H204" s="1">
        <v>93</v>
      </c>
      <c r="I204" s="1">
        <v>23</v>
      </c>
      <c r="J204" s="1">
        <v>116</v>
      </c>
      <c r="K204" s="1">
        <v>268</v>
      </c>
      <c r="L204" s="1">
        <v>16</v>
      </c>
      <c r="M204" s="1">
        <v>18</v>
      </c>
    </row>
    <row r="205" spans="1:13" ht="15.75" thickBot="1" x14ac:dyDescent="0.3">
      <c r="A205" s="2">
        <v>1879</v>
      </c>
      <c r="B205" s="1">
        <v>1200</v>
      </c>
      <c r="C205" s="1">
        <v>54</v>
      </c>
      <c r="D205" s="1">
        <v>55</v>
      </c>
      <c r="E205" s="1">
        <v>127</v>
      </c>
      <c r="F205" s="1">
        <v>75</v>
      </c>
      <c r="G205" s="1">
        <v>444</v>
      </c>
      <c r="H205" s="1">
        <v>90</v>
      </c>
      <c r="I205" s="1">
        <v>6</v>
      </c>
      <c r="J205" s="1">
        <v>93</v>
      </c>
      <c r="K205" s="1">
        <v>220</v>
      </c>
      <c r="L205" s="1">
        <v>12</v>
      </c>
      <c r="M205" s="1">
        <v>24</v>
      </c>
    </row>
    <row r="206" spans="1:13" ht="15.75" thickBot="1" x14ac:dyDescent="0.3">
      <c r="A206" s="2">
        <v>1880</v>
      </c>
      <c r="B206" s="1">
        <v>1101</v>
      </c>
      <c r="C206" s="1">
        <v>8</v>
      </c>
      <c r="D206" s="1">
        <v>51</v>
      </c>
      <c r="E206" s="1">
        <v>126</v>
      </c>
      <c r="F206" s="1">
        <v>57</v>
      </c>
      <c r="G206" s="1">
        <v>388</v>
      </c>
      <c r="H206" s="1">
        <v>80</v>
      </c>
      <c r="I206" s="1">
        <v>6</v>
      </c>
      <c r="J206" s="1">
        <v>92</v>
      </c>
      <c r="K206" s="1">
        <v>230</v>
      </c>
      <c r="L206" s="1">
        <v>38</v>
      </c>
      <c r="M206" s="1">
        <v>25</v>
      </c>
    </row>
    <row r="207" spans="1:13" ht="15.75" thickBot="1" x14ac:dyDescent="0.3">
      <c r="A207" s="2">
        <v>1881</v>
      </c>
      <c r="B207" s="1">
        <v>1218</v>
      </c>
      <c r="C207" s="1">
        <v>23</v>
      </c>
      <c r="D207" s="1">
        <v>51</v>
      </c>
      <c r="E207" s="1">
        <v>135</v>
      </c>
      <c r="F207" s="1">
        <v>73</v>
      </c>
      <c r="G207" s="1">
        <v>445</v>
      </c>
      <c r="H207" s="1">
        <v>101</v>
      </c>
      <c r="I207" s="1">
        <v>15</v>
      </c>
      <c r="J207" s="1">
        <v>91</v>
      </c>
      <c r="K207" s="1">
        <v>235</v>
      </c>
      <c r="L207" s="1">
        <v>16</v>
      </c>
      <c r="M207" s="1">
        <v>33</v>
      </c>
    </row>
    <row r="208" spans="1:13" ht="15.75" thickBot="1" x14ac:dyDescent="0.3">
      <c r="A208" s="2">
        <v>1882</v>
      </c>
      <c r="B208" s="1">
        <v>1414</v>
      </c>
      <c r="C208" s="1">
        <v>18</v>
      </c>
      <c r="D208" s="1">
        <v>57</v>
      </c>
      <c r="E208" s="1">
        <v>180</v>
      </c>
      <c r="F208" s="1">
        <v>77</v>
      </c>
      <c r="G208" s="1">
        <v>510</v>
      </c>
      <c r="H208" s="1">
        <v>157</v>
      </c>
      <c r="I208" s="1">
        <v>7</v>
      </c>
      <c r="J208" s="1">
        <v>139</v>
      </c>
      <c r="K208" s="1">
        <v>216</v>
      </c>
      <c r="L208" s="1">
        <v>31</v>
      </c>
      <c r="M208" s="1">
        <v>22</v>
      </c>
    </row>
    <row r="209" spans="1:13" ht="15.75" thickBot="1" x14ac:dyDescent="0.3">
      <c r="A209" s="2">
        <v>1883</v>
      </c>
      <c r="B209" s="1">
        <v>1322</v>
      </c>
      <c r="C209" s="1">
        <v>43</v>
      </c>
      <c r="D209" s="1">
        <v>45</v>
      </c>
      <c r="E209" s="1">
        <v>172</v>
      </c>
      <c r="F209" s="1">
        <v>61</v>
      </c>
      <c r="G209" s="1">
        <v>474</v>
      </c>
      <c r="H209" s="1">
        <v>115</v>
      </c>
      <c r="I209" s="1">
        <v>4</v>
      </c>
      <c r="J209" s="1">
        <v>99</v>
      </c>
      <c r="K209" s="1">
        <v>252</v>
      </c>
      <c r="L209" s="1">
        <v>32</v>
      </c>
      <c r="M209" s="1">
        <v>25</v>
      </c>
    </row>
    <row r="210" spans="1:13" ht="15.75" thickBot="1" x14ac:dyDescent="0.3">
      <c r="A210" s="2">
        <v>1884</v>
      </c>
      <c r="B210" s="1">
        <v>1477</v>
      </c>
      <c r="C210" s="1">
        <v>30</v>
      </c>
      <c r="D210" s="1">
        <v>51</v>
      </c>
      <c r="E210" s="1">
        <v>246</v>
      </c>
      <c r="F210" s="1">
        <v>97</v>
      </c>
      <c r="G210" s="1">
        <v>510</v>
      </c>
      <c r="H210" s="1">
        <v>112</v>
      </c>
      <c r="I210" s="1">
        <v>6</v>
      </c>
      <c r="J210" s="1">
        <v>135</v>
      </c>
      <c r="K210" s="1">
        <v>241</v>
      </c>
      <c r="L210" s="1">
        <v>25</v>
      </c>
      <c r="M210" s="1">
        <v>24</v>
      </c>
    </row>
    <row r="211" spans="1:13" ht="15.75" thickBot="1" x14ac:dyDescent="0.3">
      <c r="A211" s="2">
        <v>1885</v>
      </c>
      <c r="B211" s="1">
        <v>1224</v>
      </c>
      <c r="C211" s="1">
        <v>21</v>
      </c>
      <c r="D211" s="1">
        <v>45</v>
      </c>
      <c r="E211" s="1">
        <v>182</v>
      </c>
      <c r="F211" s="1">
        <v>93</v>
      </c>
      <c r="G211" s="1">
        <v>402</v>
      </c>
      <c r="H211" s="1">
        <v>101</v>
      </c>
      <c r="I211" s="1">
        <v>13</v>
      </c>
      <c r="J211" s="1">
        <v>96</v>
      </c>
      <c r="K211" s="1">
        <v>232</v>
      </c>
      <c r="L211" s="1">
        <v>21</v>
      </c>
      <c r="M211" s="1">
        <v>18</v>
      </c>
    </row>
    <row r="212" spans="1:13" ht="15.75" thickBot="1" x14ac:dyDescent="0.3">
      <c r="A212" s="2">
        <v>1886</v>
      </c>
      <c r="B212" s="1">
        <v>1401</v>
      </c>
      <c r="C212" s="1">
        <v>39</v>
      </c>
      <c r="D212" s="1">
        <v>38</v>
      </c>
      <c r="E212" s="1">
        <v>239</v>
      </c>
      <c r="F212" s="1">
        <v>174</v>
      </c>
      <c r="G212" s="1">
        <v>440</v>
      </c>
      <c r="H212" s="1">
        <v>118</v>
      </c>
      <c r="I212" s="1">
        <v>10</v>
      </c>
      <c r="J212" s="1">
        <v>103</v>
      </c>
      <c r="K212" s="1">
        <v>208</v>
      </c>
      <c r="L212" s="1">
        <v>18</v>
      </c>
      <c r="M212" s="1">
        <v>14</v>
      </c>
    </row>
    <row r="213" spans="1:13" ht="15.75" thickBot="1" x14ac:dyDescent="0.3">
      <c r="A213" s="2">
        <v>1887</v>
      </c>
      <c r="B213" s="1">
        <v>1350</v>
      </c>
      <c r="C213" s="1">
        <v>36</v>
      </c>
      <c r="D213" s="1">
        <v>46</v>
      </c>
      <c r="E213" s="1">
        <v>158</v>
      </c>
      <c r="F213" s="1">
        <v>143</v>
      </c>
      <c r="G213" s="1">
        <v>488</v>
      </c>
      <c r="H213" s="1">
        <v>100</v>
      </c>
      <c r="I213" s="1">
        <v>14</v>
      </c>
      <c r="J213" s="1">
        <v>109</v>
      </c>
      <c r="K213" s="1">
        <v>200</v>
      </c>
      <c r="L213" s="1">
        <v>32</v>
      </c>
      <c r="M213" s="1">
        <v>24</v>
      </c>
    </row>
    <row r="214" spans="1:13" ht="15.75" thickBot="1" x14ac:dyDescent="0.3">
      <c r="A214" s="2">
        <v>1888</v>
      </c>
      <c r="B214" s="1">
        <v>1284</v>
      </c>
      <c r="C214" s="1">
        <v>41</v>
      </c>
      <c r="D214" s="1">
        <v>38</v>
      </c>
      <c r="E214" s="1">
        <v>92</v>
      </c>
      <c r="F214" s="1">
        <v>111</v>
      </c>
      <c r="G214" s="1">
        <v>511</v>
      </c>
      <c r="H214" s="1">
        <v>114</v>
      </c>
      <c r="I214" s="1">
        <v>8</v>
      </c>
      <c r="J214" s="1">
        <v>109</v>
      </c>
      <c r="K214" s="1">
        <v>204</v>
      </c>
      <c r="L214" s="1">
        <v>31</v>
      </c>
      <c r="M214" s="1">
        <v>25</v>
      </c>
    </row>
    <row r="215" spans="1:13" ht="15.75" thickBot="1" x14ac:dyDescent="0.3">
      <c r="A215" s="2">
        <v>1889</v>
      </c>
      <c r="B215" s="1">
        <v>1204</v>
      </c>
      <c r="C215" s="1">
        <v>29</v>
      </c>
      <c r="D215" s="1">
        <v>38</v>
      </c>
      <c r="E215" s="1">
        <v>55</v>
      </c>
      <c r="F215" s="1">
        <v>127</v>
      </c>
      <c r="G215" s="1">
        <v>508</v>
      </c>
      <c r="H215" s="1">
        <v>112</v>
      </c>
      <c r="I215" s="1">
        <v>12</v>
      </c>
      <c r="J215" s="1">
        <v>96</v>
      </c>
      <c r="K215" s="1">
        <v>184</v>
      </c>
      <c r="L215" s="1">
        <v>22</v>
      </c>
      <c r="M215" s="1">
        <v>21</v>
      </c>
    </row>
    <row r="216" spans="1:13" ht="15.75" thickBot="1" x14ac:dyDescent="0.3">
      <c r="A216" s="2">
        <v>1890</v>
      </c>
      <c r="B216" s="1">
        <v>1077</v>
      </c>
      <c r="C216" s="1">
        <v>31</v>
      </c>
      <c r="D216" s="1">
        <v>53</v>
      </c>
      <c r="E216" s="1">
        <v>65</v>
      </c>
      <c r="F216" s="1">
        <v>147</v>
      </c>
      <c r="G216" s="1">
        <v>385</v>
      </c>
      <c r="H216" s="1">
        <v>64</v>
      </c>
      <c r="I216" s="1">
        <v>8</v>
      </c>
      <c r="J216" s="1">
        <v>109</v>
      </c>
      <c r="K216" s="1">
        <v>166</v>
      </c>
      <c r="L216" s="1">
        <v>40</v>
      </c>
      <c r="M216" s="1">
        <v>9</v>
      </c>
    </row>
    <row r="217" spans="1:13" ht="15.75" thickBot="1" x14ac:dyDescent="0.3">
      <c r="A217" s="2">
        <v>1891</v>
      </c>
      <c r="B217" s="1">
        <v>1151</v>
      </c>
      <c r="C217" s="1">
        <v>43</v>
      </c>
      <c r="D217" s="1">
        <v>42</v>
      </c>
      <c r="E217" s="1">
        <v>63</v>
      </c>
      <c r="F217" s="1">
        <v>159</v>
      </c>
      <c r="G217" s="1">
        <v>403</v>
      </c>
      <c r="H217" s="1">
        <v>73</v>
      </c>
      <c r="I217" s="1">
        <v>20</v>
      </c>
      <c r="J217" s="1">
        <v>104</v>
      </c>
      <c r="K217" s="1">
        <v>183</v>
      </c>
      <c r="L217" s="1">
        <v>26</v>
      </c>
      <c r="M217" s="1">
        <v>35</v>
      </c>
    </row>
    <row r="218" spans="1:13" ht="15.75" thickBot="1" x14ac:dyDescent="0.3">
      <c r="A218" s="2">
        <v>1892</v>
      </c>
      <c r="B218" s="1">
        <v>1321</v>
      </c>
      <c r="C218" s="1">
        <v>30</v>
      </c>
      <c r="D218" s="1">
        <v>36</v>
      </c>
      <c r="E218" s="1">
        <v>106</v>
      </c>
      <c r="F218" s="1">
        <v>157</v>
      </c>
      <c r="G218" s="1">
        <v>508</v>
      </c>
      <c r="H218" s="1">
        <v>92</v>
      </c>
      <c r="I218" s="1">
        <v>14</v>
      </c>
      <c r="J218" s="1">
        <v>96</v>
      </c>
      <c r="K218" s="1">
        <v>238</v>
      </c>
      <c r="L218" s="1">
        <v>31</v>
      </c>
      <c r="M218" s="1">
        <v>13</v>
      </c>
    </row>
    <row r="219" spans="1:13" ht="15.75" thickBot="1" x14ac:dyDescent="0.3">
      <c r="A219" s="2">
        <v>1893</v>
      </c>
      <c r="B219" s="1">
        <v>1284</v>
      </c>
      <c r="C219" s="1">
        <v>43</v>
      </c>
      <c r="D219" s="1">
        <v>44</v>
      </c>
      <c r="E219" s="1">
        <v>111</v>
      </c>
      <c r="F219" s="1">
        <v>143</v>
      </c>
      <c r="G219" s="1">
        <v>452</v>
      </c>
      <c r="H219" s="1">
        <v>80</v>
      </c>
      <c r="I219" s="1">
        <v>3</v>
      </c>
      <c r="J219" s="1">
        <v>88</v>
      </c>
      <c r="K219" s="1">
        <v>273</v>
      </c>
      <c r="L219" s="1">
        <v>24</v>
      </c>
      <c r="M219" s="1">
        <v>23</v>
      </c>
    </row>
    <row r="220" spans="1:13" ht="15.75" thickBot="1" x14ac:dyDescent="0.3">
      <c r="A220" s="2">
        <v>1894</v>
      </c>
      <c r="B220" s="1">
        <v>1116</v>
      </c>
      <c r="C220" s="1">
        <v>41</v>
      </c>
      <c r="D220" s="1">
        <v>35</v>
      </c>
      <c r="E220" s="1">
        <v>56</v>
      </c>
      <c r="F220" s="1">
        <v>108</v>
      </c>
      <c r="G220" s="1">
        <v>460</v>
      </c>
      <c r="H220" s="1">
        <v>90</v>
      </c>
      <c r="I220" s="1">
        <v>9</v>
      </c>
      <c r="J220" s="1">
        <v>86</v>
      </c>
      <c r="K220" s="1">
        <v>192</v>
      </c>
      <c r="L220" s="1">
        <v>22</v>
      </c>
      <c r="M220" s="1">
        <v>17</v>
      </c>
    </row>
    <row r="221" spans="1:13" ht="15.75" thickBot="1" x14ac:dyDescent="0.3">
      <c r="A221" s="2">
        <v>1895</v>
      </c>
      <c r="B221" s="1">
        <v>1106</v>
      </c>
      <c r="C221" s="1">
        <v>25</v>
      </c>
      <c r="D221" s="1">
        <v>49</v>
      </c>
      <c r="E221" s="1">
        <v>38</v>
      </c>
      <c r="F221" s="1">
        <v>126</v>
      </c>
      <c r="G221" s="1">
        <v>430</v>
      </c>
      <c r="H221" s="1">
        <v>88</v>
      </c>
      <c r="I221" s="1">
        <v>10</v>
      </c>
      <c r="J221" s="1">
        <v>86</v>
      </c>
      <c r="K221" s="1">
        <v>202</v>
      </c>
      <c r="L221" s="1">
        <v>28</v>
      </c>
      <c r="M221" s="1">
        <v>24</v>
      </c>
    </row>
    <row r="222" spans="1:13" ht="15.75" thickBot="1" x14ac:dyDescent="0.3">
      <c r="A222" s="2">
        <v>1896</v>
      </c>
      <c r="B222" s="1">
        <v>1043</v>
      </c>
      <c r="C222" s="1">
        <v>19</v>
      </c>
      <c r="D222" s="1">
        <v>36</v>
      </c>
      <c r="E222" s="1">
        <v>34</v>
      </c>
      <c r="F222" s="1">
        <v>116</v>
      </c>
      <c r="G222" s="1">
        <v>383</v>
      </c>
      <c r="H222" s="1">
        <v>81</v>
      </c>
      <c r="I222" s="1">
        <v>11</v>
      </c>
      <c r="J222" s="1">
        <v>99</v>
      </c>
      <c r="K222" s="1">
        <v>213</v>
      </c>
      <c r="L222" s="1">
        <v>35</v>
      </c>
      <c r="M222" s="1">
        <v>16</v>
      </c>
    </row>
    <row r="223" spans="1:13" ht="15.75" thickBot="1" x14ac:dyDescent="0.3">
      <c r="A223" s="2">
        <v>1897</v>
      </c>
      <c r="B223" s="1">
        <v>898</v>
      </c>
      <c r="C223" s="1">
        <v>32</v>
      </c>
      <c r="D223" s="1">
        <v>37</v>
      </c>
      <c r="E223" s="1">
        <v>43</v>
      </c>
      <c r="F223" s="1">
        <v>104</v>
      </c>
      <c r="G223" s="1">
        <v>256</v>
      </c>
      <c r="H223" s="1">
        <v>94</v>
      </c>
      <c r="I223" s="1">
        <v>4</v>
      </c>
      <c r="J223" s="1">
        <v>111</v>
      </c>
      <c r="K223" s="1">
        <v>171</v>
      </c>
      <c r="L223" s="1">
        <v>35</v>
      </c>
      <c r="M223" s="1">
        <v>11</v>
      </c>
    </row>
    <row r="224" spans="1:13" ht="15.75" thickBot="1" x14ac:dyDescent="0.3">
      <c r="A224" s="2">
        <v>1898</v>
      </c>
      <c r="B224" s="1">
        <v>1027</v>
      </c>
      <c r="C224" s="1">
        <v>17</v>
      </c>
      <c r="D224" s="1">
        <v>58</v>
      </c>
      <c r="E224" s="1">
        <v>71</v>
      </c>
      <c r="F224" s="1">
        <v>136</v>
      </c>
      <c r="G224" s="1">
        <v>280</v>
      </c>
      <c r="H224" s="1">
        <v>127</v>
      </c>
      <c r="I224" s="1">
        <v>16</v>
      </c>
      <c r="J224" s="1">
        <v>86</v>
      </c>
      <c r="K224" s="1">
        <v>204</v>
      </c>
      <c r="L224" s="1">
        <v>16</v>
      </c>
      <c r="M224" s="1">
        <v>16</v>
      </c>
    </row>
    <row r="225" spans="1:13" ht="15.75" thickBot="1" x14ac:dyDescent="0.3">
      <c r="A225" s="2">
        <v>1899</v>
      </c>
      <c r="B225" s="1">
        <v>915</v>
      </c>
      <c r="C225" s="1">
        <v>15</v>
      </c>
      <c r="D225" s="1">
        <v>50</v>
      </c>
      <c r="E225" s="1">
        <v>58</v>
      </c>
      <c r="F225" s="1">
        <v>113</v>
      </c>
      <c r="G225" s="1">
        <v>249</v>
      </c>
      <c r="H225" s="1">
        <v>105</v>
      </c>
      <c r="I225" s="1">
        <v>15</v>
      </c>
      <c r="J225" s="1">
        <v>94</v>
      </c>
      <c r="K225" s="1">
        <v>187</v>
      </c>
      <c r="L225" s="1">
        <v>22</v>
      </c>
      <c r="M225" s="1">
        <v>7</v>
      </c>
    </row>
    <row r="226" spans="1:13" ht="15.75" thickBot="1" x14ac:dyDescent="0.3">
      <c r="A226" s="2">
        <v>1900</v>
      </c>
      <c r="B226" s="1">
        <v>884</v>
      </c>
      <c r="C226" s="1">
        <v>18</v>
      </c>
      <c r="D226" s="1">
        <v>49</v>
      </c>
      <c r="E226" s="1">
        <v>30</v>
      </c>
      <c r="F226" s="1">
        <v>129</v>
      </c>
      <c r="G226" s="1">
        <v>283</v>
      </c>
      <c r="H226" s="1">
        <v>70</v>
      </c>
      <c r="I226" s="1">
        <v>6</v>
      </c>
      <c r="J226" s="1">
        <v>96</v>
      </c>
      <c r="K226" s="1">
        <v>165</v>
      </c>
      <c r="L226" s="1">
        <v>27</v>
      </c>
      <c r="M226" s="1">
        <v>11</v>
      </c>
    </row>
    <row r="227" spans="1:13" ht="15.75" thickBot="1" x14ac:dyDescent="0.3">
      <c r="A227" s="2">
        <v>1901</v>
      </c>
      <c r="B227" s="1">
        <v>1053</v>
      </c>
      <c r="C227" s="1">
        <v>27</v>
      </c>
      <c r="D227" s="1">
        <v>71</v>
      </c>
      <c r="E227" s="1">
        <v>28</v>
      </c>
      <c r="F227" s="1">
        <v>136</v>
      </c>
      <c r="G227" s="1">
        <v>336</v>
      </c>
      <c r="H227" s="1">
        <v>107</v>
      </c>
      <c r="I227" s="1">
        <v>15</v>
      </c>
      <c r="J227" s="1">
        <v>123</v>
      </c>
      <c r="K227" s="1">
        <v>176</v>
      </c>
      <c r="L227" s="1">
        <v>23</v>
      </c>
      <c r="M227" s="1">
        <v>11</v>
      </c>
    </row>
    <row r="228" spans="1:13" ht="15.75" thickBot="1" x14ac:dyDescent="0.3">
      <c r="A228" s="2">
        <v>1902</v>
      </c>
      <c r="B228" s="1">
        <v>1100</v>
      </c>
      <c r="C228" s="1">
        <v>29</v>
      </c>
      <c r="D228" s="1">
        <v>74</v>
      </c>
      <c r="E228" s="1">
        <v>37</v>
      </c>
      <c r="F228" s="1">
        <v>127</v>
      </c>
      <c r="G228" s="1">
        <v>296</v>
      </c>
      <c r="H228" s="1">
        <v>96</v>
      </c>
      <c r="I228" s="1">
        <v>17</v>
      </c>
      <c r="J228" s="1">
        <v>114</v>
      </c>
      <c r="K228" s="1">
        <v>260</v>
      </c>
      <c r="L228" s="1">
        <v>29</v>
      </c>
      <c r="M228" s="1">
        <v>21</v>
      </c>
    </row>
    <row r="229" spans="1:13" ht="15.75" thickBot="1" x14ac:dyDescent="0.3">
      <c r="A229" s="2">
        <v>1903</v>
      </c>
      <c r="B229" s="1">
        <v>1091</v>
      </c>
      <c r="C229" s="1">
        <v>39</v>
      </c>
      <c r="D229" s="1">
        <v>42</v>
      </c>
      <c r="E229" s="1">
        <v>34</v>
      </c>
      <c r="F229" s="1">
        <v>163</v>
      </c>
      <c r="G229" s="1">
        <v>347</v>
      </c>
      <c r="H229" s="1">
        <v>91</v>
      </c>
      <c r="I229" s="1">
        <v>22</v>
      </c>
      <c r="J229" s="1">
        <v>112</v>
      </c>
      <c r="K229" s="1">
        <v>200</v>
      </c>
      <c r="L229" s="1">
        <v>29</v>
      </c>
      <c r="M229" s="1">
        <v>12</v>
      </c>
    </row>
    <row r="230" spans="1:13" ht="15.75" thickBot="1" x14ac:dyDescent="0.3">
      <c r="A230" s="2">
        <v>1904</v>
      </c>
      <c r="B230" s="1">
        <v>1003</v>
      </c>
      <c r="C230" s="1">
        <v>37</v>
      </c>
      <c r="D230" s="1">
        <v>45</v>
      </c>
      <c r="E230" s="1">
        <v>46</v>
      </c>
      <c r="F230" s="1">
        <v>138</v>
      </c>
      <c r="G230" s="1">
        <v>331</v>
      </c>
      <c r="H230" s="1">
        <v>69</v>
      </c>
      <c r="I230" s="1">
        <v>3</v>
      </c>
      <c r="J230" s="1">
        <v>103</v>
      </c>
      <c r="K230" s="1">
        <v>184</v>
      </c>
      <c r="L230" s="1">
        <v>32</v>
      </c>
      <c r="M230" s="1">
        <v>15</v>
      </c>
    </row>
    <row r="231" spans="1:13" ht="15.75" thickBot="1" x14ac:dyDescent="0.3">
      <c r="A231" s="2">
        <v>1905</v>
      </c>
      <c r="B231" s="1">
        <v>1031</v>
      </c>
      <c r="C231" s="1">
        <v>5</v>
      </c>
      <c r="D231" s="1">
        <v>46</v>
      </c>
      <c r="E231" s="1">
        <v>94</v>
      </c>
      <c r="F231" s="1">
        <v>119</v>
      </c>
      <c r="G231" s="1">
        <v>340</v>
      </c>
      <c r="H231" s="1">
        <v>60</v>
      </c>
      <c r="I231" s="1">
        <v>10</v>
      </c>
      <c r="J231" s="1">
        <v>109</v>
      </c>
      <c r="K231" s="1">
        <v>213</v>
      </c>
      <c r="L231" s="1">
        <v>22</v>
      </c>
      <c r="M231" s="1">
        <v>13</v>
      </c>
    </row>
    <row r="232" spans="1:13" ht="15.75" thickBot="1" x14ac:dyDescent="0.3">
      <c r="A232" s="2">
        <v>1906</v>
      </c>
      <c r="B232" s="1">
        <v>1056</v>
      </c>
      <c r="C232" s="1">
        <v>30</v>
      </c>
      <c r="D232" s="1">
        <v>33</v>
      </c>
      <c r="E232" s="1">
        <v>85</v>
      </c>
      <c r="F232" s="1">
        <v>146</v>
      </c>
      <c r="G232" s="1">
        <v>333</v>
      </c>
      <c r="H232" s="1">
        <v>63</v>
      </c>
      <c r="I232" s="1">
        <v>3</v>
      </c>
      <c r="J232" s="1">
        <v>101</v>
      </c>
      <c r="K232" s="1">
        <v>231</v>
      </c>
      <c r="L232" s="1">
        <v>24</v>
      </c>
      <c r="M232" s="1">
        <v>7</v>
      </c>
    </row>
    <row r="233" spans="1:13" ht="15.75" thickBot="1" x14ac:dyDescent="0.3">
      <c r="A233" s="2">
        <v>1907</v>
      </c>
      <c r="B233" s="1">
        <v>1011</v>
      </c>
      <c r="C233" s="1">
        <v>63</v>
      </c>
      <c r="D233" s="1">
        <v>38</v>
      </c>
      <c r="E233" s="1">
        <v>50</v>
      </c>
      <c r="F233" s="1">
        <v>114</v>
      </c>
      <c r="G233" s="1">
        <v>309</v>
      </c>
      <c r="H233" s="1">
        <v>60</v>
      </c>
      <c r="I233" s="1">
        <v>13</v>
      </c>
      <c r="J233" s="1">
        <v>124</v>
      </c>
      <c r="K233" s="1">
        <v>217</v>
      </c>
      <c r="L233" s="1">
        <v>10</v>
      </c>
      <c r="M233" s="1">
        <v>13</v>
      </c>
    </row>
    <row r="234" spans="1:13" ht="15.75" thickBot="1" x14ac:dyDescent="0.3">
      <c r="A234" s="2">
        <v>1908</v>
      </c>
      <c r="B234" s="1">
        <v>986</v>
      </c>
      <c r="C234" s="1">
        <v>34</v>
      </c>
      <c r="D234" s="1">
        <v>40</v>
      </c>
      <c r="E234" s="1">
        <v>64</v>
      </c>
      <c r="F234" s="1">
        <v>104</v>
      </c>
      <c r="G234" s="1">
        <v>329</v>
      </c>
      <c r="H234" s="1">
        <v>70</v>
      </c>
      <c r="I234" s="1">
        <v>12</v>
      </c>
      <c r="J234" s="1">
        <v>98</v>
      </c>
      <c r="K234" s="1">
        <v>203</v>
      </c>
      <c r="L234" s="1">
        <v>24</v>
      </c>
      <c r="M234" s="1">
        <v>8</v>
      </c>
    </row>
    <row r="235" spans="1:13" ht="15.75" thickBot="1" x14ac:dyDescent="0.3">
      <c r="A235" s="2">
        <v>1909</v>
      </c>
      <c r="B235" s="1">
        <v>1047</v>
      </c>
      <c r="C235" s="1">
        <v>82</v>
      </c>
      <c r="D235" s="1">
        <v>34</v>
      </c>
      <c r="E235" s="1">
        <v>82</v>
      </c>
      <c r="F235" s="1">
        <v>137</v>
      </c>
      <c r="G235" s="1">
        <v>298</v>
      </c>
      <c r="H235" s="1">
        <v>33</v>
      </c>
      <c r="I235" s="1">
        <v>5</v>
      </c>
      <c r="J235" s="1">
        <v>87</v>
      </c>
      <c r="K235" s="1">
        <v>242</v>
      </c>
      <c r="L235" s="1">
        <v>24</v>
      </c>
      <c r="M235" s="1">
        <v>23</v>
      </c>
    </row>
    <row r="236" spans="1:13" ht="15.75" thickBot="1" x14ac:dyDescent="0.3">
      <c r="A236" s="2">
        <v>1910</v>
      </c>
      <c r="B236" s="1">
        <v>1044</v>
      </c>
      <c r="C236" s="1">
        <v>74</v>
      </c>
      <c r="D236" s="1">
        <v>28</v>
      </c>
      <c r="E236" s="1">
        <v>119</v>
      </c>
      <c r="F236" s="1">
        <v>118</v>
      </c>
      <c r="G236" s="1">
        <v>294</v>
      </c>
      <c r="H236" s="1">
        <v>47</v>
      </c>
      <c r="I236" s="1">
        <v>12</v>
      </c>
      <c r="J236" s="1">
        <v>87</v>
      </c>
      <c r="K236" s="1">
        <v>218</v>
      </c>
      <c r="L236" s="1">
        <v>36</v>
      </c>
      <c r="M236" s="1">
        <v>11</v>
      </c>
    </row>
    <row r="237" spans="1:13" ht="15.75" thickBot="1" x14ac:dyDescent="0.3">
      <c r="A237" s="2">
        <v>1911</v>
      </c>
      <c r="B237" s="1">
        <v>1014</v>
      </c>
      <c r="C237" s="1">
        <v>96</v>
      </c>
      <c r="D237" s="1">
        <v>32</v>
      </c>
      <c r="E237" s="1">
        <v>99</v>
      </c>
      <c r="F237" s="1">
        <v>111</v>
      </c>
      <c r="G237" s="1">
        <v>318</v>
      </c>
      <c r="H237" s="1">
        <v>46</v>
      </c>
      <c r="I237" s="1">
        <v>4</v>
      </c>
      <c r="J237" s="1">
        <v>97</v>
      </c>
      <c r="K237" s="1">
        <v>178</v>
      </c>
      <c r="L237" s="1">
        <v>23</v>
      </c>
      <c r="M237" s="1">
        <v>10</v>
      </c>
    </row>
    <row r="238" spans="1:13" ht="15.75" thickBot="1" x14ac:dyDescent="0.3">
      <c r="A238" s="2">
        <v>1912</v>
      </c>
      <c r="B238" s="1">
        <v>1039</v>
      </c>
      <c r="C238" s="1">
        <v>89</v>
      </c>
      <c r="D238" s="1">
        <v>42</v>
      </c>
      <c r="E238" s="1">
        <v>66</v>
      </c>
      <c r="F238" s="1">
        <v>132</v>
      </c>
      <c r="G238" s="1">
        <v>292</v>
      </c>
      <c r="H238" s="1">
        <v>54</v>
      </c>
      <c r="I238" s="1">
        <v>5</v>
      </c>
      <c r="J238" s="1">
        <v>116</v>
      </c>
      <c r="K238" s="1">
        <v>211</v>
      </c>
      <c r="L238" s="1">
        <v>18</v>
      </c>
      <c r="M238" s="1">
        <v>14</v>
      </c>
    </row>
    <row r="239" spans="1:13" x14ac:dyDescent="0.25">
      <c r="A239" s="2">
        <v>1913</v>
      </c>
      <c r="B239" s="1">
        <v>401</v>
      </c>
      <c r="C239" s="1">
        <v>46</v>
      </c>
      <c r="D239" s="1">
        <v>12</v>
      </c>
      <c r="E239" s="1">
        <v>15</v>
      </c>
      <c r="F239" s="1">
        <v>49</v>
      </c>
      <c r="G239" s="1">
        <v>122</v>
      </c>
      <c r="H239" s="1">
        <v>16</v>
      </c>
      <c r="I239" s="1">
        <v>2</v>
      </c>
      <c r="J239" s="1">
        <v>30</v>
      </c>
      <c r="K239" s="1">
        <v>87</v>
      </c>
      <c r="L239" s="1">
        <v>11</v>
      </c>
      <c r="M239" s="1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defaultRowHeight="15" x14ac:dyDescent="0.25"/>
  <cols>
    <col min="1" max="1" width="19.42578125" customWidth="1"/>
    <col min="2" max="2" width="8.28515625" bestFit="1" customWidth="1"/>
    <col min="3" max="3" width="8.140625" bestFit="1" customWidth="1"/>
    <col min="4" max="4" width="10" bestFit="1" customWidth="1"/>
    <col min="5" max="5" width="16.85546875" bestFit="1" customWidth="1"/>
  </cols>
  <sheetData>
    <row r="1" spans="1:5" ht="15.75" thickBot="1" x14ac:dyDescent="0.3">
      <c r="A1" s="31" t="s">
        <v>60</v>
      </c>
      <c r="B1" s="31" t="s">
        <v>1</v>
      </c>
      <c r="C1" s="31" t="s">
        <v>57</v>
      </c>
      <c r="D1" s="31" t="s">
        <v>58</v>
      </c>
      <c r="E1" s="31" t="s">
        <v>59</v>
      </c>
    </row>
    <row r="2" spans="1:5" ht="15.75" thickBot="1" x14ac:dyDescent="0.3">
      <c r="A2" s="32" t="s">
        <v>1</v>
      </c>
      <c r="B2" s="1">
        <v>252552</v>
      </c>
      <c r="C2" s="1">
        <v>197946</v>
      </c>
      <c r="D2" s="1">
        <v>54331</v>
      </c>
      <c r="E2" s="1">
        <v>275</v>
      </c>
    </row>
    <row r="3" spans="1:5" ht="15.75" thickBot="1" x14ac:dyDescent="0.3">
      <c r="A3" s="32" t="s">
        <v>8</v>
      </c>
      <c r="B3" s="1">
        <v>7221</v>
      </c>
      <c r="C3" s="1">
        <v>6110</v>
      </c>
      <c r="D3" s="1">
        <v>1047</v>
      </c>
      <c r="E3" s="1">
        <v>64</v>
      </c>
    </row>
    <row r="4" spans="1:5" ht="15.75" thickBot="1" x14ac:dyDescent="0.3">
      <c r="A4" s="32" t="s">
        <v>2</v>
      </c>
      <c r="B4" s="1">
        <v>2053</v>
      </c>
      <c r="C4" s="1">
        <v>1797</v>
      </c>
      <c r="D4" s="1">
        <v>254</v>
      </c>
      <c r="E4" s="1">
        <v>2</v>
      </c>
    </row>
    <row r="5" spans="1:5" ht="15.75" thickBot="1" x14ac:dyDescent="0.3">
      <c r="A5" s="32" t="s">
        <v>9</v>
      </c>
      <c r="B5" s="1">
        <v>8611</v>
      </c>
      <c r="C5" s="1">
        <v>7496</v>
      </c>
      <c r="D5" s="1">
        <v>1105</v>
      </c>
      <c r="E5" s="1">
        <v>10</v>
      </c>
    </row>
    <row r="6" spans="1:5" ht="15.75" thickBot="1" x14ac:dyDescent="0.3">
      <c r="A6" s="32" t="s">
        <v>12</v>
      </c>
      <c r="B6" s="1">
        <v>1166</v>
      </c>
      <c r="C6" s="1">
        <v>966</v>
      </c>
      <c r="D6" s="1">
        <v>198</v>
      </c>
      <c r="E6" s="1">
        <v>2</v>
      </c>
    </row>
    <row r="7" spans="1:5" ht="15.75" thickBot="1" x14ac:dyDescent="0.3">
      <c r="A7" s="32" t="s">
        <v>10</v>
      </c>
      <c r="B7" s="1">
        <v>16012</v>
      </c>
      <c r="C7" s="1">
        <v>14529</v>
      </c>
      <c r="D7" s="1">
        <v>1471</v>
      </c>
      <c r="E7" s="1">
        <v>12</v>
      </c>
    </row>
    <row r="8" spans="1:5" ht="15.75" thickBot="1" x14ac:dyDescent="0.3">
      <c r="A8" s="32" t="s">
        <v>3</v>
      </c>
      <c r="B8" s="1">
        <v>6103</v>
      </c>
      <c r="C8" s="1">
        <v>4730</v>
      </c>
      <c r="D8" s="1">
        <v>1360</v>
      </c>
      <c r="E8" s="1">
        <v>13</v>
      </c>
    </row>
    <row r="9" spans="1:5" ht="15.75" thickBot="1" x14ac:dyDescent="0.3">
      <c r="A9" s="32" t="s">
        <v>11</v>
      </c>
      <c r="B9" s="1">
        <v>3860</v>
      </c>
      <c r="C9" s="1">
        <v>2734</v>
      </c>
      <c r="D9" s="1">
        <v>1118</v>
      </c>
      <c r="E9" s="1">
        <v>8</v>
      </c>
    </row>
    <row r="10" spans="1:5" ht="15.75" thickBot="1" x14ac:dyDescent="0.3">
      <c r="A10" s="32" t="s">
        <v>4</v>
      </c>
      <c r="B10" s="1">
        <v>13837</v>
      </c>
      <c r="C10" s="1">
        <v>10058</v>
      </c>
      <c r="D10" s="1">
        <v>3764</v>
      </c>
      <c r="E10" s="1">
        <v>15</v>
      </c>
    </row>
    <row r="11" spans="1:5" ht="15.75" thickBot="1" x14ac:dyDescent="0.3">
      <c r="A11" s="32" t="s">
        <v>5</v>
      </c>
      <c r="B11" s="1">
        <v>7536</v>
      </c>
      <c r="C11" s="1">
        <v>6968</v>
      </c>
      <c r="D11" s="1">
        <v>562</v>
      </c>
      <c r="E11" s="1">
        <v>6</v>
      </c>
    </row>
    <row r="12" spans="1:5" ht="15.75" thickBot="1" x14ac:dyDescent="0.3">
      <c r="A12" s="32" t="s">
        <v>6</v>
      </c>
      <c r="B12" s="1">
        <v>173541</v>
      </c>
      <c r="C12" s="1">
        <v>131586</v>
      </c>
      <c r="D12" s="1">
        <v>41819</v>
      </c>
      <c r="E12" s="1">
        <v>136</v>
      </c>
    </row>
    <row r="13" spans="1:5" x14ac:dyDescent="0.25">
      <c r="A13" s="32" t="s">
        <v>7</v>
      </c>
      <c r="B13" s="1">
        <v>12612</v>
      </c>
      <c r="C13" s="1">
        <v>10972</v>
      </c>
      <c r="D13" s="1">
        <v>1633</v>
      </c>
      <c r="E13" s="1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8" sqref="C28"/>
    </sheetView>
  </sheetViews>
  <sheetFormatPr defaultRowHeight="15" x14ac:dyDescent="0.25"/>
  <cols>
    <col min="1" max="1" width="5" bestFit="1" customWidth="1"/>
    <col min="2" max="2" width="49.140625" bestFit="1" customWidth="1"/>
    <col min="3" max="3" width="47.28515625" bestFit="1" customWidth="1"/>
  </cols>
  <sheetData>
    <row r="1" spans="1:13" x14ac:dyDescent="0.25">
      <c r="A1">
        <f>334+81</f>
        <v>415</v>
      </c>
      <c r="B1" s="1" t="s">
        <v>39</v>
      </c>
    </row>
    <row r="2" spans="1:13" x14ac:dyDescent="0.25">
      <c r="A2">
        <v>62</v>
      </c>
      <c r="B2" s="1" t="s">
        <v>40</v>
      </c>
    </row>
    <row r="3" spans="1:13" x14ac:dyDescent="0.25">
      <c r="A3">
        <f>128+36</f>
        <v>164</v>
      </c>
      <c r="B3" s="1" t="s">
        <v>41</v>
      </c>
    </row>
    <row r="4" spans="1:13" x14ac:dyDescent="0.25">
      <c r="A4" s="30">
        <v>487</v>
      </c>
      <c r="B4" s="30" t="s">
        <v>43</v>
      </c>
      <c r="C4" s="29" t="s">
        <v>42</v>
      </c>
      <c r="I4" s="1"/>
      <c r="M4" s="1"/>
    </row>
    <row r="5" spans="1:13" x14ac:dyDescent="0.25">
      <c r="A5" s="27">
        <v>463</v>
      </c>
      <c r="B5" s="27" t="s">
        <v>44</v>
      </c>
      <c r="C5" s="29"/>
      <c r="I5" s="1"/>
      <c r="M5" s="1"/>
    </row>
    <row r="6" spans="1:13" x14ac:dyDescent="0.25">
      <c r="A6" s="27">
        <v>144</v>
      </c>
      <c r="B6" s="27" t="s">
        <v>45</v>
      </c>
      <c r="C6" s="29"/>
      <c r="I6" s="1"/>
      <c r="M6" s="1"/>
    </row>
    <row r="7" spans="1:13" x14ac:dyDescent="0.25">
      <c r="A7" s="28">
        <f>191+79+33+27+29+92+73+3+227</f>
        <v>754</v>
      </c>
      <c r="B7" s="28" t="s">
        <v>46</v>
      </c>
      <c r="C7" s="29"/>
      <c r="I7" s="1"/>
      <c r="M7" s="1"/>
    </row>
    <row r="8" spans="1:13" x14ac:dyDescent="0.25">
      <c r="A8">
        <v>3514</v>
      </c>
      <c r="B8" t="s">
        <v>47</v>
      </c>
      <c r="C8" s="29"/>
      <c r="I8" s="1"/>
      <c r="M8" s="1"/>
    </row>
    <row r="9" spans="1:13" x14ac:dyDescent="0.25">
      <c r="A9">
        <v>855</v>
      </c>
      <c r="B9" t="s">
        <v>48</v>
      </c>
      <c r="C9" s="29"/>
      <c r="I9" s="1"/>
      <c r="M9" s="1"/>
    </row>
    <row r="10" spans="1:13" x14ac:dyDescent="0.25">
      <c r="A10">
        <v>220</v>
      </c>
      <c r="B10" t="s">
        <v>49</v>
      </c>
      <c r="C10" s="29"/>
    </row>
    <row r="11" spans="1:13" x14ac:dyDescent="0.25">
      <c r="A11" s="27">
        <f>463+149</f>
        <v>612</v>
      </c>
      <c r="B11" s="27" t="s">
        <v>44</v>
      </c>
      <c r="C11" s="29" t="s">
        <v>51</v>
      </c>
    </row>
    <row r="12" spans="1:13" x14ac:dyDescent="0.25">
      <c r="A12" s="27">
        <f>144+117</f>
        <v>261</v>
      </c>
      <c r="B12" s="27" t="s">
        <v>45</v>
      </c>
      <c r="C12" s="29"/>
    </row>
    <row r="13" spans="1:13" x14ac:dyDescent="0.25">
      <c r="A13" s="28">
        <f>754+207</f>
        <v>961</v>
      </c>
      <c r="B13" s="28" t="s">
        <v>52</v>
      </c>
    </row>
    <row r="14" spans="1:13" x14ac:dyDescent="0.25">
      <c r="A14" s="30">
        <v>1321</v>
      </c>
      <c r="B14" s="30" t="s">
        <v>54</v>
      </c>
      <c r="C14" s="26" t="s">
        <v>53</v>
      </c>
    </row>
    <row r="15" spans="1:13" x14ac:dyDescent="0.25">
      <c r="A15">
        <v>527</v>
      </c>
      <c r="B15" t="s">
        <v>55</v>
      </c>
      <c r="C15" s="26"/>
    </row>
    <row r="16" spans="1:13" x14ac:dyDescent="0.25">
      <c r="A16">
        <v>4370</v>
      </c>
      <c r="B16" t="s">
        <v>56</v>
      </c>
      <c r="C16" s="26"/>
    </row>
    <row r="17" spans="2:4" x14ac:dyDescent="0.25">
      <c r="C17" t="s">
        <v>64</v>
      </c>
    </row>
    <row r="18" spans="2:4" x14ac:dyDescent="0.25">
      <c r="B18" t="s">
        <v>60</v>
      </c>
      <c r="C18" t="s">
        <v>61</v>
      </c>
      <c r="D18" t="s">
        <v>62</v>
      </c>
    </row>
    <row r="19" spans="2:4" x14ac:dyDescent="0.25">
      <c r="B19" t="s">
        <v>43</v>
      </c>
      <c r="C19" s="33">
        <f>(531*0.915)+(305*0.866)+(226*0.982)+(90*0.978)</f>
        <v>1059.9470000000001</v>
      </c>
      <c r="D19" s="33">
        <f>(531*0.085)+(305*0.134)+(226*0.018)+(90*0.022)</f>
        <v>92.053000000000011</v>
      </c>
    </row>
    <row r="20" spans="2:4" x14ac:dyDescent="0.25">
      <c r="B20" t="s">
        <v>44</v>
      </c>
      <c r="C20" s="33">
        <f>(623*0.859)+(434*0.839)+(189*0.905)+(173*0.873)</f>
        <v>1221.357</v>
      </c>
      <c r="D20" s="33">
        <f>(623*0.141)+(434*0.161)+(189*0.095)+(173*0.127)</f>
        <v>197.643</v>
      </c>
    </row>
    <row r="21" spans="2:4" x14ac:dyDescent="0.25">
      <c r="B21" t="s">
        <v>45</v>
      </c>
      <c r="C21" s="33">
        <f>(204*0.657)+(122*0.598)+(82*0.744)+(100*0.81)</f>
        <v>348.99200000000002</v>
      </c>
      <c r="D21" s="33">
        <f>(204*0.343)+(122*0.402)+(82*0.256)+(100*0.19)</f>
        <v>159.00800000000001</v>
      </c>
    </row>
    <row r="22" spans="2:4" x14ac:dyDescent="0.25">
      <c r="B22" t="s">
        <v>46</v>
      </c>
      <c r="C22" s="33">
        <f>(808*0.739)+(515*0.645)+(293*0.904)+(226*0.942)</f>
        <v>1407.0510000000002</v>
      </c>
      <c r="D22" s="33">
        <f>(808*0.261)+(515*0.355)+(293*0.096)+(226*0.058)</f>
        <v>434.94899999999996</v>
      </c>
    </row>
    <row r="23" spans="2:4" x14ac:dyDescent="0.25">
      <c r="B23" t="s">
        <v>63</v>
      </c>
      <c r="C23" s="33">
        <f>(3870*0.744)+(2745*0.707)+(1125*0.835)+(753*0.884)</f>
        <v>6425.0219999999999</v>
      </c>
      <c r="D23" s="33">
        <f>(3870*0.256)+(2745*0.293)+(1125*0.165)+(753*0.116)</f>
        <v>2067.9780000000001</v>
      </c>
    </row>
    <row r="24" spans="2:4" x14ac:dyDescent="0.25">
      <c r="B24" t="s">
        <v>48</v>
      </c>
      <c r="C24" s="33">
        <f>(812*0.713)+(524*0.662)+(288*0.806)+(480*0.806)</f>
        <v>1544.8519999999999</v>
      </c>
      <c r="D24" s="33">
        <f>(812*0.287)+(524*0.338)+(288*0.194)+(480*0.194)</f>
        <v>559.14800000000002</v>
      </c>
    </row>
    <row r="25" spans="2:4" x14ac:dyDescent="0.25">
      <c r="B25" t="s">
        <v>49</v>
      </c>
      <c r="C25" s="33">
        <f>(213*0.728)+(172*0.709)+(41*0.805)+(23*0.826)</f>
        <v>329.01499999999999</v>
      </c>
      <c r="D25" s="33">
        <f>(213*0.272)+(172*0.291)+(41*0.195)+(23*0.174)</f>
        <v>119.985</v>
      </c>
    </row>
    <row r="26" spans="2:4" x14ac:dyDescent="0.25">
      <c r="C26" s="33">
        <f>SUM(C19:C25)</f>
        <v>12336.236000000001</v>
      </c>
      <c r="D26" s="33">
        <f>SUM(D19:D25)</f>
        <v>3630.7640000000006</v>
      </c>
    </row>
  </sheetData>
  <mergeCells count="3">
    <mergeCell ref="C4:C10"/>
    <mergeCell ref="C11:C12"/>
    <mergeCell ref="C14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workbookViewId="0">
      <selection sqref="A1:J17"/>
    </sheetView>
  </sheetViews>
  <sheetFormatPr defaultRowHeight="15" x14ac:dyDescent="0.25"/>
  <cols>
    <col min="1" max="1" width="11.42578125" customWidth="1"/>
    <col min="2" max="2" width="19.28515625" customWidth="1"/>
    <col min="3" max="3" width="22.85546875" customWidth="1"/>
    <col min="4" max="5" width="8.5703125" customWidth="1"/>
    <col min="6" max="6" width="10" customWidth="1"/>
    <col min="7" max="7" width="17.140625" customWidth="1"/>
    <col min="8" max="8" width="20.7109375" customWidth="1"/>
    <col min="9" max="9" width="7.140625" customWidth="1"/>
    <col min="10" max="10" width="6.42578125" customWidth="1"/>
    <col min="12" max="12" width="11.42578125" customWidth="1"/>
    <col min="13" max="13" width="19.28515625" customWidth="1"/>
    <col min="14" max="14" width="22.85546875" customWidth="1"/>
    <col min="15" max="16" width="8.5703125" customWidth="1"/>
    <col min="17" max="17" width="10" customWidth="1"/>
    <col min="18" max="18" width="17.140625" customWidth="1"/>
    <col min="19" max="19" width="20.7109375" customWidth="1"/>
    <col min="20" max="20" width="7.140625" customWidth="1"/>
    <col min="21" max="21" width="6.42578125" customWidth="1"/>
  </cols>
  <sheetData>
    <row r="1" spans="1:21" x14ac:dyDescent="0.25">
      <c r="A1" s="8" t="str">
        <f>CONCATENATE("h1: there is an association between the old bailey and the charge of ",oldBailey_raw_count!C1)</f>
        <v>h1: there is an association between the old bailey and the charge of multiple offences</v>
      </c>
      <c r="B1" s="9"/>
      <c r="C1" s="9"/>
      <c r="D1" s="9"/>
      <c r="E1" s="10"/>
      <c r="F1" s="10"/>
      <c r="G1" s="10"/>
      <c r="H1" s="10"/>
      <c r="I1" s="10"/>
      <c r="J1" s="11"/>
      <c r="L1" s="8" t="str">
        <f>CONCATENATE("h1: there is an association between the old bailey and the charge of ",oldBailey_raw_count!D1)</f>
        <v>h1: there is an association between the old bailey and the charge of Killing</v>
      </c>
      <c r="M1" s="9"/>
      <c r="N1" s="9"/>
      <c r="O1" s="9"/>
      <c r="P1" s="10"/>
      <c r="Q1" s="10"/>
      <c r="R1" s="10"/>
      <c r="S1" s="10"/>
      <c r="T1" s="10"/>
      <c r="U1" s="11"/>
    </row>
    <row r="2" spans="1:21" x14ac:dyDescent="0.25">
      <c r="A2" s="12"/>
      <c r="B2" s="13"/>
      <c r="C2" s="13"/>
      <c r="D2" s="13"/>
      <c r="E2" s="14"/>
      <c r="F2" s="14"/>
      <c r="G2" s="14"/>
      <c r="H2" s="14"/>
      <c r="I2" s="14"/>
      <c r="J2" s="15"/>
      <c r="L2" s="12"/>
      <c r="M2" s="13"/>
      <c r="N2" s="13"/>
      <c r="O2" s="13"/>
      <c r="P2" s="14"/>
      <c r="Q2" s="14"/>
      <c r="R2" s="14"/>
      <c r="S2" s="14"/>
      <c r="T2" s="14"/>
      <c r="U2" s="15"/>
    </row>
    <row r="3" spans="1:21" x14ac:dyDescent="0.25">
      <c r="A3" s="12" t="s">
        <v>28</v>
      </c>
      <c r="B3" s="13" t="str">
        <f>oldBailey_raw_count!C1</f>
        <v>multiple offences</v>
      </c>
      <c r="C3" s="13" t="str">
        <f>CONCATENATE("not ",B3)</f>
        <v>not multiple offences</v>
      </c>
      <c r="D3" s="13"/>
      <c r="E3" s="14"/>
      <c r="F3" s="13" t="s">
        <v>29</v>
      </c>
      <c r="G3" s="13" t="str">
        <f>B3</f>
        <v>multiple offences</v>
      </c>
      <c r="H3" s="13" t="str">
        <f>C3</f>
        <v>not multiple offences</v>
      </c>
      <c r="I3" s="14"/>
      <c r="J3" s="15"/>
      <c r="L3" s="12" t="s">
        <v>28</v>
      </c>
      <c r="M3" s="13" t="str">
        <f>oldBailey_raw_count!D1</f>
        <v>Killing</v>
      </c>
      <c r="N3" s="13" t="str">
        <f>CONCATENATE("not ",M3)</f>
        <v>not Killing</v>
      </c>
      <c r="O3" s="13"/>
      <c r="P3" s="14"/>
      <c r="Q3" s="13" t="s">
        <v>29</v>
      </c>
      <c r="R3" s="13" t="str">
        <f>M3</f>
        <v>Killing</v>
      </c>
      <c r="S3" s="13" t="str">
        <f>N3</f>
        <v>not Killing</v>
      </c>
      <c r="T3" s="14"/>
      <c r="U3" s="15"/>
    </row>
    <row r="4" spans="1:21" x14ac:dyDescent="0.25">
      <c r="A4" s="12" t="s">
        <v>30</v>
      </c>
      <c r="B4" s="16">
        <f>SUM(oldBailey_raw_count!C2:'oldBailey_raw_count'!C239)</f>
        <v>2053</v>
      </c>
      <c r="C4" s="16">
        <f>SUM(oldBailey_raw_count!D2:'oldBailey_raw_count'!M239)</f>
        <v>250499</v>
      </c>
      <c r="D4" s="13">
        <f>SUM(B4+C4)</f>
        <v>252552</v>
      </c>
      <c r="E4" s="14"/>
      <c r="F4" s="13" t="str">
        <f>A4</f>
        <v>oldBailey</v>
      </c>
      <c r="G4" s="14">
        <f>(D4*B6)/D6</f>
        <v>2053</v>
      </c>
      <c r="H4" s="17">
        <f>(D4*C6)/D6</f>
        <v>250499</v>
      </c>
      <c r="I4" s="14">
        <f>SUM(G4:H4)</f>
        <v>252552</v>
      </c>
      <c r="J4" s="15"/>
      <c r="L4" s="12" t="s">
        <v>30</v>
      </c>
      <c r="M4" s="16">
        <f>SUM(oldBailey_raw_count!D2:'oldBailey_raw_count'!D239)</f>
        <v>6103</v>
      </c>
      <c r="N4" s="16">
        <f>SUM(oldBailey_raw_count!C2:'oldBailey_raw_count'!C239,oldBailey_raw_count!E2:'oldBailey_raw_count'!M239)</f>
        <v>246449</v>
      </c>
      <c r="O4" s="13">
        <f>SUM(M4+N4)</f>
        <v>252552</v>
      </c>
      <c r="P4" s="14"/>
      <c r="Q4" s="13" t="str">
        <f>L4</f>
        <v>oldBailey</v>
      </c>
      <c r="R4" s="14">
        <f>(O4*M6)/O6</f>
        <v>6400.6168778646534</v>
      </c>
      <c r="S4" s="17">
        <f>(O4*N6)/O6</f>
        <v>246151.38312213533</v>
      </c>
      <c r="T4" s="14">
        <f>SUM(R4:S4)</f>
        <v>252552</v>
      </c>
      <c r="U4" s="15"/>
    </row>
    <row r="5" spans="1:21" x14ac:dyDescent="0.25">
      <c r="A5" s="12" t="s">
        <v>31</v>
      </c>
      <c r="B5" s="18"/>
      <c r="C5" s="19"/>
      <c r="D5" s="13">
        <f>SUM(B5+C5)</f>
        <v>0</v>
      </c>
      <c r="E5" s="14"/>
      <c r="F5" s="13" t="str">
        <f>A5</f>
        <v>notOB</v>
      </c>
      <c r="G5" s="13">
        <f>(D5*B6)/D6</f>
        <v>0</v>
      </c>
      <c r="H5" s="13">
        <f>(D5*C6)/D6</f>
        <v>0</v>
      </c>
      <c r="I5" s="13">
        <f>SUM(G5:H5)</f>
        <v>0</v>
      </c>
      <c r="J5" s="15"/>
      <c r="L5" s="12" t="s">
        <v>31</v>
      </c>
      <c r="M5" s="18">
        <f>beattie_raw!A1+beattie_raw!A2</f>
        <v>477</v>
      </c>
      <c r="N5" s="19">
        <f>beattie_raw!A3+SUM(beattie_raw!A4:A10)</f>
        <v>6601</v>
      </c>
      <c r="O5" s="13">
        <f>SUM(M5+N5)</f>
        <v>7078</v>
      </c>
      <c r="P5" s="14"/>
      <c r="Q5" s="13" t="str">
        <f>L5</f>
        <v>notOB</v>
      </c>
      <c r="R5" s="13">
        <f>(O5*M6)/O6</f>
        <v>179.38312213534647</v>
      </c>
      <c r="S5" s="13">
        <f>(O5*N6)/O6</f>
        <v>6898.6168778646534</v>
      </c>
      <c r="T5" s="13">
        <f>SUM(R5:S5)</f>
        <v>7078</v>
      </c>
      <c r="U5" s="15"/>
    </row>
    <row r="6" spans="1:21" x14ac:dyDescent="0.25">
      <c r="A6" s="12"/>
      <c r="B6" s="13">
        <f>(B4+B5)</f>
        <v>2053</v>
      </c>
      <c r="C6" s="13">
        <f>(C4+C5)</f>
        <v>250499</v>
      </c>
      <c r="D6" s="13">
        <f>IF(SUM(D4:D5)&lt;&gt;SUM(B6:C6),"PROBLEM",SUM(D4:D5))</f>
        <v>252552</v>
      </c>
      <c r="E6" s="14"/>
      <c r="F6" s="14"/>
      <c r="G6" s="14">
        <f>SUM(G4:G5)</f>
        <v>2053</v>
      </c>
      <c r="H6" s="13">
        <f>SUM(H4:H5)</f>
        <v>250499</v>
      </c>
      <c r="I6" s="14">
        <f>SUM(G6:H6)</f>
        <v>252552</v>
      </c>
      <c r="J6" s="15"/>
      <c r="L6" s="12"/>
      <c r="M6" s="13">
        <f>(M4+M5)</f>
        <v>6580</v>
      </c>
      <c r="N6" s="13">
        <f>(N4+N5)</f>
        <v>253050</v>
      </c>
      <c r="O6" s="13">
        <f>IF(SUM(O4:O5)&lt;&gt;SUM(M6:N6),"PROBLEM",SUM(O4:O5))</f>
        <v>259630</v>
      </c>
      <c r="P6" s="14"/>
      <c r="Q6" s="14"/>
      <c r="R6" s="14">
        <f>SUM(R4:R5)</f>
        <v>6580</v>
      </c>
      <c r="S6" s="13">
        <f>SUM(S4:S5)</f>
        <v>253050</v>
      </c>
      <c r="T6" s="14">
        <f>SUM(R6:S6)</f>
        <v>259630</v>
      </c>
      <c r="U6" s="15"/>
    </row>
    <row r="7" spans="1:21" x14ac:dyDescent="0.25">
      <c r="A7" s="12"/>
      <c r="B7" s="13"/>
      <c r="C7" s="13"/>
      <c r="D7" s="13"/>
      <c r="E7" s="14"/>
      <c r="F7" s="14"/>
      <c r="G7" s="14"/>
      <c r="H7" s="14"/>
      <c r="I7" s="14"/>
      <c r="J7" s="15"/>
      <c r="L7" s="12"/>
      <c r="M7" s="13"/>
      <c r="N7" s="13"/>
      <c r="O7" s="13"/>
      <c r="P7" s="14"/>
      <c r="Q7" s="14"/>
      <c r="R7" s="14"/>
      <c r="S7" s="14"/>
      <c r="T7" s="14"/>
      <c r="U7" s="15"/>
    </row>
    <row r="8" spans="1:21" x14ac:dyDescent="0.25">
      <c r="A8" s="12"/>
      <c r="B8" s="13"/>
      <c r="C8" s="13"/>
      <c r="D8" s="13"/>
      <c r="E8" s="14"/>
      <c r="F8" s="14"/>
      <c r="G8" s="14"/>
      <c r="H8" s="14"/>
      <c r="I8" s="14"/>
      <c r="J8" s="15"/>
      <c r="L8" s="12"/>
      <c r="M8" s="13"/>
      <c r="N8" s="13"/>
      <c r="O8" s="13"/>
      <c r="P8" s="14"/>
      <c r="Q8" s="14"/>
      <c r="R8" s="14"/>
      <c r="S8" s="14"/>
      <c r="T8" s="14"/>
      <c r="U8" s="15"/>
    </row>
    <row r="9" spans="1:21" x14ac:dyDescent="0.2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4"/>
      <c r="G9" s="14"/>
      <c r="H9" s="14"/>
      <c r="I9" s="14"/>
      <c r="J9" s="15"/>
      <c r="L9" s="12" t="s">
        <v>32</v>
      </c>
      <c r="M9" s="13" t="s">
        <v>33</v>
      </c>
      <c r="N9" s="13" t="s">
        <v>34</v>
      </c>
      <c r="O9" s="13" t="s">
        <v>35</v>
      </c>
      <c r="P9" s="13" t="s">
        <v>36</v>
      </c>
      <c r="Q9" s="14"/>
      <c r="R9" s="14"/>
      <c r="S9" s="14"/>
      <c r="T9" s="14"/>
      <c r="U9" s="15"/>
    </row>
    <row r="10" spans="1:21" x14ac:dyDescent="0.25">
      <c r="A10" s="12">
        <f>B4</f>
        <v>2053</v>
      </c>
      <c r="B10" s="13">
        <f>G4</f>
        <v>2053</v>
      </c>
      <c r="C10" s="13">
        <f>A10-B10</f>
        <v>0</v>
      </c>
      <c r="D10" s="13">
        <f>C10*C10</f>
        <v>0</v>
      </c>
      <c r="E10" s="14">
        <f>D10/B10</f>
        <v>0</v>
      </c>
      <c r="F10" s="14"/>
      <c r="G10" s="14"/>
      <c r="H10" s="14"/>
      <c r="I10" s="14"/>
      <c r="J10" s="15"/>
      <c r="L10" s="12">
        <f>M4</f>
        <v>6103</v>
      </c>
      <c r="M10" s="13">
        <f>R4</f>
        <v>6400.6168778646534</v>
      </c>
      <c r="N10" s="13">
        <f>L10-M10</f>
        <v>-297.61687786465336</v>
      </c>
      <c r="O10" s="13">
        <f>N10*N10</f>
        <v>88575.805989903994</v>
      </c>
      <c r="P10" s="14">
        <f>O10/M10</f>
        <v>13.838635819029724</v>
      </c>
      <c r="Q10" s="14"/>
      <c r="R10" s="14"/>
      <c r="S10" s="14"/>
      <c r="T10" s="14"/>
      <c r="U10" s="15"/>
    </row>
    <row r="11" spans="1:21" x14ac:dyDescent="0.25">
      <c r="A11" s="12">
        <f>B5</f>
        <v>0</v>
      </c>
      <c r="B11" s="13">
        <f>G5</f>
        <v>0</v>
      </c>
      <c r="C11" s="13">
        <f t="shared" ref="C11:C13" si="0">A11-B11</f>
        <v>0</v>
      </c>
      <c r="D11" s="13">
        <f t="shared" ref="D11:D13" si="1">C11*C11</f>
        <v>0</v>
      </c>
      <c r="E11" s="14" t="e">
        <f t="shared" ref="E11:E13" si="2">D11/B11</f>
        <v>#DIV/0!</v>
      </c>
      <c r="F11" s="14"/>
      <c r="G11" s="14"/>
      <c r="H11" s="14"/>
      <c r="I11" s="14"/>
      <c r="J11" s="15"/>
      <c r="L11" s="12">
        <f>M5</f>
        <v>477</v>
      </c>
      <c r="M11" s="13">
        <f>R5</f>
        <v>179.38312213534647</v>
      </c>
      <c r="N11" s="13">
        <f t="shared" ref="N11:N13" si="3">L11-M11</f>
        <v>297.61687786465353</v>
      </c>
      <c r="O11" s="13">
        <f t="shared" ref="O11:O13" si="4">N11*N11</f>
        <v>88575.805989904096</v>
      </c>
      <c r="P11" s="14">
        <f t="shared" ref="P11:P13" si="5">O11/M11</f>
        <v>493.7800442734669</v>
      </c>
      <c r="Q11" s="14"/>
      <c r="R11" s="14"/>
      <c r="S11" s="14"/>
      <c r="T11" s="14"/>
      <c r="U11" s="15"/>
    </row>
    <row r="12" spans="1:21" x14ac:dyDescent="0.25">
      <c r="A12" s="12">
        <f>C4</f>
        <v>250499</v>
      </c>
      <c r="B12" s="13">
        <f>H4</f>
        <v>250499</v>
      </c>
      <c r="C12" s="13">
        <f t="shared" si="0"/>
        <v>0</v>
      </c>
      <c r="D12" s="13">
        <f t="shared" si="1"/>
        <v>0</v>
      </c>
      <c r="E12" s="14">
        <f t="shared" si="2"/>
        <v>0</v>
      </c>
      <c r="F12" s="14"/>
      <c r="G12" s="14"/>
      <c r="H12" s="14"/>
      <c r="I12" s="14"/>
      <c r="J12" s="15"/>
      <c r="L12" s="12">
        <f>N4</f>
        <v>246449</v>
      </c>
      <c r="M12" s="13">
        <f>S4</f>
        <v>246151.38312213533</v>
      </c>
      <c r="N12" s="13">
        <f t="shared" si="3"/>
        <v>297.61687786466791</v>
      </c>
      <c r="O12" s="13">
        <f t="shared" si="4"/>
        <v>88575.805989912653</v>
      </c>
      <c r="P12" s="14">
        <f t="shared" si="5"/>
        <v>0.35984281244506811</v>
      </c>
      <c r="Q12" s="14"/>
      <c r="R12" s="14"/>
      <c r="S12" s="14"/>
      <c r="T12" s="14"/>
      <c r="U12" s="15"/>
    </row>
    <row r="13" spans="1:21" x14ac:dyDescent="0.25">
      <c r="A13" s="12">
        <f>C5</f>
        <v>0</v>
      </c>
      <c r="B13" s="13">
        <f>H5</f>
        <v>0</v>
      </c>
      <c r="C13" s="13">
        <f t="shared" si="0"/>
        <v>0</v>
      </c>
      <c r="D13" s="13">
        <f t="shared" si="1"/>
        <v>0</v>
      </c>
      <c r="E13" s="14" t="e">
        <f t="shared" si="2"/>
        <v>#DIV/0!</v>
      </c>
      <c r="F13" s="14"/>
      <c r="G13" s="14" t="s">
        <v>37</v>
      </c>
      <c r="H13" s="14"/>
      <c r="I13" s="14"/>
      <c r="J13" s="15"/>
      <c r="L13" s="12">
        <f>N5</f>
        <v>6601</v>
      </c>
      <c r="M13" s="13">
        <f>S5</f>
        <v>6898.6168778646534</v>
      </c>
      <c r="N13" s="13">
        <f t="shared" si="3"/>
        <v>-297.61687786465336</v>
      </c>
      <c r="O13" s="13">
        <f t="shared" si="4"/>
        <v>88575.805989903994</v>
      </c>
      <c r="P13" s="14">
        <f t="shared" si="5"/>
        <v>12.839647071011298</v>
      </c>
      <c r="Q13" s="14"/>
      <c r="R13" s="14" t="s">
        <v>37</v>
      </c>
      <c r="S13" s="14"/>
      <c r="T13" s="14"/>
      <c r="U13" s="15"/>
    </row>
    <row r="14" spans="1:21" x14ac:dyDescent="0.25">
      <c r="A14" s="12"/>
      <c r="B14" s="13"/>
      <c r="C14" s="13"/>
      <c r="D14" s="13"/>
      <c r="E14" s="14"/>
      <c r="F14" s="14"/>
      <c r="G14" s="20">
        <v>0.1</v>
      </c>
      <c r="H14" s="20">
        <v>0.05</v>
      </c>
      <c r="I14" s="20">
        <v>0.01</v>
      </c>
      <c r="J14" s="21">
        <v>1E-3</v>
      </c>
      <c r="L14" s="12"/>
      <c r="M14" s="13"/>
      <c r="N14" s="13"/>
      <c r="O14" s="13"/>
      <c r="P14" s="14"/>
      <c r="Q14" s="14"/>
      <c r="R14" s="20">
        <v>0.1</v>
      </c>
      <c r="S14" s="20">
        <v>0.05</v>
      </c>
      <c r="T14" s="20">
        <v>0.01</v>
      </c>
      <c r="U14" s="21">
        <v>1E-3</v>
      </c>
    </row>
    <row r="15" spans="1:21" x14ac:dyDescent="0.25">
      <c r="A15" s="12"/>
      <c r="B15" s="13"/>
      <c r="C15" s="13"/>
      <c r="D15" s="13" t="s">
        <v>38</v>
      </c>
      <c r="E15" s="14" t="e">
        <f>SUM(E10:E13)</f>
        <v>#DIV/0!</v>
      </c>
      <c r="F15" s="14"/>
      <c r="G15" s="14">
        <v>2.71</v>
      </c>
      <c r="H15" s="14">
        <v>3.84</v>
      </c>
      <c r="I15" s="14">
        <v>6.63</v>
      </c>
      <c r="J15" s="15">
        <v>10.8</v>
      </c>
      <c r="L15" s="12"/>
      <c r="M15" s="13"/>
      <c r="N15" s="13"/>
      <c r="O15" s="13" t="s">
        <v>38</v>
      </c>
      <c r="P15" s="14">
        <f>SUM(P10:P13)</f>
        <v>520.81816997595297</v>
      </c>
      <c r="Q15" s="14"/>
      <c r="R15" s="14">
        <v>2.71</v>
      </c>
      <c r="S15" s="14">
        <v>3.84</v>
      </c>
      <c r="T15" s="14">
        <v>6.63</v>
      </c>
      <c r="U15" s="15">
        <v>10.8</v>
      </c>
    </row>
    <row r="16" spans="1:21" x14ac:dyDescent="0.25">
      <c r="A16" s="12"/>
      <c r="B16" s="13"/>
      <c r="C16" s="13"/>
      <c r="D16" s="13"/>
      <c r="E16" s="14"/>
      <c r="F16" s="14"/>
      <c r="G16" s="14"/>
      <c r="H16" s="14"/>
      <c r="I16" s="14"/>
      <c r="J16" s="15"/>
      <c r="L16" s="12"/>
      <c r="M16" s="13"/>
      <c r="N16" s="13"/>
      <c r="O16" s="13"/>
      <c r="P16" s="14"/>
      <c r="Q16" s="14"/>
      <c r="R16" s="14"/>
      <c r="S16" s="14"/>
      <c r="T16" s="14"/>
      <c r="U16" s="15"/>
    </row>
    <row r="17" spans="1:21" ht="15.75" thickBot="1" x14ac:dyDescent="0.3">
      <c r="A17" s="22"/>
      <c r="B17" s="23" t="e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#DIV/0!</v>
      </c>
      <c r="C17" s="23"/>
      <c r="D17" s="23"/>
      <c r="E17" s="24"/>
      <c r="F17" s="24"/>
      <c r="G17" s="24"/>
      <c r="H17" s="24"/>
      <c r="I17" s="24"/>
      <c r="J17" s="25"/>
      <c r="L17" s="22"/>
      <c r="M17" s="23" t="str">
        <f>IF(P15&gt;=R15,IF(P15&gt;S15,IF(P15&gt;T15,IF(P15&gt;U15,CONCATENATE("ACCEPT THE HYPOTHESIS WITH CONFIDENCE GREATER THAN ",1-U14,"%"),CONCATENATE("ACCEPT THE HYPOTHESIS WITH CONFIDENCE GREATER THAN ",1-T14,"%")),CONCATENATE("ACCEPT THE HYPOTHESIS WITH CONFIDENCE GREATER THAN ",1-S14,"%")),CONCATENATE("ACCEPT THE HYPOTHESIS WITH CONFIDENCE GREATER THAN ",1-R14,"%")),"REJECT THE HYPOTHESIS")</f>
        <v>ACCEPT THE HYPOTHESIS WITH CONFIDENCE GREATER THAN 0.999%</v>
      </c>
      <c r="N17" s="23"/>
      <c r="O17" s="23"/>
      <c r="P17" s="24"/>
      <c r="Q17" s="24"/>
      <c r="R17" s="24"/>
      <c r="S17" s="24"/>
      <c r="T17" s="24"/>
      <c r="U17" s="25"/>
    </row>
    <row r="18" spans="1:21" ht="15.75" thickBot="1" x14ac:dyDescent="0.3"/>
    <row r="19" spans="1:21" x14ac:dyDescent="0.25">
      <c r="A19" s="8" t="str">
        <f>CONCATENATE("h1: there is an association between the old bailey and the charge of ",oldBailey_raw_count!E1)</f>
        <v>h1: there is an association between the old bailey and the charge of Royal Offences</v>
      </c>
      <c r="B19" s="9"/>
      <c r="C19" s="9"/>
      <c r="D19" s="9"/>
      <c r="E19" s="10"/>
      <c r="F19" s="10"/>
      <c r="G19" s="10"/>
      <c r="H19" s="10"/>
      <c r="I19" s="10"/>
      <c r="J19" s="11"/>
      <c r="K19" s="1"/>
      <c r="L19" s="8" t="str">
        <f>CONCATENATE("h1: there is an association between the old bailey and the charge of ",oldBailey_raw_count!F1)</f>
        <v>h1: there is an association between the old bailey and the charge of Sexual Offences</v>
      </c>
      <c r="M19" s="9"/>
      <c r="N19" s="9"/>
      <c r="O19" s="9"/>
      <c r="P19" s="10"/>
      <c r="Q19" s="10"/>
      <c r="R19" s="10"/>
      <c r="S19" s="10"/>
      <c r="T19" s="10"/>
      <c r="U19" s="11"/>
    </row>
    <row r="20" spans="1:21" x14ac:dyDescent="0.25">
      <c r="A20" s="12"/>
      <c r="B20" s="13"/>
      <c r="C20" s="13"/>
      <c r="D20" s="13"/>
      <c r="E20" s="14"/>
      <c r="F20" s="14"/>
      <c r="G20" s="14"/>
      <c r="H20" s="14"/>
      <c r="I20" s="14"/>
      <c r="J20" s="15"/>
      <c r="K20" s="1"/>
      <c r="L20" s="12"/>
      <c r="M20" s="13"/>
      <c r="N20" s="13"/>
      <c r="O20" s="13"/>
      <c r="P20" s="14"/>
      <c r="Q20" s="14"/>
      <c r="R20" s="14"/>
      <c r="S20" s="14"/>
      <c r="T20" s="14"/>
      <c r="U20" s="15"/>
    </row>
    <row r="21" spans="1:21" x14ac:dyDescent="0.25">
      <c r="A21" s="12" t="s">
        <v>28</v>
      </c>
      <c r="B21" s="13" t="str">
        <f>oldBailey_raw_count!E1</f>
        <v>Royal Offences</v>
      </c>
      <c r="C21" s="13" t="str">
        <f>CONCATENATE("not ",B21)</f>
        <v>not Royal Offences</v>
      </c>
      <c r="D21" s="13"/>
      <c r="E21" s="14"/>
      <c r="F21" s="13" t="s">
        <v>29</v>
      </c>
      <c r="G21" s="13" t="str">
        <f>B21</f>
        <v>Royal Offences</v>
      </c>
      <c r="H21" s="13" t="str">
        <f>C21</f>
        <v>not Royal Offences</v>
      </c>
      <c r="I21" s="14"/>
      <c r="J21" s="15"/>
      <c r="K21" s="1"/>
      <c r="L21" s="12" t="s">
        <v>28</v>
      </c>
      <c r="M21" s="13" t="str">
        <f>oldBailey_raw_count!F1</f>
        <v>Sexual Offences</v>
      </c>
      <c r="N21" s="13" t="str">
        <f>CONCATENATE("not ",M21)</f>
        <v>not Sexual Offences</v>
      </c>
      <c r="O21" s="13"/>
      <c r="P21" s="14"/>
      <c r="Q21" s="13" t="s">
        <v>29</v>
      </c>
      <c r="R21" s="13" t="str">
        <f>M21</f>
        <v>Sexual Offences</v>
      </c>
      <c r="S21" s="13" t="str">
        <f>N21</f>
        <v>not Sexual Offences</v>
      </c>
      <c r="T21" s="14"/>
      <c r="U21" s="15"/>
    </row>
    <row r="22" spans="1:21" x14ac:dyDescent="0.25">
      <c r="A22" s="12" t="s">
        <v>30</v>
      </c>
      <c r="B22" s="16">
        <f>SUM(oldBailey_raw_count!E2:'oldBailey_raw_count'!E239)</f>
        <v>13837</v>
      </c>
      <c r="C22" s="16">
        <f>SUM(oldBailey_raw_count!C2:'oldBailey_raw_count'!D239,oldBailey_raw_count!F2:'oldBailey_raw_count'!M239)</f>
        <v>238715</v>
      </c>
      <c r="D22" s="13">
        <f>SUM(B22+C22)</f>
        <v>252552</v>
      </c>
      <c r="E22" s="14"/>
      <c r="F22" s="13" t="str">
        <f>A22</f>
        <v>oldBailey</v>
      </c>
      <c r="G22" s="14">
        <f>(D22*B24)/D24</f>
        <v>13837</v>
      </c>
      <c r="H22" s="17">
        <f>(D22*C24)/D24</f>
        <v>238715</v>
      </c>
      <c r="I22" s="14">
        <f>SUM(G22:H22)</f>
        <v>252552</v>
      </c>
      <c r="J22" s="15"/>
      <c r="K22" s="1"/>
      <c r="L22" s="12" t="s">
        <v>30</v>
      </c>
      <c r="M22" s="16">
        <f>SUM(oldBailey_raw_count!F2:'oldBailey_raw_count'!F239)</f>
        <v>7536</v>
      </c>
      <c r="N22" s="16">
        <f>SUM(oldBailey_raw_count!C2:'oldBailey_raw_count'!E239,oldBailey_raw_count!G2:'oldBailey_raw_count'!M239)</f>
        <v>245016</v>
      </c>
      <c r="O22" s="13">
        <f>SUM(M22+N22)</f>
        <v>252552</v>
      </c>
      <c r="P22" s="14"/>
      <c r="Q22" s="13" t="str">
        <f>L22</f>
        <v>oldBailey</v>
      </c>
      <c r="R22" s="14">
        <f>(O22*M24)/O24</f>
        <v>7490.0835804799135</v>
      </c>
      <c r="S22" s="17">
        <f>(O22*N24)/O24</f>
        <v>245061.91641952007</v>
      </c>
      <c r="T22" s="14">
        <f>SUM(R22:S22)</f>
        <v>252552</v>
      </c>
      <c r="U22" s="15"/>
    </row>
    <row r="23" spans="1:21" x14ac:dyDescent="0.25">
      <c r="A23" s="12" t="s">
        <v>31</v>
      </c>
      <c r="B23" s="18"/>
      <c r="C23" s="19"/>
      <c r="D23" s="13">
        <f>SUM(B23+C23)</f>
        <v>0</v>
      </c>
      <c r="E23" s="14"/>
      <c r="F23" s="13" t="str">
        <f>A23</f>
        <v>notOB</v>
      </c>
      <c r="G23" s="13">
        <f>(D23*B24)/D24</f>
        <v>0</v>
      </c>
      <c r="H23" s="13">
        <f>(D23*C24)/D24</f>
        <v>0</v>
      </c>
      <c r="I23" s="13">
        <f>SUM(G23:H23)</f>
        <v>0</v>
      </c>
      <c r="J23" s="15"/>
      <c r="K23" s="1"/>
      <c r="L23" s="12" t="s">
        <v>31</v>
      </c>
      <c r="M23" s="18">
        <f>beattie_raw!A3</f>
        <v>164</v>
      </c>
      <c r="N23" s="19">
        <f>beattie_raw!A1+beattie_raw!A2+SUM(beattie_raw!A4:A10)</f>
        <v>6914</v>
      </c>
      <c r="O23" s="13">
        <f>SUM(M23+N23)</f>
        <v>7078</v>
      </c>
      <c r="P23" s="14"/>
      <c r="Q23" s="13" t="str">
        <f>L23</f>
        <v>notOB</v>
      </c>
      <c r="R23" s="13">
        <f>(O23*M24)/O24</f>
        <v>209.91641952008627</v>
      </c>
      <c r="S23" s="13">
        <f>(O23*N24)/O24</f>
        <v>6868.0835804799135</v>
      </c>
      <c r="T23" s="13">
        <f>SUM(R23:S23)</f>
        <v>7078</v>
      </c>
      <c r="U23" s="15"/>
    </row>
    <row r="24" spans="1:21" x14ac:dyDescent="0.25">
      <c r="A24" s="12"/>
      <c r="B24" s="13">
        <f>(B22+B23)</f>
        <v>13837</v>
      </c>
      <c r="C24" s="13">
        <f>(C22+C23)</f>
        <v>238715</v>
      </c>
      <c r="D24" s="13">
        <f>IF(SUM(D22:D23)&lt;&gt;SUM(B24:C24),"PROBLEM",SUM(D22:D23))</f>
        <v>252552</v>
      </c>
      <c r="E24" s="14"/>
      <c r="F24" s="14"/>
      <c r="G24" s="14">
        <f>SUM(G22:G23)</f>
        <v>13837</v>
      </c>
      <c r="H24" s="13">
        <f>SUM(H22:H23)</f>
        <v>238715</v>
      </c>
      <c r="I24" s="14">
        <f>SUM(G24:H24)</f>
        <v>252552</v>
      </c>
      <c r="J24" s="15"/>
      <c r="K24" s="1"/>
      <c r="L24" s="12"/>
      <c r="M24" s="13">
        <f>(M22+M23)</f>
        <v>7700</v>
      </c>
      <c r="N24" s="13">
        <f>(N22+N23)</f>
        <v>251930</v>
      </c>
      <c r="O24" s="13">
        <f>IF(SUM(O22:O23)&lt;&gt;SUM(M24:N24),"PROBLEM",SUM(O22:O23))</f>
        <v>259630</v>
      </c>
      <c r="P24" s="14"/>
      <c r="Q24" s="14"/>
      <c r="R24" s="14">
        <f>SUM(R22:R23)</f>
        <v>7700</v>
      </c>
      <c r="S24" s="13">
        <f>SUM(S22:S23)</f>
        <v>251930</v>
      </c>
      <c r="T24" s="14">
        <f>SUM(R24:S24)</f>
        <v>259630</v>
      </c>
      <c r="U24" s="15"/>
    </row>
    <row r="25" spans="1:21" x14ac:dyDescent="0.25">
      <c r="A25" s="12"/>
      <c r="B25" s="13"/>
      <c r="C25" s="13"/>
      <c r="D25" s="13"/>
      <c r="E25" s="14"/>
      <c r="F25" s="14"/>
      <c r="G25" s="14"/>
      <c r="H25" s="14"/>
      <c r="I25" s="14"/>
      <c r="J25" s="15"/>
      <c r="K25" s="1"/>
      <c r="L25" s="12"/>
      <c r="M25" s="13"/>
      <c r="N25" s="13"/>
      <c r="O25" s="13"/>
      <c r="P25" s="14"/>
      <c r="Q25" s="14"/>
      <c r="R25" s="14"/>
      <c r="S25" s="14"/>
      <c r="T25" s="14"/>
      <c r="U25" s="15"/>
    </row>
    <row r="26" spans="1:21" x14ac:dyDescent="0.25">
      <c r="A26" s="12"/>
      <c r="B26" s="13"/>
      <c r="C26" s="13"/>
      <c r="D26" s="13"/>
      <c r="E26" s="14"/>
      <c r="F26" s="14"/>
      <c r="G26" s="14"/>
      <c r="H26" s="14"/>
      <c r="I26" s="14"/>
      <c r="J26" s="15"/>
      <c r="K26" s="1"/>
      <c r="L26" s="12"/>
      <c r="M26" s="13"/>
      <c r="N26" s="13"/>
      <c r="O26" s="13"/>
      <c r="P26" s="14"/>
      <c r="Q26" s="14"/>
      <c r="R26" s="14"/>
      <c r="S26" s="14"/>
      <c r="T26" s="14"/>
      <c r="U26" s="15"/>
    </row>
    <row r="27" spans="1:21" x14ac:dyDescent="0.25">
      <c r="A27" s="12" t="s">
        <v>32</v>
      </c>
      <c r="B27" s="13" t="s">
        <v>33</v>
      </c>
      <c r="C27" s="13" t="s">
        <v>34</v>
      </c>
      <c r="D27" s="13" t="s">
        <v>35</v>
      </c>
      <c r="E27" s="13" t="s">
        <v>36</v>
      </c>
      <c r="F27" s="14"/>
      <c r="G27" s="14"/>
      <c r="H27" s="14"/>
      <c r="I27" s="14"/>
      <c r="J27" s="15"/>
      <c r="K27" s="1"/>
      <c r="L27" s="12" t="s">
        <v>32</v>
      </c>
      <c r="M27" s="13" t="s">
        <v>33</v>
      </c>
      <c r="N27" s="13" t="s">
        <v>34</v>
      </c>
      <c r="O27" s="13" t="s">
        <v>35</v>
      </c>
      <c r="P27" s="13" t="s">
        <v>36</v>
      </c>
      <c r="Q27" s="14"/>
      <c r="R27" s="14"/>
      <c r="S27" s="14"/>
      <c r="T27" s="14"/>
      <c r="U27" s="15"/>
    </row>
    <row r="28" spans="1:21" x14ac:dyDescent="0.25">
      <c r="A28" s="12">
        <f>B22</f>
        <v>13837</v>
      </c>
      <c r="B28" s="13">
        <f>G22</f>
        <v>13837</v>
      </c>
      <c r="C28" s="13">
        <f>A28-B28</f>
        <v>0</v>
      </c>
      <c r="D28" s="13">
        <f>C28*C28</f>
        <v>0</v>
      </c>
      <c r="E28" s="14">
        <f>D28/B28</f>
        <v>0</v>
      </c>
      <c r="F28" s="14"/>
      <c r="G28" s="14"/>
      <c r="H28" s="14"/>
      <c r="I28" s="14"/>
      <c r="J28" s="15"/>
      <c r="K28" s="1"/>
      <c r="L28" s="12">
        <f>M22</f>
        <v>7536</v>
      </c>
      <c r="M28" s="13">
        <f>R22</f>
        <v>7490.0835804799135</v>
      </c>
      <c r="N28" s="13">
        <f>L28-M28</f>
        <v>45.916419520086492</v>
      </c>
      <c r="O28" s="13">
        <f>N28*N28</f>
        <v>2108.3175815445798</v>
      </c>
      <c r="P28" s="14">
        <f>O28/M28</f>
        <v>0.28148118227133229</v>
      </c>
      <c r="Q28" s="14"/>
      <c r="R28" s="14"/>
      <c r="S28" s="14"/>
      <c r="T28" s="14"/>
      <c r="U28" s="15"/>
    </row>
    <row r="29" spans="1:21" x14ac:dyDescent="0.25">
      <c r="A29" s="12">
        <f>B23</f>
        <v>0</v>
      </c>
      <c r="B29" s="13">
        <f>G23</f>
        <v>0</v>
      </c>
      <c r="C29" s="13">
        <f t="shared" ref="C29:C31" si="6">A29-B29</f>
        <v>0</v>
      </c>
      <c r="D29" s="13">
        <f t="shared" ref="D29:D31" si="7">C29*C29</f>
        <v>0</v>
      </c>
      <c r="E29" s="14" t="e">
        <f t="shared" ref="E29:E31" si="8">D29/B29</f>
        <v>#DIV/0!</v>
      </c>
      <c r="F29" s="14"/>
      <c r="G29" s="14"/>
      <c r="H29" s="14"/>
      <c r="I29" s="14"/>
      <c r="J29" s="15"/>
      <c r="K29" s="1"/>
      <c r="L29" s="12">
        <f>M23</f>
        <v>164</v>
      </c>
      <c r="M29" s="13">
        <f>R23</f>
        <v>209.91641952008627</v>
      </c>
      <c r="N29" s="13">
        <f t="shared" ref="N29:N31" si="9">L29-M29</f>
        <v>-45.916419520086265</v>
      </c>
      <c r="O29" s="13">
        <f t="shared" ref="O29:O31" si="10">N29*N29</f>
        <v>2108.3175815445588</v>
      </c>
      <c r="P29" s="14">
        <f t="shared" ref="P29:P31" si="11">O29/M29</f>
        <v>10.043604908870982</v>
      </c>
      <c r="Q29" s="14"/>
      <c r="R29" s="14"/>
      <c r="S29" s="14"/>
      <c r="T29" s="14"/>
      <c r="U29" s="15"/>
    </row>
    <row r="30" spans="1:21" x14ac:dyDescent="0.25">
      <c r="A30" s="12">
        <f>C22</f>
        <v>238715</v>
      </c>
      <c r="B30" s="13">
        <f>H22</f>
        <v>238715</v>
      </c>
      <c r="C30" s="13">
        <f t="shared" si="6"/>
        <v>0</v>
      </c>
      <c r="D30" s="13">
        <f t="shared" si="7"/>
        <v>0</v>
      </c>
      <c r="E30" s="14">
        <f t="shared" si="8"/>
        <v>0</v>
      </c>
      <c r="F30" s="14"/>
      <c r="G30" s="14"/>
      <c r="H30" s="14"/>
      <c r="I30" s="14"/>
      <c r="J30" s="15"/>
      <c r="K30" s="1"/>
      <c r="L30" s="12">
        <f>N22</f>
        <v>245016</v>
      </c>
      <c r="M30" s="13">
        <f>S22</f>
        <v>245061.91641952007</v>
      </c>
      <c r="N30" s="13">
        <f t="shared" si="9"/>
        <v>-45.91641952007194</v>
      </c>
      <c r="O30" s="13">
        <f t="shared" si="10"/>
        <v>2108.3175815432437</v>
      </c>
      <c r="P30" s="14">
        <f t="shared" si="11"/>
        <v>8.6032036815301277E-3</v>
      </c>
      <c r="Q30" s="14"/>
      <c r="R30" s="14"/>
      <c r="S30" s="14"/>
      <c r="T30" s="14"/>
      <c r="U30" s="15"/>
    </row>
    <row r="31" spans="1:21" x14ac:dyDescent="0.25">
      <c r="A31" s="12">
        <f>C23</f>
        <v>0</v>
      </c>
      <c r="B31" s="13">
        <f>H23</f>
        <v>0</v>
      </c>
      <c r="C31" s="13">
        <f t="shared" si="6"/>
        <v>0</v>
      </c>
      <c r="D31" s="13">
        <f t="shared" si="7"/>
        <v>0</v>
      </c>
      <c r="E31" s="14" t="e">
        <f t="shared" si="8"/>
        <v>#DIV/0!</v>
      </c>
      <c r="F31" s="14"/>
      <c r="G31" s="14" t="s">
        <v>37</v>
      </c>
      <c r="H31" s="14"/>
      <c r="I31" s="14"/>
      <c r="J31" s="15"/>
      <c r="K31" s="1"/>
      <c r="L31" s="12">
        <f>N23</f>
        <v>6914</v>
      </c>
      <c r="M31" s="13">
        <f>S23</f>
        <v>6868.0835804799135</v>
      </c>
      <c r="N31" s="13">
        <f t="shared" si="9"/>
        <v>45.916419520086492</v>
      </c>
      <c r="O31" s="13">
        <f t="shared" si="10"/>
        <v>2108.3175815445798</v>
      </c>
      <c r="P31" s="14">
        <f t="shared" si="11"/>
        <v>0.30697319810386747</v>
      </c>
      <c r="Q31" s="14"/>
      <c r="R31" s="14" t="s">
        <v>37</v>
      </c>
      <c r="S31" s="14"/>
      <c r="T31" s="14"/>
      <c r="U31" s="15"/>
    </row>
    <row r="32" spans="1:21" x14ac:dyDescent="0.25">
      <c r="A32" s="12"/>
      <c r="B32" s="13"/>
      <c r="C32" s="13"/>
      <c r="D32" s="13"/>
      <c r="E32" s="14"/>
      <c r="F32" s="14"/>
      <c r="G32" s="20">
        <v>0.1</v>
      </c>
      <c r="H32" s="20">
        <v>0.05</v>
      </c>
      <c r="I32" s="20">
        <v>0.01</v>
      </c>
      <c r="J32" s="21">
        <v>1E-3</v>
      </c>
      <c r="K32" s="1"/>
      <c r="L32" s="12"/>
      <c r="M32" s="13"/>
      <c r="N32" s="13"/>
      <c r="O32" s="13"/>
      <c r="P32" s="14"/>
      <c r="Q32" s="14"/>
      <c r="R32" s="20">
        <v>0.1</v>
      </c>
      <c r="S32" s="20">
        <v>0.05</v>
      </c>
      <c r="T32" s="20">
        <v>0.01</v>
      </c>
      <c r="U32" s="21">
        <v>1E-3</v>
      </c>
    </row>
    <row r="33" spans="1:21" x14ac:dyDescent="0.25">
      <c r="A33" s="12"/>
      <c r="B33" s="13"/>
      <c r="C33" s="13"/>
      <c r="D33" s="13" t="s">
        <v>38</v>
      </c>
      <c r="E33" s="14" t="e">
        <f>SUM(E28:E31)</f>
        <v>#DIV/0!</v>
      </c>
      <c r="F33" s="14"/>
      <c r="G33" s="14">
        <v>2.71</v>
      </c>
      <c r="H33" s="14">
        <v>3.84</v>
      </c>
      <c r="I33" s="14">
        <v>6.63</v>
      </c>
      <c r="J33" s="15">
        <v>10.8</v>
      </c>
      <c r="K33" s="1"/>
      <c r="L33" s="12"/>
      <c r="M33" s="13"/>
      <c r="N33" s="13"/>
      <c r="O33" s="13" t="s">
        <v>38</v>
      </c>
      <c r="P33" s="14">
        <f>SUM(P28:P31)</f>
        <v>10.64066249292771</v>
      </c>
      <c r="Q33" s="14"/>
      <c r="R33" s="14">
        <v>2.71</v>
      </c>
      <c r="S33" s="14">
        <v>3.84</v>
      </c>
      <c r="T33" s="14">
        <v>6.63</v>
      </c>
      <c r="U33" s="15">
        <v>10.8</v>
      </c>
    </row>
    <row r="34" spans="1:21" x14ac:dyDescent="0.25">
      <c r="A34" s="12"/>
      <c r="B34" s="13"/>
      <c r="C34" s="13"/>
      <c r="D34" s="13"/>
      <c r="E34" s="14"/>
      <c r="F34" s="14"/>
      <c r="G34" s="14"/>
      <c r="H34" s="14"/>
      <c r="I34" s="14"/>
      <c r="J34" s="15"/>
      <c r="K34" s="1"/>
      <c r="L34" s="12"/>
      <c r="M34" s="13"/>
      <c r="N34" s="13"/>
      <c r="O34" s="13"/>
      <c r="P34" s="14"/>
      <c r="Q34" s="14"/>
      <c r="R34" s="14"/>
      <c r="S34" s="14"/>
      <c r="T34" s="14"/>
      <c r="U34" s="15"/>
    </row>
    <row r="35" spans="1:21" ht="15.75" thickBot="1" x14ac:dyDescent="0.3">
      <c r="A35" s="22"/>
      <c r="B35" s="23" t="e">
        <f>IF(E33&gt;=G33,IF(E33&gt;H33,IF(E33&gt;I33,IF(E33&gt;J33,CONCATENATE("ACCEPT THE HYPOTHESIS WITH CONFIDENCE GREATER THAN ",1-J32,"%"),CONCATENATE("ACCEPT THE HYPOTHESIS WITH CONFIDENCE GREATER THAN ",1-I32,"%")),CONCATENATE("ACCEPT THE HYPOTHESIS WITH CONFIDENCE GREATER THAN ",1-H32,"%")),CONCATENATE("ACCEPT THE HYPOTHESIS WITH CONFIDENCE GREATER THAN ",1-G32,"%")),"REJECT THE HYPOTHESIS")</f>
        <v>#DIV/0!</v>
      </c>
      <c r="C35" s="23"/>
      <c r="D35" s="23"/>
      <c r="E35" s="24"/>
      <c r="F35" s="24"/>
      <c r="G35" s="24"/>
      <c r="H35" s="24"/>
      <c r="I35" s="24"/>
      <c r="J35" s="25"/>
      <c r="K35" s="1"/>
      <c r="L35" s="22"/>
      <c r="M35" s="23" t="str">
        <f>IF(P33&gt;=R33,IF(P33&gt;S33,IF(P33&gt;T33,IF(P33&gt;U33,CONCATENATE("ACCEPT THE HYPOTHESIS WITH CONFIDENCE GREATER THAN ",1-U32,"%"),CONCATENATE("ACCEPT THE HYPOTHESIS WITH CONFIDENCE GREATER THAN ",1-T32,"%")),CONCATENATE("ACCEPT THE HYPOTHESIS WITH CONFIDENCE GREATER THAN ",1-S32,"%")),CONCATENATE("ACCEPT THE HYPOTHESIS WITH CONFIDENCE GREATER THAN ",1-R32,"%")),"REJECT THE HYPOTHESIS")</f>
        <v>ACCEPT THE HYPOTHESIS WITH CONFIDENCE GREATER THAN 0.99%</v>
      </c>
      <c r="N35" s="23"/>
      <c r="O35" s="23"/>
      <c r="P35" s="24"/>
      <c r="Q35" s="24"/>
      <c r="R35" s="24"/>
      <c r="S35" s="24"/>
      <c r="T35" s="24"/>
      <c r="U35" s="25"/>
    </row>
    <row r="36" spans="1:21" ht="15.75" thickBot="1" x14ac:dyDescent="0.3"/>
    <row r="37" spans="1:21" x14ac:dyDescent="0.25">
      <c r="A37" s="8" t="str">
        <f>CONCATENATE("h1: there is an association between the old bailey and the charge of ",oldBailey_raw_count!G1)</f>
        <v>h1: there is an association between the old bailey and the charge of Theft</v>
      </c>
      <c r="B37" s="9"/>
      <c r="C37" s="9"/>
      <c r="D37" s="9"/>
      <c r="E37" s="10"/>
      <c r="F37" s="10"/>
      <c r="G37" s="10"/>
      <c r="H37" s="10"/>
      <c r="I37" s="10"/>
      <c r="J37" s="11"/>
      <c r="K37" s="1"/>
      <c r="L37" s="8" t="str">
        <f>CONCATENATE("h1: there is an association between the old bailey and the charge of ",oldBailey_raw_count!H1)</f>
        <v>h1: there is an association between the old bailey and the charge of Violent Theft</v>
      </c>
      <c r="M37" s="9"/>
      <c r="N37" s="9"/>
      <c r="O37" s="9"/>
      <c r="P37" s="10"/>
      <c r="Q37" s="10"/>
      <c r="R37" s="10"/>
      <c r="S37" s="10"/>
      <c r="T37" s="10"/>
      <c r="U37" s="11"/>
    </row>
    <row r="38" spans="1:21" x14ac:dyDescent="0.25">
      <c r="A38" s="12"/>
      <c r="B38" s="13"/>
      <c r="C38" s="13"/>
      <c r="D38" s="13"/>
      <c r="E38" s="14"/>
      <c r="F38" s="14"/>
      <c r="G38" s="14"/>
      <c r="H38" s="14"/>
      <c r="I38" s="14"/>
      <c r="J38" s="15"/>
      <c r="K38" s="1"/>
      <c r="L38" s="12"/>
      <c r="M38" s="13"/>
      <c r="N38" s="13"/>
      <c r="O38" s="13"/>
      <c r="P38" s="14"/>
      <c r="Q38" s="14"/>
      <c r="R38" s="14"/>
      <c r="S38" s="14"/>
      <c r="T38" s="14"/>
      <c r="U38" s="15"/>
    </row>
    <row r="39" spans="1:21" x14ac:dyDescent="0.25">
      <c r="A39" s="12" t="s">
        <v>28</v>
      </c>
      <c r="B39" s="13" t="str">
        <f>oldBailey_raw_count!G1</f>
        <v>Theft</v>
      </c>
      <c r="C39" s="13" t="str">
        <f>CONCATENATE("not ",G1)</f>
        <v xml:space="preserve">not </v>
      </c>
      <c r="D39" s="13"/>
      <c r="E39" s="14"/>
      <c r="F39" s="13" t="s">
        <v>29</v>
      </c>
      <c r="G39" s="13" t="str">
        <f>B39</f>
        <v>Theft</v>
      </c>
      <c r="H39" s="13" t="str">
        <f>C39</f>
        <v xml:space="preserve">not </v>
      </c>
      <c r="I39" s="14"/>
      <c r="J39" s="15"/>
      <c r="K39" s="1"/>
      <c r="L39" s="12" t="s">
        <v>28</v>
      </c>
      <c r="M39" s="13" t="str">
        <f>oldBailey_raw_count!H1</f>
        <v>Violent Theft</v>
      </c>
      <c r="N39" s="13" t="str">
        <f>CONCATENATE("not ",M39)</f>
        <v>not Violent Theft</v>
      </c>
      <c r="O39" s="13"/>
      <c r="P39" s="14"/>
      <c r="Q39" s="13" t="s">
        <v>29</v>
      </c>
      <c r="R39" s="13" t="str">
        <f>M39</f>
        <v>Violent Theft</v>
      </c>
      <c r="S39" s="13" t="str">
        <f>N39</f>
        <v>not Violent Theft</v>
      </c>
      <c r="T39" s="14"/>
      <c r="U39" s="15"/>
    </row>
    <row r="40" spans="1:21" x14ac:dyDescent="0.25">
      <c r="A40" s="12" t="s">
        <v>30</v>
      </c>
      <c r="B40" s="16">
        <f>SUM(oldBailey_raw_count!G2:'oldBailey_raw_count'!G239)</f>
        <v>173541</v>
      </c>
      <c r="C40" s="16">
        <f>SUM(oldBailey_raw_count!C2:'oldBailey_raw_count'!F239,oldBailey_raw_count!H2:'oldBailey_raw_count'!M239)</f>
        <v>79011</v>
      </c>
      <c r="D40" s="13">
        <f>SUM(B40+C40)</f>
        <v>252552</v>
      </c>
      <c r="E40" s="14"/>
      <c r="F40" s="13" t="str">
        <f>A40</f>
        <v>oldBailey</v>
      </c>
      <c r="G40" s="14">
        <f>(D40*B42)/D42</f>
        <v>175071.4626815083</v>
      </c>
      <c r="H40" s="17">
        <f>(D40*C42)/D42</f>
        <v>77480.537318491697</v>
      </c>
      <c r="I40" s="14">
        <f>SUM(G40:H40)</f>
        <v>252552</v>
      </c>
      <c r="J40" s="15"/>
      <c r="K40" s="1"/>
      <c r="L40" s="12" t="s">
        <v>30</v>
      </c>
      <c r="M40" s="16">
        <f>SUM(oldBailey_raw_count!H2:'oldBailey_raw_count'!H239)</f>
        <v>12612</v>
      </c>
      <c r="N40" s="16">
        <f>SUM(oldBailey_raw_count!C2:'oldBailey_raw_count'!G239,oldBailey_raw_count!I2:'oldBailey_raw_count'!M239)</f>
        <v>239940</v>
      </c>
      <c r="O40" s="13">
        <f>SUM(M40+N40)</f>
        <v>252552</v>
      </c>
      <c r="P40" s="14"/>
      <c r="Q40" s="13" t="str">
        <f>L40</f>
        <v>oldBailey</v>
      </c>
      <c r="R40" s="14">
        <f>(O40*M42)/O42</f>
        <v>12612</v>
      </c>
      <c r="S40" s="17">
        <f>(O40*N42)/O42</f>
        <v>239940</v>
      </c>
      <c r="T40" s="14">
        <f>SUM(R40:S40)</f>
        <v>252552</v>
      </c>
      <c r="U40" s="15"/>
    </row>
    <row r="41" spans="1:21" x14ac:dyDescent="0.25">
      <c r="A41" s="12" t="s">
        <v>31</v>
      </c>
      <c r="B41" s="18">
        <f>SUM(beattie_raw!A4:A10)</f>
        <v>6437</v>
      </c>
      <c r="C41" s="19">
        <f>beattie_raw!A1+beattie_raw!A2+beattie_raw!A3</f>
        <v>641</v>
      </c>
      <c r="D41" s="13">
        <f>SUM(B41+C41)</f>
        <v>7078</v>
      </c>
      <c r="E41" s="14"/>
      <c r="F41" s="13" t="str">
        <f>A41</f>
        <v>notOB</v>
      </c>
      <c r="G41" s="13">
        <f>(D41*B42)/D42</f>
        <v>4906.5373184916998</v>
      </c>
      <c r="H41" s="13">
        <f>(D41*C42)/D42</f>
        <v>2171.4626815083002</v>
      </c>
      <c r="I41" s="13">
        <f>SUM(G41:H41)</f>
        <v>7078</v>
      </c>
      <c r="J41" s="15"/>
      <c r="K41" s="1"/>
      <c r="L41" s="12" t="s">
        <v>31</v>
      </c>
      <c r="M41" s="18"/>
      <c r="N41" s="19"/>
      <c r="O41" s="13">
        <f>SUM(M41+N41)</f>
        <v>0</v>
      </c>
      <c r="P41" s="14"/>
      <c r="Q41" s="13" t="str">
        <f>L41</f>
        <v>notOB</v>
      </c>
      <c r="R41" s="13">
        <f>(O41*M42)/O42</f>
        <v>0</v>
      </c>
      <c r="S41" s="13">
        <f>(O41*N42)/O42</f>
        <v>0</v>
      </c>
      <c r="T41" s="13">
        <f>SUM(R41:S41)</f>
        <v>0</v>
      </c>
      <c r="U41" s="15"/>
    </row>
    <row r="42" spans="1:21" x14ac:dyDescent="0.25">
      <c r="A42" s="12"/>
      <c r="B42" s="13">
        <f>(B40+B41)</f>
        <v>179978</v>
      </c>
      <c r="C42" s="13">
        <f>(C40+C41)</f>
        <v>79652</v>
      </c>
      <c r="D42" s="13">
        <f>IF(SUM(D40:D41)&lt;&gt;SUM(B42:C42),"PROBLEM",SUM(D40:D41))</f>
        <v>259630</v>
      </c>
      <c r="E42" s="14"/>
      <c r="F42" s="14"/>
      <c r="G42" s="14">
        <f>SUM(G40:G41)</f>
        <v>179978</v>
      </c>
      <c r="H42" s="13">
        <f>SUM(H40:H41)</f>
        <v>79652</v>
      </c>
      <c r="I42" s="14">
        <f>SUM(G42:H42)</f>
        <v>259630</v>
      </c>
      <c r="J42" s="15"/>
      <c r="K42" s="1"/>
      <c r="L42" s="12"/>
      <c r="M42" s="13">
        <f>(M40+M41)</f>
        <v>12612</v>
      </c>
      <c r="N42" s="13">
        <f>(N40+N41)</f>
        <v>239940</v>
      </c>
      <c r="O42" s="13">
        <f>IF(SUM(O40:O41)&lt;&gt;SUM(M42:N42),"PROBLEM",SUM(O40:O41))</f>
        <v>252552</v>
      </c>
      <c r="P42" s="14"/>
      <c r="Q42" s="14"/>
      <c r="R42" s="14">
        <f>SUM(R40:R41)</f>
        <v>12612</v>
      </c>
      <c r="S42" s="13">
        <f>SUM(S40:S41)</f>
        <v>239940</v>
      </c>
      <c r="T42" s="14">
        <f>SUM(R42:S42)</f>
        <v>252552</v>
      </c>
      <c r="U42" s="15"/>
    </row>
    <row r="43" spans="1:21" x14ac:dyDescent="0.25">
      <c r="A43" s="12"/>
      <c r="B43" s="13"/>
      <c r="C43" s="13"/>
      <c r="D43" s="13"/>
      <c r="E43" s="14"/>
      <c r="F43" s="14"/>
      <c r="G43" s="14"/>
      <c r="H43" s="14"/>
      <c r="I43" s="14"/>
      <c r="J43" s="15"/>
      <c r="K43" s="1"/>
      <c r="L43" s="12"/>
      <c r="M43" s="13"/>
      <c r="N43" s="13"/>
      <c r="O43" s="13"/>
      <c r="P43" s="14"/>
      <c r="Q43" s="14"/>
      <c r="R43" s="14"/>
      <c r="S43" s="14"/>
      <c r="T43" s="14"/>
      <c r="U43" s="15"/>
    </row>
    <row r="44" spans="1:21" x14ac:dyDescent="0.25">
      <c r="A44" s="12"/>
      <c r="B44" s="13"/>
      <c r="C44" s="13"/>
      <c r="D44" s="13"/>
      <c r="E44" s="14"/>
      <c r="F44" s="14"/>
      <c r="G44" s="14"/>
      <c r="H44" s="14"/>
      <c r="I44" s="14"/>
      <c r="J44" s="15"/>
      <c r="K44" s="1"/>
      <c r="L44" s="12"/>
      <c r="M44" s="13"/>
      <c r="N44" s="13"/>
      <c r="O44" s="13"/>
      <c r="P44" s="14"/>
      <c r="Q44" s="14"/>
      <c r="R44" s="14"/>
      <c r="S44" s="14"/>
      <c r="T44" s="14"/>
      <c r="U44" s="15"/>
    </row>
    <row r="45" spans="1:21" x14ac:dyDescent="0.25">
      <c r="A45" s="12" t="s">
        <v>32</v>
      </c>
      <c r="B45" s="13" t="s">
        <v>33</v>
      </c>
      <c r="C45" s="13" t="s">
        <v>34</v>
      </c>
      <c r="D45" s="13" t="s">
        <v>35</v>
      </c>
      <c r="E45" s="13" t="s">
        <v>36</v>
      </c>
      <c r="F45" s="14"/>
      <c r="G45" s="14"/>
      <c r="H45" s="14"/>
      <c r="I45" s="14"/>
      <c r="J45" s="15"/>
      <c r="K45" s="1"/>
      <c r="L45" s="12" t="s">
        <v>32</v>
      </c>
      <c r="M45" s="13" t="s">
        <v>33</v>
      </c>
      <c r="N45" s="13" t="s">
        <v>34</v>
      </c>
      <c r="O45" s="13" t="s">
        <v>35</v>
      </c>
      <c r="P45" s="13" t="s">
        <v>36</v>
      </c>
      <c r="Q45" s="14"/>
      <c r="R45" s="14"/>
      <c r="S45" s="14"/>
      <c r="T45" s="14"/>
      <c r="U45" s="15"/>
    </row>
    <row r="46" spans="1:21" x14ac:dyDescent="0.25">
      <c r="A46" s="12">
        <f>B40</f>
        <v>173541</v>
      </c>
      <c r="B46" s="13">
        <f>G40</f>
        <v>175071.4626815083</v>
      </c>
      <c r="C46" s="13">
        <f>A46-B46</f>
        <v>-1530.4626815083029</v>
      </c>
      <c r="D46" s="13">
        <f>C46*C46</f>
        <v>2342316.019489585</v>
      </c>
      <c r="E46" s="14">
        <f>D46/B46</f>
        <v>13.379199462968725</v>
      </c>
      <c r="F46" s="14"/>
      <c r="G46" s="14"/>
      <c r="H46" s="14"/>
      <c r="I46" s="14"/>
      <c r="J46" s="15"/>
      <c r="K46" s="1"/>
      <c r="L46" s="12">
        <f>M40</f>
        <v>12612</v>
      </c>
      <c r="M46" s="13">
        <f>R40</f>
        <v>12612</v>
      </c>
      <c r="N46" s="13">
        <f>L46-M46</f>
        <v>0</v>
      </c>
      <c r="O46" s="13">
        <f>N46*N46</f>
        <v>0</v>
      </c>
      <c r="P46" s="14">
        <f>O46/M46</f>
        <v>0</v>
      </c>
      <c r="Q46" s="14"/>
      <c r="R46" s="14"/>
      <c r="S46" s="14"/>
      <c r="T46" s="14"/>
      <c r="U46" s="15"/>
    </row>
    <row r="47" spans="1:21" x14ac:dyDescent="0.25">
      <c r="A47" s="12">
        <f>B41</f>
        <v>6437</v>
      </c>
      <c r="B47" s="13">
        <f>G41</f>
        <v>4906.5373184916998</v>
      </c>
      <c r="C47" s="13">
        <f t="shared" ref="C47:C49" si="12">A47-B47</f>
        <v>1530.4626815083002</v>
      </c>
      <c r="D47" s="13">
        <f t="shared" ref="D47:D49" si="13">C47*C47</f>
        <v>2342316.0194895766</v>
      </c>
      <c r="E47" s="14">
        <f t="shared" ref="E47:E49" si="14">D47/B47</f>
        <v>477.38677349133445</v>
      </c>
      <c r="F47" s="14"/>
      <c r="G47" s="14"/>
      <c r="H47" s="14"/>
      <c r="I47" s="14"/>
      <c r="J47" s="15"/>
      <c r="K47" s="1"/>
      <c r="L47" s="12">
        <f>M41</f>
        <v>0</v>
      </c>
      <c r="M47" s="13">
        <f>R41</f>
        <v>0</v>
      </c>
      <c r="N47" s="13">
        <f t="shared" ref="N47:N49" si="15">L47-M47</f>
        <v>0</v>
      </c>
      <c r="O47" s="13">
        <f t="shared" ref="O47:O49" si="16">N47*N47</f>
        <v>0</v>
      </c>
      <c r="P47" s="14" t="e">
        <f t="shared" ref="P47:P49" si="17">O47/M47</f>
        <v>#DIV/0!</v>
      </c>
      <c r="Q47" s="14"/>
      <c r="R47" s="14"/>
      <c r="S47" s="14"/>
      <c r="T47" s="14"/>
      <c r="U47" s="15"/>
    </row>
    <row r="48" spans="1:21" x14ac:dyDescent="0.25">
      <c r="A48" s="12">
        <f>C40</f>
        <v>79011</v>
      </c>
      <c r="B48" s="13">
        <f>H40</f>
        <v>77480.537318491697</v>
      </c>
      <c r="C48" s="13">
        <f t="shared" si="12"/>
        <v>1530.4626815083029</v>
      </c>
      <c r="D48" s="13">
        <f t="shared" si="13"/>
        <v>2342316.019489585</v>
      </c>
      <c r="E48" s="14">
        <f t="shared" si="14"/>
        <v>30.231024468264266</v>
      </c>
      <c r="F48" s="14"/>
      <c r="G48" s="14"/>
      <c r="H48" s="14"/>
      <c r="I48" s="14"/>
      <c r="J48" s="15"/>
      <c r="K48" s="1"/>
      <c r="L48" s="12">
        <f>N40</f>
        <v>239940</v>
      </c>
      <c r="M48" s="13">
        <f>S40</f>
        <v>239940</v>
      </c>
      <c r="N48" s="13">
        <f t="shared" si="15"/>
        <v>0</v>
      </c>
      <c r="O48" s="13">
        <f t="shared" si="16"/>
        <v>0</v>
      </c>
      <c r="P48" s="14">
        <f t="shared" si="17"/>
        <v>0</v>
      </c>
      <c r="Q48" s="14"/>
      <c r="R48" s="14"/>
      <c r="S48" s="14"/>
      <c r="T48" s="14"/>
      <c r="U48" s="15"/>
    </row>
    <row r="49" spans="1:21" x14ac:dyDescent="0.25">
      <c r="A49" s="12">
        <f>C41</f>
        <v>641</v>
      </c>
      <c r="B49" s="13">
        <f>H41</f>
        <v>2171.4626815083002</v>
      </c>
      <c r="C49" s="13">
        <f t="shared" si="12"/>
        <v>-1530.4626815083002</v>
      </c>
      <c r="D49" s="13">
        <f t="shared" si="13"/>
        <v>2342316.0194895766</v>
      </c>
      <c r="E49" s="14">
        <f t="shared" si="14"/>
        <v>1078.6812223098402</v>
      </c>
      <c r="F49" s="14"/>
      <c r="G49" s="14" t="s">
        <v>37</v>
      </c>
      <c r="H49" s="14"/>
      <c r="I49" s="14"/>
      <c r="J49" s="15"/>
      <c r="K49" s="1"/>
      <c r="L49" s="12">
        <f>N41</f>
        <v>0</v>
      </c>
      <c r="M49" s="13">
        <f>S41</f>
        <v>0</v>
      </c>
      <c r="N49" s="13">
        <f t="shared" si="15"/>
        <v>0</v>
      </c>
      <c r="O49" s="13">
        <f t="shared" si="16"/>
        <v>0</v>
      </c>
      <c r="P49" s="14" t="e">
        <f t="shared" si="17"/>
        <v>#DIV/0!</v>
      </c>
      <c r="Q49" s="14"/>
      <c r="R49" s="14" t="s">
        <v>37</v>
      </c>
      <c r="S49" s="14"/>
      <c r="T49" s="14"/>
      <c r="U49" s="15"/>
    </row>
    <row r="50" spans="1:21" x14ac:dyDescent="0.25">
      <c r="A50" s="12"/>
      <c r="B50" s="13"/>
      <c r="C50" s="13"/>
      <c r="D50" s="13"/>
      <c r="E50" s="14"/>
      <c r="F50" s="14"/>
      <c r="G50" s="20">
        <v>0.1</v>
      </c>
      <c r="H50" s="20">
        <v>0.05</v>
      </c>
      <c r="I50" s="20">
        <v>0.01</v>
      </c>
      <c r="J50" s="21">
        <v>1E-3</v>
      </c>
      <c r="K50" s="1"/>
      <c r="L50" s="12"/>
      <c r="M50" s="13"/>
      <c r="N50" s="13"/>
      <c r="O50" s="13"/>
      <c r="P50" s="14"/>
      <c r="Q50" s="14"/>
      <c r="R50" s="20">
        <v>0.1</v>
      </c>
      <c r="S50" s="20">
        <v>0.05</v>
      </c>
      <c r="T50" s="20">
        <v>0.01</v>
      </c>
      <c r="U50" s="21">
        <v>1E-3</v>
      </c>
    </row>
    <row r="51" spans="1:21" x14ac:dyDescent="0.25">
      <c r="A51" s="12"/>
      <c r="B51" s="13"/>
      <c r="C51" s="13"/>
      <c r="D51" s="13" t="s">
        <v>38</v>
      </c>
      <c r="E51" s="14">
        <f>SUM(E46:E49)</f>
        <v>1599.6782197324078</v>
      </c>
      <c r="F51" s="14"/>
      <c r="G51" s="14">
        <v>2.71</v>
      </c>
      <c r="H51" s="14">
        <v>3.84</v>
      </c>
      <c r="I51" s="14">
        <v>6.63</v>
      </c>
      <c r="J51" s="15">
        <v>10.8</v>
      </c>
      <c r="K51" s="1"/>
      <c r="L51" s="12"/>
      <c r="M51" s="13"/>
      <c r="N51" s="13"/>
      <c r="O51" s="13" t="s">
        <v>38</v>
      </c>
      <c r="P51" s="14" t="e">
        <f>SUM(P46:P49)</f>
        <v>#DIV/0!</v>
      </c>
      <c r="Q51" s="14"/>
      <c r="R51" s="14">
        <v>2.71</v>
      </c>
      <c r="S51" s="14">
        <v>3.84</v>
      </c>
      <c r="T51" s="14">
        <v>6.63</v>
      </c>
      <c r="U51" s="15">
        <v>10.8</v>
      </c>
    </row>
    <row r="52" spans="1:21" x14ac:dyDescent="0.25">
      <c r="A52" s="12"/>
      <c r="B52" s="13"/>
      <c r="C52" s="13"/>
      <c r="D52" s="13"/>
      <c r="E52" s="14"/>
      <c r="F52" s="14"/>
      <c r="G52" s="14"/>
      <c r="H52" s="14"/>
      <c r="I52" s="14"/>
      <c r="J52" s="15"/>
      <c r="K52" s="1"/>
      <c r="L52" s="12"/>
      <c r="M52" s="13"/>
      <c r="N52" s="13"/>
      <c r="O52" s="13"/>
      <c r="P52" s="14"/>
      <c r="Q52" s="14"/>
      <c r="R52" s="14"/>
      <c r="S52" s="14"/>
      <c r="T52" s="14"/>
      <c r="U52" s="15"/>
    </row>
    <row r="53" spans="1:21" ht="15.75" thickBot="1" x14ac:dyDescent="0.3">
      <c r="A53" s="22"/>
      <c r="B53" s="23" t="str">
        <f>IF(E51&gt;=G51,IF(E51&gt;H51,IF(E51&gt;I51,IF(E51&gt;J51,CONCATENATE("ACCEPT THE HYPOTHESIS WITH CONFIDENCE GREATER THAN ",1-J50,"%"),CONCATENATE("ACCEPT THE HYPOTHESIS WITH CONFIDENCE GREATER THAN ",1-I50,"%")),CONCATENATE("ACCEPT THE HYPOTHESIS WITH CONFIDENCE GREATER THAN ",1-H50,"%")),CONCATENATE("ACCEPT THE HYPOTHESIS WITH CONFIDENCE GREATER THAN ",1-G50,"%")),"REJECT THE HYPOTHESIS")</f>
        <v>ACCEPT THE HYPOTHESIS WITH CONFIDENCE GREATER THAN 0.999%</v>
      </c>
      <c r="C53" s="23"/>
      <c r="D53" s="23"/>
      <c r="E53" s="24"/>
      <c r="F53" s="24"/>
      <c r="G53" s="24"/>
      <c r="H53" s="24"/>
      <c r="I53" s="24"/>
      <c r="J53" s="25"/>
      <c r="K53" s="1"/>
      <c r="L53" s="22"/>
      <c r="M53" s="23" t="e">
        <f>IF(P51&gt;=R51,IF(P51&gt;S51,IF(P51&gt;T51,IF(P51&gt;U51,CONCATENATE("ACCEPT THE HYPOTHESIS WITH CONFIDENCE GREATER THAN ",1-U50,"%"),CONCATENATE("ACCEPT THE HYPOTHESIS WITH CONFIDENCE GREATER THAN ",1-T50,"%")),CONCATENATE("ACCEPT THE HYPOTHESIS WITH CONFIDENCE GREATER THAN ",1-S50,"%")),CONCATENATE("ACCEPT THE HYPOTHESIS WITH CONFIDENCE GREATER THAN ",1-R50,"%")),"REJECT THE HYPOTHESIS")</f>
        <v>#DIV/0!</v>
      </c>
      <c r="N53" s="23"/>
      <c r="O53" s="23"/>
      <c r="P53" s="24"/>
      <c r="Q53" s="24"/>
      <c r="R53" s="24"/>
      <c r="S53" s="24"/>
      <c r="T53" s="24"/>
      <c r="U53" s="25"/>
    </row>
    <row r="54" spans="1:21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8" t="str">
        <f>CONCATENATE("h1: there is an association between the old bailey and the charge of ",oldBailey_raw_count!I1)</f>
        <v>h1: there is an association between the old bailey and the charge of unknown</v>
      </c>
      <c r="B55" s="9"/>
      <c r="C55" s="9"/>
      <c r="D55" s="9"/>
      <c r="E55" s="10"/>
      <c r="F55" s="10"/>
      <c r="G55" s="10"/>
      <c r="H55" s="10"/>
      <c r="I55" s="10"/>
      <c r="J55" s="11"/>
      <c r="K55" s="1"/>
      <c r="L55" s="8" t="str">
        <f>CONCATENATE("h1: there is an association between the old bailey and the charge of ",oldBailey_raw_count!J1)</f>
        <v>h1: there is an association between the old bailey and the charge of Breaking Peace</v>
      </c>
      <c r="M55" s="9"/>
      <c r="N55" s="9"/>
      <c r="O55" s="9"/>
      <c r="P55" s="10"/>
      <c r="Q55" s="10"/>
      <c r="R55" s="10"/>
      <c r="S55" s="10"/>
      <c r="T55" s="10"/>
      <c r="U55" s="11"/>
    </row>
    <row r="56" spans="1:21" x14ac:dyDescent="0.25">
      <c r="A56" s="12"/>
      <c r="B56" s="13"/>
      <c r="C56" s="13"/>
      <c r="D56" s="13"/>
      <c r="E56" s="14"/>
      <c r="F56" s="14"/>
      <c r="G56" s="14"/>
      <c r="H56" s="14"/>
      <c r="I56" s="14"/>
      <c r="J56" s="15"/>
      <c r="K56" s="1"/>
      <c r="L56" s="12"/>
      <c r="M56" s="13"/>
      <c r="N56" s="13"/>
      <c r="O56" s="13"/>
      <c r="P56" s="14"/>
      <c r="Q56" s="14"/>
      <c r="R56" s="14"/>
      <c r="S56" s="14"/>
      <c r="T56" s="14"/>
      <c r="U56" s="15"/>
    </row>
    <row r="57" spans="1:21" x14ac:dyDescent="0.25">
      <c r="A57" s="12" t="s">
        <v>28</v>
      </c>
      <c r="B57" s="13" t="str">
        <f>oldBailey_raw_count!I1</f>
        <v>unknown</v>
      </c>
      <c r="C57" s="13" t="str">
        <f>CONCATENATE("not ",B57)</f>
        <v>not unknown</v>
      </c>
      <c r="D57" s="13"/>
      <c r="E57" s="14"/>
      <c r="F57" s="13" t="s">
        <v>29</v>
      </c>
      <c r="G57" s="13" t="str">
        <f>B57</f>
        <v>unknown</v>
      </c>
      <c r="H57" s="13" t="str">
        <f>C57</f>
        <v>not unknown</v>
      </c>
      <c r="I57" s="14"/>
      <c r="J57" s="15"/>
      <c r="K57" s="1"/>
      <c r="L57" s="12" t="s">
        <v>28</v>
      </c>
      <c r="M57" s="13" t="str">
        <f>oldBailey_raw_count!J1</f>
        <v>Breaking Peace</v>
      </c>
      <c r="N57" s="13" t="str">
        <f>CONCATENATE("not ",M57)</f>
        <v>not Breaking Peace</v>
      </c>
      <c r="O57" s="13"/>
      <c r="P57" s="14"/>
      <c r="Q57" s="13" t="s">
        <v>29</v>
      </c>
      <c r="R57" s="13" t="str">
        <f>M57</f>
        <v>Breaking Peace</v>
      </c>
      <c r="S57" s="13" t="str">
        <f>N57</f>
        <v>not Breaking Peace</v>
      </c>
      <c r="T57" s="14"/>
      <c r="U57" s="15"/>
    </row>
    <row r="58" spans="1:21" x14ac:dyDescent="0.25">
      <c r="A58" s="12" t="s">
        <v>30</v>
      </c>
      <c r="B58" s="16">
        <f>SUM(oldBailey_raw_count!I2:'oldBailey_raw_count'!I239)</f>
        <v>7221</v>
      </c>
      <c r="C58" s="16">
        <f>SUM(oldBailey_raw_count!C2:'oldBailey_raw_count'!H239,oldBailey_raw_count!J2:'oldBailey_raw_count'!M239)</f>
        <v>245331</v>
      </c>
      <c r="D58" s="13">
        <f>SUM(B58+C58)</f>
        <v>252552</v>
      </c>
      <c r="E58" s="14"/>
      <c r="F58" s="13" t="str">
        <f>A58</f>
        <v>oldBailey</v>
      </c>
      <c r="G58" s="14">
        <f>(D58*B60)/D60</f>
        <v>7221</v>
      </c>
      <c r="H58" s="17">
        <f>(D58*C60)/D60</f>
        <v>245331</v>
      </c>
      <c r="I58" s="14">
        <f>SUM(G58:H58)</f>
        <v>252552</v>
      </c>
      <c r="J58" s="15"/>
      <c r="K58" s="1"/>
      <c r="L58" s="12" t="s">
        <v>30</v>
      </c>
      <c r="M58" s="16">
        <f>SUM(oldBailey_raw_count!J2:'oldBailey_raw_count'!J239)</f>
        <v>8611</v>
      </c>
      <c r="N58" s="16">
        <f>SUM(oldBailey_raw_count!C2:'oldBailey_raw_count'!I239,oldBailey_raw_count!K2:'oldBailey_raw_count'!M239)</f>
        <v>243941</v>
      </c>
      <c r="O58" s="13">
        <f>SUM(M58+N58)</f>
        <v>252552</v>
      </c>
      <c r="P58" s="14"/>
      <c r="Q58" s="13" t="str">
        <f>L58</f>
        <v>oldBailey</v>
      </c>
      <c r="R58" s="14">
        <f>(O58*M60)/O60</f>
        <v>8611</v>
      </c>
      <c r="S58" s="17">
        <f>(O58*N60)/O60</f>
        <v>243941</v>
      </c>
      <c r="T58" s="14">
        <f>SUM(R58:S58)</f>
        <v>252552</v>
      </c>
      <c r="U58" s="15"/>
    </row>
    <row r="59" spans="1:21" x14ac:dyDescent="0.25">
      <c r="A59" s="12" t="s">
        <v>31</v>
      </c>
      <c r="B59" s="18"/>
      <c r="C59" s="19"/>
      <c r="D59" s="13">
        <f>SUM(B59+C59)</f>
        <v>0</v>
      </c>
      <c r="E59" s="14"/>
      <c r="F59" s="13" t="str">
        <f>A59</f>
        <v>notOB</v>
      </c>
      <c r="G59" s="13">
        <f>(D59*B60)/D60</f>
        <v>0</v>
      </c>
      <c r="H59" s="13">
        <f>(D59*C60)/D60</f>
        <v>0</v>
      </c>
      <c r="I59" s="13">
        <f>SUM(G59:H59)</f>
        <v>0</v>
      </c>
      <c r="J59" s="15"/>
      <c r="K59" s="1"/>
      <c r="L59" s="12" t="s">
        <v>31</v>
      </c>
      <c r="M59" s="18"/>
      <c r="N59" s="19"/>
      <c r="O59" s="13">
        <f>SUM(M59+N59)</f>
        <v>0</v>
      </c>
      <c r="P59" s="14"/>
      <c r="Q59" s="13" t="str">
        <f>L59</f>
        <v>notOB</v>
      </c>
      <c r="R59" s="13">
        <f>(O59*M60)/O60</f>
        <v>0</v>
      </c>
      <c r="S59" s="13">
        <f>(O59*N60)/O60</f>
        <v>0</v>
      </c>
      <c r="T59" s="13">
        <f>SUM(R59:S59)</f>
        <v>0</v>
      </c>
      <c r="U59" s="15"/>
    </row>
    <row r="60" spans="1:21" x14ac:dyDescent="0.25">
      <c r="A60" s="12"/>
      <c r="B60" s="13">
        <f>(B58+B59)</f>
        <v>7221</v>
      </c>
      <c r="C60" s="13">
        <f>(C58+C59)</f>
        <v>245331</v>
      </c>
      <c r="D60" s="13">
        <f>IF(SUM(D58:D59)&lt;&gt;SUM(B60:C60),"PROBLEM",SUM(D58:D59))</f>
        <v>252552</v>
      </c>
      <c r="E60" s="14"/>
      <c r="F60" s="14"/>
      <c r="G60" s="14">
        <f>SUM(G58:G59)</f>
        <v>7221</v>
      </c>
      <c r="H60" s="13">
        <f>SUM(H58:H59)</f>
        <v>245331</v>
      </c>
      <c r="I60" s="14">
        <f>SUM(G60:H60)</f>
        <v>252552</v>
      </c>
      <c r="J60" s="15"/>
      <c r="K60" s="1"/>
      <c r="L60" s="12"/>
      <c r="M60" s="13">
        <f>(M58+M59)</f>
        <v>8611</v>
      </c>
      <c r="N60" s="13">
        <f>(N58+N59)</f>
        <v>243941</v>
      </c>
      <c r="O60" s="13">
        <f>IF(SUM(O58:O59)&lt;&gt;SUM(M60:N60),"PROBLEM",SUM(O58:O59))</f>
        <v>252552</v>
      </c>
      <c r="P60" s="14"/>
      <c r="Q60" s="14"/>
      <c r="R60" s="14">
        <f>SUM(R58:R59)</f>
        <v>8611</v>
      </c>
      <c r="S60" s="13">
        <f>SUM(S58:S59)</f>
        <v>243941</v>
      </c>
      <c r="T60" s="14">
        <f>SUM(R60:S60)</f>
        <v>252552</v>
      </c>
      <c r="U60" s="15"/>
    </row>
    <row r="61" spans="1:21" x14ac:dyDescent="0.25">
      <c r="A61" s="12"/>
      <c r="B61" s="13"/>
      <c r="C61" s="13"/>
      <c r="D61" s="13"/>
      <c r="E61" s="14"/>
      <c r="F61" s="14"/>
      <c r="G61" s="14"/>
      <c r="H61" s="14"/>
      <c r="I61" s="14"/>
      <c r="J61" s="15"/>
      <c r="K61" s="1"/>
      <c r="L61" s="12"/>
      <c r="M61" s="13"/>
      <c r="N61" s="13"/>
      <c r="O61" s="13"/>
      <c r="P61" s="14"/>
      <c r="Q61" s="14"/>
      <c r="R61" s="14"/>
      <c r="S61" s="14"/>
      <c r="T61" s="14"/>
      <c r="U61" s="15"/>
    </row>
    <row r="62" spans="1:21" x14ac:dyDescent="0.25">
      <c r="A62" s="12"/>
      <c r="B62" s="13"/>
      <c r="C62" s="13"/>
      <c r="D62" s="13"/>
      <c r="E62" s="14"/>
      <c r="F62" s="14"/>
      <c r="G62" s="14"/>
      <c r="H62" s="14"/>
      <c r="I62" s="14"/>
      <c r="J62" s="15"/>
      <c r="K62" s="1"/>
      <c r="L62" s="12"/>
      <c r="M62" s="13"/>
      <c r="N62" s="13"/>
      <c r="O62" s="13"/>
      <c r="P62" s="14"/>
      <c r="Q62" s="14"/>
      <c r="R62" s="14"/>
      <c r="S62" s="14"/>
      <c r="T62" s="14"/>
      <c r="U62" s="15"/>
    </row>
    <row r="63" spans="1:21" x14ac:dyDescent="0.25">
      <c r="A63" s="12" t="s">
        <v>32</v>
      </c>
      <c r="B63" s="13" t="s">
        <v>33</v>
      </c>
      <c r="C63" s="13" t="s">
        <v>34</v>
      </c>
      <c r="D63" s="13" t="s">
        <v>35</v>
      </c>
      <c r="E63" s="13" t="s">
        <v>36</v>
      </c>
      <c r="F63" s="14"/>
      <c r="G63" s="14"/>
      <c r="H63" s="14"/>
      <c r="I63" s="14"/>
      <c r="J63" s="15"/>
      <c r="K63" s="1"/>
      <c r="L63" s="12" t="s">
        <v>32</v>
      </c>
      <c r="M63" s="13" t="s">
        <v>33</v>
      </c>
      <c r="N63" s="13" t="s">
        <v>34</v>
      </c>
      <c r="O63" s="13" t="s">
        <v>35</v>
      </c>
      <c r="P63" s="13" t="s">
        <v>36</v>
      </c>
      <c r="Q63" s="14"/>
      <c r="R63" s="14"/>
      <c r="S63" s="14"/>
      <c r="T63" s="14"/>
      <c r="U63" s="15"/>
    </row>
    <row r="64" spans="1:21" x14ac:dyDescent="0.25">
      <c r="A64" s="12">
        <f>B58</f>
        <v>7221</v>
      </c>
      <c r="B64" s="13">
        <f>G58</f>
        <v>7221</v>
      </c>
      <c r="C64" s="13">
        <f>A64-B64</f>
        <v>0</v>
      </c>
      <c r="D64" s="13">
        <f>C64*C64</f>
        <v>0</v>
      </c>
      <c r="E64" s="14">
        <f>D64/B64</f>
        <v>0</v>
      </c>
      <c r="F64" s="14"/>
      <c r="G64" s="14"/>
      <c r="H64" s="14"/>
      <c r="I64" s="14"/>
      <c r="J64" s="15"/>
      <c r="K64" s="1"/>
      <c r="L64" s="12">
        <f>M58</f>
        <v>8611</v>
      </c>
      <c r="M64" s="13">
        <f>R58</f>
        <v>8611</v>
      </c>
      <c r="N64" s="13">
        <f>L64-M64</f>
        <v>0</v>
      </c>
      <c r="O64" s="13">
        <f>N64*N64</f>
        <v>0</v>
      </c>
      <c r="P64" s="14">
        <f>O64/M64</f>
        <v>0</v>
      </c>
      <c r="Q64" s="14"/>
      <c r="R64" s="14"/>
      <c r="S64" s="14"/>
      <c r="T64" s="14"/>
      <c r="U64" s="15"/>
    </row>
    <row r="65" spans="1:21" x14ac:dyDescent="0.25">
      <c r="A65" s="12">
        <f>B59</f>
        <v>0</v>
      </c>
      <c r="B65" s="13">
        <f>G59</f>
        <v>0</v>
      </c>
      <c r="C65" s="13">
        <f t="shared" ref="C65:C67" si="18">A65-B65</f>
        <v>0</v>
      </c>
      <c r="D65" s="13">
        <f t="shared" ref="D65:D67" si="19">C65*C65</f>
        <v>0</v>
      </c>
      <c r="E65" s="14" t="e">
        <f t="shared" ref="E65:E67" si="20">D65/B65</f>
        <v>#DIV/0!</v>
      </c>
      <c r="F65" s="14"/>
      <c r="G65" s="14"/>
      <c r="H65" s="14"/>
      <c r="I65" s="14"/>
      <c r="J65" s="15"/>
      <c r="K65" s="1"/>
      <c r="L65" s="12">
        <f>M59</f>
        <v>0</v>
      </c>
      <c r="M65" s="13">
        <f>R59</f>
        <v>0</v>
      </c>
      <c r="N65" s="13">
        <f t="shared" ref="N65:N67" si="21">L65-M65</f>
        <v>0</v>
      </c>
      <c r="O65" s="13">
        <f t="shared" ref="O65:O67" si="22">N65*N65</f>
        <v>0</v>
      </c>
      <c r="P65" s="14" t="e">
        <f t="shared" ref="P65:P67" si="23">O65/M65</f>
        <v>#DIV/0!</v>
      </c>
      <c r="Q65" s="14"/>
      <c r="R65" s="14"/>
      <c r="S65" s="14"/>
      <c r="T65" s="14"/>
      <c r="U65" s="15"/>
    </row>
    <row r="66" spans="1:21" x14ac:dyDescent="0.25">
      <c r="A66" s="12">
        <f>C58</f>
        <v>245331</v>
      </c>
      <c r="B66" s="13">
        <f>H58</f>
        <v>245331</v>
      </c>
      <c r="C66" s="13">
        <f t="shared" si="18"/>
        <v>0</v>
      </c>
      <c r="D66" s="13">
        <f t="shared" si="19"/>
        <v>0</v>
      </c>
      <c r="E66" s="14">
        <f t="shared" si="20"/>
        <v>0</v>
      </c>
      <c r="F66" s="14"/>
      <c r="G66" s="14"/>
      <c r="H66" s="14"/>
      <c r="I66" s="14"/>
      <c r="J66" s="15"/>
      <c r="K66" s="1"/>
      <c r="L66" s="12">
        <f>N58</f>
        <v>243941</v>
      </c>
      <c r="M66" s="13">
        <f>S58</f>
        <v>243941</v>
      </c>
      <c r="N66" s="13">
        <f t="shared" si="21"/>
        <v>0</v>
      </c>
      <c r="O66" s="13">
        <f t="shared" si="22"/>
        <v>0</v>
      </c>
      <c r="P66" s="14">
        <f t="shared" si="23"/>
        <v>0</v>
      </c>
      <c r="Q66" s="14"/>
      <c r="R66" s="14"/>
      <c r="S66" s="14"/>
      <c r="T66" s="14"/>
      <c r="U66" s="15"/>
    </row>
    <row r="67" spans="1:21" x14ac:dyDescent="0.25">
      <c r="A67" s="12">
        <f>C59</f>
        <v>0</v>
      </c>
      <c r="B67" s="13">
        <f>H59</f>
        <v>0</v>
      </c>
      <c r="C67" s="13">
        <f t="shared" si="18"/>
        <v>0</v>
      </c>
      <c r="D67" s="13">
        <f t="shared" si="19"/>
        <v>0</v>
      </c>
      <c r="E67" s="14" t="e">
        <f t="shared" si="20"/>
        <v>#DIV/0!</v>
      </c>
      <c r="F67" s="14"/>
      <c r="G67" s="14" t="s">
        <v>37</v>
      </c>
      <c r="H67" s="14"/>
      <c r="I67" s="14"/>
      <c r="J67" s="15"/>
      <c r="K67" s="1"/>
      <c r="L67" s="12">
        <f>N59</f>
        <v>0</v>
      </c>
      <c r="M67" s="13">
        <f>S59</f>
        <v>0</v>
      </c>
      <c r="N67" s="13">
        <f t="shared" si="21"/>
        <v>0</v>
      </c>
      <c r="O67" s="13">
        <f t="shared" si="22"/>
        <v>0</v>
      </c>
      <c r="P67" s="14" t="e">
        <f t="shared" si="23"/>
        <v>#DIV/0!</v>
      </c>
      <c r="Q67" s="14"/>
      <c r="R67" s="14" t="s">
        <v>37</v>
      </c>
      <c r="S67" s="14"/>
      <c r="T67" s="14"/>
      <c r="U67" s="15"/>
    </row>
    <row r="68" spans="1:21" x14ac:dyDescent="0.25">
      <c r="A68" s="12"/>
      <c r="B68" s="13"/>
      <c r="C68" s="13"/>
      <c r="D68" s="13"/>
      <c r="E68" s="14"/>
      <c r="F68" s="14"/>
      <c r="G68" s="20">
        <v>0.1</v>
      </c>
      <c r="H68" s="20">
        <v>0.05</v>
      </c>
      <c r="I68" s="20">
        <v>0.01</v>
      </c>
      <c r="J68" s="21">
        <v>1E-3</v>
      </c>
      <c r="K68" s="1"/>
      <c r="L68" s="12"/>
      <c r="M68" s="13"/>
      <c r="N68" s="13"/>
      <c r="O68" s="13"/>
      <c r="P68" s="14"/>
      <c r="Q68" s="14"/>
      <c r="R68" s="20">
        <v>0.1</v>
      </c>
      <c r="S68" s="20">
        <v>0.05</v>
      </c>
      <c r="T68" s="20">
        <v>0.01</v>
      </c>
      <c r="U68" s="21">
        <v>1E-3</v>
      </c>
    </row>
    <row r="69" spans="1:21" x14ac:dyDescent="0.25">
      <c r="A69" s="12"/>
      <c r="B69" s="13"/>
      <c r="C69" s="13"/>
      <c r="D69" s="13" t="s">
        <v>38</v>
      </c>
      <c r="E69" s="14" t="e">
        <f>SUM(E64:E67)</f>
        <v>#DIV/0!</v>
      </c>
      <c r="F69" s="14"/>
      <c r="G69" s="14">
        <v>2.71</v>
      </c>
      <c r="H69" s="14">
        <v>3.84</v>
      </c>
      <c r="I69" s="14">
        <v>6.63</v>
      </c>
      <c r="J69" s="15">
        <v>10.8</v>
      </c>
      <c r="K69" s="1"/>
      <c r="L69" s="12"/>
      <c r="M69" s="13"/>
      <c r="N69" s="13"/>
      <c r="O69" s="13" t="s">
        <v>38</v>
      </c>
      <c r="P69" s="14" t="e">
        <f>SUM(P64:P67)</f>
        <v>#DIV/0!</v>
      </c>
      <c r="Q69" s="14"/>
      <c r="R69" s="14">
        <v>2.71</v>
      </c>
      <c r="S69" s="14">
        <v>3.84</v>
      </c>
      <c r="T69" s="14">
        <v>6.63</v>
      </c>
      <c r="U69" s="15">
        <v>10.8</v>
      </c>
    </row>
    <row r="70" spans="1:21" x14ac:dyDescent="0.25">
      <c r="A70" s="12"/>
      <c r="B70" s="13"/>
      <c r="C70" s="13"/>
      <c r="D70" s="13"/>
      <c r="E70" s="14"/>
      <c r="F70" s="14"/>
      <c r="G70" s="14"/>
      <c r="H70" s="14"/>
      <c r="I70" s="14"/>
      <c r="J70" s="15"/>
      <c r="K70" s="1"/>
      <c r="L70" s="12"/>
      <c r="M70" s="13"/>
      <c r="N70" s="13"/>
      <c r="O70" s="13"/>
      <c r="P70" s="14"/>
      <c r="Q70" s="14"/>
      <c r="R70" s="14"/>
      <c r="S70" s="14"/>
      <c r="T70" s="14"/>
      <c r="U70" s="15"/>
    </row>
    <row r="71" spans="1:21" ht="15.75" thickBot="1" x14ac:dyDescent="0.3">
      <c r="A71" s="22"/>
      <c r="B71" s="23" t="e">
        <f>IF(E69&gt;=G69,IF(E69&gt;H69,IF(E69&gt;I69,IF(E69&gt;J69,CONCATENATE("ACCEPT THE HYPOTHESIS WITH CONFIDENCE GREATER THAN ",1-J68,"%"),CONCATENATE("ACCEPT THE HYPOTHESIS WITH CONFIDENCE GREATER THAN ",1-I68,"%")),CONCATENATE("ACCEPT THE HYPOTHESIS WITH CONFIDENCE GREATER THAN ",1-H68,"%")),CONCATENATE("ACCEPT THE HYPOTHESIS WITH CONFIDENCE GREATER THAN ",1-G68,"%")),"REJECT THE HYPOTHESIS")</f>
        <v>#DIV/0!</v>
      </c>
      <c r="C71" s="23"/>
      <c r="D71" s="23"/>
      <c r="E71" s="24"/>
      <c r="F71" s="24"/>
      <c r="G71" s="24"/>
      <c r="H71" s="24"/>
      <c r="I71" s="24"/>
      <c r="J71" s="25"/>
      <c r="K71" s="1"/>
      <c r="L71" s="22"/>
      <c r="M71" s="23" t="e">
        <f>IF(P69&gt;=R69,IF(P69&gt;S69,IF(P69&gt;T69,IF(P69&gt;U69,CONCATENATE("ACCEPT THE HYPOTHESIS WITH CONFIDENCE GREATER THAN ",1-U68,"%"),CONCATENATE("ACCEPT THE HYPOTHESIS WITH CONFIDENCE GREATER THAN ",1-T68,"%")),CONCATENATE("ACCEPT THE HYPOTHESIS WITH CONFIDENCE GREATER THAN ",1-S68,"%")),CONCATENATE("ACCEPT THE HYPOTHESIS WITH CONFIDENCE GREATER THAN ",1-R68,"%")),"REJECT THE HYPOTHESIS")</f>
        <v>#DIV/0!</v>
      </c>
      <c r="N71" s="23"/>
      <c r="O71" s="23"/>
      <c r="P71" s="24"/>
      <c r="Q71" s="24"/>
      <c r="R71" s="24"/>
      <c r="S71" s="24"/>
      <c r="T71" s="24"/>
      <c r="U71" s="25"/>
    </row>
    <row r="72" spans="1:21" ht="15.75" thickBot="1" x14ac:dyDescent="0.3"/>
    <row r="73" spans="1:21" x14ac:dyDescent="0.25">
      <c r="A73" s="8" t="str">
        <f>CONCATENATE("h1: there is an association between the old bailey and the charge of ",oldBailey_raw_count!K1)</f>
        <v>h1: there is an association between the old bailey and the charge of Deception</v>
      </c>
      <c r="B73" s="9"/>
      <c r="C73" s="9"/>
      <c r="D73" s="9"/>
      <c r="E73" s="10"/>
      <c r="F73" s="10"/>
      <c r="G73" s="10"/>
      <c r="H73" s="10"/>
      <c r="I73" s="10"/>
      <c r="J73" s="11"/>
      <c r="K73" s="1"/>
      <c r="L73" s="8" t="str">
        <f>CONCATENATE("h1: there is an association between the old bailey and the charge of ",oldBailey_raw_count!L1)</f>
        <v>h1: there is an association between the old bailey and the charge of Miscellaneous</v>
      </c>
      <c r="M73" s="9"/>
      <c r="N73" s="9"/>
      <c r="O73" s="9"/>
      <c r="P73" s="10"/>
      <c r="Q73" s="10"/>
      <c r="R73" s="10"/>
      <c r="S73" s="10"/>
      <c r="T73" s="10"/>
      <c r="U73" s="11"/>
    </row>
    <row r="74" spans="1:21" x14ac:dyDescent="0.25">
      <c r="A74" s="12"/>
      <c r="B74" s="13"/>
      <c r="C74" s="13"/>
      <c r="D74" s="13"/>
      <c r="E74" s="14"/>
      <c r="F74" s="14"/>
      <c r="G74" s="14"/>
      <c r="H74" s="14"/>
      <c r="I74" s="14"/>
      <c r="J74" s="15"/>
      <c r="K74" s="1"/>
      <c r="L74" s="12"/>
      <c r="M74" s="13"/>
      <c r="N74" s="13"/>
      <c r="O74" s="13"/>
      <c r="P74" s="14"/>
      <c r="Q74" s="14"/>
      <c r="R74" s="14"/>
      <c r="S74" s="14"/>
      <c r="T74" s="14"/>
      <c r="U74" s="15"/>
    </row>
    <row r="75" spans="1:21" x14ac:dyDescent="0.25">
      <c r="A75" s="12" t="s">
        <v>28</v>
      </c>
      <c r="B75" s="13" t="str">
        <f>oldBailey_raw_count!K1</f>
        <v>Deception</v>
      </c>
      <c r="C75" s="13" t="str">
        <f>CONCATENATE("not ",B75)</f>
        <v>not Deception</v>
      </c>
      <c r="D75" s="13"/>
      <c r="E75" s="14"/>
      <c r="F75" s="13" t="s">
        <v>29</v>
      </c>
      <c r="G75" s="13" t="str">
        <f>B75</f>
        <v>Deception</v>
      </c>
      <c r="H75" s="13" t="str">
        <f>C75</f>
        <v>not Deception</v>
      </c>
      <c r="I75" s="14"/>
      <c r="J75" s="15"/>
      <c r="K75" s="1"/>
      <c r="L75" s="12" t="s">
        <v>28</v>
      </c>
      <c r="M75" s="13" t="str">
        <f>oldBailey_raw_count!L1</f>
        <v>Miscellaneous</v>
      </c>
      <c r="N75" s="13" t="str">
        <f>CONCATENATE("not ",M75)</f>
        <v>not Miscellaneous</v>
      </c>
      <c r="O75" s="13"/>
      <c r="P75" s="14"/>
      <c r="Q75" s="13" t="s">
        <v>29</v>
      </c>
      <c r="R75" s="13" t="str">
        <f>M75</f>
        <v>Miscellaneous</v>
      </c>
      <c r="S75" s="13" t="str">
        <f>N75</f>
        <v>not Miscellaneous</v>
      </c>
      <c r="T75" s="14"/>
      <c r="U75" s="15"/>
    </row>
    <row r="76" spans="1:21" x14ac:dyDescent="0.25">
      <c r="A76" s="12" t="s">
        <v>30</v>
      </c>
      <c r="B76" s="16">
        <f>SUM(oldBailey_raw_count!K2:'oldBailey_raw_count'!K239)</f>
        <v>16012</v>
      </c>
      <c r="C76" s="16">
        <f>SUM(oldBailey_raw_count!C2:'oldBailey_raw_count'!J239,oldBailey_raw_count!L2:'oldBailey_raw_count'!M239)</f>
        <v>236540</v>
      </c>
      <c r="D76" s="13">
        <f>SUM(B76+C76)</f>
        <v>252552</v>
      </c>
      <c r="E76" s="14"/>
      <c r="F76" s="13" t="str">
        <f>A76</f>
        <v>oldBailey</v>
      </c>
      <c r="G76" s="14">
        <f>(D76*B78)/D78</f>
        <v>16012</v>
      </c>
      <c r="H76" s="17">
        <f>(D76*C78)/D78</f>
        <v>236540</v>
      </c>
      <c r="I76" s="14">
        <f>SUM(G76:H76)</f>
        <v>252552</v>
      </c>
      <c r="J76" s="15"/>
      <c r="K76" s="1"/>
      <c r="L76" s="12" t="s">
        <v>30</v>
      </c>
      <c r="M76" s="16">
        <f>SUM(oldBailey_raw_count!L2:'oldBailey_raw_count'!L239)</f>
        <v>3860</v>
      </c>
      <c r="N76" s="16">
        <f>SUM(oldBailey_raw_count!C2:'oldBailey_raw_count'!K239,oldBailey_raw_count!M2:'oldBailey_raw_count'!M239)</f>
        <v>248692</v>
      </c>
      <c r="O76" s="13">
        <f>SUM(M76+N76)</f>
        <v>252552</v>
      </c>
      <c r="P76" s="14"/>
      <c r="Q76" s="13" t="str">
        <f>L76</f>
        <v>oldBailey</v>
      </c>
      <c r="R76" s="14">
        <f>(O76*M78)/O78</f>
        <v>3860</v>
      </c>
      <c r="S76" s="17">
        <f>(O76*N78)/O78</f>
        <v>248692</v>
      </c>
      <c r="T76" s="14">
        <f>SUM(R76:S76)</f>
        <v>252552</v>
      </c>
      <c r="U76" s="15"/>
    </row>
    <row r="77" spans="1:21" x14ac:dyDescent="0.25">
      <c r="A77" s="12" t="s">
        <v>31</v>
      </c>
      <c r="B77" s="18"/>
      <c r="C77" s="19"/>
      <c r="D77" s="13">
        <f>SUM(B77+C77)</f>
        <v>0</v>
      </c>
      <c r="E77" s="14"/>
      <c r="F77" s="13" t="str">
        <f>A77</f>
        <v>notOB</v>
      </c>
      <c r="G77" s="13">
        <f>(D77*B78)/D78</f>
        <v>0</v>
      </c>
      <c r="H77" s="13">
        <f>(D77*C78)/D78</f>
        <v>0</v>
      </c>
      <c r="I77" s="13">
        <f>SUM(G77:H77)</f>
        <v>0</v>
      </c>
      <c r="J77" s="15"/>
      <c r="K77" s="1"/>
      <c r="L77" s="12" t="s">
        <v>31</v>
      </c>
      <c r="M77" s="18"/>
      <c r="N77" s="19"/>
      <c r="O77" s="13">
        <f>SUM(M77+N77)</f>
        <v>0</v>
      </c>
      <c r="P77" s="14"/>
      <c r="Q77" s="13" t="str">
        <f>L77</f>
        <v>notOB</v>
      </c>
      <c r="R77" s="13">
        <f>(O77*M78)/O78</f>
        <v>0</v>
      </c>
      <c r="S77" s="13">
        <f>(O77*N78)/O78</f>
        <v>0</v>
      </c>
      <c r="T77" s="13">
        <f>SUM(R77:S77)</f>
        <v>0</v>
      </c>
      <c r="U77" s="15"/>
    </row>
    <row r="78" spans="1:21" x14ac:dyDescent="0.25">
      <c r="A78" s="12"/>
      <c r="B78" s="13">
        <f>(B76+B77)</f>
        <v>16012</v>
      </c>
      <c r="C78" s="13">
        <f>(C76+C77)</f>
        <v>236540</v>
      </c>
      <c r="D78" s="13">
        <f>IF(SUM(D76:D77)&lt;&gt;SUM(B78:C78),"PROBLEM",SUM(D76:D77))</f>
        <v>252552</v>
      </c>
      <c r="E78" s="14"/>
      <c r="F78" s="14"/>
      <c r="G78" s="14">
        <f>SUM(G76:G77)</f>
        <v>16012</v>
      </c>
      <c r="H78" s="13">
        <f>SUM(H76:H77)</f>
        <v>236540</v>
      </c>
      <c r="I78" s="14">
        <f>SUM(G78:H78)</f>
        <v>252552</v>
      </c>
      <c r="J78" s="15"/>
      <c r="K78" s="1"/>
      <c r="L78" s="12"/>
      <c r="M78" s="13">
        <f>(M76+M77)</f>
        <v>3860</v>
      </c>
      <c r="N78" s="13">
        <f>(N76+N77)</f>
        <v>248692</v>
      </c>
      <c r="O78" s="13">
        <f>IF(SUM(O76:O77)&lt;&gt;SUM(M78:N78),"PROBLEM",SUM(O76:O77))</f>
        <v>252552</v>
      </c>
      <c r="P78" s="14"/>
      <c r="Q78" s="14"/>
      <c r="R78" s="14">
        <f>SUM(R76:R77)</f>
        <v>3860</v>
      </c>
      <c r="S78" s="13">
        <f>SUM(S76:S77)</f>
        <v>248692</v>
      </c>
      <c r="T78" s="14">
        <f>SUM(R78:S78)</f>
        <v>252552</v>
      </c>
      <c r="U78" s="15"/>
    </row>
    <row r="79" spans="1:21" x14ac:dyDescent="0.25">
      <c r="A79" s="12"/>
      <c r="B79" s="13"/>
      <c r="C79" s="13"/>
      <c r="D79" s="13"/>
      <c r="E79" s="14"/>
      <c r="F79" s="14"/>
      <c r="G79" s="14"/>
      <c r="H79" s="14"/>
      <c r="I79" s="14"/>
      <c r="J79" s="15"/>
      <c r="K79" s="1"/>
      <c r="L79" s="12"/>
      <c r="M79" s="13"/>
      <c r="N79" s="13"/>
      <c r="O79" s="13"/>
      <c r="P79" s="14"/>
      <c r="Q79" s="14"/>
      <c r="R79" s="14"/>
      <c r="S79" s="14"/>
      <c r="T79" s="14"/>
      <c r="U79" s="15"/>
    </row>
    <row r="80" spans="1:21" x14ac:dyDescent="0.25">
      <c r="A80" s="12"/>
      <c r="B80" s="13"/>
      <c r="C80" s="13"/>
      <c r="D80" s="13"/>
      <c r="E80" s="14"/>
      <c r="F80" s="14"/>
      <c r="G80" s="14"/>
      <c r="H80" s="14"/>
      <c r="I80" s="14"/>
      <c r="J80" s="15"/>
      <c r="K80" s="1"/>
      <c r="L80" s="12"/>
      <c r="M80" s="13"/>
      <c r="N80" s="13"/>
      <c r="O80" s="13"/>
      <c r="P80" s="14"/>
      <c r="Q80" s="14"/>
      <c r="R80" s="14"/>
      <c r="S80" s="14"/>
      <c r="T80" s="14"/>
      <c r="U80" s="15"/>
    </row>
    <row r="81" spans="1:21" x14ac:dyDescent="0.25">
      <c r="A81" s="12" t="s">
        <v>32</v>
      </c>
      <c r="B81" s="13" t="s">
        <v>33</v>
      </c>
      <c r="C81" s="13" t="s">
        <v>34</v>
      </c>
      <c r="D81" s="13" t="s">
        <v>35</v>
      </c>
      <c r="E81" s="13" t="s">
        <v>36</v>
      </c>
      <c r="F81" s="14"/>
      <c r="G81" s="14"/>
      <c r="H81" s="14"/>
      <c r="I81" s="14"/>
      <c r="J81" s="15"/>
      <c r="K81" s="1"/>
      <c r="L81" s="12" t="s">
        <v>32</v>
      </c>
      <c r="M81" s="13" t="s">
        <v>33</v>
      </c>
      <c r="N81" s="13" t="s">
        <v>34</v>
      </c>
      <c r="O81" s="13" t="s">
        <v>35</v>
      </c>
      <c r="P81" s="13" t="s">
        <v>36</v>
      </c>
      <c r="Q81" s="14"/>
      <c r="R81" s="14"/>
      <c r="S81" s="14"/>
      <c r="T81" s="14"/>
      <c r="U81" s="15"/>
    </row>
    <row r="82" spans="1:21" x14ac:dyDescent="0.25">
      <c r="A82" s="12">
        <f>B76</f>
        <v>16012</v>
      </c>
      <c r="B82" s="13">
        <f>G76</f>
        <v>16012</v>
      </c>
      <c r="C82" s="13">
        <f>A82-B82</f>
        <v>0</v>
      </c>
      <c r="D82" s="13">
        <f>C82*C82</f>
        <v>0</v>
      </c>
      <c r="E82" s="14">
        <f>D82/B82</f>
        <v>0</v>
      </c>
      <c r="F82" s="14"/>
      <c r="G82" s="14"/>
      <c r="H82" s="14"/>
      <c r="I82" s="14"/>
      <c r="J82" s="15"/>
      <c r="K82" s="1"/>
      <c r="L82" s="12">
        <f>M76</f>
        <v>3860</v>
      </c>
      <c r="M82" s="13">
        <f>R76</f>
        <v>3860</v>
      </c>
      <c r="N82" s="13">
        <f>L82-M82</f>
        <v>0</v>
      </c>
      <c r="O82" s="13">
        <f>N82*N82</f>
        <v>0</v>
      </c>
      <c r="P82" s="14">
        <f>O82/M82</f>
        <v>0</v>
      </c>
      <c r="Q82" s="14"/>
      <c r="R82" s="14"/>
      <c r="S82" s="14"/>
      <c r="T82" s="14"/>
      <c r="U82" s="15"/>
    </row>
    <row r="83" spans="1:21" x14ac:dyDescent="0.25">
      <c r="A83" s="12">
        <f>B77</f>
        <v>0</v>
      </c>
      <c r="B83" s="13">
        <f>G77</f>
        <v>0</v>
      </c>
      <c r="C83" s="13">
        <f t="shared" ref="C83:C85" si="24">A83-B83</f>
        <v>0</v>
      </c>
      <c r="D83" s="13">
        <f t="shared" ref="D83:D85" si="25">C83*C83</f>
        <v>0</v>
      </c>
      <c r="E83" s="14" t="e">
        <f t="shared" ref="E83:E85" si="26">D83/B83</f>
        <v>#DIV/0!</v>
      </c>
      <c r="F83" s="14"/>
      <c r="G83" s="14"/>
      <c r="H83" s="14"/>
      <c r="I83" s="14"/>
      <c r="J83" s="15"/>
      <c r="K83" s="1"/>
      <c r="L83" s="12">
        <f>M77</f>
        <v>0</v>
      </c>
      <c r="M83" s="13">
        <f>R77</f>
        <v>0</v>
      </c>
      <c r="N83" s="13">
        <f t="shared" ref="N83:N85" si="27">L83-M83</f>
        <v>0</v>
      </c>
      <c r="O83" s="13">
        <f t="shared" ref="O83:O85" si="28">N83*N83</f>
        <v>0</v>
      </c>
      <c r="P83" s="14" t="e">
        <f t="shared" ref="P83:P85" si="29">O83/M83</f>
        <v>#DIV/0!</v>
      </c>
      <c r="Q83" s="14"/>
      <c r="R83" s="14"/>
      <c r="S83" s="14"/>
      <c r="T83" s="14"/>
      <c r="U83" s="15"/>
    </row>
    <row r="84" spans="1:21" x14ac:dyDescent="0.25">
      <c r="A84" s="12">
        <f>C76</f>
        <v>236540</v>
      </c>
      <c r="B84" s="13">
        <f>H76</f>
        <v>236540</v>
      </c>
      <c r="C84" s="13">
        <f t="shared" si="24"/>
        <v>0</v>
      </c>
      <c r="D84" s="13">
        <f t="shared" si="25"/>
        <v>0</v>
      </c>
      <c r="E84" s="14">
        <f t="shared" si="26"/>
        <v>0</v>
      </c>
      <c r="F84" s="14"/>
      <c r="G84" s="14"/>
      <c r="H84" s="14"/>
      <c r="I84" s="14"/>
      <c r="J84" s="15"/>
      <c r="K84" s="1"/>
      <c r="L84" s="12">
        <f>N76</f>
        <v>248692</v>
      </c>
      <c r="M84" s="13">
        <f>S76</f>
        <v>248692</v>
      </c>
      <c r="N84" s="13">
        <f t="shared" si="27"/>
        <v>0</v>
      </c>
      <c r="O84" s="13">
        <f t="shared" si="28"/>
        <v>0</v>
      </c>
      <c r="P84" s="14">
        <f t="shared" si="29"/>
        <v>0</v>
      </c>
      <c r="Q84" s="14"/>
      <c r="R84" s="14"/>
      <c r="S84" s="14"/>
      <c r="T84" s="14"/>
      <c r="U84" s="15"/>
    </row>
    <row r="85" spans="1:21" x14ac:dyDescent="0.25">
      <c r="A85" s="12">
        <f>C77</f>
        <v>0</v>
      </c>
      <c r="B85" s="13">
        <f>H77</f>
        <v>0</v>
      </c>
      <c r="C85" s="13">
        <f t="shared" si="24"/>
        <v>0</v>
      </c>
      <c r="D85" s="13">
        <f t="shared" si="25"/>
        <v>0</v>
      </c>
      <c r="E85" s="14" t="e">
        <f t="shared" si="26"/>
        <v>#DIV/0!</v>
      </c>
      <c r="F85" s="14"/>
      <c r="G85" s="14" t="s">
        <v>37</v>
      </c>
      <c r="H85" s="14"/>
      <c r="I85" s="14"/>
      <c r="J85" s="15"/>
      <c r="K85" s="1"/>
      <c r="L85" s="12">
        <f>N77</f>
        <v>0</v>
      </c>
      <c r="M85" s="13">
        <f>S77</f>
        <v>0</v>
      </c>
      <c r="N85" s="13">
        <f t="shared" si="27"/>
        <v>0</v>
      </c>
      <c r="O85" s="13">
        <f t="shared" si="28"/>
        <v>0</v>
      </c>
      <c r="P85" s="14" t="e">
        <f t="shared" si="29"/>
        <v>#DIV/0!</v>
      </c>
      <c r="Q85" s="14"/>
      <c r="R85" s="14" t="s">
        <v>37</v>
      </c>
      <c r="S85" s="14"/>
      <c r="T85" s="14"/>
      <c r="U85" s="15"/>
    </row>
    <row r="86" spans="1:21" x14ac:dyDescent="0.25">
      <c r="A86" s="12"/>
      <c r="B86" s="13"/>
      <c r="C86" s="13"/>
      <c r="D86" s="13"/>
      <c r="E86" s="14"/>
      <c r="F86" s="14"/>
      <c r="G86" s="20">
        <v>0.1</v>
      </c>
      <c r="H86" s="20">
        <v>0.05</v>
      </c>
      <c r="I86" s="20">
        <v>0.01</v>
      </c>
      <c r="J86" s="21">
        <v>1E-3</v>
      </c>
      <c r="K86" s="1"/>
      <c r="L86" s="12"/>
      <c r="M86" s="13"/>
      <c r="N86" s="13"/>
      <c r="O86" s="13"/>
      <c r="P86" s="14"/>
      <c r="Q86" s="14"/>
      <c r="R86" s="20">
        <v>0.1</v>
      </c>
      <c r="S86" s="20">
        <v>0.05</v>
      </c>
      <c r="T86" s="20">
        <v>0.01</v>
      </c>
      <c r="U86" s="21">
        <v>1E-3</v>
      </c>
    </row>
    <row r="87" spans="1:21" x14ac:dyDescent="0.25">
      <c r="A87" s="12"/>
      <c r="B87" s="13"/>
      <c r="C87" s="13"/>
      <c r="D87" s="13" t="s">
        <v>38</v>
      </c>
      <c r="E87" s="14" t="e">
        <f>SUM(E82:E85)</f>
        <v>#DIV/0!</v>
      </c>
      <c r="F87" s="14"/>
      <c r="G87" s="14">
        <v>2.71</v>
      </c>
      <c r="H87" s="14">
        <v>3.84</v>
      </c>
      <c r="I87" s="14">
        <v>6.63</v>
      </c>
      <c r="J87" s="15">
        <v>10.8</v>
      </c>
      <c r="K87" s="1"/>
      <c r="L87" s="12"/>
      <c r="M87" s="13"/>
      <c r="N87" s="13"/>
      <c r="O87" s="13" t="s">
        <v>38</v>
      </c>
      <c r="P87" s="14" t="e">
        <f>SUM(P82:P85)</f>
        <v>#DIV/0!</v>
      </c>
      <c r="Q87" s="14"/>
      <c r="R87" s="14">
        <v>2.71</v>
      </c>
      <c r="S87" s="14">
        <v>3.84</v>
      </c>
      <c r="T87" s="14">
        <v>6.63</v>
      </c>
      <c r="U87" s="15">
        <v>10.8</v>
      </c>
    </row>
    <row r="88" spans="1:21" x14ac:dyDescent="0.25">
      <c r="A88" s="12"/>
      <c r="B88" s="13"/>
      <c r="C88" s="13"/>
      <c r="D88" s="13"/>
      <c r="E88" s="14"/>
      <c r="F88" s="14"/>
      <c r="G88" s="14"/>
      <c r="H88" s="14"/>
      <c r="I88" s="14"/>
      <c r="J88" s="15"/>
      <c r="K88" s="1"/>
      <c r="L88" s="12"/>
      <c r="M88" s="13"/>
      <c r="N88" s="13"/>
      <c r="O88" s="13"/>
      <c r="P88" s="14"/>
      <c r="Q88" s="14"/>
      <c r="R88" s="14"/>
      <c r="S88" s="14"/>
      <c r="T88" s="14"/>
      <c r="U88" s="15"/>
    </row>
    <row r="89" spans="1:21" ht="15.75" thickBot="1" x14ac:dyDescent="0.3">
      <c r="A89" s="22"/>
      <c r="B89" s="23" t="e">
        <f>IF(E87&gt;=G87,IF(E87&gt;H87,IF(E87&gt;I87,IF(E87&gt;J87,CONCATENATE("ACCEPT THE HYPOTHESIS WITH CONFIDENCE GREATER THAN ",1-J86,"%"),CONCATENATE("ACCEPT THE HYPOTHESIS WITH CONFIDENCE GREATER THAN ",1-I86,"%")),CONCATENATE("ACCEPT THE HYPOTHESIS WITH CONFIDENCE GREATER THAN ",1-H86,"%")),CONCATENATE("ACCEPT THE HYPOTHESIS WITH CONFIDENCE GREATER THAN ",1-G86,"%")),"REJECT THE HYPOTHESIS")</f>
        <v>#DIV/0!</v>
      </c>
      <c r="C89" s="23"/>
      <c r="D89" s="23"/>
      <c r="E89" s="24"/>
      <c r="F89" s="24"/>
      <c r="G89" s="24"/>
      <c r="H89" s="24"/>
      <c r="I89" s="24"/>
      <c r="J89" s="25"/>
      <c r="K89" s="1"/>
      <c r="L89" s="22"/>
      <c r="M89" s="23" t="e">
        <f>IF(P87&gt;=R87,IF(P87&gt;S87,IF(P87&gt;T87,IF(P87&gt;U87,CONCATENATE("ACCEPT THE HYPOTHESIS WITH CONFIDENCE GREATER THAN ",1-U86,"%"),CONCATENATE("ACCEPT THE HYPOTHESIS WITH CONFIDENCE GREATER THAN ",1-T86,"%")),CONCATENATE("ACCEPT THE HYPOTHESIS WITH CONFIDENCE GREATER THAN ",1-S86,"%")),CONCATENATE("ACCEPT THE HYPOTHESIS WITH CONFIDENCE GREATER THAN ",1-R86,"%")),"REJECT THE HYPOTHESIS")</f>
        <v>#DIV/0!</v>
      </c>
      <c r="N89" s="23"/>
      <c r="O89" s="23"/>
      <c r="P89" s="24"/>
      <c r="Q89" s="24"/>
      <c r="R89" s="24"/>
      <c r="S89" s="24"/>
      <c r="T89" s="24"/>
      <c r="U89" s="25"/>
    </row>
    <row r="90" spans="1:21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21" x14ac:dyDescent="0.25">
      <c r="A91" s="8" t="str">
        <f>CONCATENATE("h1: there is an association between the old bailey and the charge of ",oldBailey_raw_count!M1)</f>
        <v>h1: there is an association between the old bailey and the charge of Damage to Property</v>
      </c>
      <c r="B91" s="9"/>
      <c r="C91" s="9"/>
      <c r="D91" s="9"/>
      <c r="E91" s="10"/>
      <c r="F91" s="10"/>
      <c r="G91" s="10"/>
      <c r="H91" s="10"/>
      <c r="I91" s="10"/>
      <c r="J91" s="11"/>
      <c r="K91" s="1"/>
    </row>
    <row r="92" spans="1:21" x14ac:dyDescent="0.25">
      <c r="A92" s="12"/>
      <c r="B92" s="13"/>
      <c r="C92" s="13"/>
      <c r="D92" s="13"/>
      <c r="E92" s="14"/>
      <c r="F92" s="14"/>
      <c r="G92" s="14"/>
      <c r="H92" s="14"/>
      <c r="I92" s="14"/>
      <c r="J92" s="15"/>
      <c r="K92" s="1"/>
    </row>
    <row r="93" spans="1:21" x14ac:dyDescent="0.25">
      <c r="A93" s="12" t="s">
        <v>28</v>
      </c>
      <c r="B93" s="13" t="str">
        <f>oldBailey_raw_count!M1</f>
        <v>Damage to Property</v>
      </c>
      <c r="C93" s="13" t="str">
        <f>CONCATENATE("not ",B93)</f>
        <v>not Damage to Property</v>
      </c>
      <c r="D93" s="13"/>
      <c r="E93" s="14"/>
      <c r="F93" s="13" t="s">
        <v>29</v>
      </c>
      <c r="G93" s="13" t="str">
        <f>B93</f>
        <v>Damage to Property</v>
      </c>
      <c r="H93" s="13" t="str">
        <f>C93</f>
        <v>not Damage to Property</v>
      </c>
      <c r="I93" s="14"/>
      <c r="J93" s="15"/>
      <c r="K93" s="1"/>
    </row>
    <row r="94" spans="1:21" x14ac:dyDescent="0.25">
      <c r="A94" s="12" t="s">
        <v>30</v>
      </c>
      <c r="B94" s="16">
        <f>SUM(oldBailey_raw_count!M2:'oldBailey_raw_count'!M239)</f>
        <v>1166</v>
      </c>
      <c r="C94" s="16">
        <f>SUM(oldBailey_raw_count!C2:'oldBailey_raw_count'!L239)</f>
        <v>251386</v>
      </c>
      <c r="D94" s="13">
        <f>SUM(B94+C94)</f>
        <v>252552</v>
      </c>
      <c r="E94" s="14"/>
      <c r="F94" s="13" t="str">
        <f>A94</f>
        <v>oldBailey</v>
      </c>
      <c r="G94" s="14">
        <f>(D94*B96)/D96</f>
        <v>1166</v>
      </c>
      <c r="H94" s="17">
        <f>(D94*C96)/D96</f>
        <v>251386</v>
      </c>
      <c r="I94" s="14">
        <f>SUM(G94:H94)</f>
        <v>252552</v>
      </c>
      <c r="J94" s="15"/>
      <c r="K94" s="1"/>
    </row>
    <row r="95" spans="1:21" x14ac:dyDescent="0.25">
      <c r="A95" s="12" t="s">
        <v>31</v>
      </c>
      <c r="B95" s="18"/>
      <c r="C95" s="19"/>
      <c r="D95" s="13">
        <f>SUM(B95+C95)</f>
        <v>0</v>
      </c>
      <c r="E95" s="14"/>
      <c r="F95" s="13" t="str">
        <f>A95</f>
        <v>notOB</v>
      </c>
      <c r="G95" s="13">
        <f>(D95*B96)/D96</f>
        <v>0</v>
      </c>
      <c r="H95" s="13">
        <f>(D95*C96)/D96</f>
        <v>0</v>
      </c>
      <c r="I95" s="13">
        <f>SUM(G95:H95)</f>
        <v>0</v>
      </c>
      <c r="J95" s="15"/>
      <c r="K95" s="1"/>
    </row>
    <row r="96" spans="1:21" x14ac:dyDescent="0.25">
      <c r="A96" s="12"/>
      <c r="B96" s="13">
        <f>(B94+B95)</f>
        <v>1166</v>
      </c>
      <c r="C96" s="13">
        <f>(C94+C95)</f>
        <v>251386</v>
      </c>
      <c r="D96" s="13">
        <f>IF(SUM(D94:D95)&lt;&gt;SUM(B96:C96),"PROBLEM",SUM(D94:D95))</f>
        <v>252552</v>
      </c>
      <c r="E96" s="14"/>
      <c r="F96" s="14"/>
      <c r="G96" s="14">
        <f>SUM(G94:G95)</f>
        <v>1166</v>
      </c>
      <c r="H96" s="13">
        <f>SUM(H94:H95)</f>
        <v>251386</v>
      </c>
      <c r="I96" s="14">
        <f>SUM(G96:H96)</f>
        <v>252552</v>
      </c>
      <c r="J96" s="15"/>
      <c r="K96" s="1"/>
    </row>
    <row r="97" spans="1:11" x14ac:dyDescent="0.25">
      <c r="A97" s="12"/>
      <c r="B97" s="13"/>
      <c r="C97" s="13"/>
      <c r="D97" s="13"/>
      <c r="E97" s="14"/>
      <c r="F97" s="14"/>
      <c r="G97" s="14"/>
      <c r="H97" s="14"/>
      <c r="I97" s="14"/>
      <c r="J97" s="15"/>
      <c r="K97" s="1"/>
    </row>
    <row r="98" spans="1:11" x14ac:dyDescent="0.25">
      <c r="A98" s="12"/>
      <c r="B98" s="13"/>
      <c r="C98" s="13"/>
      <c r="D98" s="13"/>
      <c r="E98" s="14"/>
      <c r="F98" s="14"/>
      <c r="G98" s="14"/>
      <c r="H98" s="14"/>
      <c r="I98" s="14"/>
      <c r="J98" s="15"/>
      <c r="K98" s="1"/>
    </row>
    <row r="99" spans="1:11" x14ac:dyDescent="0.25">
      <c r="A99" s="12" t="s">
        <v>32</v>
      </c>
      <c r="B99" s="13" t="s">
        <v>33</v>
      </c>
      <c r="C99" s="13" t="s">
        <v>34</v>
      </c>
      <c r="D99" s="13" t="s">
        <v>35</v>
      </c>
      <c r="E99" s="13" t="s">
        <v>36</v>
      </c>
      <c r="F99" s="14"/>
      <c r="G99" s="14"/>
      <c r="H99" s="14"/>
      <c r="I99" s="14"/>
      <c r="J99" s="15"/>
      <c r="K99" s="1"/>
    </row>
    <row r="100" spans="1:11" x14ac:dyDescent="0.25">
      <c r="A100" s="12">
        <f>B94</f>
        <v>1166</v>
      </c>
      <c r="B100" s="13">
        <f>G94</f>
        <v>1166</v>
      </c>
      <c r="C100" s="13">
        <f>A100-B100</f>
        <v>0</v>
      </c>
      <c r="D100" s="13">
        <f>C100*C100</f>
        <v>0</v>
      </c>
      <c r="E100" s="14">
        <f>D100/B100</f>
        <v>0</v>
      </c>
      <c r="F100" s="14"/>
      <c r="G100" s="14"/>
      <c r="H100" s="14"/>
      <c r="I100" s="14"/>
      <c r="J100" s="15"/>
      <c r="K100" s="1"/>
    </row>
    <row r="101" spans="1:11" x14ac:dyDescent="0.25">
      <c r="A101" s="12">
        <f>B95</f>
        <v>0</v>
      </c>
      <c r="B101" s="13">
        <f>G95</f>
        <v>0</v>
      </c>
      <c r="C101" s="13">
        <f t="shared" ref="C101:C103" si="30">A101-B101</f>
        <v>0</v>
      </c>
      <c r="D101" s="13">
        <f t="shared" ref="D101:D103" si="31">C101*C101</f>
        <v>0</v>
      </c>
      <c r="E101" s="14" t="e">
        <f t="shared" ref="E101:E103" si="32">D101/B101</f>
        <v>#DIV/0!</v>
      </c>
      <c r="F101" s="14"/>
      <c r="G101" s="14"/>
      <c r="H101" s="14"/>
      <c r="I101" s="14"/>
      <c r="J101" s="15"/>
      <c r="K101" s="1"/>
    </row>
    <row r="102" spans="1:11" x14ac:dyDescent="0.25">
      <c r="A102" s="12">
        <f>C94</f>
        <v>251386</v>
      </c>
      <c r="B102" s="13">
        <f>H94</f>
        <v>251386</v>
      </c>
      <c r="C102" s="13">
        <f t="shared" si="30"/>
        <v>0</v>
      </c>
      <c r="D102" s="13">
        <f t="shared" si="31"/>
        <v>0</v>
      </c>
      <c r="E102" s="14">
        <f t="shared" si="32"/>
        <v>0</v>
      </c>
      <c r="F102" s="14"/>
      <c r="G102" s="14"/>
      <c r="H102" s="14"/>
      <c r="I102" s="14"/>
      <c r="J102" s="15"/>
      <c r="K102" s="1"/>
    </row>
    <row r="103" spans="1:11" x14ac:dyDescent="0.25">
      <c r="A103" s="12">
        <f>C95</f>
        <v>0</v>
      </c>
      <c r="B103" s="13">
        <f>H95</f>
        <v>0</v>
      </c>
      <c r="C103" s="13">
        <f t="shared" si="30"/>
        <v>0</v>
      </c>
      <c r="D103" s="13">
        <f t="shared" si="31"/>
        <v>0</v>
      </c>
      <c r="E103" s="14" t="e">
        <f t="shared" si="32"/>
        <v>#DIV/0!</v>
      </c>
      <c r="F103" s="14"/>
      <c r="G103" s="14" t="s">
        <v>37</v>
      </c>
      <c r="H103" s="14"/>
      <c r="I103" s="14"/>
      <c r="J103" s="15"/>
      <c r="K103" s="1"/>
    </row>
    <row r="104" spans="1:11" x14ac:dyDescent="0.25">
      <c r="A104" s="12"/>
      <c r="B104" s="13"/>
      <c r="C104" s="13"/>
      <c r="D104" s="13"/>
      <c r="E104" s="14"/>
      <c r="F104" s="14"/>
      <c r="G104" s="20">
        <v>0.1</v>
      </c>
      <c r="H104" s="20">
        <v>0.05</v>
      </c>
      <c r="I104" s="20">
        <v>0.01</v>
      </c>
      <c r="J104" s="21">
        <v>1E-3</v>
      </c>
      <c r="K104" s="1"/>
    </row>
    <row r="105" spans="1:11" x14ac:dyDescent="0.25">
      <c r="A105" s="12"/>
      <c r="B105" s="13"/>
      <c r="C105" s="13"/>
      <c r="D105" s="13" t="s">
        <v>38</v>
      </c>
      <c r="E105" s="14" t="e">
        <f>SUM(E100:E103)</f>
        <v>#DIV/0!</v>
      </c>
      <c r="F105" s="14"/>
      <c r="G105" s="14">
        <v>2.71</v>
      </c>
      <c r="H105" s="14">
        <v>3.84</v>
      </c>
      <c r="I105" s="14">
        <v>6.63</v>
      </c>
      <c r="J105" s="15">
        <v>10.8</v>
      </c>
      <c r="K105" s="1"/>
    </row>
    <row r="106" spans="1:11" x14ac:dyDescent="0.25">
      <c r="A106" s="12"/>
      <c r="B106" s="13"/>
      <c r="C106" s="13"/>
      <c r="D106" s="13"/>
      <c r="E106" s="14"/>
      <c r="F106" s="14"/>
      <c r="G106" s="14"/>
      <c r="H106" s="14"/>
      <c r="I106" s="14"/>
      <c r="J106" s="15"/>
      <c r="K106" s="1"/>
    </row>
    <row r="107" spans="1:11" ht="15.75" thickBot="1" x14ac:dyDescent="0.3">
      <c r="A107" s="22"/>
      <c r="B107" s="23" t="e">
        <f>IF(E105&gt;=G105,IF(E105&gt;H105,IF(E105&gt;I105,IF(E105&gt;J105,CONCATENATE("ACCEPT THE HYPOTHESIS WITH CONFIDENCE GREATER THAN ",1-J104,"%"),CONCATENATE("ACCEPT THE HYPOTHESIS WITH CONFIDENCE GREATER THAN ",1-I104,"%")),CONCATENATE("ACCEPT THE HYPOTHESIS WITH CONFIDENCE GREATER THAN ",1-H104,"%")),CONCATENATE("ACCEPT THE HYPOTHESIS WITH CONFIDENCE GREATER THAN ",1-G104,"%")),"REJECT THE HYPOTHESIS")</f>
        <v>#DIV/0!</v>
      </c>
      <c r="C107" s="23"/>
      <c r="D107" s="23"/>
      <c r="E107" s="24"/>
      <c r="F107" s="24"/>
      <c r="G107" s="24"/>
      <c r="H107" s="24"/>
      <c r="I107" s="24"/>
      <c r="J107" s="25"/>
      <c r="K1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7"/>
    </sheetView>
  </sheetViews>
  <sheetFormatPr defaultRowHeight="15" x14ac:dyDescent="0.25"/>
  <cols>
    <col min="1" max="1" width="17.28515625" customWidth="1"/>
    <col min="2" max="2" width="7.7109375" bestFit="1" customWidth="1"/>
    <col min="3" max="3" width="8.85546875" bestFit="1" customWidth="1"/>
    <col min="4" max="4" width="7" bestFit="1" customWidth="1"/>
    <col min="5" max="5" width="8.42578125" bestFit="1" customWidth="1"/>
    <col min="6" max="6" width="9.7109375" bestFit="1" customWidth="1"/>
    <col min="7" max="7" width="16.85546875" bestFit="1" customWidth="1"/>
    <col min="8" max="8" width="20.42578125" bestFit="1" customWidth="1"/>
    <col min="9" max="9" width="7" bestFit="1" customWidth="1"/>
    <col min="10" max="10" width="6.140625" bestFit="1" customWidth="1"/>
  </cols>
  <sheetData>
    <row r="1" spans="1:10" x14ac:dyDescent="0.25">
      <c r="A1" s="8" t="str">
        <f>CONCATENATE("h1: there is an association between being charged in London for a property offence and the gender ",Table2[[#Headers],[female]])</f>
        <v>h1: there is an association between being charged in London for a property offence and the gender female</v>
      </c>
      <c r="B1" s="9"/>
      <c r="C1" s="9"/>
      <c r="D1" s="9"/>
      <c r="E1" s="10"/>
      <c r="F1" s="10"/>
      <c r="G1" s="10"/>
      <c r="H1" s="10"/>
      <c r="I1" s="10"/>
      <c r="J1" s="11"/>
    </row>
    <row r="2" spans="1:10" x14ac:dyDescent="0.25">
      <c r="A2" s="12"/>
      <c r="B2" s="13"/>
      <c r="C2" s="13"/>
      <c r="D2" s="13"/>
      <c r="E2" s="14"/>
      <c r="F2" s="14"/>
      <c r="G2" s="14"/>
      <c r="H2" s="14"/>
      <c r="I2" s="14"/>
      <c r="J2" s="15"/>
    </row>
    <row r="3" spans="1:10" x14ac:dyDescent="0.25">
      <c r="A3" s="12" t="s">
        <v>28</v>
      </c>
      <c r="B3" s="13" t="str">
        <f>Table2[[#Headers],[female]]</f>
        <v>female</v>
      </c>
      <c r="C3" s="13" t="str">
        <f>CONCATENATE("not ",B3)</f>
        <v>not female</v>
      </c>
      <c r="D3" s="13"/>
      <c r="E3" s="14"/>
      <c r="F3" s="13" t="s">
        <v>29</v>
      </c>
      <c r="G3" s="13" t="str">
        <f>B3</f>
        <v>female</v>
      </c>
      <c r="H3" s="13" t="str">
        <f>C3</f>
        <v>not female</v>
      </c>
      <c r="I3" s="14"/>
      <c r="J3" s="15"/>
    </row>
    <row r="4" spans="1:10" x14ac:dyDescent="0.25">
      <c r="A4" s="12" t="s">
        <v>30</v>
      </c>
      <c r="B4" s="16">
        <f>SUM(oldBailey_raw_gender!D6,oldBailey_raw_gender!D12,oldBailey_raw_gender!D13,oldBailey_raw_gender!D7)</f>
        <v>45121</v>
      </c>
      <c r="C4" s="16">
        <f>SUM(oldBailey_raw_gender!C13,oldBailey_raw_gender!C12,oldBailey_raw_gender!E13,oldBailey_raw_gender!E12,oldBailey_raw_gender!E6,oldBailey_raw_gender!C6,oldBailey_raw_gender!C7,oldBailey_raw_gender!E7)</f>
        <v>158210</v>
      </c>
      <c r="D4" s="13">
        <f>SUM(B4+C4)</f>
        <v>203331</v>
      </c>
      <c r="E4" s="14"/>
      <c r="F4" s="13" t="str">
        <f>A4</f>
        <v>oldBailey</v>
      </c>
      <c r="G4" s="14">
        <f>(D4*B6)/D6</f>
        <v>45202.167488458632</v>
      </c>
      <c r="H4" s="17">
        <f>(D4*C6)/D6</f>
        <v>158128.83251154135</v>
      </c>
      <c r="I4" s="14">
        <f>SUM(G4:H4)</f>
        <v>203330.99999999997</v>
      </c>
      <c r="J4" s="15"/>
    </row>
    <row r="5" spans="1:10" x14ac:dyDescent="0.25">
      <c r="A5" s="12" t="s">
        <v>31</v>
      </c>
      <c r="B5" s="18">
        <f>beattie_raw!D26</f>
        <v>3630.7640000000006</v>
      </c>
      <c r="C5" s="19">
        <f>beattie_raw!C26</f>
        <v>12336.236000000001</v>
      </c>
      <c r="D5" s="13">
        <f>SUM(B5+C5)</f>
        <v>15967.000000000002</v>
      </c>
      <c r="E5" s="14"/>
      <c r="F5" s="13" t="str">
        <f>A5</f>
        <v>notOB</v>
      </c>
      <c r="G5" s="13">
        <f>(D5*B6)/D6</f>
        <v>3549.5965115413733</v>
      </c>
      <c r="H5" s="13">
        <f>(D5*C6)/D6</f>
        <v>12417.403488458629</v>
      </c>
      <c r="I5" s="13">
        <f>SUM(G5:H5)</f>
        <v>15967.000000000002</v>
      </c>
      <c r="J5" s="15"/>
    </row>
    <row r="6" spans="1:10" x14ac:dyDescent="0.25">
      <c r="A6" s="12"/>
      <c r="B6" s="13">
        <f>(B4+B5)</f>
        <v>48751.764000000003</v>
      </c>
      <c r="C6" s="13">
        <f>(C4+C5)</f>
        <v>170546.236</v>
      </c>
      <c r="D6" s="13">
        <f>IF(SUM(D4:D5)&lt;&gt;SUM(B6:C6),"PROBLEM",SUM(D4:D5))</f>
        <v>219298</v>
      </c>
      <c r="E6" s="14"/>
      <c r="F6" s="14"/>
      <c r="G6" s="14">
        <f>SUM(G4:G5)</f>
        <v>48751.764000000003</v>
      </c>
      <c r="H6" s="13">
        <f>SUM(H4:H5)</f>
        <v>170546.23599999998</v>
      </c>
      <c r="I6" s="14">
        <f>SUM(G6:H6)</f>
        <v>219297.99999999997</v>
      </c>
      <c r="J6" s="15"/>
    </row>
    <row r="7" spans="1:10" x14ac:dyDescent="0.25">
      <c r="A7" s="12"/>
      <c r="B7" s="13"/>
      <c r="C7" s="13"/>
      <c r="D7" s="13"/>
      <c r="E7" s="14"/>
      <c r="F7" s="14"/>
      <c r="G7" s="14"/>
      <c r="H7" s="14"/>
      <c r="I7" s="14"/>
      <c r="J7" s="15"/>
    </row>
    <row r="8" spans="1:10" x14ac:dyDescent="0.25">
      <c r="A8" s="12"/>
      <c r="B8" s="13"/>
      <c r="C8" s="13"/>
      <c r="D8" s="13"/>
      <c r="E8" s="14"/>
      <c r="F8" s="14"/>
      <c r="G8" s="14"/>
      <c r="H8" s="14"/>
      <c r="I8" s="14"/>
      <c r="J8" s="15"/>
    </row>
    <row r="9" spans="1:10" x14ac:dyDescent="0.2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4"/>
      <c r="G9" s="14"/>
      <c r="H9" s="14"/>
      <c r="I9" s="14"/>
      <c r="J9" s="15"/>
    </row>
    <row r="10" spans="1:10" x14ac:dyDescent="0.25">
      <c r="A10" s="12">
        <f>B4</f>
        <v>45121</v>
      </c>
      <c r="B10" s="13">
        <f>G4</f>
        <v>45202.167488458632</v>
      </c>
      <c r="C10" s="13">
        <f>A10-B10</f>
        <v>-81.167488458631851</v>
      </c>
      <c r="D10" s="13">
        <f>C10*C10</f>
        <v>6588.1611826821345</v>
      </c>
      <c r="E10" s="14">
        <f>D10/B10</f>
        <v>0.14574878924476961</v>
      </c>
      <c r="F10" s="14"/>
      <c r="G10" s="14"/>
      <c r="H10" s="14"/>
      <c r="I10" s="14"/>
      <c r="J10" s="15"/>
    </row>
    <row r="11" spans="1:10" x14ac:dyDescent="0.25">
      <c r="A11" s="12">
        <f>B5</f>
        <v>3630.7640000000006</v>
      </c>
      <c r="B11" s="13">
        <f>G5</f>
        <v>3549.5965115413733</v>
      </c>
      <c r="C11" s="13">
        <f t="shared" ref="C11:C13" si="0">A11-B11</f>
        <v>81.167488458627304</v>
      </c>
      <c r="D11" s="13">
        <f t="shared" ref="D11:D13" si="1">C11*C11</f>
        <v>6588.1611826813969</v>
      </c>
      <c r="E11" s="14">
        <f t="shared" ref="E11:E13" si="2">D11/B11</f>
        <v>1.856031005569295</v>
      </c>
      <c r="F11" s="14"/>
      <c r="G11" s="14"/>
      <c r="H11" s="14"/>
      <c r="I11" s="14"/>
      <c r="J11" s="15"/>
    </row>
    <row r="12" spans="1:10" x14ac:dyDescent="0.25">
      <c r="A12" s="12">
        <f>C4</f>
        <v>158210</v>
      </c>
      <c r="B12" s="13">
        <f>H4</f>
        <v>158128.83251154135</v>
      </c>
      <c r="C12" s="13">
        <f t="shared" si="0"/>
        <v>81.167488458653679</v>
      </c>
      <c r="D12" s="13">
        <f t="shared" si="1"/>
        <v>6588.1611826856779</v>
      </c>
      <c r="E12" s="14">
        <f t="shared" si="2"/>
        <v>4.1663250642192833E-2</v>
      </c>
      <c r="F12" s="14"/>
      <c r="G12" s="14"/>
      <c r="H12" s="14"/>
      <c r="I12" s="14"/>
      <c r="J12" s="15"/>
    </row>
    <row r="13" spans="1:10" x14ac:dyDescent="0.25">
      <c r="A13" s="12">
        <f>C5</f>
        <v>12336.236000000001</v>
      </c>
      <c r="B13" s="13">
        <f>H5</f>
        <v>12417.403488458629</v>
      </c>
      <c r="C13" s="13">
        <f t="shared" si="0"/>
        <v>-81.167488458628213</v>
      </c>
      <c r="D13" s="13">
        <f t="shared" si="1"/>
        <v>6588.1611826815442</v>
      </c>
      <c r="E13" s="14">
        <f t="shared" si="2"/>
        <v>0.53055867829413117</v>
      </c>
      <c r="F13" s="14"/>
      <c r="G13" s="14" t="s">
        <v>37</v>
      </c>
      <c r="H13" s="14"/>
      <c r="I13" s="14"/>
      <c r="J13" s="15"/>
    </row>
    <row r="14" spans="1:10" x14ac:dyDescent="0.25">
      <c r="A14" s="12"/>
      <c r="B14" s="13"/>
      <c r="C14" s="13"/>
      <c r="D14" s="13"/>
      <c r="E14" s="14"/>
      <c r="F14" s="14"/>
      <c r="G14" s="20">
        <v>0.1</v>
      </c>
      <c r="H14" s="20">
        <v>0.05</v>
      </c>
      <c r="I14" s="20">
        <v>0.01</v>
      </c>
      <c r="J14" s="21">
        <v>1E-3</v>
      </c>
    </row>
    <row r="15" spans="1:10" x14ac:dyDescent="0.25">
      <c r="A15" s="12"/>
      <c r="B15" s="13"/>
      <c r="C15" s="13"/>
      <c r="D15" s="13" t="s">
        <v>38</v>
      </c>
      <c r="E15" s="14">
        <f>SUM(E10:E13)</f>
        <v>2.5740017237503889</v>
      </c>
      <c r="F15" s="14"/>
      <c r="G15" s="14">
        <v>2.71</v>
      </c>
      <c r="H15" s="14">
        <v>3.84</v>
      </c>
      <c r="I15" s="14">
        <v>6.63</v>
      </c>
      <c r="J15" s="15">
        <v>10.8</v>
      </c>
    </row>
    <row r="16" spans="1:10" x14ac:dyDescent="0.25">
      <c r="A16" s="12"/>
      <c r="B16" s="13"/>
      <c r="C16" s="13"/>
      <c r="D16" s="13"/>
      <c r="E16" s="14"/>
      <c r="F16" s="14"/>
      <c r="G16" s="14"/>
      <c r="H16" s="14"/>
      <c r="I16" s="14"/>
      <c r="J16" s="15"/>
    </row>
    <row r="17" spans="1:10" ht="15.75" thickBot="1" x14ac:dyDescent="0.3">
      <c r="A17" s="22"/>
      <c r="B17" s="23" t="str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REJECT THE HYPOTHESIS</v>
      </c>
      <c r="C17" s="23"/>
      <c r="D17" s="23"/>
      <c r="E17" s="24"/>
      <c r="F17" s="24"/>
      <c r="G17" s="24"/>
      <c r="H17" s="24"/>
      <c r="I17" s="24"/>
      <c r="J17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A17" sqref="A17:J33"/>
    </sheetView>
  </sheetViews>
  <sheetFormatPr defaultRowHeight="15" x14ac:dyDescent="0.25"/>
  <cols>
    <col min="1" max="1" width="20.5703125" bestFit="1" customWidth="1"/>
    <col min="2" max="2" width="7" bestFit="1" customWidth="1"/>
    <col min="3" max="3" width="9.85546875" bestFit="1" customWidth="1"/>
    <col min="4" max="4" width="17.140625" bestFit="1" customWidth="1"/>
    <col min="5" max="5" width="7" bestFit="1" customWidth="1"/>
    <col min="6" max="6" width="14.5703125" bestFit="1" customWidth="1"/>
    <col min="7" max="7" width="10.7109375" bestFit="1" customWidth="1"/>
    <col min="8" max="8" width="15.5703125" bestFit="1" customWidth="1"/>
    <col min="10" max="10" width="15.7109375" bestFit="1" customWidth="1"/>
    <col min="11" max="11" width="13.5703125" customWidth="1"/>
    <col min="13" max="13" width="18.85546875" customWidth="1"/>
  </cols>
  <sheetData>
    <row r="1" spans="1:13" s="1" customFormat="1" ht="15.75" thickBot="1" x14ac:dyDescent="0.3">
      <c r="A1" s="1" t="s">
        <v>69</v>
      </c>
      <c r="J1" s="1" t="s">
        <v>70</v>
      </c>
      <c r="K1" s="1" t="s">
        <v>80</v>
      </c>
    </row>
    <row r="2" spans="1:13" ht="15.75" customHeight="1" thickBot="1" x14ac:dyDescent="0.3">
      <c r="A2" s="36" t="s">
        <v>60</v>
      </c>
      <c r="B2" s="37" t="s">
        <v>1</v>
      </c>
      <c r="C2" s="37" t="s">
        <v>8</v>
      </c>
      <c r="D2" s="37" t="s">
        <v>65</v>
      </c>
      <c r="E2" s="37" t="s">
        <v>66</v>
      </c>
      <c r="F2" s="37" t="s">
        <v>11</v>
      </c>
      <c r="G2" s="37" t="s">
        <v>67</v>
      </c>
      <c r="H2" s="37" t="s">
        <v>68</v>
      </c>
      <c r="J2" s="39" t="s">
        <v>60</v>
      </c>
      <c r="K2" s="39" t="s">
        <v>67</v>
      </c>
      <c r="L2" s="39" t="s">
        <v>66</v>
      </c>
      <c r="M2" s="39" t="s">
        <v>71</v>
      </c>
    </row>
    <row r="3" spans="1:13" ht="15.75" thickBot="1" x14ac:dyDescent="0.3">
      <c r="A3" s="38" t="s">
        <v>1</v>
      </c>
      <c r="B3" s="1">
        <v>252552</v>
      </c>
      <c r="C3" s="1">
        <v>7715</v>
      </c>
      <c r="D3" s="1">
        <v>546</v>
      </c>
      <c r="E3" s="1">
        <v>173837</v>
      </c>
      <c r="F3" s="1">
        <v>555</v>
      </c>
      <c r="G3" s="1">
        <v>69740</v>
      </c>
      <c r="H3" s="1">
        <v>159</v>
      </c>
      <c r="J3" t="s">
        <v>72</v>
      </c>
      <c r="K3">
        <v>1782</v>
      </c>
      <c r="L3">
        <v>2571</v>
      </c>
      <c r="M3">
        <v>817</v>
      </c>
    </row>
    <row r="4" spans="1:13" ht="15.75" thickBot="1" x14ac:dyDescent="0.3">
      <c r="A4" s="38" t="s">
        <v>8</v>
      </c>
      <c r="B4" s="1">
        <v>7221</v>
      </c>
      <c r="C4" s="1">
        <v>6838</v>
      </c>
      <c r="D4" s="1">
        <v>1</v>
      </c>
      <c r="E4" s="1">
        <v>266</v>
      </c>
      <c r="F4" s="1">
        <v>7</v>
      </c>
      <c r="G4" s="1">
        <v>109</v>
      </c>
      <c r="H4" s="1">
        <v>0</v>
      </c>
      <c r="J4" t="s">
        <v>73</v>
      </c>
      <c r="K4">
        <v>15</v>
      </c>
      <c r="L4">
        <v>6</v>
      </c>
      <c r="M4">
        <v>1</v>
      </c>
    </row>
    <row r="5" spans="1:13" ht="15.75" thickBot="1" x14ac:dyDescent="0.3">
      <c r="A5" s="38" t="s">
        <v>2</v>
      </c>
      <c r="B5" s="1">
        <v>2053</v>
      </c>
      <c r="C5" s="1">
        <v>11</v>
      </c>
      <c r="D5" s="1">
        <v>226</v>
      </c>
      <c r="E5" s="1">
        <v>1312</v>
      </c>
      <c r="F5" s="1">
        <v>10</v>
      </c>
      <c r="G5" s="1">
        <v>492</v>
      </c>
      <c r="H5" s="1">
        <v>2</v>
      </c>
      <c r="J5" t="s">
        <v>74</v>
      </c>
      <c r="K5">
        <v>38</v>
      </c>
      <c r="L5">
        <v>40</v>
      </c>
      <c r="M5">
        <v>2</v>
      </c>
    </row>
    <row r="6" spans="1:13" ht="15.75" thickBot="1" x14ac:dyDescent="0.3">
      <c r="A6" s="38" t="s">
        <v>9</v>
      </c>
      <c r="B6" s="1">
        <v>8611</v>
      </c>
      <c r="C6" s="1">
        <v>49</v>
      </c>
      <c r="D6" s="1">
        <v>100</v>
      </c>
      <c r="E6" s="1">
        <v>6097</v>
      </c>
      <c r="F6" s="1">
        <v>97</v>
      </c>
      <c r="G6" s="1">
        <v>2261</v>
      </c>
      <c r="H6" s="1">
        <v>7</v>
      </c>
      <c r="J6" t="s">
        <v>75</v>
      </c>
      <c r="K6">
        <v>114</v>
      </c>
      <c r="L6">
        <v>57</v>
      </c>
      <c r="M6">
        <v>81</v>
      </c>
    </row>
    <row r="7" spans="1:13" ht="18" customHeight="1" thickBot="1" x14ac:dyDescent="0.3">
      <c r="A7" s="38" t="s">
        <v>12</v>
      </c>
      <c r="B7" s="1">
        <v>1166</v>
      </c>
      <c r="C7" s="1">
        <v>7</v>
      </c>
      <c r="D7" s="1">
        <v>1</v>
      </c>
      <c r="E7" s="1">
        <v>659</v>
      </c>
      <c r="F7" s="1">
        <v>14</v>
      </c>
      <c r="G7" s="1">
        <v>481</v>
      </c>
      <c r="H7" s="1">
        <v>4</v>
      </c>
      <c r="J7" t="s">
        <v>76</v>
      </c>
      <c r="K7">
        <v>34</v>
      </c>
      <c r="L7">
        <v>9</v>
      </c>
      <c r="M7">
        <v>0</v>
      </c>
    </row>
    <row r="8" spans="1:13" ht="15.75" thickBot="1" x14ac:dyDescent="0.3">
      <c r="A8" s="38" t="s">
        <v>10</v>
      </c>
      <c r="B8" s="1">
        <v>16012</v>
      </c>
      <c r="C8" s="1">
        <v>115</v>
      </c>
      <c r="D8" s="1">
        <v>73</v>
      </c>
      <c r="E8" s="1">
        <v>11212</v>
      </c>
      <c r="F8" s="1">
        <v>121</v>
      </c>
      <c r="G8" s="1">
        <v>4463</v>
      </c>
      <c r="H8" s="1">
        <v>28</v>
      </c>
      <c r="J8" t="s">
        <v>77</v>
      </c>
      <c r="K8">
        <v>320</v>
      </c>
      <c r="L8">
        <v>391</v>
      </c>
      <c r="M8">
        <v>0</v>
      </c>
    </row>
    <row r="9" spans="1:13" ht="15.75" thickBot="1" x14ac:dyDescent="0.3">
      <c r="A9" s="38" t="s">
        <v>3</v>
      </c>
      <c r="B9" s="1">
        <v>6103</v>
      </c>
      <c r="C9" s="1">
        <v>25</v>
      </c>
      <c r="D9" s="1">
        <v>12</v>
      </c>
      <c r="E9" s="1">
        <v>2995</v>
      </c>
      <c r="F9" s="1">
        <v>81</v>
      </c>
      <c r="G9" s="1">
        <v>2971</v>
      </c>
      <c r="H9" s="1">
        <v>19</v>
      </c>
      <c r="J9" t="s">
        <v>78</v>
      </c>
      <c r="K9">
        <v>15</v>
      </c>
      <c r="L9">
        <v>3</v>
      </c>
      <c r="M9">
        <v>0</v>
      </c>
    </row>
    <row r="10" spans="1:13" ht="15.75" thickBot="1" x14ac:dyDescent="0.3">
      <c r="A10" s="38" t="s">
        <v>11</v>
      </c>
      <c r="B10" s="1">
        <v>3860</v>
      </c>
      <c r="C10" s="1">
        <v>26</v>
      </c>
      <c r="D10" s="1">
        <v>6</v>
      </c>
      <c r="E10" s="1">
        <v>2205</v>
      </c>
      <c r="F10" s="1">
        <v>19</v>
      </c>
      <c r="G10" s="1">
        <v>1598</v>
      </c>
      <c r="H10" s="1">
        <v>6</v>
      </c>
      <c r="J10" t="s">
        <v>79</v>
      </c>
      <c r="K10">
        <v>10</v>
      </c>
      <c r="L10">
        <v>21</v>
      </c>
      <c r="M10">
        <v>2</v>
      </c>
    </row>
    <row r="11" spans="1:13" ht="15.75" thickBot="1" x14ac:dyDescent="0.3">
      <c r="A11" s="38" t="s">
        <v>4</v>
      </c>
      <c r="B11" s="1">
        <v>13837</v>
      </c>
      <c r="C11" s="1">
        <v>79</v>
      </c>
      <c r="D11" s="1">
        <v>15</v>
      </c>
      <c r="E11" s="1">
        <v>10911</v>
      </c>
      <c r="F11" s="1">
        <v>18</v>
      </c>
      <c r="G11" s="1">
        <v>2804</v>
      </c>
      <c r="H11" s="1">
        <v>10</v>
      </c>
    </row>
    <row r="12" spans="1:13" ht="15.75" thickBot="1" x14ac:dyDescent="0.3">
      <c r="A12" s="38" t="s">
        <v>5</v>
      </c>
      <c r="B12" s="1">
        <v>7536</v>
      </c>
      <c r="C12" s="1">
        <v>48</v>
      </c>
      <c r="D12" s="1">
        <v>22</v>
      </c>
      <c r="E12" s="1">
        <v>4724</v>
      </c>
      <c r="F12" s="1">
        <v>56</v>
      </c>
      <c r="G12" s="1">
        <v>2679</v>
      </c>
      <c r="H12" s="1">
        <v>7</v>
      </c>
    </row>
    <row r="13" spans="1:13" ht="15.75" thickBot="1" x14ac:dyDescent="0.3">
      <c r="A13" s="38" t="s">
        <v>6</v>
      </c>
      <c r="B13" s="1">
        <v>173541</v>
      </c>
      <c r="C13" s="1">
        <v>462</v>
      </c>
      <c r="D13" s="1">
        <v>87</v>
      </c>
      <c r="E13" s="1">
        <v>125655</v>
      </c>
      <c r="F13" s="1">
        <v>110</v>
      </c>
      <c r="G13" s="1">
        <v>47158</v>
      </c>
      <c r="H13" s="1">
        <v>69</v>
      </c>
    </row>
    <row r="14" spans="1:13" x14ac:dyDescent="0.25">
      <c r="A14" s="38" t="s">
        <v>7</v>
      </c>
      <c r="B14" s="1">
        <v>12612</v>
      </c>
      <c r="C14" s="1">
        <v>55</v>
      </c>
      <c r="D14" s="1">
        <v>3</v>
      </c>
      <c r="E14" s="1">
        <v>7801</v>
      </c>
      <c r="F14" s="1">
        <v>22</v>
      </c>
      <c r="G14" s="1">
        <v>4724</v>
      </c>
      <c r="H14" s="1">
        <v>7</v>
      </c>
    </row>
    <row r="16" spans="1:13" ht="15.75" thickBot="1" x14ac:dyDescent="0.3"/>
    <row r="17" spans="1:21" x14ac:dyDescent="0.25">
      <c r="A17" s="8" t="str">
        <f>CONCATENATE("h1: there is an association between in London for a ",J3," offence and the verdict ",$L$2)</f>
        <v>h1: there is an association between in London for a Property offence and the verdict Guilty</v>
      </c>
      <c r="B17" s="9"/>
      <c r="C17" s="9"/>
      <c r="D17" s="9"/>
      <c r="E17" s="10"/>
      <c r="F17" s="10"/>
      <c r="G17" s="10"/>
      <c r="H17" s="10"/>
      <c r="I17" s="10"/>
      <c r="J17" s="11"/>
      <c r="L17" s="8" t="str">
        <f>CONCATENATE("h1: there is an association between in London for a ",J6," offence and the verdict ",$L$2)</f>
        <v>h1: there is an association between in London for a Murder offence and the verdict Guilty</v>
      </c>
      <c r="M17" s="9"/>
      <c r="N17" s="9"/>
      <c r="O17" s="9"/>
      <c r="P17" s="10"/>
      <c r="Q17" s="10"/>
      <c r="R17" s="10"/>
      <c r="S17" s="10"/>
      <c r="T17" s="10"/>
      <c r="U17" s="11"/>
    </row>
    <row r="18" spans="1:21" x14ac:dyDescent="0.25">
      <c r="A18" s="12"/>
      <c r="B18" s="13"/>
      <c r="C18" s="13"/>
      <c r="D18" s="13"/>
      <c r="E18" s="14"/>
      <c r="F18" s="14"/>
      <c r="G18" s="14"/>
      <c r="H18" s="14"/>
      <c r="I18" s="14"/>
      <c r="J18" s="15"/>
      <c r="L18" s="12"/>
      <c r="M18" s="13"/>
      <c r="N18" s="13"/>
      <c r="O18" s="13"/>
      <c r="P18" s="14"/>
      <c r="Q18" s="14"/>
      <c r="R18" s="14"/>
      <c r="S18" s="14"/>
      <c r="T18" s="14"/>
      <c r="U18" s="15"/>
    </row>
    <row r="19" spans="1:21" x14ac:dyDescent="0.25">
      <c r="A19" s="12" t="s">
        <v>28</v>
      </c>
      <c r="B19" s="13" t="str">
        <f>$L$2</f>
        <v>Guilty</v>
      </c>
      <c r="C19" s="13" t="str">
        <f>CONCATENATE("not ",B19)</f>
        <v>not Guilty</v>
      </c>
      <c r="D19" s="13"/>
      <c r="E19" s="14"/>
      <c r="F19" s="13" t="s">
        <v>29</v>
      </c>
      <c r="G19" s="13" t="str">
        <f>B19</f>
        <v>Guilty</v>
      </c>
      <c r="H19" s="13" t="str">
        <f>C19</f>
        <v>not Guilty</v>
      </c>
      <c r="I19" s="14"/>
      <c r="J19" s="15"/>
      <c r="L19" s="12" t="s">
        <v>28</v>
      </c>
      <c r="M19" s="13" t="str">
        <f>$L$2</f>
        <v>Guilty</v>
      </c>
      <c r="N19" s="13" t="str">
        <f>CONCATENATE("not ",M19)</f>
        <v>not Guilty</v>
      </c>
      <c r="O19" s="13"/>
      <c r="P19" s="14"/>
      <c r="Q19" s="13" t="s">
        <v>29</v>
      </c>
      <c r="R19" s="13" t="str">
        <f>M19</f>
        <v>Guilty</v>
      </c>
      <c r="S19" s="13" t="str">
        <f>N19</f>
        <v>not Guilty</v>
      </c>
      <c r="T19" s="14"/>
      <c r="U19" s="15"/>
    </row>
    <row r="20" spans="1:21" x14ac:dyDescent="0.25">
      <c r="A20" s="12" t="s">
        <v>30</v>
      </c>
      <c r="B20" s="16">
        <f>SUM(E7,E13,E14)</f>
        <v>134115</v>
      </c>
      <c r="C20" s="16">
        <f>SUM(G7,G13,G14)</f>
        <v>52363</v>
      </c>
      <c r="D20" s="13">
        <f>SUM(B20+C20)</f>
        <v>186478</v>
      </c>
      <c r="E20" s="14"/>
      <c r="F20" s="13" t="str">
        <f>A20</f>
        <v>oldBailey</v>
      </c>
      <c r="G20" s="14">
        <f>(D20*B22)/D22</f>
        <v>133568.08856003478</v>
      </c>
      <c r="H20" s="17">
        <f>(D20*C22)/D22</f>
        <v>52909.911439965203</v>
      </c>
      <c r="I20" s="14">
        <f>SUM(G20:H20)</f>
        <v>186478</v>
      </c>
      <c r="J20" s="15"/>
      <c r="L20" s="12" t="s">
        <v>30</v>
      </c>
      <c r="M20" s="16">
        <f>E9</f>
        <v>2995</v>
      </c>
      <c r="N20" s="16">
        <f>G9</f>
        <v>2971</v>
      </c>
      <c r="O20" s="13">
        <f>SUM(M20+N20)</f>
        <v>5966</v>
      </c>
      <c r="P20" s="14"/>
      <c r="Q20" s="13" t="str">
        <f>L20</f>
        <v>oldBailey</v>
      </c>
      <c r="R20" s="14">
        <f>(O20*M22)/O22</f>
        <v>2955.0042071197413</v>
      </c>
      <c r="S20" s="17">
        <f>(O20*N22)/O22</f>
        <v>3010.9957928802587</v>
      </c>
      <c r="T20" s="14">
        <f>SUM(R20:S20)</f>
        <v>5966</v>
      </c>
      <c r="U20" s="15"/>
    </row>
    <row r="21" spans="1:21" x14ac:dyDescent="0.25">
      <c r="A21" s="12" t="s">
        <v>31</v>
      </c>
      <c r="B21" s="18">
        <f>L3</f>
        <v>2571</v>
      </c>
      <c r="C21" s="19">
        <f>K3</f>
        <v>1782</v>
      </c>
      <c r="D21" s="13">
        <f>SUM(B21+C21)</f>
        <v>4353</v>
      </c>
      <c r="E21" s="14"/>
      <c r="F21" s="13" t="str">
        <f>A21</f>
        <v>notOB</v>
      </c>
      <c r="G21" s="13">
        <f>(D21*B22)/D22</f>
        <v>3117.9114399652049</v>
      </c>
      <c r="H21" s="13">
        <f>(D21*C22)/D22</f>
        <v>1235.0885600347951</v>
      </c>
      <c r="I21" s="13">
        <f>SUM(G21:H21)</f>
        <v>4353</v>
      </c>
      <c r="J21" s="15"/>
      <c r="L21" s="12" t="s">
        <v>31</v>
      </c>
      <c r="M21" s="18">
        <f>L6+L7</f>
        <v>66</v>
      </c>
      <c r="N21" s="19">
        <f>K6+K7</f>
        <v>148</v>
      </c>
      <c r="O21" s="13">
        <f>SUM(M21+N21)</f>
        <v>214</v>
      </c>
      <c r="P21" s="14"/>
      <c r="Q21" s="13" t="str">
        <f>L21</f>
        <v>notOB</v>
      </c>
      <c r="R21" s="13">
        <f>(O21*M22)/O22</f>
        <v>105.9957928802589</v>
      </c>
      <c r="S21" s="13">
        <f>(O21*N22)/O22</f>
        <v>108.0042071197411</v>
      </c>
      <c r="T21" s="13">
        <f>SUM(R21:S21)</f>
        <v>214</v>
      </c>
      <c r="U21" s="15"/>
    </row>
    <row r="22" spans="1:21" x14ac:dyDescent="0.25">
      <c r="A22" s="12"/>
      <c r="B22" s="13">
        <f>(B20+B21)</f>
        <v>136686</v>
      </c>
      <c r="C22" s="13">
        <f>(C20+C21)</f>
        <v>54145</v>
      </c>
      <c r="D22" s="13">
        <f>IF(SUM(D20:D21)&lt;&gt;SUM(B22:C22),"PROBLEM",SUM(D20:D21))</f>
        <v>190831</v>
      </c>
      <c r="E22" s="14"/>
      <c r="F22" s="14"/>
      <c r="G22" s="14">
        <f>SUM(G20:G21)</f>
        <v>136686</v>
      </c>
      <c r="H22" s="13">
        <f>SUM(H20:H21)</f>
        <v>54145</v>
      </c>
      <c r="I22" s="14">
        <f>SUM(G22:H22)</f>
        <v>190831</v>
      </c>
      <c r="J22" s="15"/>
      <c r="L22" s="12"/>
      <c r="M22" s="13">
        <f>(M20+M21)</f>
        <v>3061</v>
      </c>
      <c r="N22" s="13">
        <f>(N20+N21)</f>
        <v>3119</v>
      </c>
      <c r="O22" s="13">
        <f>IF(SUM(O20:O21)&lt;&gt;SUM(M22:N22),"PROBLEM",SUM(O20:O21))</f>
        <v>6180</v>
      </c>
      <c r="P22" s="14"/>
      <c r="Q22" s="14"/>
      <c r="R22" s="14">
        <f>SUM(R20:R21)</f>
        <v>3061</v>
      </c>
      <c r="S22" s="13">
        <f>SUM(S20:S21)</f>
        <v>3119</v>
      </c>
      <c r="T22" s="14">
        <f>SUM(R22:S22)</f>
        <v>6180</v>
      </c>
      <c r="U22" s="15"/>
    </row>
    <row r="23" spans="1:21" x14ac:dyDescent="0.25">
      <c r="A23" s="12"/>
      <c r="B23" s="13"/>
      <c r="C23" s="13"/>
      <c r="D23" s="13"/>
      <c r="E23" s="14"/>
      <c r="F23" s="14"/>
      <c r="G23" s="14"/>
      <c r="H23" s="14"/>
      <c r="I23" s="14"/>
      <c r="J23" s="15"/>
      <c r="L23" s="12"/>
      <c r="M23" s="13"/>
      <c r="N23" s="13"/>
      <c r="O23" s="13"/>
      <c r="P23" s="14"/>
      <c r="Q23" s="14"/>
      <c r="R23" s="14"/>
      <c r="S23" s="14"/>
      <c r="T23" s="14"/>
      <c r="U23" s="15"/>
    </row>
    <row r="24" spans="1:21" x14ac:dyDescent="0.25">
      <c r="A24" s="12"/>
      <c r="B24" s="13"/>
      <c r="C24" s="13"/>
      <c r="D24" s="13"/>
      <c r="E24" s="14"/>
      <c r="F24" s="14"/>
      <c r="G24" s="14"/>
      <c r="H24" s="14"/>
      <c r="I24" s="14"/>
      <c r="J24" s="15"/>
      <c r="L24" s="12"/>
      <c r="M24" s="13"/>
      <c r="N24" s="13"/>
      <c r="O24" s="13"/>
      <c r="P24" s="14"/>
      <c r="Q24" s="14"/>
      <c r="R24" s="14"/>
      <c r="S24" s="14"/>
      <c r="T24" s="14"/>
      <c r="U24" s="15"/>
    </row>
    <row r="25" spans="1:21" x14ac:dyDescent="0.25">
      <c r="A25" s="12" t="s">
        <v>32</v>
      </c>
      <c r="B25" s="13" t="s">
        <v>33</v>
      </c>
      <c r="C25" s="13" t="s">
        <v>34</v>
      </c>
      <c r="D25" s="13" t="s">
        <v>35</v>
      </c>
      <c r="E25" s="13" t="s">
        <v>36</v>
      </c>
      <c r="F25" s="14"/>
      <c r="G25" s="14"/>
      <c r="H25" s="14"/>
      <c r="I25" s="14"/>
      <c r="J25" s="15"/>
      <c r="L25" s="12" t="s">
        <v>32</v>
      </c>
      <c r="M25" s="13" t="s">
        <v>33</v>
      </c>
      <c r="N25" s="13" t="s">
        <v>34</v>
      </c>
      <c r="O25" s="13" t="s">
        <v>35</v>
      </c>
      <c r="P25" s="13" t="s">
        <v>36</v>
      </c>
      <c r="Q25" s="14"/>
      <c r="R25" s="14"/>
      <c r="S25" s="14"/>
      <c r="T25" s="14"/>
      <c r="U25" s="15"/>
    </row>
    <row r="26" spans="1:21" x14ac:dyDescent="0.25">
      <c r="A26" s="12">
        <f>B20</f>
        <v>134115</v>
      </c>
      <c r="B26" s="13">
        <f>G20</f>
        <v>133568.08856003478</v>
      </c>
      <c r="C26" s="13">
        <f>A26-B26</f>
        <v>546.91143996521714</v>
      </c>
      <c r="D26" s="13">
        <f>C26*C26</f>
        <v>299112.1231648273</v>
      </c>
      <c r="E26" s="14">
        <f>D26/B26</f>
        <v>2.2393980956790105</v>
      </c>
      <c r="F26" s="14"/>
      <c r="G26" s="14"/>
      <c r="H26" s="14"/>
      <c r="I26" s="14"/>
      <c r="J26" s="15"/>
      <c r="L26" s="12">
        <f>M20</f>
        <v>2995</v>
      </c>
      <c r="M26" s="13">
        <f>R20</f>
        <v>2955.0042071197413</v>
      </c>
      <c r="N26" s="13">
        <f>L26-M26</f>
        <v>39.995792880258705</v>
      </c>
      <c r="O26" s="13">
        <f>N26*N26</f>
        <v>1599.6634481205529</v>
      </c>
      <c r="P26" s="14">
        <f>O26/M26</f>
        <v>0.54134049767724479</v>
      </c>
      <c r="Q26" s="14"/>
      <c r="R26" s="14"/>
      <c r="S26" s="14"/>
      <c r="T26" s="14"/>
      <c r="U26" s="15"/>
    </row>
    <row r="27" spans="1:21" x14ac:dyDescent="0.25">
      <c r="A27" s="12">
        <f>B21</f>
        <v>2571</v>
      </c>
      <c r="B27" s="13">
        <f>G21</f>
        <v>3117.9114399652049</v>
      </c>
      <c r="C27" s="13">
        <f t="shared" ref="C27:C29" si="0">A27-B27</f>
        <v>-546.91143996520486</v>
      </c>
      <c r="D27" s="13">
        <f t="shared" ref="D27:D29" si="1">C27*C27</f>
        <v>299112.12316481391</v>
      </c>
      <c r="E27" s="14">
        <f t="shared" ref="E27:E29" si="2">D27/B27</f>
        <v>95.933489107744492</v>
      </c>
      <c r="F27" s="14"/>
      <c r="G27" s="14"/>
      <c r="H27" s="14"/>
      <c r="I27" s="14"/>
      <c r="J27" s="15"/>
      <c r="L27" s="12">
        <f>M21</f>
        <v>66</v>
      </c>
      <c r="M27" s="13">
        <f>R21</f>
        <v>105.9957928802589</v>
      </c>
      <c r="N27" s="13">
        <f t="shared" ref="N27:N29" si="3">L27-M27</f>
        <v>-39.995792880258904</v>
      </c>
      <c r="O27" s="13">
        <f t="shared" ref="O27:O29" si="4">N27*N27</f>
        <v>1599.6634481205688</v>
      </c>
      <c r="P27" s="14">
        <f t="shared" ref="P27:P29" si="5">O27/M27</f>
        <v>15.091763594123712</v>
      </c>
      <c r="Q27" s="14"/>
      <c r="R27" s="14"/>
      <c r="S27" s="14"/>
      <c r="T27" s="14"/>
      <c r="U27" s="15"/>
    </row>
    <row r="28" spans="1:21" x14ac:dyDescent="0.25">
      <c r="A28" s="12">
        <f>C20</f>
        <v>52363</v>
      </c>
      <c r="B28" s="13">
        <f>H20</f>
        <v>52909.911439965203</v>
      </c>
      <c r="C28" s="13">
        <f t="shared" si="0"/>
        <v>-546.91143996520259</v>
      </c>
      <c r="D28" s="13">
        <f t="shared" si="1"/>
        <v>299112.1231648114</v>
      </c>
      <c r="E28" s="14">
        <f t="shared" si="2"/>
        <v>5.6532342433459215</v>
      </c>
      <c r="F28" s="14"/>
      <c r="G28" s="14"/>
      <c r="H28" s="14"/>
      <c r="I28" s="14"/>
      <c r="J28" s="15"/>
      <c r="L28" s="12">
        <f>N20</f>
        <v>2971</v>
      </c>
      <c r="M28" s="13">
        <f>S20</f>
        <v>3010.9957928802587</v>
      </c>
      <c r="N28" s="13">
        <f t="shared" si="3"/>
        <v>-39.995792880258705</v>
      </c>
      <c r="O28" s="13">
        <f t="shared" si="4"/>
        <v>1599.6634481205529</v>
      </c>
      <c r="P28" s="14">
        <f t="shared" si="5"/>
        <v>0.53127389015391036</v>
      </c>
      <c r="Q28" s="14"/>
      <c r="R28" s="14"/>
      <c r="S28" s="14"/>
      <c r="T28" s="14"/>
      <c r="U28" s="15"/>
    </row>
    <row r="29" spans="1:21" x14ac:dyDescent="0.25">
      <c r="A29" s="12">
        <f>C21</f>
        <v>1782</v>
      </c>
      <c r="B29" s="13">
        <f>H21</f>
        <v>1235.0885600347951</v>
      </c>
      <c r="C29" s="13">
        <f t="shared" si="0"/>
        <v>546.91143996520486</v>
      </c>
      <c r="D29" s="13">
        <f t="shared" si="1"/>
        <v>299112.12316481391</v>
      </c>
      <c r="E29" s="14">
        <f t="shared" si="2"/>
        <v>242.17868486806103</v>
      </c>
      <c r="F29" s="14"/>
      <c r="G29" s="14" t="s">
        <v>37</v>
      </c>
      <c r="H29" s="14"/>
      <c r="I29" s="14"/>
      <c r="J29" s="15"/>
      <c r="L29" s="12">
        <f>N21</f>
        <v>148</v>
      </c>
      <c r="M29" s="13">
        <f>S21</f>
        <v>108.0042071197411</v>
      </c>
      <c r="N29" s="13">
        <f t="shared" si="3"/>
        <v>39.995792880258904</v>
      </c>
      <c r="O29" s="13">
        <f t="shared" si="4"/>
        <v>1599.6634481205688</v>
      </c>
      <c r="P29" s="14">
        <f t="shared" si="5"/>
        <v>14.811121629244209</v>
      </c>
      <c r="Q29" s="14"/>
      <c r="R29" s="14" t="s">
        <v>37</v>
      </c>
      <c r="S29" s="14"/>
      <c r="T29" s="14"/>
      <c r="U29" s="15"/>
    </row>
    <row r="30" spans="1:21" x14ac:dyDescent="0.25">
      <c r="A30" s="12"/>
      <c r="B30" s="13"/>
      <c r="C30" s="13"/>
      <c r="D30" s="13"/>
      <c r="E30" s="14"/>
      <c r="F30" s="14"/>
      <c r="G30" s="20">
        <v>0.1</v>
      </c>
      <c r="H30" s="20">
        <v>0.05</v>
      </c>
      <c r="I30" s="20">
        <v>0.01</v>
      </c>
      <c r="J30" s="21">
        <v>1E-3</v>
      </c>
      <c r="L30" s="12"/>
      <c r="M30" s="13"/>
      <c r="N30" s="13"/>
      <c r="O30" s="13"/>
      <c r="P30" s="14"/>
      <c r="Q30" s="14"/>
      <c r="R30" s="20">
        <v>0.1</v>
      </c>
      <c r="S30" s="20">
        <v>0.05</v>
      </c>
      <c r="T30" s="20">
        <v>0.01</v>
      </c>
      <c r="U30" s="21">
        <v>1E-3</v>
      </c>
    </row>
    <row r="31" spans="1:21" x14ac:dyDescent="0.25">
      <c r="A31" s="12"/>
      <c r="B31" s="13"/>
      <c r="C31" s="13"/>
      <c r="D31" s="13" t="s">
        <v>38</v>
      </c>
      <c r="E31" s="14">
        <f>SUM(E26:E29)</f>
        <v>346.00480631483043</v>
      </c>
      <c r="F31" s="14"/>
      <c r="G31" s="14">
        <v>2.71</v>
      </c>
      <c r="H31" s="14">
        <v>3.84</v>
      </c>
      <c r="I31" s="14">
        <v>6.63</v>
      </c>
      <c r="J31" s="15">
        <v>10.8</v>
      </c>
      <c r="L31" s="12"/>
      <c r="M31" s="13"/>
      <c r="N31" s="13"/>
      <c r="O31" s="13" t="s">
        <v>38</v>
      </c>
      <c r="P31" s="14">
        <f>SUM(P26:P29)</f>
        <v>30.975499611199076</v>
      </c>
      <c r="Q31" s="14"/>
      <c r="R31" s="14">
        <v>2.71</v>
      </c>
      <c r="S31" s="14">
        <v>3.84</v>
      </c>
      <c r="T31" s="14">
        <v>6.63</v>
      </c>
      <c r="U31" s="15">
        <v>10.8</v>
      </c>
    </row>
    <row r="32" spans="1:21" x14ac:dyDescent="0.25">
      <c r="A32" s="12"/>
      <c r="B32" s="13"/>
      <c r="C32" s="13"/>
      <c r="D32" s="13"/>
      <c r="E32" s="14"/>
      <c r="F32" s="14"/>
      <c r="G32" s="14"/>
      <c r="H32" s="14"/>
      <c r="I32" s="14"/>
      <c r="J32" s="15"/>
      <c r="L32" s="12"/>
      <c r="M32" s="13"/>
      <c r="N32" s="13"/>
      <c r="O32" s="13"/>
      <c r="P32" s="14"/>
      <c r="Q32" s="14"/>
      <c r="R32" s="14"/>
      <c r="S32" s="14"/>
      <c r="T32" s="14"/>
      <c r="U32" s="15"/>
    </row>
    <row r="33" spans="1:21" ht="15.75" thickBot="1" x14ac:dyDescent="0.3">
      <c r="A33" s="22"/>
      <c r="B33" s="23" t="str">
        <f>IF(E31&gt;=G31,IF(E31&gt;H31,IF(E31&gt;I31,IF(E31&gt;J31,CONCATENATE("ACCEPT THE HYPOTHESIS WITH CONFIDENCE GREATER THAN ",1-J30,"%"),CONCATENATE("ACCEPT THE HYPOTHESIS WITH CONFIDENCE GREATER THAN ",1-I30,"%")),CONCATENATE("ACCEPT THE HYPOTHESIS WITH CONFIDENCE GREATER THAN ",1-H30,"%")),CONCATENATE("ACCEPT THE HYPOTHESIS WITH CONFIDENCE GREATER THAN ",1-G30,"%")),"REJECT THE HYPOTHESIS")</f>
        <v>ACCEPT THE HYPOTHESIS WITH CONFIDENCE GREATER THAN 0.999%</v>
      </c>
      <c r="C33" s="23"/>
      <c r="D33" s="23"/>
      <c r="E33" s="24"/>
      <c r="F33" s="24"/>
      <c r="G33" s="24"/>
      <c r="H33" s="24"/>
      <c r="I33" s="24"/>
      <c r="J33" s="25"/>
      <c r="L33" s="22"/>
      <c r="M33" s="23" t="str">
        <f>IF(P31&gt;=R31,IF(P31&gt;S31,IF(P31&gt;T31,IF(P31&gt;U31,CONCATENATE("ACCEPT THE HYPOTHESIS WITH CONFIDENCE GREATER THAN ",1-U30,"%"),CONCATENATE("ACCEPT THE HYPOTHESIS WITH CONFIDENCE GREATER THAN ",1-T30,"%")),CONCATENATE("ACCEPT THE HYPOTHESIS WITH CONFIDENCE GREATER THAN ",1-S30,"%")),CONCATENATE("ACCEPT THE HYPOTHESIS WITH CONFIDENCE GREATER THAN ",1-R30,"%")),"REJECT THE HYPOTHESIS")</f>
        <v>ACCEPT THE HYPOTHESIS WITH CONFIDENCE GREATER THAN 0.999%</v>
      </c>
      <c r="N33" s="23"/>
      <c r="O33" s="23"/>
      <c r="P33" s="24"/>
      <c r="Q33" s="24"/>
      <c r="R33" s="24"/>
      <c r="S33" s="24"/>
      <c r="T33" s="24"/>
      <c r="U33" s="25"/>
    </row>
    <row r="34" spans="1:21" ht="15.75" thickBot="1" x14ac:dyDescent="0.3"/>
    <row r="35" spans="1:21" x14ac:dyDescent="0.25">
      <c r="A35" s="8" t="str">
        <f>CONCATENATE("h1: there is an association between in London for a Sexual offence and the verdict ",$L$2)</f>
        <v>h1: there is an association between in London for a Sexual offence and the verdict Guilty</v>
      </c>
      <c r="B35" s="9"/>
      <c r="C35" s="9"/>
      <c r="D35" s="9"/>
      <c r="E35" s="10"/>
      <c r="F35" s="10"/>
      <c r="G35" s="10"/>
      <c r="H35" s="10"/>
      <c r="I35" s="10"/>
      <c r="J35" s="11"/>
      <c r="L35" s="8" t="str">
        <f>CONCATENATE("h1: there is an association between in London and the verdict ",$L$2)</f>
        <v>h1: there is an association between in London and the verdict Guilty</v>
      </c>
      <c r="M35" s="9"/>
      <c r="N35" s="9"/>
      <c r="O35" s="9"/>
      <c r="P35" s="10"/>
      <c r="Q35" s="10"/>
      <c r="R35" s="10"/>
      <c r="S35" s="10"/>
      <c r="T35" s="10"/>
      <c r="U35" s="11"/>
    </row>
    <row r="36" spans="1:21" x14ac:dyDescent="0.25">
      <c r="A36" s="12"/>
      <c r="B36" s="13"/>
      <c r="C36" s="13"/>
      <c r="D36" s="13"/>
      <c r="E36" s="14"/>
      <c r="F36" s="14"/>
      <c r="G36" s="14"/>
      <c r="H36" s="14"/>
      <c r="I36" s="14"/>
      <c r="J36" s="15"/>
      <c r="L36" s="12"/>
      <c r="M36" s="13"/>
      <c r="N36" s="13"/>
      <c r="O36" s="13"/>
      <c r="P36" s="14"/>
      <c r="Q36" s="14"/>
      <c r="R36" s="14"/>
      <c r="S36" s="14"/>
      <c r="T36" s="14"/>
      <c r="U36" s="15"/>
    </row>
    <row r="37" spans="1:21" x14ac:dyDescent="0.25">
      <c r="A37" s="12" t="s">
        <v>28</v>
      </c>
      <c r="B37" s="13" t="str">
        <f>$L$2</f>
        <v>Guilty</v>
      </c>
      <c r="C37" s="13" t="str">
        <f>CONCATENATE("not ",B37)</f>
        <v>not Guilty</v>
      </c>
      <c r="D37" s="13"/>
      <c r="E37" s="14"/>
      <c r="F37" s="13" t="s">
        <v>29</v>
      </c>
      <c r="G37" s="13" t="str">
        <f>B37</f>
        <v>Guilty</v>
      </c>
      <c r="H37" s="13" t="str">
        <f>C37</f>
        <v>not Guilty</v>
      </c>
      <c r="I37" s="14"/>
      <c r="J37" s="15"/>
      <c r="L37" s="12" t="s">
        <v>28</v>
      </c>
      <c r="M37" s="13" t="str">
        <f>$L$2</f>
        <v>Guilty</v>
      </c>
      <c r="N37" s="13" t="str">
        <f>CONCATENATE("not ",M37)</f>
        <v>not Guilty</v>
      </c>
      <c r="O37" s="13"/>
      <c r="P37" s="14"/>
      <c r="Q37" s="13" t="s">
        <v>29</v>
      </c>
      <c r="R37" s="13" t="str">
        <f>M37</f>
        <v>Guilty</v>
      </c>
      <c r="S37" s="13" t="str">
        <f>N37</f>
        <v>not Guilty</v>
      </c>
      <c r="T37" s="14"/>
      <c r="U37" s="15"/>
    </row>
    <row r="38" spans="1:21" x14ac:dyDescent="0.25">
      <c r="A38" s="12" t="s">
        <v>30</v>
      </c>
      <c r="B38" s="16">
        <f>E12</f>
        <v>4724</v>
      </c>
      <c r="C38" s="16">
        <f>G12</f>
        <v>2679</v>
      </c>
      <c r="D38" s="13">
        <f>SUM(B38+C38)</f>
        <v>7403</v>
      </c>
      <c r="E38" s="14"/>
      <c r="F38" s="13" t="str">
        <f>A38</f>
        <v>oldBailey</v>
      </c>
      <c r="G38" s="14">
        <f>(D38*B40)/D40</f>
        <v>4716.7799248523888</v>
      </c>
      <c r="H38" s="17">
        <f>(D38*C40)/D40</f>
        <v>2686.2200751476112</v>
      </c>
      <c r="I38" s="14">
        <f>SUM(G38:H38)</f>
        <v>7403</v>
      </c>
      <c r="J38" s="15"/>
      <c r="L38" s="12" t="s">
        <v>30</v>
      </c>
      <c r="M38" s="16">
        <f>E3</f>
        <v>173837</v>
      </c>
      <c r="N38" s="16">
        <f>G3</f>
        <v>69740</v>
      </c>
      <c r="O38" s="13">
        <f>SUM(M38+N38)</f>
        <v>243577</v>
      </c>
      <c r="P38" s="14"/>
      <c r="Q38" s="13" t="str">
        <f>L38</f>
        <v>oldBailey</v>
      </c>
      <c r="R38" s="14">
        <f>(O38*M40)/O40</f>
        <v>173079.42673381444</v>
      </c>
      <c r="S38" s="17">
        <f>(O38*N40)/O40</f>
        <v>70497.573266185544</v>
      </c>
      <c r="T38" s="14">
        <f>SUM(R38:S38)</f>
        <v>243577</v>
      </c>
      <c r="U38" s="15"/>
    </row>
    <row r="39" spans="1:21" x14ac:dyDescent="0.25">
      <c r="A39" s="12" t="s">
        <v>31</v>
      </c>
      <c r="B39" s="18">
        <f>L9+L10</f>
        <v>24</v>
      </c>
      <c r="C39" s="19">
        <f>K9+K10</f>
        <v>25</v>
      </c>
      <c r="D39" s="13">
        <f>SUM(B39+C39)</f>
        <v>49</v>
      </c>
      <c r="E39" s="14"/>
      <c r="F39" s="13" t="str">
        <f>A39</f>
        <v>notOB</v>
      </c>
      <c r="G39" s="13">
        <f>(D39*B40)/D40</f>
        <v>31.220075147611379</v>
      </c>
      <c r="H39" s="13">
        <f>(D39*C40)/D40</f>
        <v>17.779924852388621</v>
      </c>
      <c r="I39" s="13">
        <f>SUM(G39:H39)</f>
        <v>49</v>
      </c>
      <c r="J39" s="15"/>
      <c r="L39" s="12" t="s">
        <v>31</v>
      </c>
      <c r="M39" s="18">
        <f>SUM(L3:L10)</f>
        <v>3098</v>
      </c>
      <c r="N39" s="19">
        <f>SUM(K3:K10)</f>
        <v>2328</v>
      </c>
      <c r="O39" s="13">
        <f>SUM(M39+N39)</f>
        <v>5426</v>
      </c>
      <c r="P39" s="14"/>
      <c r="Q39" s="13" t="str">
        <f>L39</f>
        <v>notOB</v>
      </c>
      <c r="R39" s="13">
        <f>(O39*M40)/O40</f>
        <v>3855.5732661855482</v>
      </c>
      <c r="S39" s="13">
        <f>(O39*N40)/O40</f>
        <v>1570.4267338144521</v>
      </c>
      <c r="T39" s="13">
        <f>SUM(R39:S39)</f>
        <v>5426</v>
      </c>
      <c r="U39" s="15"/>
    </row>
    <row r="40" spans="1:21" x14ac:dyDescent="0.25">
      <c r="A40" s="12"/>
      <c r="B40" s="13">
        <f>(B38+B39)</f>
        <v>4748</v>
      </c>
      <c r="C40" s="13">
        <f>(C38+C39)</f>
        <v>2704</v>
      </c>
      <c r="D40" s="13">
        <f>IF(SUM(D38:D39)&lt;&gt;SUM(B40:C40),"PROBLEM",SUM(D38:D39))</f>
        <v>7452</v>
      </c>
      <c r="E40" s="14"/>
      <c r="F40" s="14"/>
      <c r="G40" s="14">
        <f>SUM(G38:G39)</f>
        <v>4748</v>
      </c>
      <c r="H40" s="13">
        <f>SUM(H38:H39)</f>
        <v>2704</v>
      </c>
      <c r="I40" s="14">
        <f>SUM(G40:H40)</f>
        <v>7452</v>
      </c>
      <c r="J40" s="15"/>
      <c r="L40" s="12"/>
      <c r="M40" s="13">
        <f>(M38+M39)</f>
        <v>176935</v>
      </c>
      <c r="N40" s="13">
        <f>(N38+N39)</f>
        <v>72068</v>
      </c>
      <c r="O40" s="13">
        <f>IF(SUM(O38:O39)&lt;&gt;SUM(M40:N40),"PROBLEM",SUM(O38:O39))</f>
        <v>249003</v>
      </c>
      <c r="P40" s="14"/>
      <c r="Q40" s="14"/>
      <c r="R40" s="14">
        <f>SUM(R38:R39)</f>
        <v>176935</v>
      </c>
      <c r="S40" s="13">
        <f>SUM(S38:S39)</f>
        <v>72068</v>
      </c>
      <c r="T40" s="14">
        <f>SUM(R40:S40)</f>
        <v>249003</v>
      </c>
      <c r="U40" s="15"/>
    </row>
    <row r="41" spans="1:21" x14ac:dyDescent="0.25">
      <c r="A41" s="12"/>
      <c r="B41" s="13"/>
      <c r="C41" s="13"/>
      <c r="D41" s="13"/>
      <c r="E41" s="14"/>
      <c r="F41" s="14"/>
      <c r="G41" s="14"/>
      <c r="H41" s="14"/>
      <c r="I41" s="14"/>
      <c r="J41" s="15"/>
      <c r="L41" s="12"/>
      <c r="M41" s="13"/>
      <c r="N41" s="13"/>
      <c r="O41" s="13"/>
      <c r="P41" s="14"/>
      <c r="Q41" s="14"/>
      <c r="R41" s="14"/>
      <c r="S41" s="14"/>
      <c r="T41" s="14"/>
      <c r="U41" s="15"/>
    </row>
    <row r="42" spans="1:21" x14ac:dyDescent="0.25">
      <c r="A42" s="12"/>
      <c r="B42" s="13"/>
      <c r="C42" s="13"/>
      <c r="D42" s="13"/>
      <c r="E42" s="14"/>
      <c r="F42" s="14"/>
      <c r="G42" s="14"/>
      <c r="H42" s="14"/>
      <c r="I42" s="14"/>
      <c r="J42" s="15"/>
      <c r="L42" s="12"/>
      <c r="M42" s="13"/>
      <c r="N42" s="13"/>
      <c r="O42" s="13"/>
      <c r="P42" s="14"/>
      <c r="Q42" s="14"/>
      <c r="R42" s="14"/>
      <c r="S42" s="14"/>
      <c r="T42" s="14"/>
      <c r="U42" s="15"/>
    </row>
    <row r="43" spans="1:21" x14ac:dyDescent="0.25">
      <c r="A43" s="12" t="s">
        <v>32</v>
      </c>
      <c r="B43" s="13" t="s">
        <v>33</v>
      </c>
      <c r="C43" s="13" t="s">
        <v>34</v>
      </c>
      <c r="D43" s="13" t="s">
        <v>35</v>
      </c>
      <c r="E43" s="13" t="s">
        <v>36</v>
      </c>
      <c r="F43" s="14"/>
      <c r="G43" s="14"/>
      <c r="H43" s="14"/>
      <c r="I43" s="14"/>
      <c r="J43" s="15"/>
      <c r="L43" s="12" t="s">
        <v>32</v>
      </c>
      <c r="M43" s="13" t="s">
        <v>33</v>
      </c>
      <c r="N43" s="13" t="s">
        <v>34</v>
      </c>
      <c r="O43" s="13" t="s">
        <v>35</v>
      </c>
      <c r="P43" s="13" t="s">
        <v>36</v>
      </c>
      <c r="Q43" s="14"/>
      <c r="R43" s="14"/>
      <c r="S43" s="14"/>
      <c r="T43" s="14"/>
      <c r="U43" s="15"/>
    </row>
    <row r="44" spans="1:21" x14ac:dyDescent="0.25">
      <c r="A44" s="12">
        <f>B38</f>
        <v>4724</v>
      </c>
      <c r="B44" s="13">
        <f>G38</f>
        <v>4716.7799248523888</v>
      </c>
      <c r="C44" s="13">
        <f>A44-B44</f>
        <v>7.2200751476111691</v>
      </c>
      <c r="D44" s="13">
        <f>C44*C44</f>
        <v>52.129485137152443</v>
      </c>
      <c r="E44" s="14">
        <f>D44/B44</f>
        <v>1.1051922279113717E-2</v>
      </c>
      <c r="F44" s="14"/>
      <c r="G44" s="14"/>
      <c r="H44" s="14"/>
      <c r="I44" s="14"/>
      <c r="J44" s="15"/>
      <c r="L44" s="12">
        <f>M38</f>
        <v>173837</v>
      </c>
      <c r="M44" s="13">
        <f>R38</f>
        <v>173079.42673381444</v>
      </c>
      <c r="N44" s="13">
        <f>L44-M44</f>
        <v>757.57326618555817</v>
      </c>
      <c r="O44" s="13">
        <f>N44*N44</f>
        <v>573917.2536390546</v>
      </c>
      <c r="P44" s="14">
        <f>O44/M44</f>
        <v>3.3159183876989853</v>
      </c>
      <c r="Q44" s="14"/>
      <c r="R44" s="14"/>
      <c r="S44" s="14"/>
      <c r="T44" s="14"/>
      <c r="U44" s="15"/>
    </row>
    <row r="45" spans="1:21" x14ac:dyDescent="0.25">
      <c r="A45" s="12">
        <f>B39</f>
        <v>24</v>
      </c>
      <c r="B45" s="13">
        <f>G39</f>
        <v>31.220075147611379</v>
      </c>
      <c r="C45" s="13">
        <f t="shared" ref="C45:C47" si="6">A45-B45</f>
        <v>-7.2200751476113787</v>
      </c>
      <c r="D45" s="13">
        <f t="shared" ref="D45:D47" si="7">C45*C45</f>
        <v>52.12948513715547</v>
      </c>
      <c r="E45" s="14">
        <f t="shared" ref="E45:E47" si="8">D45/B45</f>
        <v>1.669742461883339</v>
      </c>
      <c r="F45" s="14"/>
      <c r="G45" s="14"/>
      <c r="H45" s="14"/>
      <c r="I45" s="14"/>
      <c r="J45" s="15"/>
      <c r="L45" s="12">
        <f>M39</f>
        <v>3098</v>
      </c>
      <c r="M45" s="13">
        <f>R39</f>
        <v>3855.5732661855482</v>
      </c>
      <c r="N45" s="13">
        <f t="shared" ref="N45:N47" si="9">L45-M45</f>
        <v>-757.57326618554816</v>
      </c>
      <c r="O45" s="13">
        <f t="shared" ref="O45:O47" si="10">N45*N45</f>
        <v>573917.25363903947</v>
      </c>
      <c r="P45" s="14">
        <f t="shared" ref="P45:P47" si="11">O45/M45</f>
        <v>148.85393533367753</v>
      </c>
      <c r="Q45" s="14"/>
      <c r="R45" s="14"/>
      <c r="S45" s="14"/>
      <c r="T45" s="14"/>
      <c r="U45" s="15"/>
    </row>
    <row r="46" spans="1:21" x14ac:dyDescent="0.25">
      <c r="A46" s="12">
        <f>C38</f>
        <v>2679</v>
      </c>
      <c r="B46" s="13">
        <f>H38</f>
        <v>2686.2200751476112</v>
      </c>
      <c r="C46" s="13">
        <f t="shared" si="6"/>
        <v>-7.2200751476111691</v>
      </c>
      <c r="D46" s="13">
        <f t="shared" si="7"/>
        <v>52.129485137152443</v>
      </c>
      <c r="E46" s="14">
        <f t="shared" si="8"/>
        <v>1.9406259978266248E-2</v>
      </c>
      <c r="F46" s="14"/>
      <c r="G46" s="14"/>
      <c r="H46" s="14"/>
      <c r="I46" s="14"/>
      <c r="J46" s="15"/>
      <c r="L46" s="12">
        <f>N38</f>
        <v>69740</v>
      </c>
      <c r="M46" s="13">
        <f>S38</f>
        <v>70497.573266185544</v>
      </c>
      <c r="N46" s="13">
        <f t="shared" si="9"/>
        <v>-757.57326618554362</v>
      </c>
      <c r="O46" s="13">
        <f t="shared" si="10"/>
        <v>573917.25363903248</v>
      </c>
      <c r="P46" s="14">
        <f t="shared" si="11"/>
        <v>8.1409504901967207</v>
      </c>
      <c r="Q46" s="14"/>
      <c r="R46" s="14"/>
      <c r="S46" s="14"/>
      <c r="T46" s="14"/>
      <c r="U46" s="15"/>
    </row>
    <row r="47" spans="1:21" x14ac:dyDescent="0.25">
      <c r="A47" s="12">
        <f>C39</f>
        <v>25</v>
      </c>
      <c r="B47" s="13">
        <f>H39</f>
        <v>17.779924852388621</v>
      </c>
      <c r="C47" s="13">
        <f t="shared" si="6"/>
        <v>7.2200751476113787</v>
      </c>
      <c r="D47" s="13">
        <f t="shared" si="7"/>
        <v>52.12948513715547</v>
      </c>
      <c r="E47" s="14">
        <f t="shared" si="8"/>
        <v>2.9319294412063952</v>
      </c>
      <c r="F47" s="14"/>
      <c r="G47" s="14" t="s">
        <v>37</v>
      </c>
      <c r="H47" s="14"/>
      <c r="I47" s="14"/>
      <c r="J47" s="15"/>
      <c r="L47" s="12">
        <f>N39</f>
        <v>2328</v>
      </c>
      <c r="M47" s="13">
        <f>S39</f>
        <v>1570.4267338144521</v>
      </c>
      <c r="N47" s="13">
        <f t="shared" si="9"/>
        <v>757.57326618554794</v>
      </c>
      <c r="O47" s="13">
        <f t="shared" si="10"/>
        <v>573917.25363903912</v>
      </c>
      <c r="P47" s="14">
        <f t="shared" si="11"/>
        <v>365.45305889249346</v>
      </c>
      <c r="Q47" s="14"/>
      <c r="R47" s="14" t="s">
        <v>37</v>
      </c>
      <c r="S47" s="14"/>
      <c r="T47" s="14"/>
      <c r="U47" s="15"/>
    </row>
    <row r="48" spans="1:21" x14ac:dyDescent="0.25">
      <c r="A48" s="12"/>
      <c r="B48" s="13"/>
      <c r="C48" s="13"/>
      <c r="D48" s="13"/>
      <c r="E48" s="14"/>
      <c r="F48" s="14"/>
      <c r="G48" s="20">
        <v>0.1</v>
      </c>
      <c r="H48" s="20">
        <v>0.05</v>
      </c>
      <c r="I48" s="20">
        <v>0.01</v>
      </c>
      <c r="J48" s="21">
        <v>1E-3</v>
      </c>
      <c r="L48" s="12"/>
      <c r="M48" s="13"/>
      <c r="N48" s="13"/>
      <c r="O48" s="13"/>
      <c r="P48" s="14"/>
      <c r="Q48" s="14"/>
      <c r="R48" s="20">
        <v>0.1</v>
      </c>
      <c r="S48" s="20">
        <v>0.05</v>
      </c>
      <c r="T48" s="20">
        <v>0.01</v>
      </c>
      <c r="U48" s="21">
        <v>1E-3</v>
      </c>
    </row>
    <row r="49" spans="1:21" x14ac:dyDescent="0.25">
      <c r="A49" s="12"/>
      <c r="B49" s="13"/>
      <c r="C49" s="13"/>
      <c r="D49" s="13" t="s">
        <v>38</v>
      </c>
      <c r="E49" s="14">
        <f>SUM(E44:E47)</f>
        <v>4.6321300853471143</v>
      </c>
      <c r="F49" s="14"/>
      <c r="G49" s="14">
        <v>2.71</v>
      </c>
      <c r="H49" s="14">
        <v>3.84</v>
      </c>
      <c r="I49" s="14">
        <v>6.63</v>
      </c>
      <c r="J49" s="15">
        <v>10.8</v>
      </c>
      <c r="L49" s="12"/>
      <c r="M49" s="13"/>
      <c r="N49" s="13"/>
      <c r="O49" s="13" t="s">
        <v>38</v>
      </c>
      <c r="P49" s="14">
        <f>SUM(P44:P47)</f>
        <v>525.76386310406667</v>
      </c>
      <c r="Q49" s="14"/>
      <c r="R49" s="14">
        <v>2.71</v>
      </c>
      <c r="S49" s="14">
        <v>3.84</v>
      </c>
      <c r="T49" s="14">
        <v>6.63</v>
      </c>
      <c r="U49" s="15">
        <v>10.8</v>
      </c>
    </row>
    <row r="50" spans="1:21" x14ac:dyDescent="0.25">
      <c r="A50" s="12"/>
      <c r="B50" s="13"/>
      <c r="C50" s="13"/>
      <c r="D50" s="13"/>
      <c r="E50" s="14"/>
      <c r="F50" s="14"/>
      <c r="G50" s="14"/>
      <c r="H50" s="14"/>
      <c r="I50" s="14"/>
      <c r="J50" s="15"/>
      <c r="L50" s="12"/>
      <c r="M50" s="13"/>
      <c r="N50" s="13"/>
      <c r="O50" s="13"/>
      <c r="P50" s="14"/>
      <c r="Q50" s="14"/>
      <c r="R50" s="14"/>
      <c r="S50" s="14"/>
      <c r="T50" s="14"/>
      <c r="U50" s="15"/>
    </row>
    <row r="51" spans="1:21" ht="15.75" thickBot="1" x14ac:dyDescent="0.3">
      <c r="A51" s="22"/>
      <c r="B51" s="23" t="str">
        <f>IF(E49&gt;=G49,IF(E49&gt;H49,IF(E49&gt;I49,IF(E49&gt;J49,CONCATENATE("ACCEPT THE HYPOTHESIS WITH CONFIDENCE GREATER THAN ",1-J48,"%"),CONCATENATE("ACCEPT THE HYPOTHESIS WITH CONFIDENCE GREATER THAN ",1-I48,"%")),CONCATENATE("ACCEPT THE HYPOTHESIS WITH CONFIDENCE GREATER THAN ",1-H48,"%")),CONCATENATE("ACCEPT THE HYPOTHESIS WITH CONFIDENCE GREATER THAN ",1-G48,"%")),"REJECT THE HYPOTHESIS")</f>
        <v>ACCEPT THE HYPOTHESIS WITH CONFIDENCE GREATER THAN 0.95%</v>
      </c>
      <c r="C51" s="23"/>
      <c r="D51" s="23"/>
      <c r="E51" s="24"/>
      <c r="F51" s="24"/>
      <c r="G51" s="24"/>
      <c r="H51" s="24"/>
      <c r="I51" s="24"/>
      <c r="J51" s="25"/>
      <c r="L51" s="22"/>
      <c r="M51" s="23" t="str">
        <f>IF(P49&gt;=R49,IF(P49&gt;S49,IF(P49&gt;T49,IF(P49&gt;U49,CONCATENATE("ACCEPT THE HYPOTHESIS WITH CONFIDENCE GREATER THAN ",1-U48,"%"),CONCATENATE("ACCEPT THE HYPOTHESIS WITH CONFIDENCE GREATER THAN ",1-T48,"%")),CONCATENATE("ACCEPT THE HYPOTHESIS WITH CONFIDENCE GREATER THAN ",1-S48,"%")),CONCATENATE("ACCEPT THE HYPOTHESIS WITH CONFIDENCE GREATER THAN ",1-R48,"%")),"REJECT THE HYPOTHESIS")</f>
        <v>ACCEPT THE HYPOTHESIS WITH CONFIDENCE GREATER THAN 0.999%</v>
      </c>
      <c r="N51" s="23"/>
      <c r="O51" s="23"/>
      <c r="P51" s="24"/>
      <c r="Q51" s="24"/>
      <c r="R51" s="24"/>
      <c r="S51" s="24"/>
      <c r="T51" s="24"/>
      <c r="U51" s="25"/>
    </row>
    <row r="52" spans="1:21" ht="15.75" thickBot="1" x14ac:dyDescent="0.3"/>
    <row r="53" spans="1:21" x14ac:dyDescent="0.25">
      <c r="A53" s="8" t="str">
        <f>CONCATENATE("h1: there is an association between London (violent crimes) and the verdict ",$L$2)</f>
        <v>h1: there is an association between London (violent crimes) and the verdict Guilty</v>
      </c>
      <c r="B53" s="9"/>
      <c r="C53" s="9"/>
      <c r="D53" s="9"/>
      <c r="E53" s="10"/>
      <c r="F53" s="10"/>
      <c r="G53" s="10"/>
      <c r="H53" s="10"/>
      <c r="I53" s="10"/>
      <c r="J53" s="11"/>
    </row>
    <row r="54" spans="1:21" x14ac:dyDescent="0.25">
      <c r="A54" s="12"/>
      <c r="B54" s="13"/>
      <c r="C54" s="13"/>
      <c r="D54" s="13"/>
      <c r="E54" s="14"/>
      <c r="F54" s="14"/>
      <c r="G54" s="14"/>
      <c r="H54" s="14"/>
      <c r="I54" s="14"/>
      <c r="J54" s="15"/>
    </row>
    <row r="55" spans="1:21" x14ac:dyDescent="0.25">
      <c r="A55" s="12" t="s">
        <v>28</v>
      </c>
      <c r="B55" s="13" t="str">
        <f>$L$2</f>
        <v>Guilty</v>
      </c>
      <c r="C55" s="13" t="str">
        <f>CONCATENATE("not ",B55)</f>
        <v>not Guilty</v>
      </c>
      <c r="D55" s="13"/>
      <c r="E55" s="14"/>
      <c r="F55" s="13" t="s">
        <v>29</v>
      </c>
      <c r="G55" s="13" t="str">
        <f>B55</f>
        <v>Guilty</v>
      </c>
      <c r="H55" s="13" t="str">
        <f>C55</f>
        <v>not Guilty</v>
      </c>
      <c r="I55" s="14"/>
      <c r="J55" s="15"/>
    </row>
    <row r="56" spans="1:21" x14ac:dyDescent="0.25">
      <c r="A56" s="12" t="s">
        <v>30</v>
      </c>
      <c r="B56" s="16">
        <f>SUM(E9,E14,E12)</f>
        <v>15520</v>
      </c>
      <c r="C56" s="16">
        <f>SUM(G9,G12,G14)</f>
        <v>10374</v>
      </c>
      <c r="D56" s="13">
        <f>SUM(B56+C56)</f>
        <v>25894</v>
      </c>
      <c r="E56" s="14"/>
      <c r="F56" s="13" t="str">
        <f>A56</f>
        <v>oldBailey</v>
      </c>
      <c r="G56" s="14">
        <f>(D56*B58)/D58</f>
        <v>15420.942906059252</v>
      </c>
      <c r="H56" s="17">
        <f>(D56*C58)/D58</f>
        <v>10473.057093940748</v>
      </c>
      <c r="I56" s="14">
        <f>SUM(G56:H56)</f>
        <v>25894</v>
      </c>
      <c r="J56" s="15"/>
    </row>
    <row r="57" spans="1:21" x14ac:dyDescent="0.25">
      <c r="A57" s="12" t="s">
        <v>31</v>
      </c>
      <c r="B57" s="18">
        <f>SUM(L6:L10)</f>
        <v>481</v>
      </c>
      <c r="C57" s="19">
        <f>SUM(K6:K10)</f>
        <v>493</v>
      </c>
      <c r="D57" s="13">
        <f>SUM(B57+C57)</f>
        <v>974</v>
      </c>
      <c r="E57" s="14"/>
      <c r="F57" s="13" t="str">
        <f>A57</f>
        <v>notOB</v>
      </c>
      <c r="G57" s="13">
        <f>(D57*B58)/D58</f>
        <v>580.05709394074734</v>
      </c>
      <c r="H57" s="13">
        <f>(D57*C58)/D58</f>
        <v>393.94290605925266</v>
      </c>
      <c r="I57" s="13">
        <f>SUM(G57:H57)</f>
        <v>974</v>
      </c>
      <c r="J57" s="15"/>
    </row>
    <row r="58" spans="1:21" x14ac:dyDescent="0.25">
      <c r="A58" s="12"/>
      <c r="B58" s="13">
        <f>(B56+B57)</f>
        <v>16001</v>
      </c>
      <c r="C58" s="13">
        <f>(C56+C57)</f>
        <v>10867</v>
      </c>
      <c r="D58" s="13">
        <f>IF(SUM(D56:D57)&lt;&gt;SUM(B58:C58),"PROBLEM",SUM(D56:D57))</f>
        <v>26868</v>
      </c>
      <c r="E58" s="14"/>
      <c r="F58" s="14"/>
      <c r="G58" s="14">
        <f>SUM(G56:G57)</f>
        <v>16001</v>
      </c>
      <c r="H58" s="13">
        <f>SUM(H56:H57)</f>
        <v>10867</v>
      </c>
      <c r="I58" s="14">
        <f>SUM(G58:H58)</f>
        <v>26868</v>
      </c>
      <c r="J58" s="15"/>
    </row>
    <row r="59" spans="1:21" x14ac:dyDescent="0.25">
      <c r="A59" s="12"/>
      <c r="B59" s="13"/>
      <c r="C59" s="13"/>
      <c r="D59" s="13"/>
      <c r="E59" s="14"/>
      <c r="F59" s="14"/>
      <c r="G59" s="14"/>
      <c r="H59" s="14"/>
      <c r="I59" s="14"/>
      <c r="J59" s="15"/>
    </row>
    <row r="60" spans="1:21" x14ac:dyDescent="0.25">
      <c r="A60" s="12"/>
      <c r="B60" s="13"/>
      <c r="C60" s="13"/>
      <c r="D60" s="13"/>
      <c r="E60" s="14"/>
      <c r="F60" s="14"/>
      <c r="G60" s="14"/>
      <c r="H60" s="14"/>
      <c r="I60" s="14"/>
      <c r="J60" s="15"/>
    </row>
    <row r="61" spans="1:21" x14ac:dyDescent="0.25">
      <c r="A61" s="12" t="s">
        <v>32</v>
      </c>
      <c r="B61" s="13" t="s">
        <v>33</v>
      </c>
      <c r="C61" s="13" t="s">
        <v>34</v>
      </c>
      <c r="D61" s="13" t="s">
        <v>35</v>
      </c>
      <c r="E61" s="13" t="s">
        <v>36</v>
      </c>
      <c r="F61" s="14"/>
      <c r="G61" s="14"/>
      <c r="H61" s="14"/>
      <c r="I61" s="14"/>
      <c r="J61" s="15"/>
    </row>
    <row r="62" spans="1:21" x14ac:dyDescent="0.25">
      <c r="A62" s="12">
        <f>B56</f>
        <v>15520</v>
      </c>
      <c r="B62" s="13">
        <f>G56</f>
        <v>15420.942906059252</v>
      </c>
      <c r="C62" s="13">
        <f>A62-B62</f>
        <v>99.057093940748018</v>
      </c>
      <c r="D62" s="13">
        <f>C62*C62</f>
        <v>9812.3078599861783</v>
      </c>
      <c r="E62" s="14">
        <f>D62/B62</f>
        <v>0.63629752861160593</v>
      </c>
      <c r="F62" s="14"/>
      <c r="G62" s="14"/>
      <c r="H62" s="14"/>
      <c r="I62" s="14"/>
      <c r="J62" s="15"/>
    </row>
    <row r="63" spans="1:21" x14ac:dyDescent="0.25">
      <c r="A63" s="12">
        <f>B57</f>
        <v>481</v>
      </c>
      <c r="B63" s="13">
        <f>G57</f>
        <v>580.05709394074734</v>
      </c>
      <c r="C63" s="13">
        <f t="shared" ref="C63:C65" si="12">A63-B63</f>
        <v>-99.057093940747336</v>
      </c>
      <c r="D63" s="13">
        <f t="shared" ref="D63:D65" si="13">C63*C63</f>
        <v>9812.3078599860419</v>
      </c>
      <c r="E63" s="14">
        <f t="shared" ref="E63:E65" si="14">D63/B63</f>
        <v>16.916106987544861</v>
      </c>
      <c r="F63" s="14"/>
      <c r="G63" s="14"/>
      <c r="H63" s="14"/>
      <c r="I63" s="14"/>
      <c r="J63" s="15"/>
    </row>
    <row r="64" spans="1:21" x14ac:dyDescent="0.25">
      <c r="A64" s="12">
        <f>C56</f>
        <v>10374</v>
      </c>
      <c r="B64" s="13">
        <f>H56</f>
        <v>10473.057093940748</v>
      </c>
      <c r="C64" s="13">
        <f t="shared" si="12"/>
        <v>-99.057093940748018</v>
      </c>
      <c r="D64" s="13">
        <f t="shared" si="13"/>
        <v>9812.3078599861783</v>
      </c>
      <c r="E64" s="14">
        <f t="shared" si="14"/>
        <v>0.93690961215738522</v>
      </c>
      <c r="F64" s="14"/>
      <c r="G64" s="14"/>
      <c r="H64" s="14"/>
      <c r="I64" s="14"/>
      <c r="J64" s="15"/>
    </row>
    <row r="65" spans="1:10" x14ac:dyDescent="0.25">
      <c r="A65" s="12">
        <f>C57</f>
        <v>493</v>
      </c>
      <c r="B65" s="13">
        <f>H57</f>
        <v>393.94290605925266</v>
      </c>
      <c r="C65" s="13">
        <f t="shared" si="12"/>
        <v>99.057093940747336</v>
      </c>
      <c r="D65" s="13">
        <f t="shared" si="13"/>
        <v>9812.3078599860419</v>
      </c>
      <c r="E65" s="14">
        <f t="shared" si="14"/>
        <v>24.907944042302869</v>
      </c>
      <c r="F65" s="14"/>
      <c r="G65" s="14" t="s">
        <v>37</v>
      </c>
      <c r="H65" s="14"/>
      <c r="I65" s="14"/>
      <c r="J65" s="15"/>
    </row>
    <row r="66" spans="1:10" x14ac:dyDescent="0.25">
      <c r="A66" s="12"/>
      <c r="B66" s="13"/>
      <c r="C66" s="13"/>
      <c r="D66" s="13"/>
      <c r="E66" s="14"/>
      <c r="F66" s="14"/>
      <c r="G66" s="20">
        <v>0.1</v>
      </c>
      <c r="H66" s="20">
        <v>0.05</v>
      </c>
      <c r="I66" s="20">
        <v>0.01</v>
      </c>
      <c r="J66" s="21">
        <v>1E-3</v>
      </c>
    </row>
    <row r="67" spans="1:10" x14ac:dyDescent="0.25">
      <c r="A67" s="12"/>
      <c r="B67" s="13"/>
      <c r="C67" s="13"/>
      <c r="D67" s="13" t="s">
        <v>38</v>
      </c>
      <c r="E67" s="14">
        <f>SUM(E62:E65)</f>
        <v>43.397258170616723</v>
      </c>
      <c r="F67" s="14"/>
      <c r="G67" s="14">
        <v>2.71</v>
      </c>
      <c r="H67" s="14">
        <v>3.84</v>
      </c>
      <c r="I67" s="14">
        <v>6.63</v>
      </c>
      <c r="J67" s="15">
        <v>10.8</v>
      </c>
    </row>
    <row r="68" spans="1:10" x14ac:dyDescent="0.25">
      <c r="A68" s="12"/>
      <c r="B68" s="13"/>
      <c r="C68" s="13"/>
      <c r="D68" s="13"/>
      <c r="E68" s="14"/>
      <c r="F68" s="14"/>
      <c r="G68" s="14"/>
      <c r="H68" s="14"/>
      <c r="I68" s="14"/>
      <c r="J68" s="15"/>
    </row>
    <row r="69" spans="1:10" ht="15.75" thickBot="1" x14ac:dyDescent="0.3">
      <c r="A69" s="22"/>
      <c r="B69" s="23" t="str">
        <f>IF(E67&gt;=G67,IF(E67&gt;H67,IF(E67&gt;I67,IF(E67&gt;J67,CONCATENATE("ACCEPT THE HYPOTHESIS WITH CONFIDENCE GREATER THAN ",1-J66,"%"),CONCATENATE("ACCEPT THE HYPOTHESIS WITH CONFIDENCE GREATER THAN ",1-I66,"%")),CONCATENATE("ACCEPT THE HYPOTHESIS WITH CONFIDENCE GREATER THAN ",1-H66,"%")),CONCATENATE("ACCEPT THE HYPOTHESIS WITH CONFIDENCE GREATER THAN ",1-G66,"%")),"REJECT THE HYPOTHESIS")</f>
        <v>ACCEPT THE HYPOTHESIS WITH CONFIDENCE GREATER THAN 0.999%</v>
      </c>
      <c r="C69" s="23"/>
      <c r="D69" s="23"/>
      <c r="E69" s="24"/>
      <c r="F69" s="24"/>
      <c r="G69" s="24"/>
      <c r="H69" s="24"/>
      <c r="I69" s="24"/>
      <c r="J69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C21" sqref="C21"/>
    </sheetView>
  </sheetViews>
  <sheetFormatPr defaultColWidth="13.42578125" defaultRowHeight="15" x14ac:dyDescent="0.25"/>
  <cols>
    <col min="1" max="1" width="19.42578125" bestFit="1" customWidth="1"/>
    <col min="2" max="2" width="18.5703125" bestFit="1" customWidth="1"/>
    <col min="3" max="3" width="9.28515625" bestFit="1" customWidth="1"/>
    <col min="4" max="4" width="20.42578125" bestFit="1" customWidth="1"/>
    <col min="5" max="5" width="8.7109375" bestFit="1" customWidth="1"/>
    <col min="6" max="6" width="6.42578125" bestFit="1" customWidth="1"/>
    <col min="7" max="8" width="13.5703125" bestFit="1" customWidth="1"/>
    <col min="9" max="9" width="14.7109375" bestFit="1" customWidth="1"/>
    <col min="10" max="10" width="14.42578125" bestFit="1" customWidth="1"/>
    <col min="12" max="12" width="14.42578125" bestFit="1" customWidth="1"/>
    <col min="13" max="13" width="37.140625" bestFit="1" customWidth="1"/>
    <col min="14" max="14" width="23" bestFit="1" customWidth="1"/>
  </cols>
  <sheetData>
    <row r="1" spans="1:14" ht="15.75" thickBot="1" x14ac:dyDescent="0.3">
      <c r="A1" t="s">
        <v>69</v>
      </c>
      <c r="L1" t="s">
        <v>70</v>
      </c>
      <c r="M1" t="s">
        <v>87</v>
      </c>
    </row>
    <row r="2" spans="1:14" ht="15.75" thickBot="1" x14ac:dyDescent="0.3">
      <c r="A2" s="1"/>
      <c r="B2" s="40" t="s">
        <v>1</v>
      </c>
      <c r="C2" s="34" t="s">
        <v>8</v>
      </c>
      <c r="D2" s="34" t="s">
        <v>81</v>
      </c>
      <c r="E2" s="34" t="s">
        <v>82</v>
      </c>
      <c r="F2" s="34" t="s">
        <v>83</v>
      </c>
      <c r="G2" s="34" t="s">
        <v>84</v>
      </c>
      <c r="H2" s="34" t="s">
        <v>11</v>
      </c>
      <c r="I2" s="34" t="s">
        <v>85</v>
      </c>
      <c r="J2" s="34" t="s">
        <v>86</v>
      </c>
      <c r="L2" s="41" t="s">
        <v>88</v>
      </c>
      <c r="M2" s="41" t="s">
        <v>89</v>
      </c>
      <c r="N2" s="41" t="s">
        <v>90</v>
      </c>
    </row>
    <row r="3" spans="1:14" ht="15.75" thickBot="1" x14ac:dyDescent="0.3">
      <c r="A3" s="35" t="s">
        <v>1</v>
      </c>
      <c r="B3" s="1">
        <v>252552</v>
      </c>
      <c r="C3" s="1">
        <v>76329</v>
      </c>
      <c r="D3" s="1">
        <v>13513</v>
      </c>
      <c r="E3" s="1">
        <v>5229</v>
      </c>
      <c r="F3" s="1">
        <v>14153</v>
      </c>
      <c r="G3" s="1">
        <v>83454</v>
      </c>
      <c r="H3" s="1">
        <v>7620</v>
      </c>
      <c r="I3" s="1">
        <v>5818</v>
      </c>
      <c r="J3" s="1">
        <v>46436</v>
      </c>
      <c r="L3" t="s">
        <v>43</v>
      </c>
      <c r="M3">
        <v>25</v>
      </c>
      <c r="N3">
        <f>15</f>
        <v>15</v>
      </c>
    </row>
    <row r="4" spans="1:14" ht="15" customHeight="1" thickBot="1" x14ac:dyDescent="0.3">
      <c r="A4" s="35" t="s">
        <v>8</v>
      </c>
      <c r="B4" s="1">
        <v>7221</v>
      </c>
      <c r="C4" s="1">
        <v>2091</v>
      </c>
      <c r="D4" s="1">
        <v>2391</v>
      </c>
      <c r="E4" s="1">
        <v>52</v>
      </c>
      <c r="F4" s="1">
        <v>1354</v>
      </c>
      <c r="G4" s="1">
        <v>373</v>
      </c>
      <c r="H4" s="1">
        <v>173</v>
      </c>
      <c r="I4" s="1">
        <v>501</v>
      </c>
      <c r="J4" s="1">
        <v>286</v>
      </c>
      <c r="L4" t="s">
        <v>44</v>
      </c>
      <c r="M4">
        <v>24</v>
      </c>
      <c r="N4">
        <v>9</v>
      </c>
    </row>
    <row r="5" spans="1:14" ht="15" customHeight="1" thickBot="1" x14ac:dyDescent="0.3">
      <c r="A5" s="35" t="s">
        <v>2</v>
      </c>
      <c r="B5" s="1">
        <v>2053</v>
      </c>
      <c r="C5" s="1">
        <v>502</v>
      </c>
      <c r="D5" s="1">
        <v>60</v>
      </c>
      <c r="E5" s="1">
        <v>1</v>
      </c>
      <c r="F5" s="1">
        <v>180</v>
      </c>
      <c r="G5" s="1">
        <v>1082</v>
      </c>
      <c r="H5" s="1">
        <v>76</v>
      </c>
      <c r="I5" s="1">
        <v>93</v>
      </c>
      <c r="J5" s="1">
        <v>59</v>
      </c>
      <c r="L5" t="s">
        <v>45</v>
      </c>
      <c r="M5">
        <v>11</v>
      </c>
      <c r="N5">
        <v>4</v>
      </c>
    </row>
    <row r="6" spans="1:14" ht="15" customHeight="1" thickBot="1" x14ac:dyDescent="0.3">
      <c r="A6" s="35" t="s">
        <v>9</v>
      </c>
      <c r="B6" s="1">
        <v>8611</v>
      </c>
      <c r="C6" s="1">
        <v>2433</v>
      </c>
      <c r="D6" s="1">
        <v>250</v>
      </c>
      <c r="E6" s="1">
        <v>2</v>
      </c>
      <c r="F6" s="1">
        <v>217</v>
      </c>
      <c r="G6" s="1">
        <v>4447</v>
      </c>
      <c r="H6" s="1">
        <v>833</v>
      </c>
      <c r="I6" s="1">
        <v>267</v>
      </c>
      <c r="J6" s="1">
        <v>162</v>
      </c>
      <c r="L6" t="s">
        <v>91</v>
      </c>
      <c r="M6">
        <v>28</v>
      </c>
      <c r="N6">
        <v>15</v>
      </c>
    </row>
    <row r="7" spans="1:14" ht="18" customHeight="1" thickBot="1" x14ac:dyDescent="0.3">
      <c r="A7" s="35" t="s">
        <v>12</v>
      </c>
      <c r="B7" s="1">
        <v>1166</v>
      </c>
      <c r="C7" s="1">
        <v>494</v>
      </c>
      <c r="D7" s="1">
        <v>27</v>
      </c>
      <c r="E7" s="1">
        <v>4</v>
      </c>
      <c r="F7" s="1">
        <v>37</v>
      </c>
      <c r="G7" s="1">
        <v>497</v>
      </c>
      <c r="H7" s="1">
        <v>36</v>
      </c>
      <c r="I7" s="1">
        <v>32</v>
      </c>
      <c r="J7" s="1">
        <v>39</v>
      </c>
      <c r="L7" t="s">
        <v>92</v>
      </c>
      <c r="M7">
        <v>2</v>
      </c>
      <c r="N7">
        <v>2</v>
      </c>
    </row>
    <row r="8" spans="1:14" ht="15" customHeight="1" thickBot="1" x14ac:dyDescent="0.3">
      <c r="A8" s="35" t="s">
        <v>10</v>
      </c>
      <c r="B8" s="1">
        <v>16012</v>
      </c>
      <c r="C8" s="1">
        <v>5019</v>
      </c>
      <c r="D8" s="1">
        <v>382</v>
      </c>
      <c r="E8" s="1">
        <v>45</v>
      </c>
      <c r="F8" s="1">
        <v>434</v>
      </c>
      <c r="G8" s="1">
        <v>7916</v>
      </c>
      <c r="H8" s="1">
        <v>496</v>
      </c>
      <c r="I8" s="1">
        <v>902</v>
      </c>
      <c r="J8" s="1">
        <v>818</v>
      </c>
      <c r="L8" t="s">
        <v>93</v>
      </c>
      <c r="M8">
        <v>15</v>
      </c>
      <c r="N8">
        <v>13</v>
      </c>
    </row>
    <row r="9" spans="1:14" ht="15.75" thickBot="1" x14ac:dyDescent="0.3">
      <c r="A9" s="35" t="s">
        <v>3</v>
      </c>
      <c r="B9" s="1">
        <v>6103</v>
      </c>
      <c r="C9" s="1">
        <v>3112</v>
      </c>
      <c r="D9" s="1">
        <v>128</v>
      </c>
      <c r="E9" s="1">
        <v>1</v>
      </c>
      <c r="F9" s="1">
        <v>843</v>
      </c>
      <c r="G9" s="1">
        <v>1353</v>
      </c>
      <c r="H9" s="1">
        <v>528</v>
      </c>
      <c r="I9" s="1">
        <v>60</v>
      </c>
      <c r="J9" s="1">
        <v>78</v>
      </c>
      <c r="L9" t="s">
        <v>75</v>
      </c>
      <c r="M9">
        <v>12</v>
      </c>
      <c r="N9">
        <v>6</v>
      </c>
    </row>
    <row r="10" spans="1:14" ht="15" customHeight="1" thickBot="1" x14ac:dyDescent="0.3">
      <c r="A10" s="35" t="s">
        <v>11</v>
      </c>
      <c r="B10" s="1">
        <v>3860</v>
      </c>
      <c r="C10" s="1">
        <v>1669</v>
      </c>
      <c r="D10" s="1">
        <v>236</v>
      </c>
      <c r="E10" s="1">
        <v>11</v>
      </c>
      <c r="F10" s="1">
        <v>284</v>
      </c>
      <c r="G10" s="1">
        <v>1004</v>
      </c>
      <c r="H10" s="1">
        <v>283</v>
      </c>
      <c r="I10" s="1">
        <v>276</v>
      </c>
      <c r="J10" s="1">
        <v>97</v>
      </c>
      <c r="L10" t="s">
        <v>76</v>
      </c>
      <c r="M10">
        <v>3</v>
      </c>
      <c r="N10">
        <v>2</v>
      </c>
    </row>
    <row r="11" spans="1:14" ht="15" customHeight="1" thickBot="1" x14ac:dyDescent="0.3">
      <c r="A11" s="35" t="s">
        <v>4</v>
      </c>
      <c r="B11" s="1">
        <v>13837</v>
      </c>
      <c r="C11" s="1">
        <v>3112</v>
      </c>
      <c r="D11" s="1">
        <v>534</v>
      </c>
      <c r="E11" s="1">
        <v>11</v>
      </c>
      <c r="F11" s="1">
        <v>700</v>
      </c>
      <c r="G11" s="1">
        <v>8180</v>
      </c>
      <c r="H11" s="1">
        <v>195</v>
      </c>
      <c r="I11" s="1">
        <v>227</v>
      </c>
      <c r="J11" s="1">
        <v>878</v>
      </c>
      <c r="L11" t="s">
        <v>94</v>
      </c>
      <c r="M11">
        <v>7</v>
      </c>
      <c r="N11">
        <v>5</v>
      </c>
    </row>
    <row r="12" spans="1:14" ht="15" customHeight="1" thickBot="1" x14ac:dyDescent="0.3">
      <c r="A12" s="35" t="s">
        <v>5</v>
      </c>
      <c r="B12" s="1">
        <v>7536</v>
      </c>
      <c r="C12" s="1">
        <v>2822</v>
      </c>
      <c r="D12" s="1">
        <v>140</v>
      </c>
      <c r="E12" s="1">
        <v>9</v>
      </c>
      <c r="F12" s="1">
        <v>143</v>
      </c>
      <c r="G12" s="1">
        <v>3636</v>
      </c>
      <c r="H12" s="1">
        <v>416</v>
      </c>
      <c r="I12" s="1">
        <v>203</v>
      </c>
      <c r="J12" s="1">
        <v>167</v>
      </c>
    </row>
    <row r="13" spans="1:14" ht="15.75" thickBot="1" x14ac:dyDescent="0.3">
      <c r="A13" s="35" t="s">
        <v>6</v>
      </c>
      <c r="B13" s="1">
        <v>173541</v>
      </c>
      <c r="C13" s="1">
        <v>50227</v>
      </c>
      <c r="D13" s="1">
        <v>8890</v>
      </c>
      <c r="E13" s="1">
        <v>5070</v>
      </c>
      <c r="F13" s="1">
        <v>7165</v>
      </c>
      <c r="G13" s="1">
        <v>51625</v>
      </c>
      <c r="H13" s="1">
        <v>4535</v>
      </c>
      <c r="I13" s="1">
        <v>3176</v>
      </c>
      <c r="J13" s="1">
        <v>42853</v>
      </c>
    </row>
    <row r="14" spans="1:14" ht="15" customHeight="1" x14ac:dyDescent="0.25">
      <c r="A14" s="35" t="s">
        <v>7</v>
      </c>
      <c r="B14" s="1">
        <v>12612</v>
      </c>
      <c r="C14" s="1">
        <v>4848</v>
      </c>
      <c r="D14" s="1">
        <v>475</v>
      </c>
      <c r="E14" s="1">
        <v>23</v>
      </c>
      <c r="F14" s="1">
        <v>2796</v>
      </c>
      <c r="G14" s="1">
        <v>3341</v>
      </c>
      <c r="H14" s="1">
        <v>49</v>
      </c>
      <c r="I14" s="1">
        <v>81</v>
      </c>
      <c r="J14" s="1">
        <v>999</v>
      </c>
    </row>
    <row r="15" spans="1:14" ht="15.75" thickBot="1" x14ac:dyDescent="0.3"/>
    <row r="16" spans="1:14" x14ac:dyDescent="0.25">
      <c r="A16" s="8" t="s">
        <v>95</v>
      </c>
      <c r="B16" s="9"/>
      <c r="C16" s="9"/>
      <c r="D16" s="9"/>
      <c r="E16" s="10"/>
      <c r="F16" s="10"/>
      <c r="G16" s="10"/>
      <c r="H16" s="10"/>
      <c r="I16" s="10"/>
      <c r="J16" s="11"/>
    </row>
    <row r="17" spans="1:10" x14ac:dyDescent="0.25">
      <c r="A17" s="12"/>
      <c r="B17" s="13"/>
      <c r="C17" s="13"/>
      <c r="D17" s="13"/>
      <c r="E17" s="14"/>
      <c r="F17" s="14"/>
      <c r="G17" s="14"/>
      <c r="H17" s="14"/>
      <c r="I17" s="14"/>
      <c r="J17" s="15"/>
    </row>
    <row r="18" spans="1:10" x14ac:dyDescent="0.25">
      <c r="A18" s="12" t="s">
        <v>28</v>
      </c>
      <c r="B18" s="13" t="str">
        <f>M2</f>
        <v>Sentenced to death</v>
      </c>
      <c r="C18" s="13" t="str">
        <f>CONCATENATE("not ",B18)</f>
        <v>not Sentenced to death</v>
      </c>
      <c r="D18" s="13"/>
      <c r="E18" s="14"/>
      <c r="F18" s="13" t="s">
        <v>29</v>
      </c>
      <c r="G18" s="13" t="str">
        <f>B18</f>
        <v>Sentenced to death</v>
      </c>
      <c r="H18" s="13" t="str">
        <f>C18</f>
        <v>not Sentenced to death</v>
      </c>
      <c r="I18" s="14"/>
      <c r="J18" s="15"/>
    </row>
    <row r="19" spans="1:10" x14ac:dyDescent="0.25">
      <c r="A19" s="12" t="s">
        <v>30</v>
      </c>
      <c r="B19" s="16">
        <f>F3</f>
        <v>14153</v>
      </c>
      <c r="C19" s="16">
        <f>D3+E3+G3+H3+I3+J3</f>
        <v>162070</v>
      </c>
      <c r="D19" s="13">
        <f>SUM(B19+C19)</f>
        <v>176223</v>
      </c>
      <c r="E19" s="14"/>
      <c r="F19" s="13" t="str">
        <f>A19</f>
        <v>oldBailey</v>
      </c>
      <c r="G19" s="14">
        <f>(D19*B21)/D21</f>
        <v>14263.973336507559</v>
      </c>
      <c r="H19" s="17">
        <f>(D19*C21)/D21</f>
        <v>161959.02666349243</v>
      </c>
      <c r="I19" s="14">
        <f>SUM(G19:H19)</f>
        <v>176223</v>
      </c>
      <c r="J19" s="15"/>
    </row>
    <row r="20" spans="1:10" x14ac:dyDescent="0.25">
      <c r="A20" s="12" t="s">
        <v>31</v>
      </c>
      <c r="B20" s="18">
        <f>SUM(M3:M11)</f>
        <v>127</v>
      </c>
      <c r="C20" s="19">
        <f>SUM(N3:N11)</f>
        <v>71</v>
      </c>
      <c r="D20" s="13">
        <f>SUM(B20+C20)</f>
        <v>198</v>
      </c>
      <c r="E20" s="14"/>
      <c r="F20" s="13" t="str">
        <f>A20</f>
        <v>notOB</v>
      </c>
      <c r="G20" s="13">
        <f>(D20*B21)/D21</f>
        <v>16.026663492441376</v>
      </c>
      <c r="H20" s="13">
        <f>(D20*C21)/D21</f>
        <v>181.97333650755863</v>
      </c>
      <c r="I20" s="13">
        <f>SUM(G20:H20)</f>
        <v>198</v>
      </c>
      <c r="J20" s="15"/>
    </row>
    <row r="21" spans="1:10" x14ac:dyDescent="0.25">
      <c r="A21" s="12"/>
      <c r="B21" s="13">
        <f>(B19+B20)</f>
        <v>14280</v>
      </c>
      <c r="C21" s="13">
        <f>(C19+C20)</f>
        <v>162141</v>
      </c>
      <c r="D21" s="13">
        <f>IF(SUM(D19:D20)&lt;&gt;SUM(B21:C21),"PROBLEM",SUM(D19:D20))</f>
        <v>176421</v>
      </c>
      <c r="E21" s="14"/>
      <c r="F21" s="14"/>
      <c r="G21" s="14">
        <f>SUM(G19:G20)</f>
        <v>14280</v>
      </c>
      <c r="H21" s="13">
        <f>SUM(H19:H20)</f>
        <v>162141</v>
      </c>
      <c r="I21" s="14">
        <f>SUM(G21:H21)</f>
        <v>176421</v>
      </c>
      <c r="J21" s="15"/>
    </row>
    <row r="22" spans="1:10" x14ac:dyDescent="0.25">
      <c r="A22" s="12"/>
      <c r="B22" s="13"/>
      <c r="C22" s="13"/>
      <c r="D22" s="13"/>
      <c r="E22" s="14"/>
      <c r="F22" s="14"/>
      <c r="G22" s="14"/>
      <c r="H22" s="14"/>
      <c r="I22" s="14"/>
      <c r="J22" s="15"/>
    </row>
    <row r="23" spans="1:10" x14ac:dyDescent="0.25">
      <c r="A23" s="12"/>
      <c r="B23" s="13"/>
      <c r="C23" s="13"/>
      <c r="D23" s="13"/>
      <c r="E23" s="14"/>
      <c r="F23" s="14"/>
      <c r="G23" s="14"/>
      <c r="H23" s="14"/>
      <c r="I23" s="14"/>
      <c r="J23" s="15"/>
    </row>
    <row r="24" spans="1:10" x14ac:dyDescent="0.25">
      <c r="A24" s="12" t="s">
        <v>32</v>
      </c>
      <c r="B24" s="13" t="s">
        <v>33</v>
      </c>
      <c r="C24" s="13" t="s">
        <v>34</v>
      </c>
      <c r="D24" s="13" t="s">
        <v>35</v>
      </c>
      <c r="E24" s="13" t="s">
        <v>36</v>
      </c>
      <c r="F24" s="14"/>
      <c r="G24" s="14"/>
      <c r="H24" s="14"/>
      <c r="I24" s="14"/>
      <c r="J24" s="15"/>
    </row>
    <row r="25" spans="1:10" x14ac:dyDescent="0.25">
      <c r="A25" s="12">
        <f>B19</f>
        <v>14153</v>
      </c>
      <c r="B25" s="13">
        <f>G19</f>
        <v>14263.973336507559</v>
      </c>
      <c r="C25" s="13">
        <f>A25-B25</f>
        <v>-110.973336507559</v>
      </c>
      <c r="D25" s="13">
        <f>C25*C25</f>
        <v>12315.081415619927</v>
      </c>
      <c r="E25" s="14">
        <f>D25/B25</f>
        <v>0.8633696323660679</v>
      </c>
      <c r="F25" s="14"/>
      <c r="G25" s="14"/>
      <c r="H25" s="14"/>
      <c r="I25" s="14"/>
      <c r="J25" s="15"/>
    </row>
    <row r="26" spans="1:10" x14ac:dyDescent="0.25">
      <c r="A26" s="12">
        <f>B20</f>
        <v>127</v>
      </c>
      <c r="B26" s="13">
        <f>G20</f>
        <v>16.026663492441376</v>
      </c>
      <c r="C26" s="13">
        <f t="shared" ref="C26:C28" si="0">A26-B26</f>
        <v>110.97333650755863</v>
      </c>
      <c r="D26" s="13">
        <f t="shared" ref="D26:D28" si="1">C26*C26</f>
        <v>12315.081415619845</v>
      </c>
      <c r="E26" s="14">
        <f t="shared" ref="E26:E28" si="2">D26/B26</f>
        <v>768.41205416386151</v>
      </c>
      <c r="F26" s="14"/>
      <c r="G26" s="14"/>
      <c r="H26" s="14"/>
      <c r="I26" s="14"/>
      <c r="J26" s="15"/>
    </row>
    <row r="27" spans="1:10" x14ac:dyDescent="0.25">
      <c r="A27" s="12">
        <f>C19</f>
        <v>162070</v>
      </c>
      <c r="B27" s="13">
        <f>H19</f>
        <v>161959.02666349243</v>
      </c>
      <c r="C27" s="13">
        <f t="shared" si="0"/>
        <v>110.97333650756627</v>
      </c>
      <c r="D27" s="13">
        <f t="shared" si="1"/>
        <v>12315.081415621542</v>
      </c>
      <c r="E27" s="14">
        <f t="shared" si="2"/>
        <v>7.6038252818158694E-2</v>
      </c>
      <c r="F27" s="14"/>
      <c r="G27" s="14"/>
      <c r="H27" s="14"/>
      <c r="I27" s="14"/>
      <c r="J27" s="15"/>
    </row>
    <row r="28" spans="1:10" x14ac:dyDescent="0.25">
      <c r="A28" s="12">
        <f>C20</f>
        <v>71</v>
      </c>
      <c r="B28" s="13">
        <f>H20</f>
        <v>181.97333650755863</v>
      </c>
      <c r="C28" s="13">
        <f t="shared" si="0"/>
        <v>-110.97333650755863</v>
      </c>
      <c r="D28" s="13">
        <f t="shared" si="1"/>
        <v>12315.081415619845</v>
      </c>
      <c r="E28" s="14">
        <f t="shared" si="2"/>
        <v>67.675197102891573</v>
      </c>
      <c r="F28" s="14"/>
      <c r="G28" s="14" t="s">
        <v>37</v>
      </c>
      <c r="H28" s="14"/>
      <c r="I28" s="14"/>
      <c r="J28" s="15"/>
    </row>
    <row r="29" spans="1:10" x14ac:dyDescent="0.25">
      <c r="A29" s="12"/>
      <c r="B29" s="13"/>
      <c r="C29" s="13"/>
      <c r="D29" s="13"/>
      <c r="E29" s="14"/>
      <c r="F29" s="14"/>
      <c r="G29" s="20">
        <v>0.1</v>
      </c>
      <c r="H29" s="20">
        <v>0.05</v>
      </c>
      <c r="I29" s="20">
        <v>0.01</v>
      </c>
      <c r="J29" s="21">
        <v>1E-3</v>
      </c>
    </row>
    <row r="30" spans="1:10" x14ac:dyDescent="0.25">
      <c r="A30" s="12"/>
      <c r="B30" s="13"/>
      <c r="C30" s="13"/>
      <c r="D30" s="13" t="s">
        <v>38</v>
      </c>
      <c r="E30" s="14">
        <f>SUM(E25:E28)</f>
        <v>837.02665915193734</v>
      </c>
      <c r="F30" s="14"/>
      <c r="G30" s="14">
        <v>2.71</v>
      </c>
      <c r="H30" s="14">
        <v>3.84</v>
      </c>
      <c r="I30" s="14">
        <v>6.63</v>
      </c>
      <c r="J30" s="15">
        <v>10.8</v>
      </c>
    </row>
    <row r="31" spans="1:10" x14ac:dyDescent="0.25">
      <c r="A31" s="12"/>
      <c r="B31" s="13"/>
      <c r="C31" s="13"/>
      <c r="D31" s="13"/>
      <c r="E31" s="14"/>
      <c r="F31" s="14"/>
      <c r="G31" s="14"/>
      <c r="H31" s="14"/>
      <c r="I31" s="14"/>
      <c r="J31" s="15"/>
    </row>
    <row r="32" spans="1:10" ht="15.75" thickBot="1" x14ac:dyDescent="0.3">
      <c r="A32" s="22"/>
      <c r="B32" s="23" t="str">
        <f>IF(E30&gt;=G30,IF(E30&gt;H30,IF(E30&gt;I30,IF(E30&gt;J30,CONCATENATE("ACCEPT THE HYPOTHESIS WITH CONFIDENCE GREATER THAN ",1-J29,"%"),CONCATENATE("ACCEPT THE HYPOTHESIS WITH CONFIDENCE GREATER THAN ",1-I29,"%")),CONCATENATE("ACCEPT THE HYPOTHESIS WITH CONFIDENCE GREATER THAN ",1-H29,"%")),CONCATENATE("ACCEPT THE HYPOTHESIS WITH CONFIDENCE GREATER THAN ",1-G29,"%")),"REJECT THE HYPOTHESIS")</f>
        <v>ACCEPT THE HYPOTHESIS WITH CONFIDENCE GREATER THAN 0.999%</v>
      </c>
      <c r="C32" s="23"/>
      <c r="D32" s="23"/>
      <c r="E32" s="24"/>
      <c r="F32" s="24"/>
      <c r="G32" s="24"/>
      <c r="H32" s="24"/>
      <c r="I32" s="24"/>
      <c r="J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oldBailey_descStats</vt:lpstr>
      <vt:lpstr>oldBailey_raw_count</vt:lpstr>
      <vt:lpstr>oldBailey_raw_gender</vt:lpstr>
      <vt:lpstr>beattie_raw</vt:lpstr>
      <vt:lpstr>chisquared_tables_count</vt:lpstr>
      <vt:lpstr>chisquared_tables_gender</vt:lpstr>
      <vt:lpstr>verdict</vt:lpstr>
      <vt:lpstr>sentences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2018-02-08T19:13:53Z</dcterms:modified>
</cp:coreProperties>
</file>