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_public\"/>
    </mc:Choice>
  </mc:AlternateContent>
  <bookViews>
    <workbookView xWindow="0" yWindow="0" windowWidth="28800" windowHeight="12795" xr2:uid="{167FF46D-0651-470A-874B-15F3DB9FB0DA}"/>
  </bookViews>
  <sheets>
    <sheet name="Sheet1" sheetId="1" r:id="rId1"/>
    <sheet name="Beattie_data" sheetId="2" r:id="rId2"/>
    <sheet name="Beattie_descStats" sheetId="4" r:id="rId3"/>
    <sheet name="oldBailey" sheetId="3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D25" i="2"/>
  <c r="C25" i="2"/>
  <c r="D24" i="2"/>
  <c r="C24" i="2"/>
  <c r="D23" i="2"/>
  <c r="C23" i="2"/>
  <c r="D22" i="2"/>
  <c r="C22" i="2"/>
  <c r="D21" i="2"/>
  <c r="C21" i="2"/>
  <c r="D20" i="2"/>
  <c r="D26" i="2" s="1"/>
  <c r="C20" i="2"/>
  <c r="D19" i="2"/>
  <c r="C19" i="2"/>
  <c r="C26" i="2" s="1"/>
  <c r="G13" i="2"/>
  <c r="A13" i="2"/>
  <c r="G12" i="2"/>
  <c r="A12" i="2"/>
  <c r="H7" i="2" s="1"/>
  <c r="G11" i="2"/>
  <c r="A11" i="2"/>
  <c r="G10" i="2"/>
  <c r="G9" i="2"/>
  <c r="H8" i="2"/>
  <c r="G7" i="2"/>
  <c r="A7" i="2"/>
  <c r="G8" i="2" s="1"/>
  <c r="H6" i="2"/>
  <c r="G6" i="2"/>
  <c r="G5" i="2"/>
  <c r="G4" i="2"/>
  <c r="G3" i="2"/>
  <c r="A3" i="2"/>
  <c r="A1" i="2"/>
  <c r="G2" i="2" s="1"/>
  <c r="A13" i="1"/>
  <c r="A11" i="1"/>
  <c r="F5" i="1"/>
  <c r="D5" i="1"/>
  <c r="F4" i="1"/>
  <c r="C6" i="1"/>
  <c r="A10" i="1"/>
  <c r="B3" i="1"/>
  <c r="G3" i="1" s="1"/>
  <c r="A1" i="1"/>
  <c r="B6" i="1" l="1"/>
  <c r="A12" i="1"/>
  <c r="C3" i="1"/>
  <c r="H3" i="1" s="1"/>
  <c r="D4" i="1"/>
  <c r="D6" i="1" l="1"/>
  <c r="H5" i="1" s="1"/>
  <c r="B13" i="1" s="1"/>
  <c r="C13" i="1" s="1"/>
  <c r="D13" i="1" s="1"/>
  <c r="E13" i="1" s="1"/>
  <c r="G5" i="1" l="1"/>
  <c r="B11" i="1" s="1"/>
  <c r="C11" i="1" s="1"/>
  <c r="D11" i="1" s="1"/>
  <c r="E11" i="1" s="1"/>
  <c r="G4" i="1"/>
  <c r="G6" i="1" s="1"/>
  <c r="H4" i="1"/>
  <c r="B10" i="1" l="1"/>
  <c r="C10" i="1" s="1"/>
  <c r="D10" i="1" s="1"/>
  <c r="E10" i="1" s="1"/>
  <c r="E15" i="1" s="1"/>
  <c r="B17" i="1" s="1"/>
  <c r="I5" i="1"/>
  <c r="H6" i="1"/>
  <c r="B12" i="1"/>
  <c r="C12" i="1" s="1"/>
  <c r="D12" i="1" s="1"/>
  <c r="E12" i="1" s="1"/>
  <c r="I4" i="1"/>
  <c r="I6" i="1"/>
</calcChain>
</file>

<file path=xl/sharedStrings.xml><?xml version="1.0" encoding="utf-8"?>
<sst xmlns="http://schemas.openxmlformats.org/spreadsheetml/2006/main" count="184" uniqueCount="74">
  <si>
    <t>OBSERVED</t>
  </si>
  <si>
    <t>EXPECTED</t>
  </si>
  <si>
    <t>oldBailey</t>
  </si>
  <si>
    <t>notOB</t>
  </si>
  <si>
    <t>O</t>
  </si>
  <si>
    <t>E</t>
  </si>
  <si>
    <t>o-e</t>
  </si>
  <si>
    <t>(o-e)2</t>
  </si>
  <si>
    <t>(o-e)2/e</t>
  </si>
  <si>
    <t>df=1</t>
  </si>
  <si>
    <t>x2=</t>
  </si>
  <si>
    <t>Table 3.1 (Verdicts in Homicide Cases)</t>
  </si>
  <si>
    <t>Initial Cases</t>
  </si>
  <si>
    <t>Other Tables</t>
  </si>
  <si>
    <t>Table 3.6 (Indictments for Infanticide)</t>
  </si>
  <si>
    <t>Homicide</t>
  </si>
  <si>
    <t>Table 3.7 (Indictments for Rape and Attempted Rape)</t>
  </si>
  <si>
    <t>Infanticide</t>
  </si>
  <si>
    <t>Robbery</t>
  </si>
  <si>
    <t>Table 4.1 (Indictments for Crimes Against Property)</t>
  </si>
  <si>
    <t>Rape/Attempted Rape</t>
  </si>
  <si>
    <t>Burglary</t>
  </si>
  <si>
    <t>Housebreaking</t>
  </si>
  <si>
    <t>Nonclergyable Larceny</t>
  </si>
  <si>
    <t>simple grand Larceny</t>
  </si>
  <si>
    <t>petty larceny</t>
  </si>
  <si>
    <t>fraud</t>
  </si>
  <si>
    <t>Table 4.5 (Indictments for Burglary and Housebreaking)</t>
  </si>
  <si>
    <t>other nonclergyable larcenies</t>
  </si>
  <si>
    <t>Table 4.6 (Nonclergyable Larcenies)</t>
  </si>
  <si>
    <t>simple grand larceny and petty larceny</t>
  </si>
  <si>
    <t>Robbery, burglary, housebreaking, horse-theft</t>
  </si>
  <si>
    <t>Table 4.7 (Indictments for Crimes Against Property)</t>
  </si>
  <si>
    <t>Table 5.3 (Gender of Accused in Property Offenses)</t>
  </si>
  <si>
    <t>Offence</t>
  </si>
  <si>
    <t>Male</t>
  </si>
  <si>
    <t>Female</t>
  </si>
  <si>
    <t>Mean</t>
  </si>
  <si>
    <t>Standard Error</t>
  </si>
  <si>
    <t>Median</t>
  </si>
  <si>
    <t>simple grand larceny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</si>
  <si>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</si>
  <si>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</si>
  <si>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</si>
  <si>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</si>
  <si>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</si>
  <si>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</si>
  <si>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</si>
  <si>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</si>
  <si>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</si>
  <si>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</si>
  <si>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Beattie</t>
  </si>
  <si>
    <t>Table 8.3 (Trial Verdicts)</t>
  </si>
  <si>
    <t>Not Guilty</t>
  </si>
  <si>
    <t>Guilty</t>
  </si>
  <si>
    <t>Partial Verdict</t>
  </si>
  <si>
    <t>Property</t>
  </si>
  <si>
    <t>Forgery</t>
  </si>
  <si>
    <t>Fraud</t>
  </si>
  <si>
    <t>Murder</t>
  </si>
  <si>
    <t>Assault</t>
  </si>
  <si>
    <t>Rape</t>
  </si>
  <si>
    <t>Attempted Rape</t>
  </si>
  <si>
    <t>Table 9.1 (Capital Punishment in Surrey)</t>
  </si>
  <si>
    <t>Offense</t>
  </si>
  <si>
    <t>Sentenced to death</t>
  </si>
  <si>
    <t>Not Sentenced to death</t>
  </si>
  <si>
    <t>Horse-theft</t>
  </si>
  <si>
    <t>Pickingpockets</t>
  </si>
  <si>
    <t>simple larceny</t>
  </si>
  <si>
    <t>Coining</t>
  </si>
  <si>
    <t>Gender and Property Crime</t>
  </si>
  <si>
    <t>Verdicts</t>
  </si>
  <si>
    <t>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</si>
</sst>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AAAAA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2" borderId="6" xfId="0" applyNumberFormat="1" applyFill="1" applyBorder="1"/>
    <xf numFmtId="1" fontId="0" fillId="0" borderId="0" xfId="0" quotePrefix="1" applyNumberFormat="1" applyBorder="1"/>
    <xf numFmtId="1" fontId="0" fillId="2" borderId="0" xfId="0" applyNumberFormat="1" applyFill="1" applyBorder="1"/>
    <xf numFmtId="1" fontId="0" fillId="2" borderId="7" xfId="0" applyNumberFormat="1" applyFill="1" applyBorder="1"/>
    <xf numFmtId="9" fontId="0" fillId="0" borderId="0" xfId="0" applyNumberFormat="1" applyBorder="1"/>
    <xf numFmtId="10" fontId="0" fillId="0" borderId="5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0" fontId="0" fillId="0" borderId="0" xfId="0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1" fillId="0" borderId="1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2" fillId="6" borderId="0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heet_new_nu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tats"/>
      <sheetName val="oldBailey_descStats"/>
      <sheetName val="oldBailey_raw_count"/>
      <sheetName val="oldBailey_raw_gender"/>
      <sheetName val="beattie_raw"/>
      <sheetName val="chisquared_tables_count"/>
      <sheetName val="chisquared_tables_gender"/>
      <sheetName val="verdict"/>
      <sheetName val="sentences"/>
    </sheetNames>
    <sheetDataSet>
      <sheetData sheetId="0"/>
      <sheetData sheetId="1"/>
      <sheetData sheetId="2">
        <row r="1">
          <cell r="C1" t="str">
            <v>multiple offences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76E3-61CC-4793-A903-76B8FF3FE1D5}">
  <dimension ref="A1:J17"/>
  <sheetViews>
    <sheetView tabSelected="1" workbookViewId="0">
      <selection activeCell="B4" sqref="B4"/>
    </sheetView>
  </sheetViews>
  <sheetFormatPr defaultRowHeight="15" x14ac:dyDescent="0.25"/>
  <sheetData>
    <row r="1" spans="1:10" x14ac:dyDescent="0.25">
      <c r="A1" s="1" t="str">
        <f>CONCATENATE("h1: there is an association between the old bailey and the charge of ",[1]oldBailey_raw_count!C1)</f>
        <v>h1: there is an association between the old bailey and the charge of multiple offences</v>
      </c>
      <c r="B1" s="2"/>
      <c r="C1" s="2"/>
      <c r="D1" s="2"/>
      <c r="E1" s="3"/>
      <c r="F1" s="3"/>
      <c r="G1" s="3"/>
      <c r="H1" s="3"/>
      <c r="I1" s="3"/>
      <c r="J1" s="4"/>
    </row>
    <row r="2" spans="1:10" x14ac:dyDescent="0.25">
      <c r="A2" s="5"/>
      <c r="B2" s="6"/>
      <c r="C2" s="6"/>
      <c r="D2" s="6"/>
      <c r="E2" s="7"/>
      <c r="F2" s="7"/>
      <c r="G2" s="7"/>
      <c r="H2" s="7"/>
      <c r="I2" s="7"/>
      <c r="J2" s="8"/>
    </row>
    <row r="3" spans="1:10" x14ac:dyDescent="0.25">
      <c r="A3" s="5" t="s">
        <v>0</v>
      </c>
      <c r="B3" s="6" t="str">
        <f>[1]oldBailey_raw_count!C1</f>
        <v>multiple offences</v>
      </c>
      <c r="C3" s="6" t="str">
        <f>CONCATENATE("not ",B3)</f>
        <v>not multiple offences</v>
      </c>
      <c r="D3" s="6"/>
      <c r="E3" s="7"/>
      <c r="F3" s="6" t="s">
        <v>1</v>
      </c>
      <c r="G3" s="6" t="str">
        <f>B3</f>
        <v>multiple offences</v>
      </c>
      <c r="H3" s="6" t="str">
        <f>C3</f>
        <v>not multiple offences</v>
      </c>
      <c r="I3" s="7"/>
      <c r="J3" s="8"/>
    </row>
    <row r="4" spans="1:10" x14ac:dyDescent="0.25">
      <c r="A4" s="5" t="s">
        <v>2</v>
      </c>
      <c r="B4" s="9"/>
      <c r="C4" s="9"/>
      <c r="D4" s="6">
        <f>SUM(B4+C4)</f>
        <v>0</v>
      </c>
      <c r="E4" s="7"/>
      <c r="F4" s="6" t="str">
        <f>A4</f>
        <v>oldBailey</v>
      </c>
      <c r="G4" s="7" t="e">
        <f>(D4*B6)/D6</f>
        <v>#DIV/0!</v>
      </c>
      <c r="H4" s="10" t="e">
        <f>(D4*C6)/D6</f>
        <v>#DIV/0!</v>
      </c>
      <c r="I4" s="7" t="e">
        <f>SUM(G4:H4)</f>
        <v>#DIV/0!</v>
      </c>
      <c r="J4" s="8"/>
    </row>
    <row r="5" spans="1:10" x14ac:dyDescent="0.25">
      <c r="A5" s="5" t="s">
        <v>3</v>
      </c>
      <c r="B5" s="11"/>
      <c r="C5" s="12"/>
      <c r="D5" s="6">
        <f>SUM(B5+C5)</f>
        <v>0</v>
      </c>
      <c r="E5" s="7"/>
      <c r="F5" s="6" t="str">
        <f>A5</f>
        <v>notOB</v>
      </c>
      <c r="G5" s="6" t="e">
        <f>(D5*B6)/D6</f>
        <v>#DIV/0!</v>
      </c>
      <c r="H5" s="6" t="e">
        <f>(D5*C6)/D6</f>
        <v>#DIV/0!</v>
      </c>
      <c r="I5" s="6" t="e">
        <f>SUM(G5:H5)</f>
        <v>#DIV/0!</v>
      </c>
      <c r="J5" s="8"/>
    </row>
    <row r="6" spans="1:10" x14ac:dyDescent="0.25">
      <c r="A6" s="5"/>
      <c r="B6" s="6">
        <f>(B4+B5)</f>
        <v>0</v>
      </c>
      <c r="C6" s="6">
        <f>(C4+C5)</f>
        <v>0</v>
      </c>
      <c r="D6" s="6">
        <f>IF(SUM(D4:D5)&lt;&gt;SUM(B6:C6),"PROBLEM",SUM(D4:D5))</f>
        <v>0</v>
      </c>
      <c r="E6" s="7"/>
      <c r="F6" s="7"/>
      <c r="G6" s="7" t="e">
        <f>SUM(G4:G5)</f>
        <v>#DIV/0!</v>
      </c>
      <c r="H6" s="6" t="e">
        <f>SUM(H4:H5)</f>
        <v>#DIV/0!</v>
      </c>
      <c r="I6" s="7" t="e">
        <f>SUM(G6:H6)</f>
        <v>#DIV/0!</v>
      </c>
      <c r="J6" s="8"/>
    </row>
    <row r="7" spans="1:10" x14ac:dyDescent="0.25">
      <c r="A7" s="5"/>
      <c r="B7" s="6"/>
      <c r="C7" s="6"/>
      <c r="D7" s="6"/>
      <c r="E7" s="7"/>
      <c r="F7" s="7"/>
      <c r="G7" s="7"/>
      <c r="H7" s="7"/>
      <c r="I7" s="7"/>
      <c r="J7" s="8"/>
    </row>
    <row r="8" spans="1:10" x14ac:dyDescent="0.25">
      <c r="A8" s="5"/>
      <c r="B8" s="6"/>
      <c r="C8" s="6"/>
      <c r="D8" s="6"/>
      <c r="E8" s="7"/>
      <c r="F8" s="7"/>
      <c r="G8" s="7"/>
      <c r="H8" s="7"/>
      <c r="I8" s="7"/>
      <c r="J8" s="8"/>
    </row>
    <row r="9" spans="1:10" x14ac:dyDescent="0.25">
      <c r="A9" s="5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7"/>
      <c r="G9" s="7"/>
      <c r="H9" s="7"/>
      <c r="I9" s="7"/>
      <c r="J9" s="8"/>
    </row>
    <row r="10" spans="1:10" x14ac:dyDescent="0.25">
      <c r="A10" s="5">
        <f>B4</f>
        <v>0</v>
      </c>
      <c r="B10" s="6" t="e">
        <f>G4</f>
        <v>#DIV/0!</v>
      </c>
      <c r="C10" s="6" t="e">
        <f>A10-B10</f>
        <v>#DIV/0!</v>
      </c>
      <c r="D10" s="6" t="e">
        <f>C10*C10</f>
        <v>#DIV/0!</v>
      </c>
      <c r="E10" s="7" t="e">
        <f>D10/B10</f>
        <v>#DIV/0!</v>
      </c>
      <c r="F10" s="7"/>
      <c r="G10" s="7"/>
      <c r="H10" s="7"/>
      <c r="I10" s="7"/>
      <c r="J10" s="8"/>
    </row>
    <row r="11" spans="1:10" x14ac:dyDescent="0.25">
      <c r="A11" s="5">
        <f>B5</f>
        <v>0</v>
      </c>
      <c r="B11" s="6" t="e">
        <f>G5</f>
        <v>#DIV/0!</v>
      </c>
      <c r="C11" s="6" t="e">
        <f t="shared" ref="C11:C13" si="0">A11-B11</f>
        <v>#DIV/0!</v>
      </c>
      <c r="D11" s="6" t="e">
        <f t="shared" ref="D11:D13" si="1">C11*C11</f>
        <v>#DIV/0!</v>
      </c>
      <c r="E11" s="7" t="e">
        <f t="shared" ref="E11:E13" si="2">D11/B11</f>
        <v>#DIV/0!</v>
      </c>
      <c r="F11" s="7"/>
      <c r="G11" s="7"/>
      <c r="H11" s="7"/>
      <c r="I11" s="7"/>
      <c r="J11" s="8"/>
    </row>
    <row r="12" spans="1:10" x14ac:dyDescent="0.25">
      <c r="A12" s="5">
        <f>C4</f>
        <v>0</v>
      </c>
      <c r="B12" s="6" t="e">
        <f>H4</f>
        <v>#DIV/0!</v>
      </c>
      <c r="C12" s="6" t="e">
        <f t="shared" si="0"/>
        <v>#DIV/0!</v>
      </c>
      <c r="D12" s="6" t="e">
        <f t="shared" si="1"/>
        <v>#DIV/0!</v>
      </c>
      <c r="E12" s="7" t="e">
        <f t="shared" si="2"/>
        <v>#DIV/0!</v>
      </c>
      <c r="F12" s="7"/>
      <c r="G12" s="7"/>
      <c r="H12" s="7"/>
      <c r="I12" s="7"/>
      <c r="J12" s="8"/>
    </row>
    <row r="13" spans="1:10" x14ac:dyDescent="0.25">
      <c r="A13" s="5">
        <f>C5</f>
        <v>0</v>
      </c>
      <c r="B13" s="6" t="e">
        <f>H5</f>
        <v>#DIV/0!</v>
      </c>
      <c r="C13" s="6" t="e">
        <f t="shared" si="0"/>
        <v>#DIV/0!</v>
      </c>
      <c r="D13" s="6" t="e">
        <f t="shared" si="1"/>
        <v>#DIV/0!</v>
      </c>
      <c r="E13" s="7" t="e">
        <f t="shared" si="2"/>
        <v>#DIV/0!</v>
      </c>
      <c r="F13" s="7"/>
      <c r="G13" s="7" t="s">
        <v>9</v>
      </c>
      <c r="H13" s="7"/>
      <c r="I13" s="7"/>
      <c r="J13" s="8"/>
    </row>
    <row r="14" spans="1:10" x14ac:dyDescent="0.25">
      <c r="A14" s="5"/>
      <c r="B14" s="6"/>
      <c r="C14" s="6"/>
      <c r="D14" s="6"/>
      <c r="E14" s="7"/>
      <c r="F14" s="7"/>
      <c r="G14" s="13">
        <v>0.1</v>
      </c>
      <c r="H14" s="13">
        <v>0.05</v>
      </c>
      <c r="I14" s="13">
        <v>0.01</v>
      </c>
      <c r="J14" s="14">
        <v>1E-3</v>
      </c>
    </row>
    <row r="15" spans="1:10" x14ac:dyDescent="0.25">
      <c r="A15" s="5"/>
      <c r="B15" s="6"/>
      <c r="C15" s="6"/>
      <c r="D15" s="6" t="s">
        <v>10</v>
      </c>
      <c r="E15" s="7" t="e">
        <f>SUM(E10:E13)</f>
        <v>#DIV/0!</v>
      </c>
      <c r="F15" s="7"/>
      <c r="G15" s="7">
        <v>2.71</v>
      </c>
      <c r="H15" s="7">
        <v>3.84</v>
      </c>
      <c r="I15" s="7">
        <v>6.63</v>
      </c>
      <c r="J15" s="8">
        <v>10.8</v>
      </c>
    </row>
    <row r="16" spans="1:10" x14ac:dyDescent="0.25">
      <c r="A16" s="5"/>
      <c r="B16" s="6"/>
      <c r="C16" s="6"/>
      <c r="D16" s="6"/>
      <c r="E16" s="7"/>
      <c r="F16" s="7"/>
      <c r="G16" s="7"/>
      <c r="H16" s="7"/>
      <c r="I16" s="7"/>
      <c r="J16" s="8"/>
    </row>
    <row r="17" spans="1:10" ht="15.75" thickBot="1" x14ac:dyDescent="0.3">
      <c r="A17" s="15"/>
      <c r="B17" s="16" t="e">
        <f>IF(E15&gt;=G15,IF(E15&gt;H15,IF(E15&gt;I15,IF(E15&gt;J15,CONCATENATE("ACCEPT THE HYPOTHESIS WITH CONFIDENCE GREATER THAN ",1-J14,"%"),CONCATENATE("ACCEPT THE HYPOTHESIS WITH CONFIDENCE GREATER THAN ",1-I14,"%")),CONCATENATE("ACCEPT THE HYPOTHESIS WITH CONFIDENCE GREATER THAN ",1-H14,"%")),CONCATENATE("ACCEPT THE HYPOTHESIS WITH CONFIDENCE GREATER THAN ",1-G14,"%")),"REJECT THE HYPOTHESIS")</f>
        <v>#DIV/0!</v>
      </c>
      <c r="C17" s="16"/>
      <c r="D17" s="16"/>
      <c r="E17" s="17"/>
      <c r="F17" s="17"/>
      <c r="G17" s="17"/>
      <c r="H17" s="17"/>
      <c r="I17" s="17"/>
      <c r="J1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4CA9-AE8C-40A7-9016-04FE1257AF38}">
  <dimension ref="A1:N26"/>
  <sheetViews>
    <sheetView workbookViewId="0">
      <selection activeCell="C34" sqref="C34"/>
    </sheetView>
  </sheetViews>
  <sheetFormatPr defaultRowHeight="15" x14ac:dyDescent="0.25"/>
  <cols>
    <col min="1" max="1" width="5" bestFit="1" customWidth="1"/>
    <col min="2" max="2" width="49.140625" bestFit="1" customWidth="1"/>
    <col min="3" max="3" width="50.85546875" bestFit="1" customWidth="1"/>
    <col min="4" max="4" width="7.5703125" bestFit="1" customWidth="1"/>
    <col min="6" max="6" width="35.85546875" bestFit="1" customWidth="1"/>
    <col min="7" max="7" width="12" bestFit="1" customWidth="1"/>
    <col min="8" max="8" width="18.140625" bestFit="1" customWidth="1"/>
    <col min="9" max="9" width="12" bestFit="1" customWidth="1"/>
    <col min="11" max="11" width="15.7109375" bestFit="1" customWidth="1"/>
    <col min="12" max="12" width="37.140625" bestFit="1" customWidth="1"/>
    <col min="13" max="13" width="8.28515625" bestFit="1" customWidth="1"/>
    <col min="14" max="14" width="8" bestFit="1" customWidth="1"/>
  </cols>
  <sheetData>
    <row r="1" spans="1:14" x14ac:dyDescent="0.25">
      <c r="A1">
        <f>334+81</f>
        <v>415</v>
      </c>
      <c r="B1" t="s">
        <v>11</v>
      </c>
      <c r="G1" t="s">
        <v>12</v>
      </c>
      <c r="H1" t="s">
        <v>13</v>
      </c>
      <c r="K1" t="s">
        <v>51</v>
      </c>
      <c r="L1" t="s">
        <v>52</v>
      </c>
    </row>
    <row r="2" spans="1:14" ht="22.5" x14ac:dyDescent="0.25">
      <c r="A2">
        <v>62</v>
      </c>
      <c r="B2" t="s">
        <v>14</v>
      </c>
      <c r="F2" t="s">
        <v>15</v>
      </c>
      <c r="G2">
        <f>A1</f>
        <v>415</v>
      </c>
      <c r="K2" s="28" t="s">
        <v>34</v>
      </c>
      <c r="L2" s="28" t="s">
        <v>53</v>
      </c>
      <c r="M2" s="28" t="s">
        <v>54</v>
      </c>
      <c r="N2" s="28" t="s">
        <v>55</v>
      </c>
    </row>
    <row r="3" spans="1:14" x14ac:dyDescent="0.25">
      <c r="A3">
        <f>128+36</f>
        <v>164</v>
      </c>
      <c r="B3" t="s">
        <v>16</v>
      </c>
      <c r="F3" t="s">
        <v>17</v>
      </c>
      <c r="G3">
        <f t="shared" ref="G3:G11" si="0">A2</f>
        <v>62</v>
      </c>
      <c r="K3" t="s">
        <v>56</v>
      </c>
      <c r="L3">
        <v>1782</v>
      </c>
      <c r="M3">
        <v>2571</v>
      </c>
      <c r="N3">
        <v>817</v>
      </c>
    </row>
    <row r="4" spans="1:14" x14ac:dyDescent="0.25">
      <c r="A4" s="19">
        <v>487</v>
      </c>
      <c r="B4" s="19" t="s">
        <v>18</v>
      </c>
      <c r="C4" s="20" t="s">
        <v>19</v>
      </c>
      <c r="F4" t="s">
        <v>20</v>
      </c>
      <c r="G4">
        <f t="shared" si="0"/>
        <v>164</v>
      </c>
      <c r="K4" t="s">
        <v>57</v>
      </c>
      <c r="L4">
        <v>15</v>
      </c>
      <c r="M4">
        <v>6</v>
      </c>
      <c r="N4">
        <v>1</v>
      </c>
    </row>
    <row r="5" spans="1:14" x14ac:dyDescent="0.25">
      <c r="A5" s="21">
        <v>463</v>
      </c>
      <c r="B5" s="21" t="s">
        <v>21</v>
      </c>
      <c r="C5" s="20"/>
      <c r="F5" t="s">
        <v>18</v>
      </c>
      <c r="G5">
        <f t="shared" si="0"/>
        <v>487</v>
      </c>
      <c r="K5" t="s">
        <v>58</v>
      </c>
      <c r="L5">
        <v>38</v>
      </c>
      <c r="M5">
        <v>40</v>
      </c>
      <c r="N5">
        <v>2</v>
      </c>
    </row>
    <row r="6" spans="1:14" x14ac:dyDescent="0.25">
      <c r="A6" s="21">
        <v>144</v>
      </c>
      <c r="B6" s="21" t="s">
        <v>22</v>
      </c>
      <c r="C6" s="20"/>
      <c r="F6" t="s">
        <v>21</v>
      </c>
      <c r="G6">
        <f t="shared" si="0"/>
        <v>463</v>
      </c>
      <c r="H6">
        <f>A11</f>
        <v>612</v>
      </c>
      <c r="K6" t="s">
        <v>59</v>
      </c>
      <c r="L6">
        <v>114</v>
      </c>
      <c r="M6">
        <v>57</v>
      </c>
      <c r="N6">
        <v>81</v>
      </c>
    </row>
    <row r="7" spans="1:14" x14ac:dyDescent="0.25">
      <c r="A7" s="22">
        <f>191+79+33+27+29+92+73+3+227</f>
        <v>754</v>
      </c>
      <c r="B7" s="22" t="s">
        <v>23</v>
      </c>
      <c r="C7" s="20"/>
      <c r="F7" t="s">
        <v>22</v>
      </c>
      <c r="G7">
        <f t="shared" si="0"/>
        <v>144</v>
      </c>
      <c r="H7">
        <f>A12</f>
        <v>261</v>
      </c>
      <c r="K7" t="s">
        <v>17</v>
      </c>
      <c r="L7">
        <v>34</v>
      </c>
      <c r="M7">
        <v>9</v>
      </c>
      <c r="N7">
        <v>0</v>
      </c>
    </row>
    <row r="8" spans="1:14" x14ac:dyDescent="0.25">
      <c r="A8">
        <v>3514</v>
      </c>
      <c r="B8" t="s">
        <v>24</v>
      </c>
      <c r="C8" s="20"/>
      <c r="F8" t="s">
        <v>23</v>
      </c>
      <c r="G8">
        <f t="shared" si="0"/>
        <v>754</v>
      </c>
      <c r="H8">
        <f>A13</f>
        <v>961</v>
      </c>
      <c r="K8" t="s">
        <v>60</v>
      </c>
      <c r="L8">
        <v>320</v>
      </c>
      <c r="M8">
        <v>391</v>
      </c>
      <c r="N8">
        <v>0</v>
      </c>
    </row>
    <row r="9" spans="1:14" x14ac:dyDescent="0.25">
      <c r="A9">
        <v>855</v>
      </c>
      <c r="B9" t="s">
        <v>25</v>
      </c>
      <c r="C9" s="20"/>
      <c r="F9" t="s">
        <v>24</v>
      </c>
      <c r="G9">
        <f t="shared" si="0"/>
        <v>3514</v>
      </c>
      <c r="K9" t="s">
        <v>61</v>
      </c>
      <c r="L9">
        <v>15</v>
      </c>
      <c r="M9">
        <v>3</v>
      </c>
      <c r="N9">
        <v>0</v>
      </c>
    </row>
    <row r="10" spans="1:14" x14ac:dyDescent="0.25">
      <c r="A10">
        <v>220</v>
      </c>
      <c r="B10" t="s">
        <v>26</v>
      </c>
      <c r="C10" s="20"/>
      <c r="F10" t="s">
        <v>25</v>
      </c>
      <c r="G10">
        <f t="shared" si="0"/>
        <v>855</v>
      </c>
      <c r="K10" t="s">
        <v>62</v>
      </c>
      <c r="L10">
        <v>10</v>
      </c>
      <c r="M10">
        <v>21</v>
      </c>
      <c r="N10">
        <v>2</v>
      </c>
    </row>
    <row r="11" spans="1:14" x14ac:dyDescent="0.25">
      <c r="A11" s="21">
        <f>463+149</f>
        <v>612</v>
      </c>
      <c r="B11" s="21" t="s">
        <v>21</v>
      </c>
      <c r="C11" s="20" t="s">
        <v>27</v>
      </c>
      <c r="F11" t="s">
        <v>26</v>
      </c>
      <c r="G11">
        <f t="shared" si="0"/>
        <v>220</v>
      </c>
    </row>
    <row r="12" spans="1:14" x14ac:dyDescent="0.25">
      <c r="A12" s="21">
        <f>144+117</f>
        <v>261</v>
      </c>
      <c r="B12" s="21" t="s">
        <v>22</v>
      </c>
      <c r="C12" s="20"/>
      <c r="F12" t="s">
        <v>28</v>
      </c>
      <c r="G12">
        <f>A15</f>
        <v>527</v>
      </c>
      <c r="K12" t="s">
        <v>51</v>
      </c>
      <c r="L12" t="s">
        <v>63</v>
      </c>
    </row>
    <row r="13" spans="1:14" ht="45" x14ac:dyDescent="0.25">
      <c r="A13" s="22">
        <f>754+207</f>
        <v>961</v>
      </c>
      <c r="B13" s="22" t="s">
        <v>29</v>
      </c>
      <c r="F13" t="s">
        <v>30</v>
      </c>
      <c r="G13">
        <f>A16</f>
        <v>4370</v>
      </c>
      <c r="K13" s="29" t="s">
        <v>64</v>
      </c>
      <c r="L13" s="29" t="s">
        <v>65</v>
      </c>
      <c r="M13" s="29" t="s">
        <v>66</v>
      </c>
    </row>
    <row r="14" spans="1:14" x14ac:dyDescent="0.25">
      <c r="A14" s="19">
        <v>1321</v>
      </c>
      <c r="B14" s="19" t="s">
        <v>31</v>
      </c>
      <c r="C14" s="23" t="s">
        <v>32</v>
      </c>
      <c r="K14" t="s">
        <v>18</v>
      </c>
      <c r="L14">
        <v>25</v>
      </c>
      <c r="M14">
        <f>15</f>
        <v>15</v>
      </c>
    </row>
    <row r="15" spans="1:14" x14ac:dyDescent="0.25">
      <c r="A15">
        <v>527</v>
      </c>
      <c r="B15" t="s">
        <v>28</v>
      </c>
      <c r="C15" s="23"/>
      <c r="K15" t="s">
        <v>21</v>
      </c>
      <c r="L15">
        <v>24</v>
      </c>
      <c r="M15">
        <v>9</v>
      </c>
    </row>
    <row r="16" spans="1:14" x14ac:dyDescent="0.25">
      <c r="A16">
        <v>4370</v>
      </c>
      <c r="B16" t="s">
        <v>30</v>
      </c>
      <c r="C16" s="23"/>
      <c r="K16" t="s">
        <v>22</v>
      </c>
      <c r="L16">
        <v>11</v>
      </c>
      <c r="M16">
        <v>4</v>
      </c>
    </row>
    <row r="17" spans="2:13" x14ac:dyDescent="0.25">
      <c r="C17" t="s">
        <v>33</v>
      </c>
      <c r="K17" t="s">
        <v>67</v>
      </c>
      <c r="L17">
        <v>28</v>
      </c>
      <c r="M17">
        <v>15</v>
      </c>
    </row>
    <row r="18" spans="2:13" x14ac:dyDescent="0.25">
      <c r="B18" t="s">
        <v>34</v>
      </c>
      <c r="C18" t="s">
        <v>35</v>
      </c>
      <c r="D18" t="s">
        <v>36</v>
      </c>
      <c r="K18" t="s">
        <v>68</v>
      </c>
      <c r="L18">
        <v>2</v>
      </c>
      <c r="M18">
        <v>2</v>
      </c>
    </row>
    <row r="19" spans="2:13" x14ac:dyDescent="0.25">
      <c r="B19" t="s">
        <v>18</v>
      </c>
      <c r="C19" s="25">
        <f>(531*0.915)+(305*0.866)+(226*0.982)+(90*0.978)</f>
        <v>1059.9470000000001</v>
      </c>
      <c r="D19" s="25">
        <f>(531*0.085)+(305*0.134)+(226*0.018)+(90*0.022)</f>
        <v>92.053000000000011</v>
      </c>
      <c r="K19" t="s">
        <v>69</v>
      </c>
      <c r="L19">
        <v>15</v>
      </c>
      <c r="M19">
        <v>13</v>
      </c>
    </row>
    <row r="20" spans="2:13" x14ac:dyDescent="0.25">
      <c r="B20" t="s">
        <v>21</v>
      </c>
      <c r="C20" s="25">
        <f>(623*0.859)+(434*0.839)+(189*0.905)+(173*0.873)</f>
        <v>1221.357</v>
      </c>
      <c r="D20" s="25">
        <f>(623*0.141)+(434*0.161)+(189*0.095)+(173*0.127)</f>
        <v>197.643</v>
      </c>
      <c r="K20" t="s">
        <v>59</v>
      </c>
      <c r="L20">
        <v>12</v>
      </c>
      <c r="M20">
        <v>6</v>
      </c>
    </row>
    <row r="21" spans="2:13" x14ac:dyDescent="0.25">
      <c r="B21" t="s">
        <v>22</v>
      </c>
      <c r="C21" s="25">
        <f>(204*0.657)+(122*0.598)+(82*0.744)+(100*0.81)</f>
        <v>348.99200000000002</v>
      </c>
      <c r="D21" s="25">
        <f>(204*0.343)+(122*0.402)+(82*0.256)+(100*0.19)</f>
        <v>159.00800000000001</v>
      </c>
      <c r="K21" t="s">
        <v>17</v>
      </c>
      <c r="L21">
        <v>3</v>
      </c>
      <c r="M21">
        <v>2</v>
      </c>
    </row>
    <row r="22" spans="2:13" x14ac:dyDescent="0.25">
      <c r="B22" t="s">
        <v>23</v>
      </c>
      <c r="C22" s="25">
        <f>(808*0.739)+(515*0.645)+(293*0.904)+(226*0.942)</f>
        <v>1407.0510000000002</v>
      </c>
      <c r="D22" s="25">
        <f>(808*0.261)+(515*0.355)+(293*0.096)+(226*0.058)</f>
        <v>434.94899999999996</v>
      </c>
      <c r="K22" t="s">
        <v>70</v>
      </c>
      <c r="L22">
        <v>7</v>
      </c>
      <c r="M22">
        <v>5</v>
      </c>
    </row>
    <row r="23" spans="2:13" x14ac:dyDescent="0.25">
      <c r="B23" t="s">
        <v>40</v>
      </c>
      <c r="C23" s="25">
        <f>(3870*0.744)+(2745*0.707)+(1125*0.835)+(753*0.884)</f>
        <v>6425.0219999999999</v>
      </c>
      <c r="D23" s="25">
        <f>(3870*0.256)+(2745*0.293)+(1125*0.165)+(753*0.116)</f>
        <v>2067.9780000000001</v>
      </c>
    </row>
    <row r="24" spans="2:13" x14ac:dyDescent="0.25">
      <c r="B24" t="s">
        <v>25</v>
      </c>
      <c r="C24" s="25">
        <f>(812*0.713)+(524*0.662)+(288*0.806)+(480*0.806)</f>
        <v>1544.8519999999999</v>
      </c>
      <c r="D24" s="25">
        <f>(812*0.287)+(524*0.338)+(288*0.194)+(480*0.194)</f>
        <v>559.14800000000002</v>
      </c>
    </row>
    <row r="25" spans="2:13" x14ac:dyDescent="0.25">
      <c r="B25" t="s">
        <v>26</v>
      </c>
      <c r="C25" s="25">
        <f>(213*0.728)+(172*0.709)+(41*0.805)+(23*0.826)</f>
        <v>329.01499999999999</v>
      </c>
      <c r="D25" s="25">
        <f>(213*0.272)+(172*0.291)+(41*0.195)+(23*0.174)</f>
        <v>119.985</v>
      </c>
    </row>
    <row r="26" spans="2:13" x14ac:dyDescent="0.25">
      <c r="C26" s="25">
        <f>SUM(C19:C25)</f>
        <v>12336.236000000001</v>
      </c>
      <c r="D26" s="25">
        <f>SUM(D19:D25)</f>
        <v>3630.7640000000006</v>
      </c>
    </row>
  </sheetData>
  <mergeCells count="3">
    <mergeCell ref="C4:C10"/>
    <mergeCell ref="C11:C12"/>
    <mergeCell ref="C14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4069-CBE7-4D25-89F3-3013A61C343A}">
  <dimension ref="A1:F50"/>
  <sheetViews>
    <sheetView workbookViewId="0">
      <selection activeCell="I31" sqref="A1:XFD1048576"/>
    </sheetView>
  </sheetViews>
  <sheetFormatPr defaultRowHeight="15" x14ac:dyDescent="0.25"/>
  <cols>
    <col min="1" max="1" width="25.7109375" bestFit="1" customWidth="1"/>
    <col min="2" max="2" width="12.7109375" bestFit="1" customWidth="1"/>
    <col min="3" max="3" width="22.5703125" bestFit="1" customWidth="1"/>
    <col min="4" max="4" width="12.7109375" bestFit="1" customWidth="1"/>
    <col min="5" max="5" width="18.140625" bestFit="1" customWidth="1"/>
    <col min="6" max="6" width="12" bestFit="1" customWidth="1"/>
  </cols>
  <sheetData>
    <row r="1" spans="1:4" ht="15.75" thickBot="1" x14ac:dyDescent="0.3">
      <c r="A1" t="s">
        <v>71</v>
      </c>
    </row>
    <row r="2" spans="1:4" x14ac:dyDescent="0.25">
      <c r="A2" s="24" t="s">
        <v>35</v>
      </c>
      <c r="B2" s="24"/>
      <c r="C2" s="24" t="s">
        <v>36</v>
      </c>
      <c r="D2" s="24"/>
    </row>
    <row r="3" spans="1:4" x14ac:dyDescent="0.25">
      <c r="A3" s="26"/>
      <c r="B3" s="26"/>
      <c r="C3" s="26"/>
      <c r="D3" s="26"/>
    </row>
    <row r="4" spans="1:4" x14ac:dyDescent="0.25">
      <c r="A4" s="26" t="s">
        <v>37</v>
      </c>
      <c r="B4" s="26">
        <v>3084.0590000000002</v>
      </c>
      <c r="C4" s="26" t="s">
        <v>37</v>
      </c>
      <c r="D4" s="26">
        <v>907.69100000000014</v>
      </c>
    </row>
    <row r="5" spans="1:4" x14ac:dyDescent="0.25">
      <c r="A5" s="26" t="s">
        <v>38</v>
      </c>
      <c r="B5" s="26">
        <v>1491.5468606054108</v>
      </c>
      <c r="C5" s="26" t="s">
        <v>38</v>
      </c>
      <c r="D5" s="26">
        <v>452.31152731165275</v>
      </c>
    </row>
    <row r="6" spans="1:4" x14ac:dyDescent="0.25">
      <c r="A6" s="26" t="s">
        <v>39</v>
      </c>
      <c r="B6" s="26">
        <v>1314.2040000000002</v>
      </c>
      <c r="C6" s="26" t="s">
        <v>39</v>
      </c>
      <c r="D6" s="26">
        <v>316.29599999999999</v>
      </c>
    </row>
    <row r="7" spans="1:4" x14ac:dyDescent="0.25">
      <c r="A7" s="26" t="s">
        <v>41</v>
      </c>
      <c r="B7" s="26" t="e">
        <v>#N/A</v>
      </c>
      <c r="C7" s="26" t="s">
        <v>41</v>
      </c>
      <c r="D7" s="26" t="e">
        <v>#N/A</v>
      </c>
    </row>
    <row r="8" spans="1:4" x14ac:dyDescent="0.25">
      <c r="A8" s="26" t="s">
        <v>42</v>
      </c>
      <c r="B8" s="26">
        <v>4218.7315983663684</v>
      </c>
      <c r="C8" s="26" t="s">
        <v>42</v>
      </c>
      <c r="D8" s="26">
        <v>1279.3301926836559</v>
      </c>
    </row>
    <row r="9" spans="1:4" x14ac:dyDescent="0.25">
      <c r="A9" s="26" t="s">
        <v>43</v>
      </c>
      <c r="B9" s="26">
        <v>17797696.299054857</v>
      </c>
      <c r="C9" s="26" t="s">
        <v>43</v>
      </c>
      <c r="D9" s="26">
        <v>1636685.7419120001</v>
      </c>
    </row>
    <row r="10" spans="1:4" x14ac:dyDescent="0.25">
      <c r="A10" s="26" t="s">
        <v>44</v>
      </c>
      <c r="B10" s="26">
        <v>3.3352311995375192</v>
      </c>
      <c r="C10" s="26" t="s">
        <v>44</v>
      </c>
      <c r="D10" s="26">
        <v>2.5564500561839782</v>
      </c>
    </row>
    <row r="11" spans="1:4" x14ac:dyDescent="0.25">
      <c r="A11" s="26" t="s">
        <v>45</v>
      </c>
      <c r="B11" s="26">
        <v>1.9402189045349441</v>
      </c>
      <c r="C11" s="26" t="s">
        <v>45</v>
      </c>
      <c r="D11" s="26">
        <v>1.8009087846641036</v>
      </c>
    </row>
    <row r="12" spans="1:4" x14ac:dyDescent="0.25">
      <c r="A12" s="26" t="s">
        <v>46</v>
      </c>
      <c r="B12" s="26">
        <v>12007.221000000001</v>
      </c>
      <c r="C12" s="26" t="s">
        <v>46</v>
      </c>
      <c r="D12" s="26">
        <v>3538.7110000000007</v>
      </c>
    </row>
    <row r="13" spans="1:4" x14ac:dyDescent="0.25">
      <c r="A13" s="26" t="s">
        <v>47</v>
      </c>
      <c r="B13" s="26">
        <v>329.01499999999999</v>
      </c>
      <c r="C13" s="26" t="s">
        <v>47</v>
      </c>
      <c r="D13" s="26">
        <v>92.053000000000011</v>
      </c>
    </row>
    <row r="14" spans="1:4" x14ac:dyDescent="0.25">
      <c r="A14" s="26" t="s">
        <v>48</v>
      </c>
      <c r="B14" s="26">
        <v>12336.236000000001</v>
      </c>
      <c r="C14" s="26" t="s">
        <v>48</v>
      </c>
      <c r="D14" s="26">
        <v>3630.7640000000006</v>
      </c>
    </row>
    <row r="15" spans="1:4" x14ac:dyDescent="0.25">
      <c r="A15" s="26" t="s">
        <v>49</v>
      </c>
      <c r="B15" s="26">
        <v>24672.472000000002</v>
      </c>
      <c r="C15" s="26" t="s">
        <v>49</v>
      </c>
      <c r="D15" s="26">
        <v>7261.5280000000012</v>
      </c>
    </row>
    <row r="16" spans="1:4" ht="15.75" thickBot="1" x14ac:dyDescent="0.3">
      <c r="A16" s="27" t="s">
        <v>50</v>
      </c>
      <c r="B16" s="27">
        <v>8</v>
      </c>
      <c r="C16" s="27" t="s">
        <v>50</v>
      </c>
      <c r="D16" s="27">
        <v>8</v>
      </c>
    </row>
    <row r="18" spans="1:6" ht="15.75" thickBot="1" x14ac:dyDescent="0.3">
      <c r="A18" t="s">
        <v>72</v>
      </c>
    </row>
    <row r="19" spans="1:6" x14ac:dyDescent="0.25">
      <c r="A19" s="24" t="s">
        <v>53</v>
      </c>
      <c r="B19" s="24"/>
      <c r="C19" s="24" t="s">
        <v>54</v>
      </c>
      <c r="D19" s="24"/>
      <c r="E19" s="24" t="s">
        <v>55</v>
      </c>
      <c r="F19" s="24"/>
    </row>
    <row r="20" spans="1:6" x14ac:dyDescent="0.25">
      <c r="A20" s="26"/>
      <c r="B20" s="26"/>
      <c r="C20" s="26"/>
      <c r="D20" s="26"/>
      <c r="E20" s="26"/>
      <c r="F20" s="26"/>
    </row>
    <row r="21" spans="1:6" x14ac:dyDescent="0.25">
      <c r="A21" s="26" t="s">
        <v>37</v>
      </c>
      <c r="B21" s="26">
        <v>291</v>
      </c>
      <c r="C21" s="26" t="s">
        <v>37</v>
      </c>
      <c r="D21" s="26">
        <v>387.25</v>
      </c>
      <c r="E21" s="26" t="s">
        <v>37</v>
      </c>
      <c r="F21" s="26">
        <v>112.875</v>
      </c>
    </row>
    <row r="22" spans="1:6" x14ac:dyDescent="0.25">
      <c r="A22" s="26" t="s">
        <v>38</v>
      </c>
      <c r="B22" s="26">
        <v>216.16057193008822</v>
      </c>
      <c r="C22" s="26" t="s">
        <v>38</v>
      </c>
      <c r="D22" s="26">
        <v>315.3410143909968</v>
      </c>
      <c r="E22" s="26" t="s">
        <v>38</v>
      </c>
      <c r="F22" s="26">
        <v>101.07748751400014</v>
      </c>
    </row>
    <row r="23" spans="1:6" x14ac:dyDescent="0.25">
      <c r="A23" s="26" t="s">
        <v>39</v>
      </c>
      <c r="B23" s="26">
        <v>36</v>
      </c>
      <c r="C23" s="26" t="s">
        <v>39</v>
      </c>
      <c r="D23" s="26">
        <v>30.5</v>
      </c>
      <c r="E23" s="26" t="s">
        <v>39</v>
      </c>
      <c r="F23" s="26">
        <v>1.5</v>
      </c>
    </row>
    <row r="24" spans="1:6" x14ac:dyDescent="0.25">
      <c r="A24" s="26" t="s">
        <v>41</v>
      </c>
      <c r="B24" s="26">
        <v>15</v>
      </c>
      <c r="C24" s="26" t="s">
        <v>41</v>
      </c>
      <c r="D24" s="26" t="e">
        <v>#N/A</v>
      </c>
      <c r="E24" s="26" t="s">
        <v>41</v>
      </c>
      <c r="F24" s="26">
        <v>0</v>
      </c>
    </row>
    <row r="25" spans="1:6" x14ac:dyDescent="0.25">
      <c r="A25" s="26" t="s">
        <v>42</v>
      </c>
      <c r="B25" s="26">
        <v>611.39442494771151</v>
      </c>
      <c r="C25" s="26" t="s">
        <v>42</v>
      </c>
      <c r="D25" s="26">
        <v>891.91907864847406</v>
      </c>
      <c r="E25" s="26" t="s">
        <v>42</v>
      </c>
      <c r="F25" s="26">
        <v>285.89030738579237</v>
      </c>
    </row>
    <row r="26" spans="1:6" x14ac:dyDescent="0.25">
      <c r="A26" s="26" t="s">
        <v>43</v>
      </c>
      <c r="B26" s="26">
        <v>373803.14285714284</v>
      </c>
      <c r="C26" s="26" t="s">
        <v>43</v>
      </c>
      <c r="D26" s="26">
        <v>795519.64285714284</v>
      </c>
      <c r="E26" s="26" t="s">
        <v>43</v>
      </c>
      <c r="F26" s="26">
        <v>81733.267857142855</v>
      </c>
    </row>
    <row r="27" spans="1:6" x14ac:dyDescent="0.25">
      <c r="A27" s="26" t="s">
        <v>44</v>
      </c>
      <c r="B27" s="26">
        <v>7.2935105560973135</v>
      </c>
      <c r="C27" s="26" t="s">
        <v>44</v>
      </c>
      <c r="D27" s="26">
        <v>7.4787665362013218</v>
      </c>
      <c r="E27" s="26" t="s">
        <v>44</v>
      </c>
      <c r="F27" s="26">
        <v>7.7643911561537244</v>
      </c>
    </row>
    <row r="28" spans="1:6" x14ac:dyDescent="0.25">
      <c r="A28" s="26" t="s">
        <v>45</v>
      </c>
      <c r="B28" s="26">
        <v>2.6767602184199779</v>
      </c>
      <c r="C28" s="26" t="s">
        <v>45</v>
      </c>
      <c r="D28" s="26">
        <v>2.7168547407308496</v>
      </c>
      <c r="E28" s="26" t="s">
        <v>45</v>
      </c>
      <c r="F28" s="26">
        <v>2.7766485722248841</v>
      </c>
    </row>
    <row r="29" spans="1:6" x14ac:dyDescent="0.25">
      <c r="A29" s="26" t="s">
        <v>46</v>
      </c>
      <c r="B29" s="26">
        <v>1772</v>
      </c>
      <c r="C29" s="26" t="s">
        <v>46</v>
      </c>
      <c r="D29" s="26">
        <v>2568</v>
      </c>
      <c r="E29" s="26" t="s">
        <v>46</v>
      </c>
      <c r="F29" s="26">
        <v>817</v>
      </c>
    </row>
    <row r="30" spans="1:6" x14ac:dyDescent="0.25">
      <c r="A30" s="26" t="s">
        <v>47</v>
      </c>
      <c r="B30" s="26">
        <v>10</v>
      </c>
      <c r="C30" s="26" t="s">
        <v>47</v>
      </c>
      <c r="D30" s="26">
        <v>3</v>
      </c>
      <c r="E30" s="26" t="s">
        <v>47</v>
      </c>
      <c r="F30" s="26">
        <v>0</v>
      </c>
    </row>
    <row r="31" spans="1:6" x14ac:dyDescent="0.25">
      <c r="A31" s="26" t="s">
        <v>48</v>
      </c>
      <c r="B31" s="26">
        <v>1782</v>
      </c>
      <c r="C31" s="26" t="s">
        <v>48</v>
      </c>
      <c r="D31" s="26">
        <v>2571</v>
      </c>
      <c r="E31" s="26" t="s">
        <v>48</v>
      </c>
      <c r="F31" s="26">
        <v>817</v>
      </c>
    </row>
    <row r="32" spans="1:6" x14ac:dyDescent="0.25">
      <c r="A32" s="26" t="s">
        <v>49</v>
      </c>
      <c r="B32" s="26">
        <v>2328</v>
      </c>
      <c r="C32" s="26" t="s">
        <v>49</v>
      </c>
      <c r="D32" s="26">
        <v>3098</v>
      </c>
      <c r="E32" s="26" t="s">
        <v>49</v>
      </c>
      <c r="F32" s="26">
        <v>903</v>
      </c>
    </row>
    <row r="33" spans="1:6" ht="15.75" thickBot="1" x14ac:dyDescent="0.3">
      <c r="A33" s="27" t="s">
        <v>50</v>
      </c>
      <c r="B33" s="27">
        <v>8</v>
      </c>
      <c r="C33" s="27" t="s">
        <v>50</v>
      </c>
      <c r="D33" s="27">
        <v>8</v>
      </c>
      <c r="E33" s="27" t="s">
        <v>50</v>
      </c>
      <c r="F33" s="27">
        <v>8</v>
      </c>
    </row>
    <row r="35" spans="1:6" ht="15.75" thickBot="1" x14ac:dyDescent="0.3">
      <c r="A35" t="s">
        <v>73</v>
      </c>
    </row>
    <row r="36" spans="1:6" x14ac:dyDescent="0.25">
      <c r="A36" s="24" t="s">
        <v>65</v>
      </c>
      <c r="B36" s="24"/>
      <c r="C36" s="24" t="s">
        <v>66</v>
      </c>
      <c r="D36" s="24"/>
    </row>
    <row r="37" spans="1:6" x14ac:dyDescent="0.25">
      <c r="A37" s="26"/>
      <c r="B37" s="26"/>
      <c r="C37" s="26"/>
      <c r="D37" s="26"/>
    </row>
    <row r="38" spans="1:6" x14ac:dyDescent="0.25">
      <c r="A38" s="26" t="s">
        <v>37</v>
      </c>
      <c r="B38" s="26">
        <v>14.111111111111111</v>
      </c>
      <c r="C38" s="26" t="s">
        <v>37</v>
      </c>
      <c r="D38" s="26">
        <v>7.8888888888888893</v>
      </c>
    </row>
    <row r="39" spans="1:6" x14ac:dyDescent="0.25">
      <c r="A39" s="26" t="s">
        <v>38</v>
      </c>
      <c r="B39" s="26">
        <v>3.2164699613622507</v>
      </c>
      <c r="C39" s="26" t="s">
        <v>38</v>
      </c>
      <c r="D39" s="26">
        <v>1.7673304133985408</v>
      </c>
    </row>
    <row r="40" spans="1:6" x14ac:dyDescent="0.25">
      <c r="A40" s="26" t="s">
        <v>39</v>
      </c>
      <c r="B40" s="26">
        <v>12</v>
      </c>
      <c r="C40" s="26" t="s">
        <v>39</v>
      </c>
      <c r="D40" s="26">
        <v>6</v>
      </c>
    </row>
    <row r="41" spans="1:6" x14ac:dyDescent="0.25">
      <c r="A41" s="26" t="s">
        <v>41</v>
      </c>
      <c r="B41" s="26" t="e">
        <v>#N/A</v>
      </c>
      <c r="C41" s="26" t="s">
        <v>41</v>
      </c>
      <c r="D41" s="26">
        <v>15</v>
      </c>
    </row>
    <row r="42" spans="1:6" x14ac:dyDescent="0.25">
      <c r="A42" s="26" t="s">
        <v>42</v>
      </c>
      <c r="B42" s="26">
        <v>9.6494098840867526</v>
      </c>
      <c r="C42" s="26" t="s">
        <v>42</v>
      </c>
      <c r="D42" s="26">
        <v>5.3019912401956226</v>
      </c>
    </row>
    <row r="43" spans="1:6" x14ac:dyDescent="0.25">
      <c r="A43" s="26" t="s">
        <v>43</v>
      </c>
      <c r="B43" s="26">
        <v>93.111111111111114</v>
      </c>
      <c r="C43" s="26" t="s">
        <v>43</v>
      </c>
      <c r="D43" s="26">
        <v>28.111111111111114</v>
      </c>
    </row>
    <row r="44" spans="1:6" x14ac:dyDescent="0.25">
      <c r="A44" s="26" t="s">
        <v>44</v>
      </c>
      <c r="B44" s="26">
        <v>-1.4738183187447267</v>
      </c>
      <c r="C44" s="26" t="s">
        <v>44</v>
      </c>
      <c r="D44" s="26">
        <v>-1.68534447164796</v>
      </c>
    </row>
    <row r="45" spans="1:6" x14ac:dyDescent="0.25">
      <c r="A45" s="26" t="s">
        <v>45</v>
      </c>
      <c r="B45" s="26">
        <v>0.24876138981977589</v>
      </c>
      <c r="C45" s="26" t="s">
        <v>45</v>
      </c>
      <c r="D45" s="26">
        <v>0.38384628355225808</v>
      </c>
    </row>
    <row r="46" spans="1:6" x14ac:dyDescent="0.25">
      <c r="A46" s="26" t="s">
        <v>46</v>
      </c>
      <c r="B46" s="26">
        <v>26</v>
      </c>
      <c r="C46" s="26" t="s">
        <v>46</v>
      </c>
      <c r="D46" s="26">
        <v>13</v>
      </c>
    </row>
    <row r="47" spans="1:6" x14ac:dyDescent="0.25">
      <c r="A47" s="26" t="s">
        <v>47</v>
      </c>
      <c r="B47" s="26">
        <v>2</v>
      </c>
      <c r="C47" s="26" t="s">
        <v>47</v>
      </c>
      <c r="D47" s="26">
        <v>2</v>
      </c>
    </row>
    <row r="48" spans="1:6" x14ac:dyDescent="0.25">
      <c r="A48" s="26" t="s">
        <v>48</v>
      </c>
      <c r="B48" s="26">
        <v>28</v>
      </c>
      <c r="C48" s="26" t="s">
        <v>48</v>
      </c>
      <c r="D48" s="26">
        <v>15</v>
      </c>
    </row>
    <row r="49" spans="1:4" x14ac:dyDescent="0.25">
      <c r="A49" s="26" t="s">
        <v>49</v>
      </c>
      <c r="B49" s="26">
        <v>127</v>
      </c>
      <c r="C49" s="26" t="s">
        <v>49</v>
      </c>
      <c r="D49" s="26">
        <v>71</v>
      </c>
    </row>
    <row r="50" spans="1:4" ht="15.75" thickBot="1" x14ac:dyDescent="0.3">
      <c r="A50" s="27" t="s">
        <v>50</v>
      </c>
      <c r="B50" s="27">
        <v>9</v>
      </c>
      <c r="C50" s="27" t="s">
        <v>50</v>
      </c>
      <c r="D50" s="2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9EE1-4961-4A08-B9A5-4F59AA5ACF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Beattie_data</vt:lpstr>
      <vt:lpstr>Beattie_descStats</vt:lpstr>
      <vt:lpstr>oldBailey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Dodd</dc:creator>
  <cp:lastModifiedBy>Matthew Dodd</cp:lastModifiedBy>
  <dcterms:created xsi:type="dcterms:W3CDTF">2018-02-11T21:16:54Z</dcterms:created>
  <dcterms:modified xsi:type="dcterms:W3CDTF">2018-02-11T22:12:48Z</dcterms:modified>
</cp:coreProperties>
</file>