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840" tabRatio="500" firstSheet="4" activeTab="4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 2 data tables" sheetId="16" r:id="rId11"/>
    <sheet name="Aggregate data tables" sheetId="18" r:id="rId12"/>
    <sheet name="Graphing Calculations" sheetId="12" r:id="rId13"/>
    <sheet name="Errors" sheetId="3" r:id="rId14"/>
    <sheet name="Constants" sheetId="8" r:id="rId15"/>
    <sheet name="Version History" sheetId="13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18" l="1"/>
  <c r="C57" i="18"/>
  <c r="D58" i="18"/>
  <c r="C59" i="18"/>
  <c r="D59" i="18"/>
  <c r="C12" i="18"/>
  <c r="C11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C51" i="18"/>
  <c r="D51" i="18"/>
  <c r="C52" i="18"/>
  <c r="D52" i="18"/>
  <c r="C53" i="18"/>
  <c r="D53" i="18"/>
  <c r="C54" i="18"/>
  <c r="D54" i="18"/>
  <c r="C55" i="18"/>
  <c r="D55" i="18"/>
  <c r="C56" i="18"/>
  <c r="D56" i="18"/>
  <c r="D57" i="18"/>
  <c r="C10" i="18"/>
  <c r="D11" i="18"/>
  <c r="B31" i="2"/>
  <c r="B109" i="6"/>
  <c r="B111" i="6"/>
  <c r="E104" i="6"/>
  <c r="C116" i="6"/>
  <c r="D116" i="6"/>
  <c r="B29" i="6"/>
  <c r="E116" i="6"/>
  <c r="G116" i="6"/>
  <c r="H116" i="6"/>
  <c r="I116" i="6"/>
  <c r="C117" i="6"/>
  <c r="D117" i="6"/>
  <c r="E117" i="6"/>
  <c r="G117" i="6"/>
  <c r="H117" i="6"/>
  <c r="I117" i="6"/>
  <c r="C118" i="6"/>
  <c r="D118" i="6"/>
  <c r="E118" i="6"/>
  <c r="G118" i="6"/>
  <c r="H118" i="6"/>
  <c r="I118" i="6"/>
  <c r="C119" i="6"/>
  <c r="D119" i="6"/>
  <c r="E119" i="6"/>
  <c r="G119" i="6"/>
  <c r="H119" i="6"/>
  <c r="I119" i="6"/>
  <c r="C120" i="6"/>
  <c r="D120" i="6"/>
  <c r="E120" i="6"/>
  <c r="G120" i="6"/>
  <c r="H120" i="6"/>
  <c r="I120" i="6"/>
  <c r="C121" i="6"/>
  <c r="D121" i="6"/>
  <c r="E121" i="6"/>
  <c r="G121" i="6"/>
  <c r="H121" i="6"/>
  <c r="I121" i="6"/>
  <c r="C122" i="6"/>
  <c r="D122" i="6"/>
  <c r="E122" i="6"/>
  <c r="G122" i="6"/>
  <c r="H122" i="6"/>
  <c r="I122" i="6"/>
  <c r="C123" i="6"/>
  <c r="D123" i="6"/>
  <c r="E123" i="6"/>
  <c r="G123" i="6"/>
  <c r="H123" i="6"/>
  <c r="I123" i="6"/>
  <c r="C124" i="6"/>
  <c r="D124" i="6"/>
  <c r="E124" i="6"/>
  <c r="G124" i="6"/>
  <c r="H124" i="6"/>
  <c r="I124" i="6"/>
  <c r="C125" i="6"/>
  <c r="D125" i="6"/>
  <c r="E125" i="6"/>
  <c r="G125" i="6"/>
  <c r="H125" i="6"/>
  <c r="I125" i="6"/>
  <c r="I126" i="6"/>
  <c r="B9" i="14"/>
  <c r="B15" i="14"/>
  <c r="B21" i="14"/>
  <c r="C132" i="6"/>
  <c r="D132" i="6"/>
  <c r="E132" i="6"/>
  <c r="G132" i="6"/>
  <c r="H132" i="6"/>
  <c r="I132" i="6"/>
  <c r="C133" i="6"/>
  <c r="D133" i="6"/>
  <c r="E133" i="6"/>
  <c r="G133" i="6"/>
  <c r="H133" i="6"/>
  <c r="I133" i="6"/>
  <c r="C134" i="6"/>
  <c r="D134" i="6"/>
  <c r="E134" i="6"/>
  <c r="G134" i="6"/>
  <c r="H134" i="6"/>
  <c r="I134" i="6"/>
  <c r="C135" i="6"/>
  <c r="D135" i="6"/>
  <c r="E135" i="6"/>
  <c r="G135" i="6"/>
  <c r="H135" i="6"/>
  <c r="I135" i="6"/>
  <c r="C136" i="6"/>
  <c r="D136" i="6"/>
  <c r="E136" i="6"/>
  <c r="G136" i="6"/>
  <c r="H136" i="6"/>
  <c r="I136" i="6"/>
  <c r="C137" i="6"/>
  <c r="D137" i="6"/>
  <c r="E137" i="6"/>
  <c r="G137" i="6"/>
  <c r="H137" i="6"/>
  <c r="I137" i="6"/>
  <c r="C138" i="6"/>
  <c r="D138" i="6"/>
  <c r="E138" i="6"/>
  <c r="G138" i="6"/>
  <c r="H138" i="6"/>
  <c r="I138" i="6"/>
  <c r="C139" i="6"/>
  <c r="D139" i="6"/>
  <c r="E139" i="6"/>
  <c r="G139" i="6"/>
  <c r="H139" i="6"/>
  <c r="I139" i="6"/>
  <c r="C140" i="6"/>
  <c r="D140" i="6"/>
  <c r="E140" i="6"/>
  <c r="G140" i="6"/>
  <c r="H140" i="6"/>
  <c r="I140" i="6"/>
  <c r="C141" i="6"/>
  <c r="D141" i="6"/>
  <c r="E141" i="6"/>
  <c r="G141" i="6"/>
  <c r="H141" i="6"/>
  <c r="I141" i="6"/>
  <c r="I142" i="6"/>
  <c r="C9" i="14"/>
  <c r="C15" i="14"/>
  <c r="C21" i="14"/>
  <c r="C147" i="6"/>
  <c r="D147" i="6"/>
  <c r="E147" i="6"/>
  <c r="G147" i="6"/>
  <c r="H147" i="6"/>
  <c r="I147" i="6"/>
  <c r="C148" i="6"/>
  <c r="D148" i="6"/>
  <c r="E148" i="6"/>
  <c r="G148" i="6"/>
  <c r="H148" i="6"/>
  <c r="I148" i="6"/>
  <c r="C149" i="6"/>
  <c r="D149" i="6"/>
  <c r="E149" i="6"/>
  <c r="G149" i="6"/>
  <c r="H149" i="6"/>
  <c r="I149" i="6"/>
  <c r="C150" i="6"/>
  <c r="D150" i="6"/>
  <c r="E150" i="6"/>
  <c r="G150" i="6"/>
  <c r="H150" i="6"/>
  <c r="I150" i="6"/>
  <c r="C151" i="6"/>
  <c r="D151" i="6"/>
  <c r="E151" i="6"/>
  <c r="G151" i="6"/>
  <c r="H151" i="6"/>
  <c r="I151" i="6"/>
  <c r="C152" i="6"/>
  <c r="D152" i="6"/>
  <c r="E152" i="6"/>
  <c r="G152" i="6"/>
  <c r="H152" i="6"/>
  <c r="I152" i="6"/>
  <c r="C153" i="6"/>
  <c r="D153" i="6"/>
  <c r="E153" i="6"/>
  <c r="G153" i="6"/>
  <c r="H153" i="6"/>
  <c r="I153" i="6"/>
  <c r="C154" i="6"/>
  <c r="D154" i="6"/>
  <c r="E154" i="6"/>
  <c r="G154" i="6"/>
  <c r="H154" i="6"/>
  <c r="I154" i="6"/>
  <c r="C155" i="6"/>
  <c r="D155" i="6"/>
  <c r="E155" i="6"/>
  <c r="G155" i="6"/>
  <c r="H155" i="6"/>
  <c r="I155" i="6"/>
  <c r="C156" i="6"/>
  <c r="D156" i="6"/>
  <c r="E156" i="6"/>
  <c r="G156" i="6"/>
  <c r="H156" i="6"/>
  <c r="I156" i="6"/>
  <c r="I157" i="6"/>
  <c r="D9" i="14"/>
  <c r="D15" i="14"/>
  <c r="D21" i="14"/>
  <c r="C162" i="6"/>
  <c r="D162" i="6"/>
  <c r="E162" i="6"/>
  <c r="G162" i="6"/>
  <c r="H162" i="6"/>
  <c r="I162" i="6"/>
  <c r="C163" i="6"/>
  <c r="D163" i="6"/>
  <c r="E163" i="6"/>
  <c r="G163" i="6"/>
  <c r="H163" i="6"/>
  <c r="I163" i="6"/>
  <c r="C164" i="6"/>
  <c r="D164" i="6"/>
  <c r="E164" i="6"/>
  <c r="G164" i="6"/>
  <c r="H164" i="6"/>
  <c r="I164" i="6"/>
  <c r="C165" i="6"/>
  <c r="D165" i="6"/>
  <c r="E165" i="6"/>
  <c r="G165" i="6"/>
  <c r="H165" i="6"/>
  <c r="I165" i="6"/>
  <c r="C166" i="6"/>
  <c r="D166" i="6"/>
  <c r="E166" i="6"/>
  <c r="G166" i="6"/>
  <c r="H166" i="6"/>
  <c r="I166" i="6"/>
  <c r="C167" i="6"/>
  <c r="D167" i="6"/>
  <c r="E167" i="6"/>
  <c r="G167" i="6"/>
  <c r="H167" i="6"/>
  <c r="I167" i="6"/>
  <c r="C168" i="6"/>
  <c r="D168" i="6"/>
  <c r="E168" i="6"/>
  <c r="G168" i="6"/>
  <c r="H168" i="6"/>
  <c r="I168" i="6"/>
  <c r="C169" i="6"/>
  <c r="D169" i="6"/>
  <c r="E169" i="6"/>
  <c r="G169" i="6"/>
  <c r="H169" i="6"/>
  <c r="I169" i="6"/>
  <c r="C170" i="6"/>
  <c r="D170" i="6"/>
  <c r="E170" i="6"/>
  <c r="G170" i="6"/>
  <c r="H170" i="6"/>
  <c r="I170" i="6"/>
  <c r="C171" i="6"/>
  <c r="D171" i="6"/>
  <c r="E171" i="6"/>
  <c r="G171" i="6"/>
  <c r="H171" i="6"/>
  <c r="I171" i="6"/>
  <c r="I172" i="6"/>
  <c r="E9" i="14"/>
  <c r="E15" i="14"/>
  <c r="E21" i="14"/>
  <c r="F21" i="14"/>
  <c r="B27" i="14"/>
  <c r="C27" i="14"/>
  <c r="D27" i="14"/>
  <c r="E27" i="14"/>
  <c r="B30" i="6"/>
  <c r="B32" i="6"/>
  <c r="E25" i="6"/>
  <c r="C37" i="6"/>
  <c r="D37" i="6"/>
  <c r="E37" i="6"/>
  <c r="G37" i="6"/>
  <c r="H37" i="6"/>
  <c r="I37" i="6"/>
  <c r="C38" i="6"/>
  <c r="D38" i="6"/>
  <c r="E38" i="6"/>
  <c r="G38" i="6"/>
  <c r="H38" i="6"/>
  <c r="I38" i="6"/>
  <c r="C39" i="6"/>
  <c r="D39" i="6"/>
  <c r="E39" i="6"/>
  <c r="G39" i="6"/>
  <c r="H39" i="6"/>
  <c r="I39" i="6"/>
  <c r="C40" i="6"/>
  <c r="D40" i="6"/>
  <c r="E40" i="6"/>
  <c r="G40" i="6"/>
  <c r="H40" i="6"/>
  <c r="I40" i="6"/>
  <c r="C41" i="6"/>
  <c r="D41" i="6"/>
  <c r="E41" i="6"/>
  <c r="G41" i="6"/>
  <c r="H41" i="6"/>
  <c r="I41" i="6"/>
  <c r="C42" i="6"/>
  <c r="D42" i="6"/>
  <c r="E42" i="6"/>
  <c r="G42" i="6"/>
  <c r="H42" i="6"/>
  <c r="I42" i="6"/>
  <c r="C43" i="6"/>
  <c r="D43" i="6"/>
  <c r="E43" i="6"/>
  <c r="G43" i="6"/>
  <c r="H43" i="6"/>
  <c r="I43" i="6"/>
  <c r="C44" i="6"/>
  <c r="D44" i="6"/>
  <c r="E44" i="6"/>
  <c r="G44" i="6"/>
  <c r="H44" i="6"/>
  <c r="I44" i="6"/>
  <c r="I45" i="6"/>
  <c r="B8" i="14"/>
  <c r="B14" i="14"/>
  <c r="B20" i="14"/>
  <c r="C50" i="6"/>
  <c r="D50" i="6"/>
  <c r="E50" i="6"/>
  <c r="G50" i="6"/>
  <c r="H50" i="6"/>
  <c r="I50" i="6"/>
  <c r="C51" i="6"/>
  <c r="D51" i="6"/>
  <c r="E51" i="6"/>
  <c r="G51" i="6"/>
  <c r="H51" i="6"/>
  <c r="I51" i="6"/>
  <c r="C52" i="6"/>
  <c r="D52" i="6"/>
  <c r="E52" i="6"/>
  <c r="G52" i="6"/>
  <c r="H52" i="6"/>
  <c r="I52" i="6"/>
  <c r="C53" i="6"/>
  <c r="D53" i="6"/>
  <c r="E53" i="6"/>
  <c r="G53" i="6"/>
  <c r="H53" i="6"/>
  <c r="I53" i="6"/>
  <c r="C54" i="6"/>
  <c r="D54" i="6"/>
  <c r="E54" i="6"/>
  <c r="G54" i="6"/>
  <c r="H54" i="6"/>
  <c r="I54" i="6"/>
  <c r="C55" i="6"/>
  <c r="D55" i="6"/>
  <c r="E55" i="6"/>
  <c r="G55" i="6"/>
  <c r="H55" i="6"/>
  <c r="I55" i="6"/>
  <c r="C56" i="6"/>
  <c r="D56" i="6"/>
  <c r="E56" i="6"/>
  <c r="G56" i="6"/>
  <c r="H56" i="6"/>
  <c r="I56" i="6"/>
  <c r="C57" i="6"/>
  <c r="D57" i="6"/>
  <c r="E57" i="6"/>
  <c r="G57" i="6"/>
  <c r="H57" i="6"/>
  <c r="I57" i="6"/>
  <c r="I58" i="6"/>
  <c r="C8" i="14"/>
  <c r="C14" i="14"/>
  <c r="C20" i="14"/>
  <c r="C63" i="6"/>
  <c r="D63" i="6"/>
  <c r="E63" i="6"/>
  <c r="G63" i="6"/>
  <c r="H63" i="6"/>
  <c r="I63" i="6"/>
  <c r="C64" i="6"/>
  <c r="D64" i="6"/>
  <c r="E64" i="6"/>
  <c r="G64" i="6"/>
  <c r="H64" i="6"/>
  <c r="I64" i="6"/>
  <c r="C65" i="6"/>
  <c r="D65" i="6"/>
  <c r="E65" i="6"/>
  <c r="G65" i="6"/>
  <c r="H65" i="6"/>
  <c r="I65" i="6"/>
  <c r="C66" i="6"/>
  <c r="D66" i="6"/>
  <c r="E66" i="6"/>
  <c r="G66" i="6"/>
  <c r="H66" i="6"/>
  <c r="I66" i="6"/>
  <c r="C67" i="6"/>
  <c r="D67" i="6"/>
  <c r="E67" i="6"/>
  <c r="G67" i="6"/>
  <c r="H67" i="6"/>
  <c r="I67" i="6"/>
  <c r="C68" i="6"/>
  <c r="D68" i="6"/>
  <c r="E68" i="6"/>
  <c r="G68" i="6"/>
  <c r="H68" i="6"/>
  <c r="I68" i="6"/>
  <c r="C69" i="6"/>
  <c r="D69" i="6"/>
  <c r="E69" i="6"/>
  <c r="G69" i="6"/>
  <c r="H69" i="6"/>
  <c r="I69" i="6"/>
  <c r="C70" i="6"/>
  <c r="D70" i="6"/>
  <c r="E70" i="6"/>
  <c r="G70" i="6"/>
  <c r="H70" i="6"/>
  <c r="I70" i="6"/>
  <c r="I71" i="6"/>
  <c r="D8" i="14"/>
  <c r="D14" i="14"/>
  <c r="D20" i="14"/>
  <c r="C76" i="6"/>
  <c r="D76" i="6"/>
  <c r="E76" i="6"/>
  <c r="G76" i="6"/>
  <c r="H76" i="6"/>
  <c r="I76" i="6"/>
  <c r="C77" i="6"/>
  <c r="D77" i="6"/>
  <c r="E77" i="6"/>
  <c r="G77" i="6"/>
  <c r="H77" i="6"/>
  <c r="I77" i="6"/>
  <c r="C78" i="6"/>
  <c r="D78" i="6"/>
  <c r="E78" i="6"/>
  <c r="G78" i="6"/>
  <c r="H78" i="6"/>
  <c r="I78" i="6"/>
  <c r="C79" i="6"/>
  <c r="D79" i="6"/>
  <c r="E79" i="6"/>
  <c r="G79" i="6"/>
  <c r="H79" i="6"/>
  <c r="I79" i="6"/>
  <c r="C80" i="6"/>
  <c r="D80" i="6"/>
  <c r="E80" i="6"/>
  <c r="G80" i="6"/>
  <c r="H80" i="6"/>
  <c r="I80" i="6"/>
  <c r="C81" i="6"/>
  <c r="D81" i="6"/>
  <c r="E81" i="6"/>
  <c r="G81" i="6"/>
  <c r="H81" i="6"/>
  <c r="I81" i="6"/>
  <c r="C82" i="6"/>
  <c r="D82" i="6"/>
  <c r="E82" i="6"/>
  <c r="G82" i="6"/>
  <c r="H82" i="6"/>
  <c r="I82" i="6"/>
  <c r="C83" i="6"/>
  <c r="D83" i="6"/>
  <c r="E83" i="6"/>
  <c r="G83" i="6"/>
  <c r="H83" i="6"/>
  <c r="I83" i="6"/>
  <c r="I84" i="6"/>
  <c r="E8" i="14"/>
  <c r="E14" i="14"/>
  <c r="E20" i="14"/>
  <c r="F20" i="14"/>
  <c r="B26" i="14"/>
  <c r="C26" i="14"/>
  <c r="D26" i="14"/>
  <c r="E26" i="14"/>
  <c r="C25" i="14"/>
  <c r="B8" i="6"/>
  <c r="E11" i="6"/>
  <c r="G11" i="6"/>
  <c r="H11" i="6"/>
  <c r="E12" i="6"/>
  <c r="G12" i="6"/>
  <c r="H12" i="6"/>
  <c r="E13" i="6"/>
  <c r="G13" i="6"/>
  <c r="H13" i="6"/>
  <c r="E14" i="6"/>
  <c r="G14" i="6"/>
  <c r="H14" i="6"/>
  <c r="E15" i="6"/>
  <c r="G15" i="6"/>
  <c r="H15" i="6"/>
  <c r="E16" i="6"/>
  <c r="G16" i="6"/>
  <c r="H16" i="6"/>
  <c r="E17" i="6"/>
  <c r="G17" i="6"/>
  <c r="H17" i="6"/>
  <c r="E18" i="6"/>
  <c r="G18" i="6"/>
  <c r="H18" i="6"/>
  <c r="B21" i="6"/>
  <c r="B7" i="14"/>
  <c r="B13" i="14"/>
  <c r="B19" i="14"/>
  <c r="F19" i="14"/>
  <c r="B25" i="14"/>
  <c r="D25" i="14"/>
  <c r="E25" i="14"/>
  <c r="F25" i="14"/>
  <c r="C31" i="14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B20" i="6"/>
  <c r="B31" i="14"/>
  <c r="D31" i="14"/>
  <c r="F26" i="14"/>
  <c r="C32" i="14"/>
  <c r="J37" i="6"/>
  <c r="L37" i="6"/>
  <c r="J38" i="6"/>
  <c r="L38" i="6"/>
  <c r="J39" i="6"/>
  <c r="L39" i="6"/>
  <c r="J40" i="6"/>
  <c r="L40" i="6"/>
  <c r="J41" i="6"/>
  <c r="L41" i="6"/>
  <c r="J42" i="6"/>
  <c r="L42" i="6"/>
  <c r="J43" i="6"/>
  <c r="L43" i="6"/>
  <c r="J44" i="6"/>
  <c r="L44" i="6"/>
  <c r="L45" i="6"/>
  <c r="B88" i="6"/>
  <c r="F88" i="6"/>
  <c r="B96" i="6"/>
  <c r="C88" i="6"/>
  <c r="G88" i="6"/>
  <c r="C96" i="6"/>
  <c r="J50" i="6"/>
  <c r="L50" i="6"/>
  <c r="J51" i="6"/>
  <c r="L51" i="6"/>
  <c r="J52" i="6"/>
  <c r="L52" i="6"/>
  <c r="J53" i="6"/>
  <c r="L53" i="6"/>
  <c r="J54" i="6"/>
  <c r="L54" i="6"/>
  <c r="J55" i="6"/>
  <c r="L55" i="6"/>
  <c r="J56" i="6"/>
  <c r="L56" i="6"/>
  <c r="J57" i="6"/>
  <c r="L57" i="6"/>
  <c r="L58" i="6"/>
  <c r="B89" i="6"/>
  <c r="F89" i="6"/>
  <c r="B97" i="6"/>
  <c r="C89" i="6"/>
  <c r="G89" i="6"/>
  <c r="C97" i="6"/>
  <c r="J63" i="6"/>
  <c r="L63" i="6"/>
  <c r="J64" i="6"/>
  <c r="L64" i="6"/>
  <c r="J65" i="6"/>
  <c r="L65" i="6"/>
  <c r="J66" i="6"/>
  <c r="L66" i="6"/>
  <c r="J67" i="6"/>
  <c r="L67" i="6"/>
  <c r="J68" i="6"/>
  <c r="L68" i="6"/>
  <c r="J69" i="6"/>
  <c r="L69" i="6"/>
  <c r="J70" i="6"/>
  <c r="L70" i="6"/>
  <c r="L71" i="6"/>
  <c r="B90" i="6"/>
  <c r="F90" i="6"/>
  <c r="B98" i="6"/>
  <c r="C90" i="6"/>
  <c r="G90" i="6"/>
  <c r="C98" i="6"/>
  <c r="J76" i="6"/>
  <c r="L76" i="6"/>
  <c r="J77" i="6"/>
  <c r="L77" i="6"/>
  <c r="J78" i="6"/>
  <c r="L78" i="6"/>
  <c r="J79" i="6"/>
  <c r="L79" i="6"/>
  <c r="J80" i="6"/>
  <c r="L80" i="6"/>
  <c r="J81" i="6"/>
  <c r="L81" i="6"/>
  <c r="J82" i="6"/>
  <c r="L82" i="6"/>
  <c r="J83" i="6"/>
  <c r="L83" i="6"/>
  <c r="L84" i="6"/>
  <c r="B91" i="6"/>
  <c r="F91" i="6"/>
  <c r="B99" i="6"/>
  <c r="C91" i="6"/>
  <c r="G91" i="6"/>
  <c r="C99" i="6"/>
  <c r="D100" i="6"/>
  <c r="B32" i="14"/>
  <c r="D32" i="14"/>
  <c r="C177" i="6"/>
  <c r="C176" i="6"/>
  <c r="J116" i="6"/>
  <c r="L116" i="6"/>
  <c r="J117" i="6"/>
  <c r="L117" i="6"/>
  <c r="J118" i="6"/>
  <c r="L118" i="6"/>
  <c r="J119" i="6"/>
  <c r="L119" i="6"/>
  <c r="J120" i="6"/>
  <c r="L120" i="6"/>
  <c r="J121" i="6"/>
  <c r="L121" i="6"/>
  <c r="J122" i="6"/>
  <c r="L122" i="6"/>
  <c r="J123" i="6"/>
  <c r="L123" i="6"/>
  <c r="J124" i="6"/>
  <c r="L124" i="6"/>
  <c r="J125" i="6"/>
  <c r="L125" i="6"/>
  <c r="L126" i="6"/>
  <c r="B176" i="6"/>
  <c r="E176" i="6"/>
  <c r="F176" i="6"/>
  <c r="D177" i="6"/>
  <c r="E177" i="6"/>
  <c r="F177" i="6"/>
  <c r="F178" i="6"/>
  <c r="B190" i="6"/>
  <c r="J190" i="6"/>
  <c r="B197" i="6"/>
  <c r="C190" i="6"/>
  <c r="K190" i="6"/>
  <c r="C197" i="6"/>
  <c r="D190" i="6"/>
  <c r="L190" i="6"/>
  <c r="D197" i="6"/>
  <c r="E190" i="6"/>
  <c r="M190" i="6"/>
  <c r="E197" i="6"/>
  <c r="C180" i="6"/>
  <c r="J132" i="6"/>
  <c r="L132" i="6"/>
  <c r="J133" i="6"/>
  <c r="L133" i="6"/>
  <c r="J134" i="6"/>
  <c r="L134" i="6"/>
  <c r="J135" i="6"/>
  <c r="L135" i="6"/>
  <c r="J136" i="6"/>
  <c r="L136" i="6"/>
  <c r="J137" i="6"/>
  <c r="L137" i="6"/>
  <c r="J138" i="6"/>
  <c r="L138" i="6"/>
  <c r="J139" i="6"/>
  <c r="L139" i="6"/>
  <c r="J140" i="6"/>
  <c r="L140" i="6"/>
  <c r="J141" i="6"/>
  <c r="L141" i="6"/>
  <c r="L142" i="6"/>
  <c r="B180" i="6"/>
  <c r="E180" i="6"/>
  <c r="F180" i="6"/>
  <c r="C181" i="6"/>
  <c r="B181" i="6"/>
  <c r="D181" i="6"/>
  <c r="E181" i="6"/>
  <c r="F181" i="6"/>
  <c r="F182" i="6"/>
  <c r="B191" i="6"/>
  <c r="J191" i="6"/>
  <c r="B198" i="6"/>
  <c r="C191" i="6"/>
  <c r="K191" i="6"/>
  <c r="C198" i="6"/>
  <c r="D191" i="6"/>
  <c r="L191" i="6"/>
  <c r="D198" i="6"/>
  <c r="E191" i="6"/>
  <c r="M191" i="6"/>
  <c r="E198" i="6"/>
  <c r="C185" i="6"/>
  <c r="C184" i="6"/>
  <c r="J147" i="6"/>
  <c r="L147" i="6"/>
  <c r="J148" i="6"/>
  <c r="L148" i="6"/>
  <c r="J149" i="6"/>
  <c r="L149" i="6"/>
  <c r="J150" i="6"/>
  <c r="L150" i="6"/>
  <c r="J151" i="6"/>
  <c r="L151" i="6"/>
  <c r="J152" i="6"/>
  <c r="L152" i="6"/>
  <c r="J153" i="6"/>
  <c r="L153" i="6"/>
  <c r="J154" i="6"/>
  <c r="L154" i="6"/>
  <c r="J155" i="6"/>
  <c r="L155" i="6"/>
  <c r="J156" i="6"/>
  <c r="L156" i="6"/>
  <c r="L157" i="6"/>
  <c r="B184" i="6"/>
  <c r="F184" i="6"/>
  <c r="B185" i="6"/>
  <c r="D185" i="6"/>
  <c r="E185" i="6"/>
  <c r="F185" i="6"/>
  <c r="F186" i="6"/>
  <c r="B192" i="6"/>
  <c r="J192" i="6"/>
  <c r="B199" i="6"/>
  <c r="C192" i="6"/>
  <c r="K192" i="6"/>
  <c r="C199" i="6"/>
  <c r="D192" i="6"/>
  <c r="L192" i="6"/>
  <c r="D199" i="6"/>
  <c r="E192" i="6"/>
  <c r="M192" i="6"/>
  <c r="E199" i="6"/>
  <c r="J193" i="6"/>
  <c r="J162" i="6"/>
  <c r="L162" i="6"/>
  <c r="J163" i="6"/>
  <c r="L163" i="6"/>
  <c r="J164" i="6"/>
  <c r="L164" i="6"/>
  <c r="J165" i="6"/>
  <c r="L165" i="6"/>
  <c r="J166" i="6"/>
  <c r="L166" i="6"/>
  <c r="J167" i="6"/>
  <c r="L167" i="6"/>
  <c r="J168" i="6"/>
  <c r="L168" i="6"/>
  <c r="J169" i="6"/>
  <c r="L169" i="6"/>
  <c r="J170" i="6"/>
  <c r="L170" i="6"/>
  <c r="J171" i="6"/>
  <c r="L171" i="6"/>
  <c r="L172" i="6"/>
  <c r="B193" i="6"/>
  <c r="B200" i="6"/>
  <c r="K193" i="6"/>
  <c r="C193" i="6"/>
  <c r="C200" i="6"/>
  <c r="L193" i="6"/>
  <c r="D193" i="6"/>
  <c r="D200" i="6"/>
  <c r="M193" i="6"/>
  <c r="E193" i="6"/>
  <c r="E200" i="6"/>
  <c r="F201" i="6"/>
  <c r="B33" i="14"/>
  <c r="F27" i="14"/>
  <c r="C33" i="14"/>
  <c r="D33" i="14"/>
  <c r="D34" i="14"/>
  <c r="B7" i="18"/>
  <c r="B9" i="18"/>
  <c r="B215" i="6"/>
  <c r="E215" i="6"/>
  <c r="D215" i="6"/>
  <c r="C215" i="6"/>
  <c r="B105" i="6"/>
  <c r="E26" i="6"/>
  <c r="E29" i="6"/>
  <c r="E32" i="6"/>
  <c r="F147" i="6"/>
  <c r="F148" i="6"/>
  <c r="F149" i="6"/>
  <c r="F150" i="6"/>
  <c r="F151" i="6"/>
  <c r="F152" i="6"/>
  <c r="F153" i="6"/>
  <c r="F154" i="6"/>
  <c r="F155" i="6"/>
  <c r="F156" i="6"/>
  <c r="E184" i="6"/>
  <c r="F171" i="6"/>
  <c r="M171" i="6"/>
  <c r="F170" i="6"/>
  <c r="M170" i="6"/>
  <c r="F169" i="6"/>
  <c r="M169" i="6"/>
  <c r="F168" i="6"/>
  <c r="M168" i="6"/>
  <c r="F167" i="6"/>
  <c r="M167" i="6"/>
  <c r="F166" i="6"/>
  <c r="M166" i="6"/>
  <c r="F165" i="6"/>
  <c r="M165" i="6"/>
  <c r="F164" i="6"/>
  <c r="M164" i="6"/>
  <c r="F163" i="6"/>
  <c r="M163" i="6"/>
  <c r="F162" i="6"/>
  <c r="M162" i="6"/>
  <c r="M156" i="6"/>
  <c r="M155" i="6"/>
  <c r="M154" i="6"/>
  <c r="M153" i="6"/>
  <c r="M152" i="6"/>
  <c r="M151" i="6"/>
  <c r="M150" i="6"/>
  <c r="M149" i="6"/>
  <c r="M148" i="6"/>
  <c r="M147" i="6"/>
  <c r="F141" i="6"/>
  <c r="M141" i="6"/>
  <c r="F140" i="6"/>
  <c r="M140" i="6"/>
  <c r="F139" i="6"/>
  <c r="M139" i="6"/>
  <c r="F138" i="6"/>
  <c r="M138" i="6"/>
  <c r="F137" i="6"/>
  <c r="M137" i="6"/>
  <c r="F136" i="6"/>
  <c r="M136" i="6"/>
  <c r="F135" i="6"/>
  <c r="M135" i="6"/>
  <c r="F134" i="6"/>
  <c r="M134" i="6"/>
  <c r="F133" i="6"/>
  <c r="M133" i="6"/>
  <c r="F132" i="6"/>
  <c r="M132" i="6"/>
  <c r="F117" i="6"/>
  <c r="M117" i="6"/>
  <c r="F118" i="6"/>
  <c r="M118" i="6"/>
  <c r="F119" i="6"/>
  <c r="M119" i="6"/>
  <c r="F120" i="6"/>
  <c r="M120" i="6"/>
  <c r="F121" i="6"/>
  <c r="M121" i="6"/>
  <c r="F122" i="6"/>
  <c r="M122" i="6"/>
  <c r="F123" i="6"/>
  <c r="M123" i="6"/>
  <c r="F124" i="6"/>
  <c r="M124" i="6"/>
  <c r="F125" i="6"/>
  <c r="M125" i="6"/>
  <c r="F116" i="6"/>
  <c r="M116" i="6"/>
  <c r="B26" i="6"/>
  <c r="F83" i="6"/>
  <c r="M83" i="6"/>
  <c r="F82" i="6"/>
  <c r="M82" i="6"/>
  <c r="F81" i="6"/>
  <c r="M81" i="6"/>
  <c r="F80" i="6"/>
  <c r="M80" i="6"/>
  <c r="F79" i="6"/>
  <c r="M79" i="6"/>
  <c r="F78" i="6"/>
  <c r="M78" i="6"/>
  <c r="F77" i="6"/>
  <c r="M77" i="6"/>
  <c r="F76" i="6"/>
  <c r="M76" i="6"/>
  <c r="F70" i="6"/>
  <c r="M70" i="6"/>
  <c r="F69" i="6"/>
  <c r="M69" i="6"/>
  <c r="F68" i="6"/>
  <c r="M68" i="6"/>
  <c r="F67" i="6"/>
  <c r="M67" i="6"/>
  <c r="F66" i="6"/>
  <c r="M66" i="6"/>
  <c r="F65" i="6"/>
  <c r="M65" i="6"/>
  <c r="F64" i="6"/>
  <c r="M64" i="6"/>
  <c r="F63" i="6"/>
  <c r="M63" i="6"/>
  <c r="F57" i="6"/>
  <c r="M57" i="6"/>
  <c r="F56" i="6"/>
  <c r="M56" i="6"/>
  <c r="F55" i="6"/>
  <c r="M55" i="6"/>
  <c r="F54" i="6"/>
  <c r="M54" i="6"/>
  <c r="F53" i="6"/>
  <c r="M53" i="6"/>
  <c r="F52" i="6"/>
  <c r="M52" i="6"/>
  <c r="F51" i="6"/>
  <c r="M51" i="6"/>
  <c r="F50" i="6"/>
  <c r="M50" i="6"/>
  <c r="F38" i="6"/>
  <c r="M38" i="6"/>
  <c r="F39" i="6"/>
  <c r="M39" i="6"/>
  <c r="F40" i="6"/>
  <c r="M40" i="6"/>
  <c r="F41" i="6"/>
  <c r="M41" i="6"/>
  <c r="F42" i="6"/>
  <c r="M42" i="6"/>
  <c r="F43" i="6"/>
  <c r="M43" i="6"/>
  <c r="F44" i="6"/>
  <c r="M44" i="6"/>
  <c r="F37" i="6"/>
  <c r="M37" i="6"/>
  <c r="B7" i="6"/>
  <c r="C12" i="6"/>
  <c r="D12" i="6"/>
  <c r="F12" i="6"/>
  <c r="K12" i="6"/>
  <c r="C13" i="6"/>
  <c r="D13" i="6"/>
  <c r="F13" i="6"/>
  <c r="K13" i="6"/>
  <c r="C14" i="6"/>
  <c r="D14" i="6"/>
  <c r="F14" i="6"/>
  <c r="K14" i="6"/>
  <c r="C15" i="6"/>
  <c r="D15" i="6"/>
  <c r="F15" i="6"/>
  <c r="K15" i="6"/>
  <c r="C16" i="6"/>
  <c r="D16" i="6"/>
  <c r="F16" i="6"/>
  <c r="K16" i="6"/>
  <c r="C17" i="6"/>
  <c r="D17" i="6"/>
  <c r="F17" i="6"/>
  <c r="K17" i="6"/>
  <c r="C18" i="6"/>
  <c r="D18" i="6"/>
  <c r="F18" i="6"/>
  <c r="K18" i="6"/>
  <c r="C11" i="6"/>
  <c r="D11" i="6"/>
  <c r="F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B16" i="2"/>
  <c r="C16" i="2"/>
  <c r="B7" i="3"/>
  <c r="B23" i="2"/>
  <c r="C23" i="2"/>
  <c r="B9" i="3"/>
  <c r="B9" i="2"/>
  <c r="C9" i="2"/>
  <c r="B6" i="3"/>
  <c r="F23" i="2"/>
  <c r="G23" i="2"/>
  <c r="B10" i="3"/>
  <c r="B14" i="4"/>
  <c r="C14" i="4"/>
  <c r="B13" i="3"/>
  <c r="F14" i="4"/>
  <c r="G14" i="4"/>
  <c r="B14" i="3"/>
  <c r="J16" i="4"/>
  <c r="K16" i="4"/>
  <c r="B15" i="3"/>
  <c r="F14" i="2"/>
  <c r="G14" i="2"/>
  <c r="B8" i="3"/>
  <c r="B18" i="3"/>
  <c r="A1" i="15"/>
  <c r="B81" i="14"/>
  <c r="B59" i="14"/>
  <c r="E62" i="14"/>
  <c r="B43" i="14"/>
  <c r="C10" i="10"/>
  <c r="B8" i="10"/>
  <c r="C8" i="10"/>
  <c r="D8" i="10"/>
  <c r="B65" i="10"/>
  <c r="B58" i="10"/>
  <c r="C9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B9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A1" i="11"/>
  <c r="C17" i="10"/>
  <c r="B19" i="10"/>
  <c r="D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8" i="1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201" i="6"/>
  <c r="C83" i="14"/>
  <c r="C91" i="14"/>
  <c r="D201" i="6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59" i="10"/>
  <c r="C60" i="10"/>
  <c r="C67" i="10"/>
  <c r="C68" i="10"/>
  <c r="D59" i="10"/>
  <c r="D60" i="10"/>
  <c r="D67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B10" i="10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  <c r="D10" i="10"/>
</calcChain>
</file>

<file path=xl/comments1.xml><?xml version="1.0" encoding="utf-8"?>
<comments xmlns="http://schemas.openxmlformats.org/spreadsheetml/2006/main">
  <authors>
    <author>Matthew Gast</author>
  </authors>
  <commentList>
    <comment ref="B6" authorId="0">
      <text>
        <r>
          <rPr>
            <sz val="9"/>
            <color indexed="81"/>
            <rFont val="Calibri"/>
            <family val="2"/>
          </rPr>
          <t>Enter the percentage of clients using each PHY here.  Total must be 100%.</t>
        </r>
      </text>
    </comment>
    <comment ref="J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B1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F12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B19" authorId="0">
      <text>
        <r>
          <rPr>
            <sz val="9"/>
            <color indexed="81"/>
            <rFont val="Calibri"/>
            <family val="2"/>
          </rPr>
          <t>Distribution of spatial streams for 802.11ac clients only.</t>
        </r>
      </text>
    </comment>
    <comment ref="F19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B26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B27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B30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B31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sharedStrings.xml><?xml version="1.0" encoding="utf-8"?>
<sst xmlns="http://schemas.openxmlformats.org/spreadsheetml/2006/main" count="645" uniqueCount="314">
  <si>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</si>
  <si>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</si>
  <si>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</si>
  <si>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</si>
  <si>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</si>
  <si>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</si>
  <si>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</si>
  <si>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</si>
  <si>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</si>
  <si>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</si>
  <si>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</si>
  <si>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</si>
  <si>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</si>
  <si>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</si>
  <si>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</si>
  <si>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</si>
  <si>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</si>
  <si>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</si>
  <si>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</si>
  <si>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</si>
  <si>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</si>
  <si>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</si>
  <si>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</si>
  <si>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</si>
  <si>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</si>
  <si>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</si>
  <si>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</si>
  <si>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</si>
  <si>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</si>
  <si>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</si>
  <si>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</si>
  <si>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</si>
  <si>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</si>
  <si>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</si>
  <si>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</si>
  <si>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</si>
  <si>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</si>
  <si>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</si>
  <si>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</si>
  <si>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</si>
  <si>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</si>
  <si>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</si>
  <si>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</si>
  <si>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</si>
  <si>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</si>
  <si>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</si>
  <si>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</si>
  <si>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</si>
  <si>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</si>
  <si>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</si>
  <si>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</si>
  <si>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</si>
  <si>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</si>
  <si>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</si>
  <si>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</si>
  <si>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</si>
  <si>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</si>
  <si>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</si>
  <si>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</si>
  <si>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</si>
  <si>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</si>
  <si>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</si>
  <si>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</si>
  <si>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</si>
  <si>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</si>
  <si>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</si>
  <si>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</si>
  <si>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</si>
  <si>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</si>
  <si>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</si>
  <si>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</si>
  <si>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</si>
  <si>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</si>
  <si>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</si>
  <si>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</si>
  <si>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</si>
  <si>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</si>
  <si>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</si>
  <si>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</si>
  <si>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</si>
  <si>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</si>
  <si>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</si>
  <si>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</si>
  <si>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</si>
  <si>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</si>
  <si>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</si>
  <si>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</si>
  <si>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</si>
  <si>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</si>
  <si>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</si>
  <si>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</si>
  <si>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</si>
  <si>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</si>
  <si>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</si>
  <si>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</si>
  <si>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</si>
  <si>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</si>
  <si>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</si>
  <si>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</si>
  <si>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</si>
  <si>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</si>
  <si>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</si>
  <si>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</si>
  <si>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</si>
  <si>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</si>
  <si>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</si>
  <si>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</si>
  <si>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</si>
  <si>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</si>
  <si>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</si>
  <si>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</si>
  <si>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</si>
  <si>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</si>
  <si>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</si>
  <si>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</si>
  <si>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</si>
  <si>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</si>
  <si>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</si>
  <si>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</si>
  <si>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</si>
  <si>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</si>
  <si>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</si>
  <si>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</si>
  <si>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</si>
  <si>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</si>
  <si>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</si>
  <si>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</si>
  <si>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</si>
  <si>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</si>
  <si>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</si>
  <si>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</si>
  <si>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</si>
  <si>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</si>
  <si>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</si>
  <si>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</si>
  <si>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</si>
  <si>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</si>
  <si>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</si>
  <si>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</si>
  <si>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</si>
  <si>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</si>
  <si>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</si>
  <si>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</si>
  <si>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</si>
  <si>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</si>
  <si>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</si>
  <si>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</si>
  <si>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</si>
  <si>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</si>
  <si>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</si>
  <si>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</si>
  <si>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</si>
  <si>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</si>
  <si>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</si>
  <si>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</si>
  <si>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</si>
  <si>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</si>
  <si>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</si>
  <si>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</si>
  <si>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</si>
  <si>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</si>
  <si>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</si>
  <si>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</si>
  <si>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</si>
  <si>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</si>
  <si>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</si>
  <si>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</si>
  <si>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</si>
  <si>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</si>
  <si>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</si>
  <si>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</si>
  <si>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</si>
  <si>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</si>
  <si>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</si>
  <si>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</si>
  <si>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</si>
  <si>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</si>
  <si>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</si>
  <si>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</si>
  <si>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</si>
  <si>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</si>
  <si>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</si>
  <si>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</si>
  <si>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</si>
  <si>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</si>
  <si>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</si>
  <si>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</si>
  <si>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</si>
  <si>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</si>
  <si>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</si>
  <si>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</si>
  <si>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</si>
  <si>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</si>
  <si>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</si>
  <si>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</si>
  <si>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</si>
  <si>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</si>
  <si>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</si>
  <si>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</si>
  <si>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</si>
  <si>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</si>
  <si>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</si>
  <si>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</si>
  <si>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</si>
  <si>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</si>
  <si>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</si>
  <si>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</si>
  <si>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</si>
  <si>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</si>
  <si>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</si>
  <si>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</si>
  <si>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</si>
  <si>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</si>
  <si>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</si>
  <si>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</si>
  <si>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</si>
  <si>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</si>
  <si>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</si>
  <si>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</si>
  <si>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</si>
  <si>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</si>
  <si>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</si>
  <si>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</si>
  <si>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</si>
  <si>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</si>
  <si>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</si>
  <si>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Offered load (Mbps)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</si>
  <si>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</si>
  <si>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</si>
  <si>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</si>
  <si>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</si>
  <si>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</si>
  <si>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</si>
  <si>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</si>
  <si>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</si>
  <si>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</si>
  <si>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</si>
  <si>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</si>
  <si>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</si>
  <si>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</si>
  <si>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</si>
  <si>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</si>
  <si>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</si>
  <si>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</si>
  <si>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</si>
  <si>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</si>
  <si>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</si>
  <si>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</si>
  <si>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</si>
  <si>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</si>
  <si>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</si>
  <si>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</si>
  <si>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</si>
  <si>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</si>
  <si>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</si>
  <si>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</si>
  <si>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</si>
  <si>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</si>
  <si>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</si>
  <si>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</si>
  <si>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</si>
  <si>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</si>
  <si>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</si>
  <si>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</si>
  <si>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</si>
  <si>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</si>
  <si>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</si>
  <si>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</si>
  <si>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</si>
  <si>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</si>
  <si>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</si>
  <si>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</si>
  <si>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</si>
  <si>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</si>
  <si>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</si>
  <si>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</si>
  <si>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</si>
  <si>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</si>
  <si>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</si>
  <si>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</si>
  <si>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</si>
  <si>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</si>
  <si>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</si>
  <si>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</si>
  <si>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</si>
  <si>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</si>
  <si>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</si>
  <si>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</si>
  <si>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</si>
  <si>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</si>
  <si>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</si>
  <si>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</si>
  <si>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</si>
  <si>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</si>
  <si>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</si>
  <si>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</si>
  <si>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</si>
  <si>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</si>
  <si>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</si>
  <si>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</si>
  <si>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</si>
  <si>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</si>
  <si>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</si>
  <si>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</si>
  <si>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</si>
  <si>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</si>
  <si>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5.  View your results in the "OUT-wave2" tab, which shows throughput as a function of 11ac client capabilities</t>
  </si>
  <si>
    <t>Added throughput versus aggregate size summary tab</t>
  </si>
  <si>
    <t>Aggregate Size Data Tables</t>
  </si>
  <si>
    <t>Aggregate size</t>
  </si>
  <si>
    <t>Agg size</t>
  </si>
  <si>
    <t>% max</t>
  </si>
  <si>
    <t>% incr</t>
  </si>
  <si>
    <t>Fixed bug in display of pie chart throughput reults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</si>
</sst>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168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/>
    </xf>
  </cellXfs>
  <cellStyles count="3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'IN-rates'!$A$6:$A$13</c:f>
              <c:numCache>
                <c:formatCode>General</c:formatCode>
                <c:ptCount val="8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18.0</c:v>
                </c:pt>
                <c:pt idx="4">
                  <c:v>24.0</c:v>
                </c:pt>
                <c:pt idx="5">
                  <c:v>36.0</c:v>
                </c:pt>
                <c:pt idx="6">
                  <c:v>48.0</c:v>
                </c:pt>
                <c:pt idx="7">
                  <c:v>54.0</c:v>
                </c:pt>
              </c:numCache>
            </c:numRef>
          </c:cat>
          <c:val>
            <c:numRef>
              <c:f>'IN-rates'!$B$6:$B$13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7417160"/>
        <c:axId val="2132567304"/>
      </c:barChart>
      <c:catAx>
        <c:axId val="212741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2567304"/>
        <c:crosses val="autoZero"/>
        <c:auto val="1"/>
        <c:lblAlgn val="ctr"/>
        <c:lblOffset val="100"/>
        <c:noMultiLvlLbl val="0"/>
      </c:catAx>
      <c:valAx>
        <c:axId val="21325673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417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'IN-rates'!$E$6:$E$13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'IN-rates'!$F$6:$F$13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73169512"/>
        <c:axId val="2073189656"/>
      </c:barChart>
      <c:catAx>
        <c:axId val="207316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73189656"/>
        <c:crosses val="autoZero"/>
        <c:auto val="1"/>
        <c:lblAlgn val="ctr"/>
        <c:lblOffset val="100"/>
        <c:noMultiLvlLbl val="0"/>
      </c:catAx>
      <c:valAx>
        <c:axId val="2073189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3169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'IN-rates'!$I$6:$I$15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'IN-rates'!$J$6:$J$15</c:f>
              <c:numCache>
                <c:formatCode>0%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73088392"/>
        <c:axId val="2073074600"/>
      </c:barChart>
      <c:catAx>
        <c:axId val="207308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73074600"/>
        <c:crosses val="autoZero"/>
        <c:auto val="1"/>
        <c:lblAlgn val="ctr"/>
        <c:lblOffset val="100"/>
        <c:noMultiLvlLbl val="0"/>
      </c:catAx>
      <c:valAx>
        <c:axId val="20730746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308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'IN-client'!$A$12:$A$15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'IN-client'!$B$12:$B$15</c:f>
              <c:numCache>
                <c:formatCode>0%</c:formatCode>
                <c:ptCount val="4"/>
                <c:pt idx="0">
                  <c:v>0.5</c:v>
                </c:pt>
                <c:pt idx="1">
                  <c:v>0.2</c:v>
                </c:pt>
                <c:pt idx="2">
                  <c:v>0.3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'IN-client'!$A$19:$A$22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'IN-client'!$B$19:$B$22</c:f>
              <c:numCache>
                <c:formatCode>0%</c:formatCode>
                <c:ptCount val="4"/>
                <c:pt idx="0">
                  <c:v>0.15</c:v>
                </c:pt>
                <c:pt idx="1">
                  <c:v>0.45</c:v>
                </c:pt>
                <c:pt idx="2">
                  <c:v>0.35</c:v>
                </c:pt>
                <c:pt idx="3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'IN-client'!$E$12:$E$13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'IN-client'!$F$12:$F$13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'IN-client'!$E$19:$E$22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'IN-client'!$F$19:$F$22</c:f>
              <c:numCache>
                <c:formatCode>0%</c:formatCode>
                <c:ptCount val="4"/>
                <c:pt idx="0">
                  <c:v>0.25</c:v>
                </c:pt>
                <c:pt idx="1">
                  <c:v>0.55</c:v>
                </c:pt>
                <c:pt idx="2">
                  <c:v>0.2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0.18</c:v>
                </c:pt>
                <c:pt idx="1">
                  <c:v>0.29</c:v>
                </c:pt>
                <c:pt idx="2" formatCode="0.0%">
                  <c:v>0.265</c:v>
                </c:pt>
                <c:pt idx="3" formatCode="0.0%">
                  <c:v>0.265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9.416814022558725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20.1682933300417</c:v>
                </c:pt>
                <c:pt idx="1">
                  <c:v>17.28710856860717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20.22898395112552</c:v>
                </c:pt>
                <c:pt idx="1">
                  <c:v>93.45790585419991</c:v>
                </c:pt>
                <c:pt idx="2">
                  <c:v>72.82434222405185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4640552"/>
        <c:axId val="2114646072"/>
      </c:barChart>
      <c:catAx>
        <c:axId val="211464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646072"/>
        <c:crosses val="autoZero"/>
        <c:auto val="1"/>
        <c:lblAlgn val="ctr"/>
        <c:lblOffset val="100"/>
        <c:noMultiLvlLbl val="0"/>
      </c:catAx>
      <c:valAx>
        <c:axId val="2114646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14640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9.416814022558725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37.45540189864888</c:v>
                </c:pt>
                <c:pt idx="2">
                  <c:v>107.9381126404852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78.57311938889212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4478776"/>
        <c:axId val="2114469336"/>
      </c:barChart>
      <c:catAx>
        <c:axId val="2114478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469336"/>
        <c:crosses val="autoZero"/>
        <c:auto val="1"/>
        <c:lblAlgn val="ctr"/>
        <c:lblOffset val="100"/>
        <c:noMultiLvlLbl val="0"/>
      </c:catAx>
      <c:valAx>
        <c:axId val="2114469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1447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'RESULT-t''put'!$B$50:$D$50</c:f>
              <c:numCache>
                <c:formatCode>0.0</c:formatCode>
                <c:ptCount val="3"/>
                <c:pt idx="0">
                  <c:v>9.416814022558725</c:v>
                </c:pt>
                <c:pt idx="1">
                  <c:v>145.393514539134</c:v>
                </c:pt>
                <c:pt idx="2">
                  <c:v>78.57311938889212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'RESULT-t''put'!$B$80:$E$80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'RESULT-t''put'!$B$84:$E$84</c:f>
              <c:numCache>
                <c:formatCode>0.0</c:formatCode>
                <c:ptCount val="4"/>
                <c:pt idx="0">
                  <c:v>152.6484557809991</c:v>
                </c:pt>
                <c:pt idx="1">
                  <c:v>381.0021683715875</c:v>
                </c:pt>
                <c:pt idx="2">
                  <c:v>266.2016988676697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9.416814022558725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10.69606271021651</c:v>
                </c:pt>
                <c:pt idx="1">
                  <c:v>8.361984057969115</c:v>
                </c:pt>
                <c:pt idx="2">
                  <c:v>18.39735513046324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18.68384420949431</c:v>
                </c:pt>
                <c:pt idx="1">
                  <c:v>86.2796903607196</c:v>
                </c:pt>
                <c:pt idx="2">
                  <c:v>72.66890304850721</c:v>
                </c:pt>
                <c:pt idx="3">
                  <c:v>8.878794410656137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351944"/>
        <c:axId val="2127324168"/>
      </c:barChart>
      <c:catAx>
        <c:axId val="2127351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324168"/>
        <c:crosses val="autoZero"/>
        <c:auto val="1"/>
        <c:lblAlgn val="ctr"/>
        <c:lblOffset val="100"/>
        <c:noMultiLvlLbl val="0"/>
      </c:catAx>
      <c:valAx>
        <c:axId val="2127324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27351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38.79672094226954</c:v>
                </c:pt>
                <c:pt idx="1">
                  <c:v>94.64167441868871</c:v>
                </c:pt>
                <c:pt idx="2">
                  <c:v>91.06625817897045</c:v>
                </c:pt>
                <c:pt idx="3">
                  <c:v>8.878794410656137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9.416814022558725</c:v>
                </c:pt>
                <c:pt idx="1">
                  <c:v>37.45540189864888</c:v>
                </c:pt>
                <c:pt idx="2">
                  <c:v>186.5112320293773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9.416814022558725</c:v>
                </c:pt>
                <c:pt idx="1">
                  <c:v>37.45540189864888</c:v>
                </c:pt>
                <c:pt idx="2">
                  <c:v>186.5112320293773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65016"/>
        <c:axId val="2127255768"/>
      </c:barChart>
      <c:catAx>
        <c:axId val="212726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255768"/>
        <c:crosses val="autoZero"/>
        <c:auto val="1"/>
        <c:lblAlgn val="ctr"/>
        <c:lblOffset val="100"/>
        <c:noMultiLvlLbl val="0"/>
      </c:catAx>
      <c:valAx>
        <c:axId val="2127255768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27265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0.287412487854964</c:v>
                </c:pt>
                <c:pt idx="1">
                  <c:v>0.439019227142267</c:v>
                </c:pt>
                <c:pt idx="2">
                  <c:v>0.273568285002769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141416"/>
        <c:axId val="2127146872"/>
      </c:lineChart>
      <c:catAx>
        <c:axId val="212714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27146872"/>
        <c:crosses val="autoZero"/>
        <c:auto val="1"/>
        <c:lblAlgn val="ctr"/>
        <c:lblOffset val="100"/>
        <c:noMultiLvlLbl val="0"/>
      </c:catAx>
      <c:valAx>
        <c:axId val="2127146872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2714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210552"/>
        <c:axId val="2127216008"/>
      </c:lineChart>
      <c:catAx>
        <c:axId val="2127210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27216008"/>
        <c:crosses val="autoZero"/>
        <c:auto val="1"/>
        <c:lblAlgn val="ctr"/>
        <c:lblOffset val="100"/>
        <c:noMultiLvlLbl val="0"/>
      </c:catAx>
      <c:valAx>
        <c:axId val="2127216008"/>
        <c:scaling>
          <c:orientation val="minMax"/>
          <c:max val="1.8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27210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5.897539584</c:v>
                </c:pt>
                <c:pt idx="1">
                  <c:v>24.74166478154781</c:v>
                </c:pt>
                <c:pt idx="2">
                  <c:v>361.3392282463209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983432"/>
        <c:axId val="2126986376"/>
      </c:barChart>
      <c:catAx>
        <c:axId val="21269834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26986376"/>
        <c:crosses val="autoZero"/>
        <c:auto val="1"/>
        <c:lblAlgn val="ctr"/>
        <c:lblOffset val="100"/>
        <c:noMultiLvlLbl val="0"/>
      </c:catAx>
      <c:valAx>
        <c:axId val="2126986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126983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5.897539584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13.3224348823719</c:v>
                </c:pt>
                <c:pt idx="1">
                  <c:v>11.41922989917591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39.19080566662916</c:v>
                </c:pt>
                <c:pt idx="1">
                  <c:v>201.9311492369414</c:v>
                </c:pt>
                <c:pt idx="2">
                  <c:v>141.086900399865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026056"/>
        <c:axId val="2127031576"/>
      </c:barChart>
      <c:catAx>
        <c:axId val="2127026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7031576"/>
        <c:crosses val="autoZero"/>
        <c:auto val="1"/>
        <c:lblAlgn val="ctr"/>
        <c:lblOffset val="100"/>
        <c:noMultiLvlLbl val="0"/>
      </c:catAx>
      <c:valAx>
        <c:axId val="2127031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27026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5.897539584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24.74166478154781</c:v>
                </c:pt>
                <c:pt idx="2">
                  <c:v>209.1148822272223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152.2243460190986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913624"/>
        <c:axId val="2126916600"/>
      </c:barChart>
      <c:catAx>
        <c:axId val="2126913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916600"/>
        <c:crosses val="autoZero"/>
        <c:auto val="1"/>
        <c:lblAlgn val="ctr"/>
        <c:lblOffset val="100"/>
        <c:noMultiLvlLbl val="0"/>
      </c:catAx>
      <c:valAx>
        <c:axId val="2126916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26913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5.897539584</c:v>
                </c:pt>
                <c:pt idx="1">
                  <c:v>24.74166478154781</c:v>
                </c:pt>
                <c:pt idx="2">
                  <c:v>361.3392282463209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'RESULT-equal'!$B$15:$D$15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'RESULT-equal'!$B$19:$D$19</c:f>
              <c:numCache>
                <c:formatCode>0.0</c:formatCode>
                <c:ptCount val="3"/>
                <c:pt idx="0">
                  <c:v>32.7641088</c:v>
                </c:pt>
                <c:pt idx="1">
                  <c:v>479.8724670144099</c:v>
                </c:pt>
                <c:pt idx="2">
                  <c:v>287.2157472058464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'RESULT-equal'!$B$56:$E$56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'RESULT-equal'!$B$60:$E$60</c:f>
              <c:numCache>
                <c:formatCode>0.0</c:formatCode>
                <c:ptCount val="4"/>
                <c:pt idx="0">
                  <c:v>152.6484557809991</c:v>
                </c:pt>
                <c:pt idx="1">
                  <c:v>381.0021683715875</c:v>
                </c:pt>
                <c:pt idx="2">
                  <c:v>266.2016988676697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5.897539584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7.065426738035804</c:v>
                </c:pt>
                <c:pt idx="1">
                  <c:v>5.523619984928844</c:v>
                </c:pt>
                <c:pt idx="2">
                  <c:v>12.15261805858316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36.19731516367757</c:v>
                </c:pt>
                <c:pt idx="1">
                  <c:v>167.154741240267</c:v>
                </c:pt>
                <c:pt idx="2">
                  <c:v>140.7857589022757</c:v>
                </c:pt>
                <c:pt idx="3">
                  <c:v>17.2014129401006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744104"/>
        <c:axId val="2126747080"/>
      </c:barChart>
      <c:catAx>
        <c:axId val="2126744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747080"/>
        <c:crosses val="autoZero"/>
        <c:auto val="1"/>
        <c:lblAlgn val="ctr"/>
        <c:lblOffset val="100"/>
        <c:noMultiLvlLbl val="0"/>
      </c:catAx>
      <c:valAx>
        <c:axId val="2126747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26744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49.16028148571338</c:v>
                </c:pt>
                <c:pt idx="1">
                  <c:v>172.6783612251958</c:v>
                </c:pt>
                <c:pt idx="2">
                  <c:v>152.9383769608589</c:v>
                </c:pt>
                <c:pt idx="3">
                  <c:v>17.2014129401006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Aggregation on Throughput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'Aggregate data tables'!$A$10:$A$59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'Aggregate data tables'!$B$10:$B$59</c:f>
              <c:numCache>
                <c:formatCode>0.0</c:formatCode>
                <c:ptCount val="50"/>
                <c:pt idx="0">
                  <c:v>97.97163747659056</c:v>
                </c:pt>
                <c:pt idx="1">
                  <c:v>137.1836031222824</c:v>
                </c:pt>
                <c:pt idx="2">
                  <c:v>158.8972409008282</c:v>
                </c:pt>
                <c:pt idx="3">
                  <c:v>172.4041918646958</c:v>
                </c:pt>
                <c:pt idx="4">
                  <c:v>182.5083337572783</c:v>
                </c:pt>
                <c:pt idx="5">
                  <c:v>189.599347160502</c:v>
                </c:pt>
                <c:pt idx="6">
                  <c:v>195.5563736843068</c:v>
                </c:pt>
                <c:pt idx="7">
                  <c:v>200.0268761057245</c:v>
                </c:pt>
                <c:pt idx="8">
                  <c:v>203.9216800130093</c:v>
                </c:pt>
                <c:pt idx="9">
                  <c:v>207.3211157899631</c:v>
                </c:pt>
                <c:pt idx="10">
                  <c:v>209.8419460283114</c:v>
                </c:pt>
                <c:pt idx="11">
                  <c:v>212.0935431470694</c:v>
                </c:pt>
                <c:pt idx="12">
                  <c:v>214.221961616188</c:v>
                </c:pt>
                <c:pt idx="13">
                  <c:v>216.1722428007619</c:v>
                </c:pt>
                <c:pt idx="14">
                  <c:v>217.6318738098352</c:v>
                </c:pt>
                <c:pt idx="15">
                  <c:v>219.1726775692969</c:v>
                </c:pt>
                <c:pt idx="16">
                  <c:v>220.3009518426256</c:v>
                </c:pt>
                <c:pt idx="17">
                  <c:v>221.5788974636603</c:v>
                </c:pt>
                <c:pt idx="18">
                  <c:v>222.512506856442</c:v>
                </c:pt>
                <c:pt idx="19">
                  <c:v>223.5745447433791</c:v>
                </c:pt>
                <c:pt idx="20">
                  <c:v>224.50253390573</c:v>
                </c:pt>
                <c:pt idx="21">
                  <c:v>225.2534275019531</c:v>
                </c:pt>
                <c:pt idx="22">
                  <c:v>225.9146987763817</c:v>
                </c:pt>
                <c:pt idx="23">
                  <c:v>226.6847306258667</c:v>
                </c:pt>
                <c:pt idx="24">
                  <c:v>227.35184894502</c:v>
                </c:pt>
                <c:pt idx="25">
                  <c:v>228.010288665258</c:v>
                </c:pt>
                <c:pt idx="26">
                  <c:v>228.4910481646755</c:v>
                </c:pt>
                <c:pt idx="27">
                  <c:v>228.9707670115704</c:v>
                </c:pt>
                <c:pt idx="28">
                  <c:v>229.496230937363</c:v>
                </c:pt>
                <c:pt idx="29">
                  <c:v>229.9121933258706</c:v>
                </c:pt>
                <c:pt idx="30">
                  <c:v>230.3838653085534</c:v>
                </c:pt>
                <c:pt idx="31">
                  <c:v>230.8434869251296</c:v>
                </c:pt>
                <c:pt idx="32">
                  <c:v>231.2011086932534</c:v>
                </c:pt>
                <c:pt idx="33">
                  <c:v>231.4819325730354</c:v>
                </c:pt>
                <c:pt idx="34">
                  <c:v>231.8794985684517</c:v>
                </c:pt>
                <c:pt idx="35">
                  <c:v>232.2405576961528</c:v>
                </c:pt>
                <c:pt idx="36">
                  <c:v>232.6014974103402</c:v>
                </c:pt>
                <c:pt idx="37">
                  <c:v>232.7616923831006</c:v>
                </c:pt>
                <c:pt idx="38">
                  <c:v>233.0842376396878</c:v>
                </c:pt>
                <c:pt idx="39">
                  <c:v>233.3834479505849</c:v>
                </c:pt>
                <c:pt idx="40">
                  <c:v>233.6865192578861</c:v>
                </c:pt>
                <c:pt idx="41">
                  <c:v>233.8644983929438</c:v>
                </c:pt>
                <c:pt idx="42">
                  <c:v>234.1426272123787</c:v>
                </c:pt>
                <c:pt idx="43">
                  <c:v>234.32771802501</c:v>
                </c:pt>
                <c:pt idx="44">
                  <c:v>234.5098787487392</c:v>
                </c:pt>
                <c:pt idx="45">
                  <c:v>234.7404424856539</c:v>
                </c:pt>
                <c:pt idx="46">
                  <c:v>234.97713600121</c:v>
                </c:pt>
                <c:pt idx="47">
                  <c:v>235.1867058550534</c:v>
                </c:pt>
                <c:pt idx="48">
                  <c:v>235.2877296503123</c:v>
                </c:pt>
                <c:pt idx="49">
                  <c:v>235.4738706369969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85320"/>
        <c:axId val="2126690792"/>
      </c:scatterChart>
      <c:valAx>
        <c:axId val="2126685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Aggregate size (frames)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6690792"/>
        <c:crosses val="autoZero"/>
        <c:crossBetween val="midCat"/>
      </c:valAx>
      <c:valAx>
        <c:axId val="2126690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26685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% of max (left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tables'!$C$11:$C$59</c:f>
              <c:numCache>
                <c:formatCode>0%</c:formatCode>
                <c:ptCount val="49"/>
                <c:pt idx="0">
                  <c:v>0.582585247149407</c:v>
                </c:pt>
                <c:pt idx="1">
                  <c:v>0.674797761938444</c:v>
                </c:pt>
                <c:pt idx="2">
                  <c:v>0.732158482800292</c:v>
                </c:pt>
                <c:pt idx="3">
                  <c:v>0.7750683048763</c:v>
                </c:pt>
                <c:pt idx="4">
                  <c:v>0.80518210639509</c:v>
                </c:pt>
                <c:pt idx="5">
                  <c:v>0.830480142681196</c:v>
                </c:pt>
                <c:pt idx="6">
                  <c:v>0.849465274277005</c:v>
                </c:pt>
                <c:pt idx="7">
                  <c:v>0.866005554932131</c:v>
                </c:pt>
                <c:pt idx="8">
                  <c:v>0.880442128161074</c:v>
                </c:pt>
                <c:pt idx="9">
                  <c:v>0.891147478319583</c:v>
                </c:pt>
                <c:pt idx="10">
                  <c:v>0.900709461195504</c:v>
                </c:pt>
                <c:pt idx="11">
                  <c:v>0.90974833444017</c:v>
                </c:pt>
                <c:pt idx="12">
                  <c:v>0.918030702158074</c:v>
                </c:pt>
                <c:pt idx="13">
                  <c:v>0.924229398451318</c:v>
                </c:pt>
                <c:pt idx="14">
                  <c:v>0.930772815584156</c:v>
                </c:pt>
                <c:pt idx="15">
                  <c:v>0.93556432077442</c:v>
                </c:pt>
                <c:pt idx="16">
                  <c:v>0.940991443612201</c:v>
                </c:pt>
                <c:pt idx="17">
                  <c:v>0.944956254613337</c:v>
                </c:pt>
                <c:pt idx="18">
                  <c:v>0.9494664700528</c:v>
                </c:pt>
                <c:pt idx="19">
                  <c:v>0.953407413308375</c:v>
                </c:pt>
                <c:pt idx="20">
                  <c:v>0.956596274960802</c:v>
                </c:pt>
                <c:pt idx="21">
                  <c:v>0.959404532508189</c:v>
                </c:pt>
                <c:pt idx="22">
                  <c:v>0.962674669646555</c:v>
                </c:pt>
                <c:pt idx="23">
                  <c:v>0.965507758164396</c:v>
                </c:pt>
                <c:pt idx="24">
                  <c:v>0.968303990792912</c:v>
                </c:pt>
                <c:pt idx="25">
                  <c:v>0.970345658932638</c:v>
                </c:pt>
                <c:pt idx="26">
                  <c:v>0.972382907675342</c:v>
                </c:pt>
                <c:pt idx="27">
                  <c:v>0.974614424592149</c:v>
                </c:pt>
                <c:pt idx="28">
                  <c:v>0.976380915232416</c:v>
                </c:pt>
                <c:pt idx="29">
                  <c:v>0.97838399090874</c:v>
                </c:pt>
                <c:pt idx="30">
                  <c:v>0.980335891624233</c:v>
                </c:pt>
                <c:pt idx="31">
                  <c:v>0.98185462390292</c:v>
                </c:pt>
                <c:pt idx="32">
                  <c:v>0.983047214312303</c:v>
                </c:pt>
                <c:pt idx="33">
                  <c:v>0.984735579965532</c:v>
                </c:pt>
                <c:pt idx="34">
                  <c:v>0.986268909870562</c:v>
                </c:pt>
                <c:pt idx="35">
                  <c:v>0.987801732655575</c:v>
                </c:pt>
                <c:pt idx="36">
                  <c:v>0.988482041567672</c:v>
                </c:pt>
                <c:pt idx="37">
                  <c:v>0.989851812471402</c:v>
                </c:pt>
                <c:pt idx="38">
                  <c:v>0.991122485561744</c:v>
                </c:pt>
                <c:pt idx="39">
                  <c:v>0.992409555360534</c:v>
                </c:pt>
                <c:pt idx="40">
                  <c:v>0.993165389265062</c:v>
                </c:pt>
                <c:pt idx="41">
                  <c:v>0.99434653441158</c:v>
                </c:pt>
                <c:pt idx="42">
                  <c:v>0.995132569873309</c:v>
                </c:pt>
                <c:pt idx="43">
                  <c:v>0.995906161963321</c:v>
                </c:pt>
                <c:pt idx="44">
                  <c:v>0.996885309824997</c:v>
                </c:pt>
                <c:pt idx="45">
                  <c:v>0.997890489358997</c:v>
                </c:pt>
                <c:pt idx="46">
                  <c:v>0.998780481328282</c:v>
                </c:pt>
                <c:pt idx="47">
                  <c:v>0.999209504705634</c:v>
                </c:pt>
                <c:pt idx="4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46584"/>
        <c:axId val="2126649576"/>
      </c:scatterChart>
      <c:scatterChart>
        <c:scatterStyle val="smoothMarker"/>
        <c:varyColors val="0"/>
        <c:ser>
          <c:idx val="1"/>
          <c:order val="1"/>
          <c:tx>
            <c:v>Gain (right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tables'!$D$11:$D$59</c:f>
              <c:numCache>
                <c:formatCode>0.0%</c:formatCode>
                <c:ptCount val="49"/>
                <c:pt idx="0">
                  <c:v>0.166523638226258</c:v>
                </c:pt>
                <c:pt idx="1">
                  <c:v>0.0922125147890366</c:v>
                </c:pt>
                <c:pt idx="2">
                  <c:v>0.0573607208618478</c:v>
                </c:pt>
                <c:pt idx="3">
                  <c:v>0.0429098220760081</c:v>
                </c:pt>
                <c:pt idx="4">
                  <c:v>0.0301138015187896</c:v>
                </c:pt>
                <c:pt idx="5">
                  <c:v>0.0252980362861068</c:v>
                </c:pt>
                <c:pt idx="6">
                  <c:v>0.0189851315958084</c:v>
                </c:pt>
                <c:pt idx="7">
                  <c:v>0.0165402806551258</c:v>
                </c:pt>
                <c:pt idx="8">
                  <c:v>0.0144365732289438</c:v>
                </c:pt>
                <c:pt idx="9">
                  <c:v>0.0107053501585084</c:v>
                </c:pt>
                <c:pt idx="10">
                  <c:v>0.00956198287592158</c:v>
                </c:pt>
                <c:pt idx="11">
                  <c:v>0.00903887324466579</c:v>
                </c:pt>
                <c:pt idx="12">
                  <c:v>0.00828236771790436</c:v>
                </c:pt>
                <c:pt idx="13">
                  <c:v>0.00619869629324388</c:v>
                </c:pt>
                <c:pt idx="14">
                  <c:v>0.00654341713283757</c:v>
                </c:pt>
                <c:pt idx="15">
                  <c:v>0.00479150519026383</c:v>
                </c:pt>
                <c:pt idx="16">
                  <c:v>0.00542712283778102</c:v>
                </c:pt>
                <c:pt idx="17">
                  <c:v>0.0039648110011361</c:v>
                </c:pt>
                <c:pt idx="18">
                  <c:v>0.00451021543946317</c:v>
                </c:pt>
                <c:pt idx="19">
                  <c:v>0.00394094325557459</c:v>
                </c:pt>
                <c:pt idx="20">
                  <c:v>0.00318886165242771</c:v>
                </c:pt>
                <c:pt idx="21">
                  <c:v>0.00280825754738634</c:v>
                </c:pt>
                <c:pt idx="22">
                  <c:v>0.00327013713836666</c:v>
                </c:pt>
                <c:pt idx="23">
                  <c:v>0.00283308851784114</c:v>
                </c:pt>
                <c:pt idx="24">
                  <c:v>0.00279623262851536</c:v>
                </c:pt>
                <c:pt idx="25">
                  <c:v>0.00204166813972617</c:v>
                </c:pt>
                <c:pt idx="26">
                  <c:v>0.00203724874270394</c:v>
                </c:pt>
                <c:pt idx="27">
                  <c:v>0.00223151691680723</c:v>
                </c:pt>
                <c:pt idx="28">
                  <c:v>0.00176649064026713</c:v>
                </c:pt>
                <c:pt idx="29">
                  <c:v>0.00200307567632363</c:v>
                </c:pt>
                <c:pt idx="30">
                  <c:v>0.001951900715493</c:v>
                </c:pt>
                <c:pt idx="31">
                  <c:v>0.00151873227868704</c:v>
                </c:pt>
                <c:pt idx="32">
                  <c:v>0.00119259040938291</c:v>
                </c:pt>
                <c:pt idx="33">
                  <c:v>0.00168836565322872</c:v>
                </c:pt>
                <c:pt idx="34">
                  <c:v>0.00153332990503074</c:v>
                </c:pt>
                <c:pt idx="35">
                  <c:v>0.00153282278501254</c:v>
                </c:pt>
                <c:pt idx="36">
                  <c:v>0.000680308912096916</c:v>
                </c:pt>
                <c:pt idx="37">
                  <c:v>0.00136977090372981</c:v>
                </c:pt>
                <c:pt idx="38">
                  <c:v>0.00127067309034212</c:v>
                </c:pt>
                <c:pt idx="39">
                  <c:v>0.00128706979879056</c:v>
                </c:pt>
                <c:pt idx="40">
                  <c:v>0.000755833904527492</c:v>
                </c:pt>
                <c:pt idx="41">
                  <c:v>0.00118114514651857</c:v>
                </c:pt>
                <c:pt idx="42">
                  <c:v>0.000786035461728951</c:v>
                </c:pt>
                <c:pt idx="43">
                  <c:v>0.000773592090011932</c:v>
                </c:pt>
                <c:pt idx="44">
                  <c:v>0.000979147861675522</c:v>
                </c:pt>
                <c:pt idx="45">
                  <c:v>0.00100517953400026</c:v>
                </c:pt>
                <c:pt idx="46">
                  <c:v>0.000889991969284964</c:v>
                </c:pt>
                <c:pt idx="47">
                  <c:v>0.000429023377352289</c:v>
                </c:pt>
                <c:pt idx="48">
                  <c:v>0.0007904952943657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44504"/>
        <c:axId val="2126652616"/>
      </c:scatterChart>
      <c:valAx>
        <c:axId val="212664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649576"/>
        <c:crosses val="autoZero"/>
        <c:crossBetween val="midCat"/>
      </c:valAx>
      <c:valAx>
        <c:axId val="2126649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6646584"/>
        <c:crosses val="autoZero"/>
        <c:crossBetween val="midCat"/>
      </c:valAx>
      <c:valAx>
        <c:axId val="212665261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2126644504"/>
        <c:crosses val="max"/>
        <c:crossBetween val="midCat"/>
      </c:valAx>
      <c:valAx>
        <c:axId val="212664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6652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355600</xdr:rowOff>
    </xdr:from>
    <xdr:to>
      <xdr:col>16</xdr:col>
      <xdr:colOff>177800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</xdr:row>
      <xdr:rowOff>50800</xdr:rowOff>
    </xdr:from>
    <xdr:to>
      <xdr:col>14</xdr:col>
      <xdr:colOff>393700</xdr:colOff>
      <xdr:row>27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302</v>
      </c>
    </row>
    <row r="5" spans="1:2">
      <c r="A5" t="s">
        <v>179</v>
      </c>
    </row>
    <row r="6" spans="1:2">
      <c r="B6" t="s">
        <v>192</v>
      </c>
    </row>
    <row r="7" spans="1:2">
      <c r="B7" t="s">
        <v>305</v>
      </c>
    </row>
    <row r="8" spans="1:2">
      <c r="B8" t="s">
        <v>304</v>
      </c>
    </row>
    <row r="9" spans="1:2">
      <c r="B9" t="s">
        <v>303</v>
      </c>
    </row>
    <row r="10" spans="1:2">
      <c r="B10" t="s">
        <v>306</v>
      </c>
    </row>
    <row r="12" spans="1:2">
      <c r="A12" t="s">
        <v>180</v>
      </c>
    </row>
    <row r="13" spans="1:2">
      <c r="B13" t="s">
        <v>181</v>
      </c>
    </row>
    <row r="14" spans="1:2">
      <c r="B14" t="s">
        <v>182</v>
      </c>
    </row>
    <row r="15" spans="1:2">
      <c r="B15" t="s">
        <v>183</v>
      </c>
    </row>
    <row r="16" spans="1:2">
      <c r="B16" t="s">
        <v>184</v>
      </c>
    </row>
    <row r="17" spans="1:2">
      <c r="B17" t="s">
        <v>185</v>
      </c>
    </row>
    <row r="18" spans="1:2">
      <c r="B18" t="s">
        <v>186</v>
      </c>
    </row>
    <row r="19" spans="1:2">
      <c r="B19" t="s">
        <v>301</v>
      </c>
    </row>
    <row r="21" spans="1:2">
      <c r="A21" t="s">
        <v>187</v>
      </c>
    </row>
    <row r="22" spans="1:2">
      <c r="B22" t="s">
        <v>188</v>
      </c>
    </row>
    <row r="23" spans="1:2">
      <c r="B23" t="s">
        <v>189</v>
      </c>
    </row>
    <row r="24" spans="1:2">
      <c r="B24" t="s">
        <v>190</v>
      </c>
    </row>
    <row r="26" spans="1:2">
      <c r="A26" t="s">
        <v>200</v>
      </c>
    </row>
    <row r="27" spans="1:2">
      <c r="B27" t="s">
        <v>191</v>
      </c>
    </row>
    <row r="28" spans="1:2">
      <c r="B28" t="s">
        <v>298</v>
      </c>
    </row>
    <row r="29" spans="1:2">
      <c r="B29" t="s">
        <v>299</v>
      </c>
    </row>
    <row r="30" spans="1:2">
      <c r="B30" t="s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4" workbookViewId="0">
      <selection activeCell="B28" sqref="B28"/>
    </sheetView>
  </sheetViews>
  <sheetFormatPr baseColWidth="10" defaultRowHeight="15" x14ac:dyDescent="0"/>
  <cols>
    <col min="1" max="1" width="26.1640625" customWidth="1"/>
    <col min="3" max="3" width="0" hidden="1" customWidth="1"/>
    <col min="4" max="4" width="1.1640625" customWidth="1"/>
    <col min="7" max="7" width="0" hidden="1" customWidth="1"/>
    <col min="8" max="8" width="2.1640625" customWidth="1"/>
  </cols>
  <sheetData>
    <row r="1" spans="1:10" s="9" customFormat="1" ht="30">
      <c r="A1" s="14" t="s">
        <v>98</v>
      </c>
    </row>
    <row r="2" spans="1:10" s="9" customFormat="1"/>
    <row r="3" spans="1:10" s="9" customFormat="1">
      <c r="A3" s="9" t="s">
        <v>99</v>
      </c>
    </row>
    <row r="4" spans="1:10" s="9" customFormat="1"/>
    <row r="5" spans="1:10">
      <c r="A5" s="4" t="s">
        <v>93</v>
      </c>
      <c r="I5" s="4" t="s">
        <v>226</v>
      </c>
    </row>
    <row r="6" spans="1:10">
      <c r="A6" t="s">
        <v>45</v>
      </c>
      <c r="B6" s="3">
        <v>0.18</v>
      </c>
      <c r="I6" t="s">
        <v>45</v>
      </c>
      <c r="J6" s="24">
        <v>5</v>
      </c>
    </row>
    <row r="7" spans="1:10">
      <c r="A7" t="s">
        <v>46</v>
      </c>
      <c r="B7" s="3">
        <v>0.28999999999999998</v>
      </c>
      <c r="I7" t="s">
        <v>46</v>
      </c>
      <c r="J7" s="24">
        <v>7</v>
      </c>
    </row>
    <row r="8" spans="1:10">
      <c r="A8" t="s">
        <v>47</v>
      </c>
      <c r="B8" s="3">
        <v>0.53</v>
      </c>
      <c r="I8" t="s">
        <v>47</v>
      </c>
      <c r="J8" s="24">
        <v>10</v>
      </c>
    </row>
    <row r="9" spans="1:10">
      <c r="B9" s="1">
        <f>SUM(B6:B8)</f>
        <v>1</v>
      </c>
      <c r="C9" s="2" t="str">
        <f>IF(NOT(B9=1),"ERROR","OK")</f>
        <v>OK</v>
      </c>
    </row>
    <row r="11" spans="1:10">
      <c r="A11" s="4" t="s">
        <v>37</v>
      </c>
      <c r="E11" s="4" t="s">
        <v>40</v>
      </c>
    </row>
    <row r="12" spans="1:10">
      <c r="A12" t="s">
        <v>0</v>
      </c>
      <c r="B12" s="3">
        <v>0.5</v>
      </c>
      <c r="E12" t="s">
        <v>35</v>
      </c>
      <c r="F12" s="3">
        <v>0.7</v>
      </c>
    </row>
    <row r="13" spans="1:10">
      <c r="A13" t="s">
        <v>1</v>
      </c>
      <c r="B13" s="3">
        <v>0.2</v>
      </c>
      <c r="E13" t="s">
        <v>36</v>
      </c>
      <c r="F13" s="3">
        <v>0.3</v>
      </c>
    </row>
    <row r="14" spans="1:10">
      <c r="A14" t="s">
        <v>2</v>
      </c>
      <c r="B14" s="3">
        <v>0.3</v>
      </c>
      <c r="F14" s="1">
        <f>SUM(F12:F13)</f>
        <v>1</v>
      </c>
      <c r="G14" s="2" t="str">
        <f>IF(NOT(F14=1),"ERROR","OK")</f>
        <v>OK</v>
      </c>
    </row>
    <row r="15" spans="1:10">
      <c r="A15" t="s">
        <v>3</v>
      </c>
      <c r="B15" s="3">
        <v>0</v>
      </c>
    </row>
    <row r="16" spans="1:10">
      <c r="B16" s="1">
        <f>SUM(B12:B15)</f>
        <v>1</v>
      </c>
      <c r="C16" s="2" t="str">
        <f>IF(NOT(B16=1),"ERROR","OK")</f>
        <v>OK</v>
      </c>
    </row>
    <row r="18" spans="1:7">
      <c r="A18" s="4" t="s">
        <v>33</v>
      </c>
      <c r="E18" s="4" t="s">
        <v>34</v>
      </c>
    </row>
    <row r="19" spans="1:7">
      <c r="A19" t="s">
        <v>0</v>
      </c>
      <c r="B19" s="3">
        <v>0.15</v>
      </c>
      <c r="E19" t="s">
        <v>35</v>
      </c>
      <c r="F19" s="3">
        <v>0.25</v>
      </c>
    </row>
    <row r="20" spans="1:7">
      <c r="A20" t="s">
        <v>1</v>
      </c>
      <c r="B20" s="3">
        <v>0.45</v>
      </c>
      <c r="E20" t="s">
        <v>36</v>
      </c>
      <c r="F20" s="3">
        <v>0.55000000000000004</v>
      </c>
    </row>
    <row r="21" spans="1:7">
      <c r="A21" t="s">
        <v>2</v>
      </c>
      <c r="B21" s="3">
        <v>0.35</v>
      </c>
      <c r="E21" t="s">
        <v>38</v>
      </c>
      <c r="F21" s="3">
        <v>0.2</v>
      </c>
    </row>
    <row r="22" spans="1:7">
      <c r="A22" t="s">
        <v>3</v>
      </c>
      <c r="B22" s="3">
        <v>0.05</v>
      </c>
      <c r="E22" t="s">
        <v>39</v>
      </c>
      <c r="F22" s="3">
        <v>0</v>
      </c>
    </row>
    <row r="23" spans="1:7">
      <c r="B23" s="1">
        <f>SUM(B19:B22)</f>
        <v>1</v>
      </c>
      <c r="C23" s="2" t="str">
        <f>IF(NOT(B23=1),"ERROR","OK")</f>
        <v>OK</v>
      </c>
      <c r="F23" s="1">
        <f>SUM(F19:F22)</f>
        <v>1</v>
      </c>
      <c r="G23" s="2" t="str">
        <f>IF(NOT(F23=1),"ERROR","OK")</f>
        <v>OK</v>
      </c>
    </row>
    <row r="25" spans="1:7">
      <c r="A25" s="4" t="s">
        <v>43</v>
      </c>
    </row>
    <row r="26" spans="1:7">
      <c r="A26" t="s">
        <v>44</v>
      </c>
      <c r="B26" s="3">
        <v>0.5</v>
      </c>
    </row>
    <row r="27" spans="1:7">
      <c r="A27" t="s">
        <v>97</v>
      </c>
      <c r="B27" s="5">
        <v>4</v>
      </c>
    </row>
    <row r="29" spans="1:7">
      <c r="A29" s="4" t="s">
        <v>94</v>
      </c>
    </row>
    <row r="30" spans="1:7">
      <c r="A30" t="s">
        <v>95</v>
      </c>
      <c r="B30" s="5">
        <v>0</v>
      </c>
    </row>
    <row r="31" spans="1:7">
      <c r="A31" t="s">
        <v>96</v>
      </c>
      <c r="B31" s="5">
        <f>'Aggregate data tables'!B4</f>
        <v>40</v>
      </c>
    </row>
  </sheetData>
  <conditionalFormatting sqref="C9">
    <cfRule type="expression" dxfId="19" priority="19">
      <formula>C9="OK"</formula>
    </cfRule>
    <cfRule type="expression" dxfId="18" priority="20">
      <formula>C9="ERROR"</formula>
    </cfRule>
  </conditionalFormatting>
  <conditionalFormatting sqref="C16">
    <cfRule type="expression" dxfId="17" priority="7">
      <formula>C16="OK"</formula>
    </cfRule>
    <cfRule type="expression" dxfId="16" priority="8">
      <formula>C16="ERROR"</formula>
    </cfRule>
  </conditionalFormatting>
  <conditionalFormatting sqref="C23">
    <cfRule type="expression" dxfId="15" priority="5">
      <formula>C23="OK"</formula>
    </cfRule>
    <cfRule type="expression" dxfId="14" priority="6">
      <formula>C23="ERROR"</formula>
    </cfRule>
  </conditionalFormatting>
  <conditionalFormatting sqref="G23">
    <cfRule type="expression" dxfId="13" priority="3">
      <formula>G23="OK"</formula>
    </cfRule>
    <cfRule type="expression" dxfId="12" priority="4">
      <formula>G23="ERROR"</formula>
    </cfRule>
  </conditionalFormatting>
  <conditionalFormatting sqref="G14">
    <cfRule type="expression" dxfId="11" priority="1">
      <formula>G14="OK"</formula>
    </cfRule>
    <cfRule type="expression" dxfId="10" priority="2">
      <formula>G14="ERROR"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J15" sqref="J15"/>
    </sheetView>
  </sheetViews>
  <sheetFormatPr baseColWidth="10" defaultRowHeight="15" x14ac:dyDescent="0"/>
  <cols>
    <col min="1" max="1" width="15.5" customWidth="1"/>
    <col min="3" max="3" width="4.33203125" hidden="1" customWidth="1"/>
    <col min="4" max="4" width="2.1640625" customWidth="1"/>
    <col min="5" max="5" width="14.83203125" customWidth="1"/>
    <col min="7" max="7" width="3.83203125" hidden="1" customWidth="1"/>
    <col min="8" max="8" width="1.6640625" customWidth="1"/>
    <col min="11" max="11" width="0" hidden="1" customWidth="1"/>
  </cols>
  <sheetData>
    <row r="1" spans="1:11" ht="30">
      <c r="A1" s="14" t="s">
        <v>133</v>
      </c>
    </row>
    <row r="3" spans="1:11" s="9" customFormat="1">
      <c r="A3" s="9" t="s">
        <v>100</v>
      </c>
    </row>
    <row r="4" spans="1:11" s="9" customFormat="1"/>
    <row r="5" spans="1:11">
      <c r="A5" s="27" t="s">
        <v>4</v>
      </c>
      <c r="B5" s="27"/>
      <c r="E5" s="27" t="s">
        <v>13</v>
      </c>
      <c r="F5" s="27"/>
      <c r="I5" s="27" t="s">
        <v>22</v>
      </c>
      <c r="J5" s="27"/>
    </row>
    <row r="6" spans="1:11">
      <c r="A6">
        <v>6</v>
      </c>
      <c r="B6" s="3">
        <v>0.05</v>
      </c>
      <c r="E6" t="s">
        <v>14</v>
      </c>
      <c r="F6" s="3">
        <v>0.05</v>
      </c>
      <c r="I6" t="s">
        <v>24</v>
      </c>
      <c r="J6" s="3">
        <v>0</v>
      </c>
    </row>
    <row r="7" spans="1:11">
      <c r="A7">
        <v>9</v>
      </c>
      <c r="B7" s="3">
        <v>0.05</v>
      </c>
      <c r="E7" t="s">
        <v>15</v>
      </c>
      <c r="F7" s="3">
        <v>0.1</v>
      </c>
      <c r="I7" t="s">
        <v>25</v>
      </c>
      <c r="J7" s="3">
        <v>0</v>
      </c>
    </row>
    <row r="8" spans="1:11">
      <c r="A8">
        <v>12</v>
      </c>
      <c r="B8" s="3">
        <v>0.05</v>
      </c>
      <c r="E8" t="s">
        <v>16</v>
      </c>
      <c r="F8" s="3">
        <v>0.1</v>
      </c>
      <c r="I8" t="s">
        <v>23</v>
      </c>
      <c r="J8" s="3">
        <v>0</v>
      </c>
    </row>
    <row r="9" spans="1:11">
      <c r="A9">
        <v>18</v>
      </c>
      <c r="B9" s="3">
        <v>0.15</v>
      </c>
      <c r="E9" t="s">
        <v>17</v>
      </c>
      <c r="F9" s="3">
        <v>0.1</v>
      </c>
      <c r="I9" t="s">
        <v>26</v>
      </c>
      <c r="J9" s="3">
        <v>0</v>
      </c>
    </row>
    <row r="10" spans="1:11">
      <c r="A10">
        <v>24</v>
      </c>
      <c r="B10" s="3">
        <v>0.15</v>
      </c>
      <c r="E10" t="s">
        <v>18</v>
      </c>
      <c r="F10" s="3">
        <v>0.15</v>
      </c>
      <c r="I10" t="s">
        <v>27</v>
      </c>
      <c r="J10" s="3">
        <v>0</v>
      </c>
    </row>
    <row r="11" spans="1:11">
      <c r="A11">
        <v>36</v>
      </c>
      <c r="B11" s="3">
        <v>0.2</v>
      </c>
      <c r="E11" t="s">
        <v>19</v>
      </c>
      <c r="F11" s="3">
        <v>0.25</v>
      </c>
      <c r="I11" t="s">
        <v>28</v>
      </c>
      <c r="J11" s="3">
        <v>0</v>
      </c>
    </row>
    <row r="12" spans="1:11">
      <c r="A12">
        <v>48</v>
      </c>
      <c r="B12" s="3">
        <v>0.2</v>
      </c>
      <c r="E12" t="s">
        <v>20</v>
      </c>
      <c r="F12" s="3">
        <v>0.15</v>
      </c>
      <c r="I12" t="s">
        <v>29</v>
      </c>
      <c r="J12" s="3">
        <v>0</v>
      </c>
    </row>
    <row r="13" spans="1:11">
      <c r="A13">
        <v>54</v>
      </c>
      <c r="B13" s="3">
        <v>0.15</v>
      </c>
      <c r="E13" t="s">
        <v>21</v>
      </c>
      <c r="F13" s="3">
        <v>0.1</v>
      </c>
      <c r="I13" t="s">
        <v>30</v>
      </c>
      <c r="J13" s="3">
        <v>0</v>
      </c>
    </row>
    <row r="14" spans="1:11">
      <c r="B14" s="1">
        <f>SUM(B6:B13)</f>
        <v>1</v>
      </c>
      <c r="C14" s="2" t="str">
        <f>IF(NOT(B14=1),"ERROR","OK")</f>
        <v>OK</v>
      </c>
      <c r="F14" s="1">
        <f>SUM(F6:F13)</f>
        <v>1</v>
      </c>
      <c r="G14" s="2" t="str">
        <f>IF(NOT(F14=1),"ERROR","OK")</f>
        <v>OK</v>
      </c>
      <c r="I14" t="s">
        <v>31</v>
      </c>
      <c r="J14" s="3">
        <v>0</v>
      </c>
    </row>
    <row r="15" spans="1:11">
      <c r="B15" s="1"/>
      <c r="C15" s="2"/>
      <c r="I15" t="s">
        <v>32</v>
      </c>
      <c r="J15" s="3">
        <v>1</v>
      </c>
    </row>
    <row r="16" spans="1:11">
      <c r="J16" s="1">
        <f>SUM(J6:J15)</f>
        <v>1</v>
      </c>
      <c r="K16" s="2" t="str">
        <f>IF(NOT(J16=1),"ERROR","OK")</f>
        <v>OK</v>
      </c>
    </row>
  </sheetData>
  <mergeCells count="3">
    <mergeCell ref="A5:B5"/>
    <mergeCell ref="E5:F5"/>
    <mergeCell ref="I5:J5"/>
  </mergeCells>
  <conditionalFormatting sqref="C14:C15">
    <cfRule type="expression" dxfId="9" priority="5">
      <formula>C14="OK"</formula>
    </cfRule>
    <cfRule type="expression" dxfId="8" priority="6">
      <formula>C14="ERROR"</formula>
    </cfRule>
  </conditionalFormatting>
  <conditionalFormatting sqref="G14">
    <cfRule type="expression" dxfId="7" priority="3">
      <formula>G14="OK"</formula>
    </cfRule>
    <cfRule type="expression" dxfId="6" priority="4">
      <formula>G14="ERROR"</formula>
    </cfRule>
  </conditionalFormatting>
  <conditionalFormatting sqref="K16">
    <cfRule type="expression" dxfId="5" priority="1">
      <formula>K16="OK"</formula>
    </cfRule>
    <cfRule type="expression" dxfId="4" priority="2">
      <formula>K16="ERROR"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36" sqref="D36"/>
    </sheetView>
  </sheetViews>
  <sheetFormatPr baseColWidth="10" defaultRowHeight="15" x14ac:dyDescent="0"/>
  <cols>
    <col min="1" max="2" width="10.83203125" customWidth="1"/>
  </cols>
  <sheetData>
    <row r="1" spans="1:7">
      <c r="A1" s="28" t="str">
        <f>IF(Errors!B18="ERROR","WARNING: Inputs do not pass validation. Check that all percentages total to 100%","")</f>
        <v/>
      </c>
      <c r="B1" s="28"/>
      <c r="C1" s="28"/>
      <c r="D1" s="28"/>
      <c r="E1" s="28"/>
      <c r="F1" s="28"/>
      <c r="G1" s="28"/>
    </row>
    <row r="32" spans="5:18">
      <c r="E32" s="29" t="s">
        <v>218</v>
      </c>
      <c r="F32" s="29"/>
      <c r="G32" s="29"/>
      <c r="H32" s="11">
        <f>'RESULT-t''put'!B52</f>
        <v>0.33666963136789674</v>
      </c>
      <c r="K32" s="29" t="s">
        <v>220</v>
      </c>
      <c r="L32" s="29"/>
      <c r="M32" s="1">
        <f>'RESULT-t''put'!B73</f>
        <v>3.8043805113960258E-2</v>
      </c>
      <c r="P32" s="29" t="s">
        <v>223</v>
      </c>
      <c r="Q32" s="29"/>
      <c r="R32" s="1">
        <f>'RESULT-t''put'!B95</f>
        <v>0</v>
      </c>
    </row>
    <row r="33" spans="5:18">
      <c r="E33" s="29" t="s">
        <v>219</v>
      </c>
      <c r="F33" s="29"/>
      <c r="G33" s="29"/>
      <c r="H33" s="11">
        <f>'RESULT-t''put'!B53</f>
        <v>0.54041694801829299</v>
      </c>
      <c r="K33" s="29" t="s">
        <v>221</v>
      </c>
      <c r="L33" s="29"/>
      <c r="M33" s="11">
        <f>'RESULT-t''put'!B74</f>
        <v>3.9548375816080901E-2</v>
      </c>
      <c r="P33" s="29" t="s">
        <v>224</v>
      </c>
      <c r="Q33" s="29"/>
      <c r="R33" s="1">
        <f>'RESULT-t''put'!B96</f>
        <v>0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3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32" sqref="A32"/>
    </sheetView>
  </sheetViews>
  <sheetFormatPr baseColWidth="10" defaultRowHeight="15" x14ac:dyDescent="0"/>
  <cols>
    <col min="1" max="2" width="10.83203125" customWidth="1"/>
  </cols>
  <sheetData>
    <row r="1" spans="1:7">
      <c r="A1" s="28" t="str">
        <f>IF(Errors!B18="ERROR","WARNING: Inputs do not pass validation. Check that all percentages total to 100%","")</f>
        <v/>
      </c>
      <c r="B1" s="28"/>
      <c r="C1" s="28"/>
      <c r="D1" s="28"/>
      <c r="E1" s="28"/>
      <c r="F1" s="28"/>
      <c r="G1" s="28"/>
    </row>
    <row r="32" spans="5:18">
      <c r="E32" s="29" t="s">
        <v>218</v>
      </c>
      <c r="F32" s="29"/>
      <c r="G32" s="29"/>
      <c r="H32" s="11">
        <f>'RESULT-equal'!B28</f>
        <v>0.38834877981623273</v>
      </c>
      <c r="K32" s="29" t="s">
        <v>220</v>
      </c>
      <c r="L32" s="29"/>
      <c r="M32" s="1">
        <f>'RESULT-equal'!B49</f>
        <v>4.3883569882869518E-2</v>
      </c>
      <c r="P32" s="29" t="s">
        <v>223</v>
      </c>
      <c r="Q32" s="29"/>
      <c r="R32" s="1">
        <f>'RESULT-equal'!B71</f>
        <v>0</v>
      </c>
    </row>
    <row r="33" spans="5:18">
      <c r="E33" s="29" t="s">
        <v>219</v>
      </c>
      <c r="F33" s="29"/>
      <c r="G33" s="29"/>
      <c r="H33" s="11">
        <f>'RESULT-equal'!B29</f>
        <v>0.65093044418119239</v>
      </c>
      <c r="K33" s="29" t="s">
        <v>221</v>
      </c>
      <c r="L33" s="29"/>
      <c r="M33" s="11">
        <f>'RESULT-equal'!B50</f>
        <v>4.5897725946926253E-2</v>
      </c>
      <c r="P33" s="29" t="s">
        <v>224</v>
      </c>
      <c r="Q33" s="29"/>
      <c r="R33" s="1">
        <f>'RESULT-equal'!B72</f>
        <v>0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B50" sqref="B50:D50"/>
    </sheetView>
  </sheetViews>
  <sheetFormatPr baseColWidth="10" defaultRowHeight="15" x14ac:dyDescent="0"/>
  <sheetData>
    <row r="1" spans="1:5" ht="30">
      <c r="A1" s="14" t="s">
        <v>241</v>
      </c>
    </row>
    <row r="3" spans="1:5">
      <c r="A3" t="s">
        <v>242</v>
      </c>
    </row>
    <row r="5" spans="1:5">
      <c r="A5" s="4" t="s">
        <v>243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485.30700000000002</v>
      </c>
      <c r="C8" s="8">
        <f>'Airtime calculations'!I$58</f>
        <v>245.86499999999998</v>
      </c>
      <c r="D8" s="8">
        <f>'Airtime calculations'!I$71</f>
        <v>166.04400000000004</v>
      </c>
      <c r="E8" s="8">
        <f>'Airtime calculations'!I$84</f>
        <v>126.1335</v>
      </c>
    </row>
    <row r="9" spans="1:5">
      <c r="A9" t="s">
        <v>47</v>
      </c>
      <c r="B9" s="8">
        <f>'Airtime calculations'!I$126</f>
        <v>155.565</v>
      </c>
      <c r="C9" s="8">
        <f>'Airtime calculations'!I$142</f>
        <v>80.91</v>
      </c>
      <c r="D9" s="8">
        <f>'Airtime calculations'!I$157</f>
        <v>56.025000000000013</v>
      </c>
      <c r="E9" s="8">
        <f>'Airtime calculations'!I$172</f>
        <v>43.739999999999995</v>
      </c>
    </row>
    <row r="11" spans="1:5">
      <c r="A11" s="4" t="s">
        <v>244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245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229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B14*'IN-client'!B12</f>
        <v>2.0221125E-2</v>
      </c>
      <c r="C20" s="7">
        <f>C14*'IN-client'!B13</f>
        <v>4.0977499999999998E-3</v>
      </c>
      <c r="D20" s="7">
        <f>D14*'IN-client'!B14</f>
        <v>4.1511000000000013E-3</v>
      </c>
      <c r="E20" s="7">
        <f>E14*'IN-client'!B15</f>
        <v>0</v>
      </c>
      <c r="F20" s="7">
        <f t="shared" ref="F20:F21" si="1">SUM(B20:E20)</f>
        <v>2.8469975000000002E-2</v>
      </c>
    </row>
    <row r="21" spans="1:6">
      <c r="A21" t="s">
        <v>47</v>
      </c>
      <c r="B21" s="7">
        <f>B15*'IN-client'!B19</f>
        <v>1.9445624999999999E-3</v>
      </c>
      <c r="C21" s="7">
        <f>C15*'IN-client'!B20</f>
        <v>3.0341249999999999E-3</v>
      </c>
      <c r="D21" s="7">
        <f>D15*'IN-client'!B21</f>
        <v>1.6340625000000003E-3</v>
      </c>
      <c r="E21" s="7">
        <f>E15*'IN-client'!B22</f>
        <v>1.8224999999999998E-4</v>
      </c>
      <c r="F21" s="7">
        <f t="shared" si="1"/>
        <v>6.7949999999999998E-3</v>
      </c>
    </row>
    <row r="23" spans="1:6">
      <c r="A23" s="4" t="s">
        <v>246</v>
      </c>
    </row>
    <row r="24" spans="1:6">
      <c r="B24" t="s">
        <v>247</v>
      </c>
      <c r="C24" t="s">
        <v>250</v>
      </c>
      <c r="D24" t="s">
        <v>252</v>
      </c>
      <c r="E24" t="s">
        <v>251</v>
      </c>
      <c r="F24" t="s">
        <v>248</v>
      </c>
    </row>
    <row r="25" spans="1:6">
      <c r="A25" t="s">
        <v>45</v>
      </c>
      <c r="B25" s="10">
        <f>F19</f>
        <v>4.2040000000000001E-2</v>
      </c>
      <c r="C25" s="1">
        <f>'IN-client'!B6</f>
        <v>0.18</v>
      </c>
      <c r="D25" s="10">
        <f>B25*C25</f>
        <v>7.5671999999999996E-3</v>
      </c>
      <c r="E25" s="10">
        <f>D25*'IN-client'!J6</f>
        <v>3.7835999999999995E-2</v>
      </c>
      <c r="F25" s="10">
        <f>E25/SUM(E25:E27)</f>
        <v>0.28741248785496415</v>
      </c>
    </row>
    <row r="26" spans="1:6">
      <c r="A26" t="s">
        <v>46</v>
      </c>
      <c r="B26" s="10">
        <f>F20</f>
        <v>2.8469975000000002E-2</v>
      </c>
      <c r="C26" s="1">
        <f>'IN-client'!B7</f>
        <v>0.28999999999999998</v>
      </c>
      <c r="D26" s="10">
        <f t="shared" ref="D26:D27" si="2">B26*C26</f>
        <v>8.2562927499999997E-3</v>
      </c>
      <c r="E26" s="10">
        <f>D26*'IN-client'!J7</f>
        <v>5.779404925E-2</v>
      </c>
      <c r="F26" s="10">
        <f>E26/SUM(E25:E27)</f>
        <v>0.43901922714226732</v>
      </c>
    </row>
    <row r="27" spans="1:6">
      <c r="A27" t="s">
        <v>47</v>
      </c>
      <c r="B27" s="10">
        <f>F21</f>
        <v>6.7949999999999998E-3</v>
      </c>
      <c r="C27" s="1">
        <f>'IN-client'!B8</f>
        <v>0.53</v>
      </c>
      <c r="D27" s="10">
        <f t="shared" si="2"/>
        <v>3.6013500000000001E-3</v>
      </c>
      <c r="E27" s="10">
        <f>D27*'IN-client'!J8</f>
        <v>3.6013500000000004E-2</v>
      </c>
      <c r="F27" s="10">
        <f>E27/SUM(E25:E27)</f>
        <v>0.27356828500276859</v>
      </c>
    </row>
    <row r="29" spans="1:6">
      <c r="A29" s="4" t="s">
        <v>249</v>
      </c>
    </row>
    <row r="30" spans="1:6">
      <c r="B30" t="s">
        <v>137</v>
      </c>
      <c r="C30" t="s">
        <v>232</v>
      </c>
      <c r="D30" t="s">
        <v>231</v>
      </c>
    </row>
    <row r="31" spans="1:6">
      <c r="A31" t="s">
        <v>45</v>
      </c>
      <c r="B31" s="8">
        <f>'Airtime calculations'!B20</f>
        <v>32.764108800000002</v>
      </c>
      <c r="C31" s="11">
        <f>F25</f>
        <v>0.28741248785496415</v>
      </c>
      <c r="D31" s="8">
        <f>B31*C31</f>
        <v>9.4168140225587251</v>
      </c>
    </row>
    <row r="32" spans="1:6">
      <c r="A32" t="s">
        <v>46</v>
      </c>
      <c r="B32" s="8">
        <f>'Airtime calculations'!D100</f>
        <v>85.316085453613141</v>
      </c>
      <c r="C32" s="11">
        <f>F26</f>
        <v>0.43901922714226732</v>
      </c>
      <c r="D32" s="8">
        <f>B32*C32</f>
        <v>37.45540189864888</v>
      </c>
    </row>
    <row r="33" spans="1:4">
      <c r="A33" t="s">
        <v>47</v>
      </c>
      <c r="B33" s="8">
        <f>'Airtime calculations'!F201</f>
        <v>681.77212876664316</v>
      </c>
      <c r="C33" s="11">
        <f>F27</f>
        <v>0.27356828500276859</v>
      </c>
      <c r="D33" s="8">
        <f>B33*C33</f>
        <v>186.51123202937728</v>
      </c>
    </row>
    <row r="34" spans="1:4">
      <c r="D34" s="8">
        <f>SUM(D31:D33)</f>
        <v>233.38344795058489</v>
      </c>
    </row>
    <row r="37" spans="1:4">
      <c r="A37" s="4" t="s">
        <v>138</v>
      </c>
    </row>
    <row r="38" spans="1:4">
      <c r="A38" s="9" t="s">
        <v>233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85.316085453613141</v>
      </c>
      <c r="D41">
        <v>0</v>
      </c>
    </row>
    <row r="42" spans="1:4">
      <c r="A42" t="s">
        <v>47</v>
      </c>
      <c r="B42">
        <v>0</v>
      </c>
      <c r="C42" s="8">
        <f>B33-D42</f>
        <v>394.55638156079675</v>
      </c>
      <c r="D42" s="8">
        <f>'Airtime calculations'!F220</f>
        <v>287.21574720584641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479.87246701440989</v>
      </c>
      <c r="D43" s="8">
        <f t="shared" si="3"/>
        <v>287.21574720584641</v>
      </c>
    </row>
    <row r="44" spans="1:4">
      <c r="B44" s="11"/>
      <c r="C44" s="8"/>
      <c r="D44" s="8"/>
    </row>
    <row r="45" spans="1:4">
      <c r="A45" t="s">
        <v>234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9.4168140225587251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37.45540189864888</v>
      </c>
      <c r="D48" s="8">
        <v>0</v>
      </c>
    </row>
    <row r="49" spans="1:5">
      <c r="A49" t="s">
        <v>47</v>
      </c>
      <c r="B49" s="13">
        <v>0</v>
      </c>
      <c r="C49" s="8">
        <f>C42*C33</f>
        <v>107.93811264048516</v>
      </c>
      <c r="D49" s="8">
        <f>D42*C33</f>
        <v>78.573119388892124</v>
      </c>
    </row>
    <row r="50" spans="1:5">
      <c r="A50" t="s">
        <v>147</v>
      </c>
      <c r="B50" s="8">
        <f>SUM(B47:B49)</f>
        <v>9.4168140225587251</v>
      </c>
      <c r="C50" s="8">
        <f t="shared" ref="C50:D50" si="4">SUM(C47:C49)</f>
        <v>145.39351453913403</v>
      </c>
      <c r="D50" s="8">
        <f t="shared" si="4"/>
        <v>78.573119388892124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0.33666963136789674</v>
      </c>
    </row>
    <row r="53" spans="1:5">
      <c r="A53" t="s">
        <v>216</v>
      </c>
      <c r="B53" s="18">
        <f>D50/C50</f>
        <v>0.54041694801829299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233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24.363540475985531</v>
      </c>
      <c r="C60" s="8">
        <f>'Airtime calculations'!D97</f>
        <v>19.046965465271878</v>
      </c>
      <c r="D60" s="8">
        <f>'Airtime calculations'!D98</f>
        <v>41.905579512355729</v>
      </c>
      <c r="E60" s="8">
        <v>0</v>
      </c>
    </row>
    <row r="61" spans="1:5">
      <c r="A61" t="s">
        <v>47</v>
      </c>
      <c r="B61" s="8">
        <f>'Airtime calculations'!F197</f>
        <v>68.296821063542581</v>
      </c>
      <c r="C61" s="8">
        <f>'Airtime calculations'!F198</f>
        <v>315.38630422691881</v>
      </c>
      <c r="D61" s="8">
        <f>'Airtime calculations'!F199</f>
        <v>265.63350736278437</v>
      </c>
      <c r="E61" s="8">
        <f>'Airtime calculations'!F200</f>
        <v>32.455496113397359</v>
      </c>
    </row>
    <row r="62" spans="1:5">
      <c r="A62" t="s">
        <v>88</v>
      </c>
      <c r="B62" s="8">
        <f>SUM(B59:B61)</f>
        <v>125.42447033952811</v>
      </c>
      <c r="C62" s="8">
        <f t="shared" ref="C62:E62" si="5">SUM(C59:C61)</f>
        <v>334.43326969219066</v>
      </c>
      <c r="D62" s="8">
        <f t="shared" si="5"/>
        <v>307.53908687514013</v>
      </c>
      <c r="E62" s="8">
        <f t="shared" si="5"/>
        <v>32.455496113397359</v>
      </c>
    </row>
    <row r="63" spans="1:5">
      <c r="A63" t="s">
        <v>201</v>
      </c>
      <c r="B63" s="11">
        <f>B62/SUM($B62:$E62)</f>
        <v>0.15680953437244907</v>
      </c>
      <c r="C63" s="11">
        <f>C62/SUM($B62:$E62)</f>
        <v>0.41811877026169636</v>
      </c>
      <c r="D63" s="11">
        <f>D62/SUM($B62:$E62)</f>
        <v>0.3844948348888545</v>
      </c>
      <c r="E63" s="11">
        <f>E61/SUM(B59:E61)</f>
        <v>4.0576860477000112E-2</v>
      </c>
    </row>
    <row r="64" spans="1:5">
      <c r="B64" s="18"/>
    </row>
    <row r="65" spans="1:5">
      <c r="A65" t="s">
        <v>234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9.4168140225587251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10.696062710216514</v>
      </c>
      <c r="C68" s="8">
        <f>C60*C32</f>
        <v>8.3619840579691154</v>
      </c>
      <c r="D68" s="8">
        <f>D60*C32</f>
        <v>18.397355130463243</v>
      </c>
      <c r="E68" s="8">
        <f>E60*C32</f>
        <v>0</v>
      </c>
    </row>
    <row r="69" spans="1:5">
      <c r="A69" t="s">
        <v>47</v>
      </c>
      <c r="B69" s="8">
        <f>B61*C33</f>
        <v>18.683844209494307</v>
      </c>
      <c r="C69" s="8">
        <f>C61*C33</f>
        <v>86.279690360719599</v>
      </c>
      <c r="D69" s="8">
        <f>D61*C33</f>
        <v>72.668903048507218</v>
      </c>
      <c r="E69" s="8">
        <f>E61*C33</f>
        <v>8.8787944106561376</v>
      </c>
    </row>
    <row r="70" spans="1:5">
      <c r="A70" t="s">
        <v>88</v>
      </c>
      <c r="B70" s="8">
        <f>SUM(B67:B69)</f>
        <v>38.796720942269545</v>
      </c>
      <c r="C70" s="8">
        <f t="shared" ref="C70:E70" si="6">SUM(C67:C69)</f>
        <v>94.641674418688709</v>
      </c>
      <c r="D70" s="8">
        <f t="shared" si="6"/>
        <v>91.066258178970457</v>
      </c>
      <c r="E70" s="8">
        <f t="shared" si="6"/>
        <v>8.8787944106561376</v>
      </c>
    </row>
    <row r="71" spans="1:5">
      <c r="A71" t="s">
        <v>201</v>
      </c>
      <c r="B71" s="11">
        <f>B70/SUM($B70:$E70)</f>
        <v>0.16623595753236159</v>
      </c>
      <c r="C71" s="11">
        <f>C70/SUM($B70:$E70)</f>
        <v>0.40552007972188137</v>
      </c>
      <c r="D71" s="11">
        <f>D70/SUM($B70:$E70)</f>
        <v>0.39020015763179683</v>
      </c>
      <c r="E71" s="11">
        <f>E69/SUM(B67:E69)</f>
        <v>3.8043805113960258E-2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3.8043805113960258E-2</v>
      </c>
      <c r="C73" s="11"/>
      <c r="D73" s="11"/>
      <c r="E73" s="11"/>
    </row>
    <row r="74" spans="1:5">
      <c r="A74" t="s">
        <v>221</v>
      </c>
      <c r="B74" s="18">
        <f>E70/SUM(B70:D70)</f>
        <v>3.9548375816080901E-2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235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45.939430628868614</v>
      </c>
      <c r="C82" s="8">
        <f>'Airtime calculations'!C100</f>
        <v>39.376654824744527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73.944916352130491</v>
      </c>
      <c r="C83" s="8">
        <f>'Airtime calculations'!C201</f>
        <v>341.62551354684291</v>
      </c>
      <c r="D83" s="8">
        <f>'Airtime calculations'!D201</f>
        <v>266.20169886766973</v>
      </c>
      <c r="E83" s="8">
        <f>'Airtime calculations'!E201</f>
        <v>0</v>
      </c>
    </row>
    <row r="84" spans="1:5">
      <c r="A84" t="s">
        <v>88</v>
      </c>
      <c r="B84" s="8">
        <f>SUM(B81:B83)</f>
        <v>152.64845578099911</v>
      </c>
      <c r="C84" s="8">
        <f t="shared" ref="C84:E84" si="7">SUM(C81:C83)</f>
        <v>381.00216837158746</v>
      </c>
      <c r="D84" s="8">
        <f t="shared" si="7"/>
        <v>266.20169886766973</v>
      </c>
      <c r="E84" s="8">
        <f t="shared" si="7"/>
        <v>0</v>
      </c>
    </row>
    <row r="85" spans="1:5">
      <c r="A85" t="s">
        <v>201</v>
      </c>
      <c r="B85" s="11">
        <f>B84/SUM($B84:$E84)</f>
        <v>0.19084579914026614</v>
      </c>
      <c r="C85" s="11">
        <f>C84/SUM($B84:$E84)</f>
        <v>0.47634064114850178</v>
      </c>
      <c r="D85" s="11">
        <f>D84/SUM($B84:$E84)</f>
        <v>0.33281355971123205</v>
      </c>
      <c r="E85" s="11">
        <f>E83/SUM(B81:E83)</f>
        <v>0</v>
      </c>
    </row>
    <row r="87" spans="1:5">
      <c r="A87" t="s">
        <v>236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9.4168140225587251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20.168293330041703</v>
      </c>
      <c r="C90" s="8">
        <f t="shared" si="8"/>
        <v>17.287108568607174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20.228983951125517</v>
      </c>
      <c r="C91" s="8">
        <f t="shared" si="8"/>
        <v>93.457905854199907</v>
      </c>
      <c r="D91" s="8">
        <f t="shared" si="8"/>
        <v>72.824342224051847</v>
      </c>
      <c r="E91" s="8">
        <f t="shared" si="8"/>
        <v>0</v>
      </c>
    </row>
    <row r="92" spans="1:5">
      <c r="A92" t="s">
        <v>88</v>
      </c>
      <c r="B92" s="8">
        <f>SUM(B89:B91)</f>
        <v>49.814091303725945</v>
      </c>
      <c r="C92" s="8">
        <f t="shared" ref="C92:E92" si="9">SUM(C89:C91)</f>
        <v>110.74501442280709</v>
      </c>
      <c r="D92" s="8">
        <f t="shared" si="9"/>
        <v>72.824342224051847</v>
      </c>
      <c r="E92" s="8">
        <f t="shared" si="9"/>
        <v>0</v>
      </c>
    </row>
    <row r="93" spans="1:5">
      <c r="A93" t="s">
        <v>201</v>
      </c>
      <c r="B93" s="11">
        <f>B92/SUM($B92:$E92)</f>
        <v>0.21344312007196528</v>
      </c>
      <c r="C93" s="11">
        <f>C92/SUM($B92:$E92)</f>
        <v>0.47451957452550592</v>
      </c>
      <c r="D93" s="11">
        <f>D92/SUM($B92:$E92)</f>
        <v>0.31203730540252883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4" sqref="A4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237</v>
      </c>
    </row>
    <row r="3" spans="1:4">
      <c r="A3" t="s">
        <v>238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32.764108800000002</v>
      </c>
      <c r="C8" s="1">
        <f>'IN-client'!B6</f>
        <v>0.18</v>
      </c>
      <c r="D8" s="8">
        <f>B8*C8</f>
        <v>5.8975395840000004</v>
      </c>
    </row>
    <row r="9" spans="1:4">
      <c r="A9" t="s">
        <v>46</v>
      </c>
      <c r="B9" s="8">
        <f>'Airtime calculations'!D100</f>
        <v>85.316085453613141</v>
      </c>
      <c r="C9" s="1">
        <f>'IN-client'!B7</f>
        <v>0.28999999999999998</v>
      </c>
      <c r="D9" s="8">
        <f t="shared" ref="D9:D10" si="0">B9*C9</f>
        <v>24.741664781547808</v>
      </c>
    </row>
    <row r="10" spans="1:4">
      <c r="A10" t="s">
        <v>47</v>
      </c>
      <c r="B10" s="8">
        <f>'Airtime calculations'!F201</f>
        <v>681.77212876664316</v>
      </c>
      <c r="C10" s="1">
        <f>'IN-client'!B8</f>
        <v>0.53</v>
      </c>
      <c r="D10" s="8">
        <f t="shared" si="0"/>
        <v>361.33922824632089</v>
      </c>
    </row>
    <row r="11" spans="1:4">
      <c r="B11" s="8">
        <f>SUM(B8:B10)</f>
        <v>799.85232302025634</v>
      </c>
      <c r="C11" s="1"/>
      <c r="D11" s="8"/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32.764108800000002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85.316085453613141</v>
      </c>
      <c r="D17">
        <v>0</v>
      </c>
    </row>
    <row r="18" spans="1:4">
      <c r="A18" t="s">
        <v>132</v>
      </c>
      <c r="B18">
        <v>0</v>
      </c>
      <c r="C18" s="8">
        <f>B10-D18</f>
        <v>394.55638156079675</v>
      </c>
      <c r="D18" s="8">
        <f>'Airtime calculations'!F220</f>
        <v>287.21574720584641</v>
      </c>
    </row>
    <row r="19" spans="1:4">
      <c r="A19" t="s">
        <v>147</v>
      </c>
      <c r="B19" s="8">
        <f>SUM(B16:B18)</f>
        <v>32.764108800000002</v>
      </c>
      <c r="C19" s="8">
        <f t="shared" ref="C19:D19" si="1">SUM(C16:C18)</f>
        <v>479.87246701440989</v>
      </c>
      <c r="D19" s="8">
        <f t="shared" si="1"/>
        <v>287.21574720584641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5.8975395840000004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24.741664781547808</v>
      </c>
      <c r="D24" s="8">
        <v>0</v>
      </c>
    </row>
    <row r="25" spans="1:4">
      <c r="A25" t="s">
        <v>132</v>
      </c>
      <c r="B25" s="13">
        <v>0</v>
      </c>
      <c r="C25" s="8">
        <f>C18*C10</f>
        <v>209.1148822272223</v>
      </c>
      <c r="D25" s="8">
        <f>D18*C10</f>
        <v>152.22434601909862</v>
      </c>
    </row>
    <row r="26" spans="1:4">
      <c r="A26" t="s">
        <v>147</v>
      </c>
      <c r="B26" s="8">
        <f>SUM(B23:B25)</f>
        <v>5.8975395840000004</v>
      </c>
      <c r="C26" s="8">
        <f t="shared" ref="C26" si="2">SUM(C23:C25)</f>
        <v>233.85654700877009</v>
      </c>
      <c r="D26" s="8">
        <f t="shared" ref="D26" si="3">SUM(D23:D25)</f>
        <v>152.22434601909862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0.38834877981623273</v>
      </c>
    </row>
    <row r="29" spans="1:4">
      <c r="A29" t="s">
        <v>216</v>
      </c>
      <c r="B29" s="18">
        <f>D26/C26</f>
        <v>0.65093044418119239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32.764108800000002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24.363540475985531</v>
      </c>
      <c r="C36" s="8">
        <f>'Airtime calculations'!D97</f>
        <v>19.046965465271878</v>
      </c>
      <c r="D36" s="8">
        <f>'Airtime calculations'!D98</f>
        <v>41.905579512355729</v>
      </c>
      <c r="E36" s="8">
        <v>0</v>
      </c>
    </row>
    <row r="37" spans="1:5">
      <c r="A37" t="s">
        <v>47</v>
      </c>
      <c r="B37" s="8">
        <f>'Airtime calculations'!F197</f>
        <v>68.296821063542581</v>
      </c>
      <c r="C37" s="8">
        <f>'Airtime calculations'!F198</f>
        <v>315.38630422691881</v>
      </c>
      <c r="D37" s="8">
        <f>'Airtime calculations'!F199</f>
        <v>265.63350736278437</v>
      </c>
      <c r="E37" s="8">
        <f>'Airtime calculations'!F200</f>
        <v>32.455496113397359</v>
      </c>
    </row>
    <row r="38" spans="1:5">
      <c r="A38" t="s">
        <v>88</v>
      </c>
      <c r="B38" s="8">
        <f>SUM(B35:B37)</f>
        <v>125.42447033952811</v>
      </c>
      <c r="C38" s="8">
        <f t="shared" ref="C38" si="4">SUM(C35:C37)</f>
        <v>334.43326969219066</v>
      </c>
      <c r="D38" s="8">
        <f t="shared" ref="D38" si="5">SUM(D35:D37)</f>
        <v>307.53908687514013</v>
      </c>
      <c r="E38" s="8">
        <f t="shared" ref="E38" si="6">SUM(E35:E37)</f>
        <v>32.455496113397359</v>
      </c>
    </row>
    <row r="39" spans="1:5">
      <c r="A39" t="s">
        <v>201</v>
      </c>
      <c r="B39" s="11">
        <f>B38/SUM($B38:$E38)</f>
        <v>0.15680953437244907</v>
      </c>
      <c r="C39" s="11">
        <f t="shared" ref="C39" si="7">C38/SUM($B38:$E38)</f>
        <v>0.41811877026169636</v>
      </c>
      <c r="D39" s="11">
        <f t="shared" ref="D39" si="8">D38/SUM($B38:$E38)</f>
        <v>0.3844948348888545</v>
      </c>
      <c r="E39" s="11">
        <f>E37/SUM(B35:E37)</f>
        <v>4.0576860477000112E-2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5.8975395840000004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7.0654267380358036</v>
      </c>
      <c r="C44" s="8">
        <f t="shared" ref="C44:E44" si="9">C36*$C9</f>
        <v>5.5236199849288443</v>
      </c>
      <c r="D44" s="8">
        <f t="shared" si="9"/>
        <v>12.15261805858316</v>
      </c>
      <c r="E44" s="8">
        <f t="shared" si="9"/>
        <v>0</v>
      </c>
    </row>
    <row r="45" spans="1:5">
      <c r="A45" t="s">
        <v>47</v>
      </c>
      <c r="B45" s="8">
        <f>B37*$C10</f>
        <v>36.197315163677573</v>
      </c>
      <c r="C45" s="8">
        <f t="shared" ref="C45:E45" si="10">C37*$C10</f>
        <v>167.15474124026699</v>
      </c>
      <c r="D45" s="8">
        <f t="shared" si="10"/>
        <v>140.78575890227572</v>
      </c>
      <c r="E45" s="8">
        <f t="shared" si="10"/>
        <v>17.2014129401006</v>
      </c>
    </row>
    <row r="46" spans="1:5">
      <c r="A46" t="s">
        <v>88</v>
      </c>
      <c r="B46" s="8">
        <f>SUM(B43:B45)</f>
        <v>49.160281485713377</v>
      </c>
      <c r="C46" s="8">
        <f t="shared" ref="C46" si="11">SUM(C43:C45)</f>
        <v>172.67836122519583</v>
      </c>
      <c r="D46" s="8">
        <f t="shared" ref="D46" si="12">SUM(D43:D45)</f>
        <v>152.93837696085888</v>
      </c>
      <c r="E46" s="8">
        <f t="shared" ref="E46" si="13">SUM(E43:E45)</f>
        <v>17.2014129401006</v>
      </c>
    </row>
    <row r="47" spans="1:5">
      <c r="A47" t="s">
        <v>201</v>
      </c>
      <c r="B47" s="11">
        <f>B46/SUM($B46:$E46)</f>
        <v>0.12541578157283761</v>
      </c>
      <c r="C47" s="11">
        <f t="shared" ref="C47" si="14">C46/SUM($B46:$E46)</f>
        <v>0.44053026100081227</v>
      </c>
      <c r="D47" s="11">
        <f t="shared" ref="D47" si="15">D46/SUM($B46:$E46)</f>
        <v>0.39017038754348055</v>
      </c>
      <c r="E47" s="11">
        <f>E45/SUM(B43:E45)</f>
        <v>4.3883569882869518E-2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4.3883569882869518E-2</v>
      </c>
      <c r="C49" s="11"/>
      <c r="D49" s="11"/>
      <c r="E49" s="11"/>
    </row>
    <row r="50" spans="1:5">
      <c r="A50" t="s">
        <v>221</v>
      </c>
      <c r="B50" s="18">
        <f>E46/SUM(B46:D46)</f>
        <v>4.5897725946926253E-2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32.764108800000002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45.939430628868614</v>
      </c>
      <c r="C58" s="8">
        <f>'Airtime calculations'!C100</f>
        <v>39.376654824744527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73.944916352130491</v>
      </c>
      <c r="C59" s="8">
        <f>'Airtime calculations'!C201</f>
        <v>341.62551354684291</v>
      </c>
      <c r="D59" s="8">
        <f>'Airtime calculations'!D201</f>
        <v>266.20169886766973</v>
      </c>
      <c r="E59" s="8">
        <f>'Airtime calculations'!E201</f>
        <v>0</v>
      </c>
    </row>
    <row r="60" spans="1:5">
      <c r="A60" t="s">
        <v>88</v>
      </c>
      <c r="B60" s="8">
        <f>SUM(B57:B59)</f>
        <v>152.64845578099911</v>
      </c>
      <c r="C60" s="8">
        <f t="shared" ref="C60:E60" si="16">SUM(C57:C59)</f>
        <v>381.00216837158746</v>
      </c>
      <c r="D60" s="8">
        <f t="shared" si="16"/>
        <v>266.20169886766973</v>
      </c>
      <c r="E60" s="8">
        <f t="shared" si="16"/>
        <v>0</v>
      </c>
    </row>
    <row r="61" spans="1:5">
      <c r="A61" t="s">
        <v>201</v>
      </c>
      <c r="B61" s="11">
        <f>B60/SUM($B60:$E60)</f>
        <v>0.19084579914026614</v>
      </c>
      <c r="C61" s="11">
        <f t="shared" ref="C61:D61" si="17">C60/SUM($B60:$E60)</f>
        <v>0.47634064114850178</v>
      </c>
      <c r="D61" s="11">
        <f t="shared" si="17"/>
        <v>0.33281355971123205</v>
      </c>
      <c r="E61" s="11">
        <f>E59/SUM(B57:E59)</f>
        <v>0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5.8975395840000004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13.322434882371898</v>
      </c>
      <c r="C66" s="8">
        <f>C58*C9</f>
        <v>11.419229899175912</v>
      </c>
      <c r="D66">
        <v>0</v>
      </c>
      <c r="E66">
        <v>0</v>
      </c>
    </row>
    <row r="67" spans="1:5">
      <c r="A67" t="s">
        <v>47</v>
      </c>
      <c r="B67" s="8">
        <f>B59*C10</f>
        <v>39.19080566662916</v>
      </c>
      <c r="C67" s="8">
        <f>C60*C10</f>
        <v>201.93114923694137</v>
      </c>
      <c r="D67" s="8">
        <f>D60*C10</f>
        <v>141.08690039986496</v>
      </c>
      <c r="E67" s="8">
        <f>E60*C10</f>
        <v>0</v>
      </c>
    </row>
    <row r="68" spans="1:5">
      <c r="A68" t="s">
        <v>88</v>
      </c>
      <c r="B68" s="8">
        <f>SUM(B65:B67)</f>
        <v>58.410780133001055</v>
      </c>
      <c r="C68" s="8">
        <f t="shared" ref="C68:E68" si="18">SUM(C65:C67)</f>
        <v>213.35037913611728</v>
      </c>
      <c r="D68" s="8">
        <f t="shared" si="18"/>
        <v>141.08690039986496</v>
      </c>
      <c r="E68" s="8">
        <f t="shared" si="18"/>
        <v>0</v>
      </c>
    </row>
    <row r="69" spans="1:5">
      <c r="A69" t="s">
        <v>201</v>
      </c>
      <c r="B69" s="11">
        <f>B68/SUM($B68:$E68)</f>
        <v>0.14148251097470127</v>
      </c>
      <c r="C69" s="11">
        <f t="shared" ref="C69" si="19">C68/SUM($B68:$E68)</f>
        <v>0.51677699371332664</v>
      </c>
      <c r="D69" s="11">
        <f t="shared" ref="D69" si="20">D68/SUM($B68:$E68)</f>
        <v>0.34174049531197209</v>
      </c>
      <c r="E69" s="11">
        <f>E67/SUM(B65:E67)</f>
        <v>0</v>
      </c>
    </row>
    <row r="71" spans="1:5">
      <c r="A71" t="s">
        <v>225</v>
      </c>
      <c r="B71" s="1">
        <f>E69</f>
        <v>0</v>
      </c>
    </row>
    <row r="72" spans="1:5">
      <c r="A72" t="s">
        <v>224</v>
      </c>
      <c r="B72" s="11">
        <f>E68/SUM(B68:D68)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'IN-client'!B$30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230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'IN-rates'!B6*G11</f>
        <v>84.920000000000016</v>
      </c>
      <c r="I11" s="8">
        <f t="shared" ref="I11:I18" si="0">FLOOR(1000000/G11,1)*B$7*8/1000000</f>
        <v>7.2253439999999998</v>
      </c>
      <c r="J11" s="8">
        <f>I11*'IN-rates'!B6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'IN-rates'!B7*G12</f>
        <v>57.720000000000006</v>
      </c>
      <c r="I12" s="8">
        <f t="shared" si="0"/>
        <v>10.641408</v>
      </c>
      <c r="J12" s="8">
        <f>I12*'IN-rates'!B7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'IN-rates'!B8*G13</f>
        <v>43.960000000000008</v>
      </c>
      <c r="I13" s="8">
        <f t="shared" si="0"/>
        <v>13.971456</v>
      </c>
      <c r="J13" s="8">
        <f>I13*'IN-rates'!B8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'IN-rates'!B9*G14</f>
        <v>91.08</v>
      </c>
      <c r="I14" s="8">
        <f t="shared" si="0"/>
        <v>20.226047999999999</v>
      </c>
      <c r="J14" s="8">
        <f>I14*'IN-rates'!B9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'IN-rates'!B10*G15</f>
        <v>70.44</v>
      </c>
      <c r="I15" s="8">
        <f t="shared" si="0"/>
        <v>26.161152000000001</v>
      </c>
      <c r="J15" s="8">
        <f>I15*'IN-rates'!B10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'IN-rates'!B11*G16</f>
        <v>67.040000000000006</v>
      </c>
      <c r="I16" s="8">
        <f t="shared" si="0"/>
        <v>36.655104000000001</v>
      </c>
      <c r="J16" s="8">
        <f>I16*'IN-rates'!B11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'IN-rates'!B12*G17</f>
        <v>52.960000000000008</v>
      </c>
      <c r="I17" s="8">
        <f t="shared" si="0"/>
        <v>46.399487999999998</v>
      </c>
      <c r="J17" s="8">
        <f>I17*'IN-rates'!B12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'IN-rates'!B13*G18</f>
        <v>36.36</v>
      </c>
      <c r="I18" s="8">
        <f t="shared" si="0"/>
        <v>50.688000000000002</v>
      </c>
      <c r="J18" s="8">
        <f>I18*'IN-rates'!B13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227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'IN-client'!B$30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'IN-client'!B$31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61440</v>
      </c>
      <c r="D32" s="9" t="s">
        <v>85</v>
      </c>
      <c r="E32">
        <f>3.2*E31</f>
        <v>3.2</v>
      </c>
    </row>
    <row r="34" spans="1:13">
      <c r="A34" s="30" t="s">
        <v>156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228</v>
      </c>
      <c r="J36" t="s">
        <v>86</v>
      </c>
      <c r="K36" t="s">
        <v>63</v>
      </c>
      <c r="L36" t="s">
        <v>50</v>
      </c>
      <c r="M36" t="s">
        <v>230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79659.600000000006</v>
      </c>
      <c r="H37" s="8">
        <f>G37*'IN-rates'!F6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J37*'IN-rates'!F6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39957.000000000007</v>
      </c>
      <c r="H38" s="8">
        <f>G38*'IN-rates'!F7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J38*'IN-rates'!F7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26722.800000000003</v>
      </c>
      <c r="H39" s="8">
        <f>G39*'IN-rates'!F8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J39*'IN-rates'!F8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20107.800000000003</v>
      </c>
      <c r="H40" s="8">
        <f>G40*'IN-rates'!F9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J40*'IN-rates'!F9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13488.6</v>
      </c>
      <c r="H41" s="8">
        <f>G41*'IN-rates'!F10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J41*'IN-rates'!F10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10183.199999999999</v>
      </c>
      <c r="H42" s="8">
        <f>G42*'IN-rates'!F11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J42*'IN-rates'!F11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9078.6</v>
      </c>
      <c r="H43" s="8">
        <f>G43*'IN-rates'!F12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J43*'IN-rates'!F12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8196.6</v>
      </c>
      <c r="H44" s="8">
        <f>G44*'IN-rates'!F13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J44*'IN-rates'!F13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0" t="s">
        <v>155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228</v>
      </c>
      <c r="J49" t="s">
        <v>86</v>
      </c>
      <c r="K49" t="s">
        <v>63</v>
      </c>
      <c r="L49" t="s">
        <v>50</v>
      </c>
      <c r="M49" t="s">
        <v>230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39957.000000000007</v>
      </c>
      <c r="H50" s="8">
        <f>G50*'IN-rates'!F6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J50*'IN-rates'!F6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20107.800000000003</v>
      </c>
      <c r="H51" s="8">
        <f>G51*'IN-rates'!F7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J51*'IN-rates'!F7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13488.6</v>
      </c>
      <c r="H52" s="8">
        <f>G52*'IN-rates'!F8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J52*'IN-rates'!F8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10183.199999999999</v>
      </c>
      <c r="H53" s="8">
        <f>G53*'IN-rates'!F9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J53*'IN-rates'!F9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6873.6</v>
      </c>
      <c r="H54" s="8">
        <f>G54*'IN-rates'!F10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J54*'IN-rates'!F10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5218.7999999999993</v>
      </c>
      <c r="H55" s="8">
        <f>G55*'IN-rates'!F11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J55*'IN-rates'!F11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4668.6000000000004</v>
      </c>
      <c r="H56" s="8">
        <f>G56*'IN-rates'!F12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J56*'IN-rates'!F12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4227.6000000000004</v>
      </c>
      <c r="H57" s="8">
        <f>G57*'IN-rates'!F13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J57*'IN-rates'!F13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0" t="s">
        <v>154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228</v>
      </c>
      <c r="J62" t="s">
        <v>86</v>
      </c>
      <c r="K62" t="s">
        <v>63</v>
      </c>
      <c r="L62" t="s">
        <v>50</v>
      </c>
      <c r="M62" t="s">
        <v>230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26722.800000000003</v>
      </c>
      <c r="H63" s="8">
        <f>G63*'IN-rates'!F6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J63*'IN-rates'!F6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13488.6</v>
      </c>
      <c r="H64" s="8">
        <f>G64*'IN-rates'!F7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J64*'IN-rates'!F7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9078.6</v>
      </c>
      <c r="H65" s="8">
        <f>G65*'IN-rates'!F8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J65*'IN-rates'!F8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6873.6</v>
      </c>
      <c r="H66" s="8">
        <f>G66*'IN-rates'!F9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J66*'IN-rates'!F9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4668.6000000000004</v>
      </c>
      <c r="H67" s="8">
        <f>G67*'IN-rates'!F10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J67*'IN-rates'!F10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3564.0000000000005</v>
      </c>
      <c r="H68" s="8">
        <f>G68*'IN-rates'!F11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J68*'IN-rates'!F11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3198.6000000000004</v>
      </c>
      <c r="H69" s="8">
        <f>G69*'IN-rates'!F12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J69*'IN-rates'!F12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2904.6</v>
      </c>
      <c r="H70" s="8">
        <f>G70*'IN-rates'!F13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J70*'IN-rates'!F13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0" t="s">
        <v>153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228</v>
      </c>
      <c r="J75" t="s">
        <v>86</v>
      </c>
      <c r="K75" t="s">
        <v>63</v>
      </c>
      <c r="L75" t="s">
        <v>50</v>
      </c>
      <c r="M75" t="s">
        <v>230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20107.800000000003</v>
      </c>
      <c r="H76" s="8">
        <f>G76*'IN-rates'!F6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J76*'IN-rates'!F6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10183.199999999999</v>
      </c>
      <c r="H77" s="8">
        <f>G77*'IN-rates'!F7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J77*'IN-rates'!F7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6873.6</v>
      </c>
      <c r="H78" s="8">
        <f>G78*'IN-rates'!F8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J78*'IN-rates'!F8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5218.7999999999993</v>
      </c>
      <c r="H79" s="8">
        <f>G79*'IN-rates'!F9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J79*'IN-rates'!F9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3564.0000000000005</v>
      </c>
      <c r="H80" s="8">
        <f>G80*'IN-rates'!F10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J80*'IN-rates'!F10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2736.6</v>
      </c>
      <c r="H81" s="8">
        <f>G81*'IN-rates'!F11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J81*'IN-rates'!F11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2463.6</v>
      </c>
      <c r="H82" s="8">
        <f>G82*'IN-rates'!F12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J82*'IN-rates'!F12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2241.0000000000005</v>
      </c>
      <c r="H83" s="8">
        <f>G83*'IN-rates'!F13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J83*'IN-rates'!F13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28" t="s">
        <v>157</v>
      </c>
      <c r="B86" s="28"/>
      <c r="C86" s="28"/>
      <c r="D86" s="8"/>
      <c r="E86" s="31" t="s">
        <v>158</v>
      </c>
      <c r="F86" s="31"/>
      <c r="G86" s="31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'IN-client'!B12*'IN-client'!F12</f>
        <v>0.35</v>
      </c>
      <c r="G88" s="11">
        <f>'IN-client'!F13*'IN-client'!B12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'IN-client'!B13*'IN-client'!F12</f>
        <v>0.13999999999999999</v>
      </c>
      <c r="G89" s="11">
        <f>'IN-client'!F13*'IN-client'!B13</f>
        <v>0.06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'IN-client'!B14*'IN-client'!F12</f>
        <v>0.21</v>
      </c>
      <c r="G90" s="11">
        <f>'IN-client'!F13*'IN-client'!B14</f>
        <v>0.09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'IN-client'!B15*'IN-client'!F12</f>
        <v>0</v>
      </c>
      <c r="G91" s="11">
        <f>'IN-client'!F13*'IN-client'!B15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27" t="s">
        <v>159</v>
      </c>
      <c r="B94" s="27"/>
      <c r="C94" s="27"/>
      <c r="D94" s="27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7" si="33">B89*F89</f>
        <v>10.256058327454088</v>
      </c>
      <c r="C97" s="8">
        <f t="shared" si="33"/>
        <v>8.7909071378177899</v>
      </c>
      <c r="D97" s="8">
        <f t="shared" si="32"/>
        <v>19.046965465271878</v>
      </c>
    </row>
    <row r="98" spans="1:5">
      <c r="A98" t="s">
        <v>2</v>
      </c>
      <c r="B98" s="8">
        <f t="shared" ref="B98:C98" si="34">B90*F90</f>
        <v>22.564542814345394</v>
      </c>
      <c r="C98" s="8">
        <f t="shared" si="34"/>
        <v>19.341036698010338</v>
      </c>
      <c r="D98" s="8">
        <f t="shared" si="32"/>
        <v>41.905579512355729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45.939430628868614</v>
      </c>
      <c r="C100" s="8">
        <f>SUM(C96:C99)</f>
        <v>39.376654824744527</v>
      </c>
      <c r="D100" s="8">
        <f>SUM(B96:C99)</f>
        <v>85.316085453613141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'IN-client'!B$30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'IN-client'!B$31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61440</v>
      </c>
      <c r="D111" s="9" t="s">
        <v>85</v>
      </c>
      <c r="E111">
        <f>3.2*E110</f>
        <v>3.2</v>
      </c>
    </row>
    <row r="113" spans="1:14">
      <c r="A113" s="30" t="s">
        <v>160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228</v>
      </c>
      <c r="J115" t="s">
        <v>86</v>
      </c>
      <c r="K115" t="s">
        <v>63</v>
      </c>
      <c r="L115" t="s">
        <v>50</v>
      </c>
      <c r="M115" t="s">
        <v>230</v>
      </c>
    </row>
    <row r="116" spans="1:14">
      <c r="A116">
        <v>7.2</v>
      </c>
      <c r="B116">
        <v>26</v>
      </c>
      <c r="C116">
        <f t="shared" ref="C116:C125" si="36">CEILING(E$104*8/B116,1)</f>
        <v>18906</v>
      </c>
      <c r="D116">
        <f t="shared" ref="D116:D125" si="37">C116*3.2+E$26</f>
        <v>60571.200000000004</v>
      </c>
      <c r="E116">
        <f>Constants!B$17*B$29</f>
        <v>0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79659.600000000006</v>
      </c>
      <c r="H116" s="8">
        <f>G116*'IN-rates'!J$6</f>
        <v>0</v>
      </c>
      <c r="I116" s="8">
        <f>H116/B$109</f>
        <v>0</v>
      </c>
      <c r="J116" s="8">
        <f t="shared" ref="J116:J123" si="38">C116*B116/G116</f>
        <v>6.1707063555428343</v>
      </c>
      <c r="K116" s="11">
        <f t="shared" ref="K116:K123" si="39">J116/A116</f>
        <v>0.85704254938094915</v>
      </c>
      <c r="L116" s="8">
        <f>J116*'IN-rates'!$J$6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6"/>
        <v>9453</v>
      </c>
      <c r="D117">
        <f t="shared" si="37"/>
        <v>30321.600000000002</v>
      </c>
      <c r="E117">
        <f>Constants!B$17*B$29</f>
        <v>0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39957.000000000007</v>
      </c>
      <c r="H117" s="8">
        <f>G117*'IN-rates'!J$7</f>
        <v>0</v>
      </c>
      <c r="I117" s="8">
        <f t="shared" ref="I117:I125" si="41">H117/B$109</f>
        <v>0</v>
      </c>
      <c r="J117" s="8">
        <f t="shared" si="38"/>
        <v>12.302124784142951</v>
      </c>
      <c r="K117" s="11">
        <f t="shared" si="39"/>
        <v>0.85431422112103816</v>
      </c>
      <c r="L117" s="8">
        <f>J117*'IN-rates'!$J$7</f>
        <v>0</v>
      </c>
      <c r="M117" s="10">
        <f t="shared" ref="M117:M125" si="42">G117/($B$105*8*$B$109)</f>
        <v>8.3243750000000019E-2</v>
      </c>
    </row>
    <row r="118" spans="1:14">
      <c r="A118">
        <v>21.7</v>
      </c>
      <c r="B118">
        <v>78</v>
      </c>
      <c r="C118">
        <f t="shared" si="36"/>
        <v>6302</v>
      </c>
      <c r="D118">
        <f t="shared" si="37"/>
        <v>20238.400000000001</v>
      </c>
      <c r="E118">
        <f>Constants!B$17*B$29</f>
        <v>0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26722.800000000003</v>
      </c>
      <c r="H118" s="8">
        <f>G118*'IN-rates'!J$8</f>
        <v>0</v>
      </c>
      <c r="I118" s="8">
        <f t="shared" si="41"/>
        <v>0</v>
      </c>
      <c r="J118" s="8">
        <f t="shared" si="38"/>
        <v>18.394629305312314</v>
      </c>
      <c r="K118" s="11">
        <f t="shared" si="39"/>
        <v>0.84767876983006063</v>
      </c>
      <c r="L118" s="8">
        <f>J118*'IN-rates'!$J$8</f>
        <v>0</v>
      </c>
      <c r="M118" s="10">
        <f t="shared" si="42"/>
        <v>5.5672500000000007E-2</v>
      </c>
    </row>
    <row r="119" spans="1:14">
      <c r="A119">
        <v>28.9</v>
      </c>
      <c r="B119">
        <v>104</v>
      </c>
      <c r="C119">
        <f t="shared" si="36"/>
        <v>4727</v>
      </c>
      <c r="D119">
        <f t="shared" si="37"/>
        <v>15198.400000000001</v>
      </c>
      <c r="E119">
        <f>Constants!B$17*B$29</f>
        <v>0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20107.800000000003</v>
      </c>
      <c r="H119" s="8">
        <f>G119*'IN-rates'!J$9</f>
        <v>0</v>
      </c>
      <c r="I119" s="8">
        <f t="shared" si="41"/>
        <v>0</v>
      </c>
      <c r="J119" s="8">
        <f t="shared" si="38"/>
        <v>24.448621927809107</v>
      </c>
      <c r="K119" s="11">
        <f t="shared" si="39"/>
        <v>0.84597307708682035</v>
      </c>
      <c r="L119" s="8">
        <f>J119*'IN-rates'!$J$9</f>
        <v>0</v>
      </c>
      <c r="M119" s="10">
        <f t="shared" si="42"/>
        <v>4.1891250000000005E-2</v>
      </c>
    </row>
    <row r="120" spans="1:14">
      <c r="A120">
        <v>43.3</v>
      </c>
      <c r="B120">
        <v>156</v>
      </c>
      <c r="C120">
        <f t="shared" si="36"/>
        <v>3151</v>
      </c>
      <c r="D120">
        <f t="shared" si="37"/>
        <v>10155.200000000001</v>
      </c>
      <c r="E120">
        <f>Constants!B$17*B$29</f>
        <v>0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13488.6</v>
      </c>
      <c r="H120" s="8">
        <f>G120*'IN-rates'!J$10</f>
        <v>0</v>
      </c>
      <c r="I120" s="8">
        <f t="shared" si="41"/>
        <v>0</v>
      </c>
      <c r="J120" s="8">
        <f t="shared" si="38"/>
        <v>36.44232907788799</v>
      </c>
      <c r="K120" s="11">
        <f t="shared" si="39"/>
        <v>0.84162422812674353</v>
      </c>
      <c r="L120" s="8">
        <f>J120*'IN-rates'!$J$10</f>
        <v>0</v>
      </c>
      <c r="M120" s="10">
        <f t="shared" si="42"/>
        <v>2.8101250000000001E-2</v>
      </c>
    </row>
    <row r="121" spans="1:14">
      <c r="A121">
        <v>57.8</v>
      </c>
      <c r="B121">
        <v>208</v>
      </c>
      <c r="C121">
        <f t="shared" si="36"/>
        <v>2364</v>
      </c>
      <c r="D121">
        <f t="shared" si="37"/>
        <v>7636.8</v>
      </c>
      <c r="E121">
        <f>Constants!B$17*B$29</f>
        <v>0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10183.199999999999</v>
      </c>
      <c r="H121" s="8">
        <f>G121*'IN-rates'!J$11</f>
        <v>0</v>
      </c>
      <c r="I121" s="8">
        <f t="shared" si="41"/>
        <v>0</v>
      </c>
      <c r="J121" s="8">
        <f t="shared" si="38"/>
        <v>48.286589677115252</v>
      </c>
      <c r="K121" s="11">
        <f t="shared" si="39"/>
        <v>0.83540812590164804</v>
      </c>
      <c r="L121" s="8">
        <f>J121*'IN-rates'!$J$11</f>
        <v>0</v>
      </c>
      <c r="M121" s="10">
        <f t="shared" si="42"/>
        <v>2.1214999999999998E-2</v>
      </c>
    </row>
    <row r="122" spans="1:14">
      <c r="A122">
        <v>65</v>
      </c>
      <c r="B122">
        <v>234</v>
      </c>
      <c r="C122">
        <f t="shared" si="36"/>
        <v>2101</v>
      </c>
      <c r="D122">
        <f t="shared" si="37"/>
        <v>6795.2000000000007</v>
      </c>
      <c r="E122">
        <f>Constants!B$17*B$29</f>
        <v>0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9078.6</v>
      </c>
      <c r="H122" s="8">
        <f>G122*'IN-rates'!J$12</f>
        <v>0</v>
      </c>
      <c r="I122" s="8">
        <f t="shared" si="41"/>
        <v>0</v>
      </c>
      <c r="J122" s="8">
        <f t="shared" si="38"/>
        <v>54.153063247637299</v>
      </c>
      <c r="K122" s="11">
        <f t="shared" si="39"/>
        <v>0.83312404996365075</v>
      </c>
      <c r="L122" s="8">
        <f>J122*'IN-rates'!$J$12</f>
        <v>0</v>
      </c>
      <c r="M122" s="10">
        <f t="shared" si="42"/>
        <v>1.891375E-2</v>
      </c>
    </row>
    <row r="123" spans="1:14">
      <c r="A123">
        <v>72.2</v>
      </c>
      <c r="B123">
        <v>260</v>
      </c>
      <c r="C123">
        <f t="shared" si="36"/>
        <v>1891</v>
      </c>
      <c r="D123">
        <f t="shared" si="37"/>
        <v>6123.2000000000007</v>
      </c>
      <c r="E123">
        <f>Constants!B$17*B$29</f>
        <v>0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8196.6</v>
      </c>
      <c r="H123" s="8">
        <f>G123*'IN-rates'!J$13</f>
        <v>0</v>
      </c>
      <c r="I123" s="8">
        <f t="shared" si="41"/>
        <v>0</v>
      </c>
      <c r="J123" s="8">
        <f t="shared" si="38"/>
        <v>59.983407754434765</v>
      </c>
      <c r="K123" s="11">
        <f t="shared" si="39"/>
        <v>0.83079512125255905</v>
      </c>
      <c r="L123" s="8">
        <f>J123*'IN-rates'!$J$13</f>
        <v>0</v>
      </c>
      <c r="M123" s="10">
        <f t="shared" si="42"/>
        <v>1.7076250000000001E-2</v>
      </c>
    </row>
    <row r="124" spans="1:14">
      <c r="A124">
        <v>86.7</v>
      </c>
      <c r="B124">
        <v>312</v>
      </c>
      <c r="C124">
        <f t="shared" si="36"/>
        <v>1576</v>
      </c>
      <c r="D124">
        <f t="shared" si="37"/>
        <v>5115.2000000000007</v>
      </c>
      <c r="E124">
        <f>Constants!B$17*B$29</f>
        <v>0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6873.6</v>
      </c>
      <c r="H124" s="8">
        <f>G124*'IN-rates'!J$14</f>
        <v>0</v>
      </c>
      <c r="I124" s="8">
        <f t="shared" si="41"/>
        <v>0</v>
      </c>
      <c r="J124" s="8">
        <f t="shared" ref="J124:J125" si="43">C124*B124/G124</f>
        <v>71.536312849162002</v>
      </c>
      <c r="K124" s="11">
        <f t="shared" ref="K124:K125" si="44">J124/A124</f>
        <v>0.82510164762585925</v>
      </c>
      <c r="L124" s="8">
        <f>J124*'IN-rates'!$J$14</f>
        <v>0</v>
      </c>
      <c r="M124" s="10">
        <f t="shared" si="42"/>
        <v>1.4320000000000001E-2</v>
      </c>
    </row>
    <row r="125" spans="1:14">
      <c r="A125">
        <v>96.3</v>
      </c>
      <c r="B125">
        <v>346</v>
      </c>
      <c r="C125">
        <f t="shared" si="36"/>
        <v>1421</v>
      </c>
      <c r="D125">
        <f t="shared" si="37"/>
        <v>4619.2</v>
      </c>
      <c r="E125">
        <f>Constants!B$17*B$29</f>
        <v>0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6222.5999999999995</v>
      </c>
      <c r="H125" s="8">
        <f>G125*'IN-rates'!J$15</f>
        <v>6222.5999999999995</v>
      </c>
      <c r="I125" s="8">
        <f t="shared" si="41"/>
        <v>155.565</v>
      </c>
      <c r="J125" s="8">
        <f t="shared" si="43"/>
        <v>79.012952785009489</v>
      </c>
      <c r="K125" s="11">
        <f t="shared" si="44"/>
        <v>0.82048756786095012</v>
      </c>
      <c r="L125" s="8">
        <f>J125*'IN-rates'!$J$15</f>
        <v>79.012952785009489</v>
      </c>
      <c r="M125" s="10">
        <f t="shared" si="42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0" t="s">
        <v>162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228</v>
      </c>
      <c r="J131" t="s">
        <v>86</v>
      </c>
      <c r="K131" t="s">
        <v>63</v>
      </c>
      <c r="L131" t="s">
        <v>50</v>
      </c>
      <c r="M131" t="s">
        <v>230</v>
      </c>
    </row>
    <row r="132" spans="1:13">
      <c r="A132">
        <v>14.4</v>
      </c>
      <c r="B132">
        <v>52</v>
      </c>
      <c r="C132">
        <f t="shared" ref="C132:C141" si="45">CEILING(E$104*8/B132,1)</f>
        <v>9453</v>
      </c>
      <c r="D132">
        <f t="shared" ref="D132:D141" si="46">C132*3.2+E$26</f>
        <v>30321.600000000002</v>
      </c>
      <c r="E132">
        <f>Constants!B$17*B$29</f>
        <v>0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39957.000000000007</v>
      </c>
      <c r="H132" s="8">
        <f>G132*'IN-rates'!J$6</f>
        <v>0</v>
      </c>
      <c r="I132" s="8">
        <f>H132/B$109</f>
        <v>0</v>
      </c>
      <c r="J132" s="8">
        <f t="shared" ref="J132:J139" si="47">C132*B132/G132</f>
        <v>12.302124784142951</v>
      </c>
      <c r="K132" s="11">
        <f t="shared" ref="K132:K139" si="48">J132/A132</f>
        <v>0.85431422112103816</v>
      </c>
      <c r="L132" s="8">
        <f>J132*'IN-rates'!$J$6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5"/>
        <v>4727</v>
      </c>
      <c r="D133">
        <f t="shared" si="46"/>
        <v>15198.400000000001</v>
      </c>
      <c r="E133">
        <f>Constants!B$17*B$29</f>
        <v>0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20107.800000000003</v>
      </c>
      <c r="H133" s="8">
        <f>G133*'IN-rates'!J$7</f>
        <v>0</v>
      </c>
      <c r="I133" s="8">
        <f t="shared" ref="I133:I141" si="50">H133/B$109</f>
        <v>0</v>
      </c>
      <c r="J133" s="8">
        <f t="shared" si="47"/>
        <v>24.448621927809107</v>
      </c>
      <c r="K133" s="11">
        <f t="shared" si="48"/>
        <v>0.84597307708682035</v>
      </c>
      <c r="L133" s="8">
        <f>J133*'IN-rates'!$J$7</f>
        <v>0</v>
      </c>
      <c r="M133" s="10">
        <f t="shared" ref="M133:M141" si="51">G133/($B$105*8*$B$109)</f>
        <v>4.1891250000000005E-2</v>
      </c>
    </row>
    <row r="134" spans="1:13">
      <c r="A134">
        <v>43.3</v>
      </c>
      <c r="B134">
        <v>156</v>
      </c>
      <c r="C134">
        <f t="shared" si="45"/>
        <v>3151</v>
      </c>
      <c r="D134">
        <f t="shared" si="46"/>
        <v>10155.200000000001</v>
      </c>
      <c r="E134">
        <f>Constants!B$17*B$29</f>
        <v>0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13488.6</v>
      </c>
      <c r="H134" s="8">
        <f>G134*'IN-rates'!J$8</f>
        <v>0</v>
      </c>
      <c r="I134" s="8">
        <f t="shared" si="50"/>
        <v>0</v>
      </c>
      <c r="J134" s="8">
        <f t="shared" si="47"/>
        <v>36.44232907788799</v>
      </c>
      <c r="K134" s="11">
        <f t="shared" si="48"/>
        <v>0.84162422812674353</v>
      </c>
      <c r="L134" s="8">
        <f>J134*'IN-rates'!$J$8</f>
        <v>0</v>
      </c>
      <c r="M134" s="10">
        <f t="shared" si="51"/>
        <v>2.8101250000000001E-2</v>
      </c>
    </row>
    <row r="135" spans="1:13">
      <c r="A135">
        <v>57.8</v>
      </c>
      <c r="B135">
        <v>208</v>
      </c>
      <c r="C135">
        <f t="shared" si="45"/>
        <v>2364</v>
      </c>
      <c r="D135">
        <f t="shared" si="46"/>
        <v>7636.8</v>
      </c>
      <c r="E135">
        <f>Constants!B$17*B$29</f>
        <v>0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10183.199999999999</v>
      </c>
      <c r="H135" s="8">
        <f>G135*'IN-rates'!J$9</f>
        <v>0</v>
      </c>
      <c r="I135" s="8">
        <f t="shared" si="50"/>
        <v>0</v>
      </c>
      <c r="J135" s="8">
        <f t="shared" si="47"/>
        <v>48.286589677115252</v>
      </c>
      <c r="K135" s="11">
        <f t="shared" si="48"/>
        <v>0.83540812590164804</v>
      </c>
      <c r="L135" s="8">
        <f>J135*'IN-rates'!$J$9</f>
        <v>0</v>
      </c>
      <c r="M135" s="10">
        <f t="shared" si="51"/>
        <v>2.1214999999999998E-2</v>
      </c>
    </row>
    <row r="136" spans="1:13">
      <c r="A136">
        <v>86.7</v>
      </c>
      <c r="B136">
        <v>312</v>
      </c>
      <c r="C136">
        <f t="shared" si="45"/>
        <v>1576</v>
      </c>
      <c r="D136">
        <f t="shared" si="46"/>
        <v>5115.2000000000007</v>
      </c>
      <c r="E136">
        <f>Constants!B$17*B$29</f>
        <v>0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6873.6</v>
      </c>
      <c r="H136" s="8">
        <f>G136*'IN-rates'!J$10</f>
        <v>0</v>
      </c>
      <c r="I136" s="8">
        <f t="shared" si="50"/>
        <v>0</v>
      </c>
      <c r="J136" s="8">
        <f t="shared" si="47"/>
        <v>71.536312849162002</v>
      </c>
      <c r="K136" s="11">
        <f t="shared" si="48"/>
        <v>0.82510164762585925</v>
      </c>
      <c r="L136" s="8">
        <f>J136*'IN-rates'!$J$10</f>
        <v>0</v>
      </c>
      <c r="M136" s="10">
        <f t="shared" si="51"/>
        <v>1.4320000000000001E-2</v>
      </c>
    </row>
    <row r="137" spans="1:13">
      <c r="A137">
        <v>115.6</v>
      </c>
      <c r="B137">
        <v>416</v>
      </c>
      <c r="C137">
        <f t="shared" si="45"/>
        <v>1182</v>
      </c>
      <c r="D137">
        <f t="shared" si="46"/>
        <v>3854.4</v>
      </c>
      <c r="E137">
        <f>Constants!B$17*B$29</f>
        <v>0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5218.7999999999993</v>
      </c>
      <c r="H137" s="8">
        <f>G137*'IN-rates'!J$11</f>
        <v>0</v>
      </c>
      <c r="I137" s="8">
        <f t="shared" si="50"/>
        <v>0</v>
      </c>
      <c r="J137" s="8">
        <f t="shared" si="47"/>
        <v>94.219360772591415</v>
      </c>
      <c r="K137" s="11">
        <f t="shared" si="48"/>
        <v>0.81504637346532371</v>
      </c>
      <c r="L137" s="8">
        <f>J137*'IN-rates'!$J$11</f>
        <v>0</v>
      </c>
      <c r="M137" s="10">
        <f t="shared" si="51"/>
        <v>1.0872499999999998E-2</v>
      </c>
    </row>
    <row r="138" spans="1:13">
      <c r="A138">
        <v>130</v>
      </c>
      <c r="B138">
        <v>468</v>
      </c>
      <c r="C138">
        <f t="shared" si="45"/>
        <v>1051</v>
      </c>
      <c r="D138">
        <f t="shared" si="46"/>
        <v>3435.2000000000003</v>
      </c>
      <c r="E138">
        <f>Constants!B$17*B$29</f>
        <v>0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4668.6000000000004</v>
      </c>
      <c r="H138" s="8">
        <f>G138*'IN-rates'!J$12</f>
        <v>0</v>
      </c>
      <c r="I138" s="8">
        <f t="shared" si="50"/>
        <v>0</v>
      </c>
      <c r="J138" s="8">
        <f t="shared" si="47"/>
        <v>105.35663796427194</v>
      </c>
      <c r="K138" s="11">
        <f t="shared" si="48"/>
        <v>0.81043567664824567</v>
      </c>
      <c r="L138" s="8">
        <f>J138*'IN-rates'!$J$12</f>
        <v>0</v>
      </c>
      <c r="M138" s="10">
        <f t="shared" si="51"/>
        <v>9.7262500000000005E-3</v>
      </c>
    </row>
    <row r="139" spans="1:13">
      <c r="A139">
        <v>144.4</v>
      </c>
      <c r="B139">
        <v>520</v>
      </c>
      <c r="C139">
        <f t="shared" si="45"/>
        <v>946</v>
      </c>
      <c r="D139">
        <f t="shared" si="46"/>
        <v>3099.2000000000003</v>
      </c>
      <c r="E139">
        <f>Constants!B$17*B$29</f>
        <v>0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4227.6000000000004</v>
      </c>
      <c r="H139" s="8">
        <f>G139*'IN-rates'!J$13</f>
        <v>0</v>
      </c>
      <c r="I139" s="8">
        <f t="shared" si="50"/>
        <v>0</v>
      </c>
      <c r="J139" s="8">
        <f t="shared" si="47"/>
        <v>116.35916359163591</v>
      </c>
      <c r="K139" s="11">
        <f t="shared" si="48"/>
        <v>0.80581138221354498</v>
      </c>
      <c r="L139" s="8">
        <f>J139*'IN-rates'!$J$13</f>
        <v>0</v>
      </c>
      <c r="M139" s="10">
        <f t="shared" si="51"/>
        <v>8.8075000000000011E-3</v>
      </c>
    </row>
    <row r="140" spans="1:13">
      <c r="A140">
        <v>173.3</v>
      </c>
      <c r="B140">
        <v>624</v>
      </c>
      <c r="C140">
        <f t="shared" si="45"/>
        <v>788</v>
      </c>
      <c r="D140">
        <f t="shared" si="46"/>
        <v>2593.6000000000004</v>
      </c>
      <c r="E140">
        <f>Constants!B$17*B$29</f>
        <v>0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3564.0000000000005</v>
      </c>
      <c r="H140" s="8">
        <f>G140*'IN-rates'!J$14</f>
        <v>0</v>
      </c>
      <c r="I140" s="8">
        <f t="shared" si="50"/>
        <v>0</v>
      </c>
      <c r="J140" s="8">
        <f t="shared" ref="J140:J141" si="52">C140*B140/G140</f>
        <v>137.96632996632994</v>
      </c>
      <c r="K140" s="11">
        <f t="shared" ref="K140:K141" si="53">J140/A140</f>
        <v>0.79611269455470246</v>
      </c>
      <c r="L140" s="8">
        <f>J140*'IN-rates'!$J$14</f>
        <v>0</v>
      </c>
      <c r="M140" s="10">
        <f t="shared" si="51"/>
        <v>7.425000000000001E-3</v>
      </c>
    </row>
    <row r="141" spans="1:13">
      <c r="A141">
        <v>192.6</v>
      </c>
      <c r="B141">
        <v>693</v>
      </c>
      <c r="C141">
        <f t="shared" si="45"/>
        <v>710</v>
      </c>
      <c r="D141">
        <f t="shared" si="46"/>
        <v>2344</v>
      </c>
      <c r="E141">
        <f>Constants!B$17*B$29</f>
        <v>0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3236.4</v>
      </c>
      <c r="H141" s="8">
        <f>G141*'IN-rates'!J$15</f>
        <v>3236.4</v>
      </c>
      <c r="I141" s="8">
        <f t="shared" si="50"/>
        <v>80.91</v>
      </c>
      <c r="J141" s="8">
        <f t="shared" si="52"/>
        <v>152.03003337041156</v>
      </c>
      <c r="K141" s="11">
        <f t="shared" si="53"/>
        <v>0.78935635187129571</v>
      </c>
      <c r="L141" s="8">
        <f>J141*'IN-rates'!$J$15</f>
        <v>152.03003337041156</v>
      </c>
      <c r="M141" s="10">
        <f t="shared" si="51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32" t="s">
        <v>163</v>
      </c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228</v>
      </c>
      <c r="J146" t="s">
        <v>86</v>
      </c>
      <c r="K146" t="s">
        <v>63</v>
      </c>
      <c r="L146" t="s">
        <v>50</v>
      </c>
      <c r="M146" t="s">
        <v>230</v>
      </c>
    </row>
    <row r="147" spans="1:13">
      <c r="A147">
        <v>21.7</v>
      </c>
      <c r="B147">
        <v>78</v>
      </c>
      <c r="C147">
        <f t="shared" ref="C147:C156" si="54">CEILING(E$104*8/B147,1)</f>
        <v>6302</v>
      </c>
      <c r="D147">
        <f t="shared" ref="D147:D156" si="55">C147*3.2+E$26</f>
        <v>20238.400000000001</v>
      </c>
      <c r="E147">
        <f>Constants!B$17*B$29</f>
        <v>0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26722.800000000003</v>
      </c>
      <c r="H147" s="8">
        <f>G147*'IN-rates'!J$6</f>
        <v>0</v>
      </c>
      <c r="I147" s="8">
        <f>H147/B$109</f>
        <v>0</v>
      </c>
      <c r="J147" s="8">
        <f t="shared" ref="J147:J154" si="56">C147*B147/G147</f>
        <v>18.394629305312314</v>
      </c>
      <c r="K147" s="11">
        <f t="shared" ref="K147:K154" si="57">J147/A147</f>
        <v>0.84767876983006063</v>
      </c>
      <c r="L147" s="8">
        <f>J147*'IN-rates'!$J$6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54"/>
        <v>3151</v>
      </c>
      <c r="D148">
        <f t="shared" si="55"/>
        <v>10155.200000000001</v>
      </c>
      <c r="E148">
        <f>Constants!B$17*B$29</f>
        <v>0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13488.6</v>
      </c>
      <c r="H148" s="8">
        <f>G148*'IN-rates'!J$7</f>
        <v>0</v>
      </c>
      <c r="I148" s="8">
        <f t="shared" ref="I148:I156" si="59">H148/B$109</f>
        <v>0</v>
      </c>
      <c r="J148" s="8">
        <f t="shared" si="56"/>
        <v>36.44232907788799</v>
      </c>
      <c r="K148" s="11">
        <f t="shared" si="57"/>
        <v>0.84162422812674353</v>
      </c>
      <c r="L148" s="8">
        <f>J148*'IN-rates'!$J$7</f>
        <v>0</v>
      </c>
      <c r="M148" s="10">
        <f t="shared" ref="M148:M156" si="60">G148/($B$105*8*$B$109)</f>
        <v>2.8101250000000001E-2</v>
      </c>
    </row>
    <row r="149" spans="1:13">
      <c r="A149">
        <v>65</v>
      </c>
      <c r="B149">
        <v>234</v>
      </c>
      <c r="C149">
        <f t="shared" si="54"/>
        <v>2101</v>
      </c>
      <c r="D149">
        <f t="shared" si="55"/>
        <v>6795.2000000000007</v>
      </c>
      <c r="E149">
        <f>Constants!B$17*B$29</f>
        <v>0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9078.6</v>
      </c>
      <c r="H149" s="8">
        <f>G149*'IN-rates'!J$8</f>
        <v>0</v>
      </c>
      <c r="I149" s="8">
        <f t="shared" si="59"/>
        <v>0</v>
      </c>
      <c r="J149" s="8">
        <f t="shared" si="56"/>
        <v>54.153063247637299</v>
      </c>
      <c r="K149" s="11">
        <f t="shared" si="57"/>
        <v>0.83312404996365075</v>
      </c>
      <c r="L149" s="8">
        <f>J149*'IN-rates'!$J$8</f>
        <v>0</v>
      </c>
      <c r="M149" s="10">
        <f t="shared" si="60"/>
        <v>1.891375E-2</v>
      </c>
    </row>
    <row r="150" spans="1:13">
      <c r="A150">
        <v>86.7</v>
      </c>
      <c r="B150">
        <v>312</v>
      </c>
      <c r="C150">
        <f t="shared" si="54"/>
        <v>1576</v>
      </c>
      <c r="D150">
        <f t="shared" si="55"/>
        <v>5115.2000000000007</v>
      </c>
      <c r="E150">
        <f>Constants!B$17*B$29</f>
        <v>0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6873.6</v>
      </c>
      <c r="H150" s="8">
        <f>G150*'IN-rates'!J$9</f>
        <v>0</v>
      </c>
      <c r="I150" s="8">
        <f t="shared" si="59"/>
        <v>0</v>
      </c>
      <c r="J150" s="8">
        <f t="shared" si="56"/>
        <v>71.536312849162002</v>
      </c>
      <c r="K150" s="11">
        <f t="shared" si="57"/>
        <v>0.82510164762585925</v>
      </c>
      <c r="L150" s="8">
        <f>J150*'IN-rates'!$J$9</f>
        <v>0</v>
      </c>
      <c r="M150" s="10">
        <f t="shared" si="60"/>
        <v>1.4320000000000001E-2</v>
      </c>
    </row>
    <row r="151" spans="1:13">
      <c r="A151">
        <v>130</v>
      </c>
      <c r="B151">
        <v>468</v>
      </c>
      <c r="C151">
        <f t="shared" si="54"/>
        <v>1051</v>
      </c>
      <c r="D151">
        <f t="shared" si="55"/>
        <v>3435.2000000000003</v>
      </c>
      <c r="E151">
        <f>Constants!B$17*B$29</f>
        <v>0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4668.6000000000004</v>
      </c>
      <c r="H151" s="8">
        <f>G151*'IN-rates'!J$10</f>
        <v>0</v>
      </c>
      <c r="I151" s="8">
        <f t="shared" si="59"/>
        <v>0</v>
      </c>
      <c r="J151" s="8">
        <f t="shared" si="56"/>
        <v>105.35663796427194</v>
      </c>
      <c r="K151" s="11">
        <f t="shared" si="57"/>
        <v>0.81043567664824567</v>
      </c>
      <c r="L151" s="8">
        <f>J151*'IN-rates'!$J$10</f>
        <v>0</v>
      </c>
      <c r="M151" s="10">
        <f t="shared" si="60"/>
        <v>9.7262500000000005E-3</v>
      </c>
    </row>
    <row r="152" spans="1:13">
      <c r="A152">
        <v>173.3</v>
      </c>
      <c r="B152">
        <v>624</v>
      </c>
      <c r="C152">
        <f t="shared" si="54"/>
        <v>788</v>
      </c>
      <c r="D152">
        <f t="shared" si="55"/>
        <v>2593.6000000000004</v>
      </c>
      <c r="E152">
        <f>Constants!B$17*B$29</f>
        <v>0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3564.0000000000005</v>
      </c>
      <c r="H152" s="8">
        <f>G152*'IN-rates'!J$11</f>
        <v>0</v>
      </c>
      <c r="I152" s="8">
        <f t="shared" si="59"/>
        <v>0</v>
      </c>
      <c r="J152" s="8">
        <f t="shared" si="56"/>
        <v>137.96632996632994</v>
      </c>
      <c r="K152" s="11">
        <f t="shared" si="57"/>
        <v>0.79611269455470246</v>
      </c>
      <c r="L152" s="8">
        <f>J152*'IN-rates'!$J$11</f>
        <v>0</v>
      </c>
      <c r="M152" s="10">
        <f t="shared" si="60"/>
        <v>7.425000000000001E-3</v>
      </c>
    </row>
    <row r="153" spans="1:13">
      <c r="A153">
        <v>195</v>
      </c>
      <c r="B153">
        <v>702</v>
      </c>
      <c r="C153">
        <f t="shared" si="54"/>
        <v>701</v>
      </c>
      <c r="D153">
        <f t="shared" si="55"/>
        <v>2315.2000000000003</v>
      </c>
      <c r="E153">
        <f>Constants!B$17*B$29</f>
        <v>0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3198.6000000000004</v>
      </c>
      <c r="H153" s="8">
        <f>G153*'IN-rates'!J$12</f>
        <v>0</v>
      </c>
      <c r="I153" s="8">
        <f t="shared" si="59"/>
        <v>0</v>
      </c>
      <c r="J153" s="8">
        <f t="shared" si="56"/>
        <v>153.84918401800786</v>
      </c>
      <c r="K153" s="11">
        <f t="shared" si="57"/>
        <v>0.78897017445132234</v>
      </c>
      <c r="L153" s="8">
        <f>J153*'IN-rates'!$J$12</f>
        <v>0</v>
      </c>
      <c r="M153" s="10">
        <f t="shared" si="60"/>
        <v>6.6637500000000004E-3</v>
      </c>
    </row>
    <row r="154" spans="1:13">
      <c r="A154">
        <v>216.7</v>
      </c>
      <c r="B154">
        <v>780</v>
      </c>
      <c r="C154">
        <f t="shared" si="54"/>
        <v>631</v>
      </c>
      <c r="D154">
        <f t="shared" si="55"/>
        <v>2091.1999999999998</v>
      </c>
      <c r="E154">
        <f>Constants!B$17*B$29</f>
        <v>0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2904.6</v>
      </c>
      <c r="H154" s="8">
        <f>G154*'IN-rates'!J$13</f>
        <v>0</v>
      </c>
      <c r="I154" s="8">
        <f t="shared" si="59"/>
        <v>0</v>
      </c>
      <c r="J154" s="8">
        <f t="shared" si="56"/>
        <v>169.44846106176411</v>
      </c>
      <c r="K154" s="11">
        <f t="shared" si="57"/>
        <v>0.78194952035885612</v>
      </c>
      <c r="L154" s="8">
        <f>J154*'IN-rates'!$J$13</f>
        <v>0</v>
      </c>
      <c r="M154" s="10">
        <f t="shared" si="60"/>
        <v>6.0512500000000002E-3</v>
      </c>
    </row>
    <row r="155" spans="1:13">
      <c r="A155">
        <v>260</v>
      </c>
      <c r="B155">
        <v>936</v>
      </c>
      <c r="C155">
        <f t="shared" si="54"/>
        <v>526</v>
      </c>
      <c r="D155">
        <f t="shared" si="55"/>
        <v>1755.2</v>
      </c>
      <c r="E155">
        <f>Constants!B$17*B$29</f>
        <v>0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2463.6</v>
      </c>
      <c r="H155" s="8">
        <f>G155*'IN-rates'!J$14</f>
        <v>0</v>
      </c>
      <c r="I155" s="8">
        <f t="shared" si="59"/>
        <v>0</v>
      </c>
      <c r="J155" s="8">
        <f t="shared" ref="J155:J156" si="61">C155*B155/G155</f>
        <v>199.84413054067218</v>
      </c>
      <c r="K155" s="11">
        <f t="shared" ref="K155:K156" si="62">J155/A155</f>
        <v>0.76863127131027764</v>
      </c>
      <c r="L155" s="8">
        <f>J155*'IN-rates'!$J$14</f>
        <v>0</v>
      </c>
      <c r="M155" s="10">
        <f t="shared" si="60"/>
        <v>5.1324999999999999E-3</v>
      </c>
    </row>
    <row r="156" spans="1:13">
      <c r="A156">
        <v>288.89999999999998</v>
      </c>
      <c r="B156">
        <v>1040</v>
      </c>
      <c r="C156">
        <f t="shared" si="54"/>
        <v>473</v>
      </c>
      <c r="D156">
        <f t="shared" si="55"/>
        <v>1585.6000000000001</v>
      </c>
      <c r="E156">
        <f>Constants!B$17*B$29</f>
        <v>0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2241.0000000000005</v>
      </c>
      <c r="H156" s="8">
        <f>G156*'IN-rates'!J$15</f>
        <v>2241.0000000000005</v>
      </c>
      <c r="I156" s="8">
        <f t="shared" si="59"/>
        <v>56.025000000000013</v>
      </c>
      <c r="J156" s="8">
        <f t="shared" si="61"/>
        <v>219.50914770191875</v>
      </c>
      <c r="K156" s="11">
        <f t="shared" si="62"/>
        <v>0.75981013396302788</v>
      </c>
      <c r="L156" s="8">
        <f>J156*'IN-rates'!$J$15</f>
        <v>219.50914770191875</v>
      </c>
      <c r="M156" s="10">
        <f t="shared" si="60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32" t="s">
        <v>164</v>
      </c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228</v>
      </c>
      <c r="J161" t="s">
        <v>86</v>
      </c>
      <c r="K161" t="s">
        <v>63</v>
      </c>
      <c r="L161" t="s">
        <v>50</v>
      </c>
      <c r="M161" t="s">
        <v>230</v>
      </c>
    </row>
    <row r="162" spans="1:13">
      <c r="A162">
        <v>28.9</v>
      </c>
      <c r="B162">
        <v>104</v>
      </c>
      <c r="C162">
        <f t="shared" ref="C162:C171" si="63">CEILING(E$104*8/B162,1)</f>
        <v>4727</v>
      </c>
      <c r="D162">
        <f t="shared" ref="D162:D171" si="64">C162*3.2+E$26</f>
        <v>15198.400000000001</v>
      </c>
      <c r="E162">
        <f>Constants!B$17*B$29</f>
        <v>0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20107.800000000003</v>
      </c>
      <c r="H162">
        <f>G162*'IN-rates'!J$6</f>
        <v>0</v>
      </c>
      <c r="I162" s="8">
        <f>H162/B$109</f>
        <v>0</v>
      </c>
      <c r="J162" s="8">
        <f t="shared" ref="J162:J169" si="65">C162*B162/G162</f>
        <v>24.448621927809107</v>
      </c>
      <c r="K162" s="11">
        <f t="shared" ref="K162:K169" si="66">J162/A162</f>
        <v>0.84597307708682035</v>
      </c>
      <c r="L162" s="8">
        <f>J162*'IN-rates'!$J$6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63"/>
        <v>2364</v>
      </c>
      <c r="D163">
        <f t="shared" si="64"/>
        <v>7636.8</v>
      </c>
      <c r="E163">
        <f>Constants!B$17*B$29</f>
        <v>0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10183.199999999999</v>
      </c>
      <c r="H163">
        <f>G163*'IN-rates'!J$7</f>
        <v>0</v>
      </c>
      <c r="I163" s="8">
        <f t="shared" ref="I163:I171" si="68">H163/B$109</f>
        <v>0</v>
      </c>
      <c r="J163" s="8">
        <f t="shared" si="65"/>
        <v>48.286589677115252</v>
      </c>
      <c r="K163" s="11">
        <f t="shared" si="66"/>
        <v>0.83540812590164804</v>
      </c>
      <c r="L163" s="8">
        <f>J163*'IN-rates'!$J$7</f>
        <v>0</v>
      </c>
      <c r="M163" s="10">
        <f t="shared" ref="M163:M171" si="69">G163/($B$105*8*$B$109)</f>
        <v>2.1214999999999998E-2</v>
      </c>
    </row>
    <row r="164" spans="1:13">
      <c r="A164">
        <v>86.7</v>
      </c>
      <c r="B164">
        <v>312</v>
      </c>
      <c r="C164">
        <f t="shared" si="63"/>
        <v>1576</v>
      </c>
      <c r="D164">
        <f t="shared" si="64"/>
        <v>5115.2000000000007</v>
      </c>
      <c r="E164">
        <f>Constants!B$17*B$29</f>
        <v>0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6873.6</v>
      </c>
      <c r="H164">
        <f>G164*'IN-rates'!J$8</f>
        <v>0</v>
      </c>
      <c r="I164" s="8">
        <f t="shared" si="68"/>
        <v>0</v>
      </c>
      <c r="J164" s="8">
        <f t="shared" si="65"/>
        <v>71.536312849162002</v>
      </c>
      <c r="K164" s="11">
        <f t="shared" si="66"/>
        <v>0.82510164762585925</v>
      </c>
      <c r="L164" s="8">
        <f>J164*'IN-rates'!$J$8</f>
        <v>0</v>
      </c>
      <c r="M164" s="10">
        <f t="shared" si="69"/>
        <v>1.4320000000000001E-2</v>
      </c>
    </row>
    <row r="165" spans="1:13">
      <c r="A165">
        <v>115.6</v>
      </c>
      <c r="B165">
        <v>416</v>
      </c>
      <c r="C165">
        <f t="shared" si="63"/>
        <v>1182</v>
      </c>
      <c r="D165">
        <f t="shared" si="64"/>
        <v>3854.4</v>
      </c>
      <c r="E165">
        <f>Constants!B$17*B$29</f>
        <v>0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5218.7999999999993</v>
      </c>
      <c r="H165">
        <f>G165*'IN-rates'!J$9</f>
        <v>0</v>
      </c>
      <c r="I165" s="8">
        <f t="shared" si="68"/>
        <v>0</v>
      </c>
      <c r="J165" s="8">
        <f t="shared" si="65"/>
        <v>94.219360772591415</v>
      </c>
      <c r="K165" s="11">
        <f t="shared" si="66"/>
        <v>0.81504637346532371</v>
      </c>
      <c r="L165" s="8">
        <f>J165*'IN-rates'!$J$9</f>
        <v>0</v>
      </c>
      <c r="M165" s="10">
        <f t="shared" si="69"/>
        <v>1.0872499999999998E-2</v>
      </c>
    </row>
    <row r="166" spans="1:13">
      <c r="A166">
        <v>173.3</v>
      </c>
      <c r="B166">
        <v>624</v>
      </c>
      <c r="C166">
        <f t="shared" si="63"/>
        <v>788</v>
      </c>
      <c r="D166">
        <f t="shared" si="64"/>
        <v>2593.6000000000004</v>
      </c>
      <c r="E166">
        <f>Constants!B$17*B$29</f>
        <v>0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3564.0000000000005</v>
      </c>
      <c r="H166">
        <f>G166*'IN-rates'!J$10</f>
        <v>0</v>
      </c>
      <c r="I166" s="8">
        <f t="shared" si="68"/>
        <v>0</v>
      </c>
      <c r="J166" s="8">
        <f t="shared" si="65"/>
        <v>137.96632996632994</v>
      </c>
      <c r="K166" s="11">
        <f t="shared" si="66"/>
        <v>0.79611269455470246</v>
      </c>
      <c r="L166" s="8">
        <f>J166*'IN-rates'!$J$10</f>
        <v>0</v>
      </c>
      <c r="M166" s="10">
        <f t="shared" si="69"/>
        <v>7.425000000000001E-3</v>
      </c>
    </row>
    <row r="167" spans="1:13">
      <c r="A167">
        <v>231.1</v>
      </c>
      <c r="B167">
        <v>832</v>
      </c>
      <c r="C167">
        <f t="shared" si="63"/>
        <v>591</v>
      </c>
      <c r="D167">
        <f t="shared" si="64"/>
        <v>1963.2</v>
      </c>
      <c r="E167">
        <f>Constants!B$17*B$29</f>
        <v>0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2736.6</v>
      </c>
      <c r="H167">
        <f>G167*'IN-rates'!J$11</f>
        <v>0</v>
      </c>
      <c r="I167" s="8">
        <f t="shared" si="68"/>
        <v>0</v>
      </c>
      <c r="J167" s="8">
        <f t="shared" si="65"/>
        <v>179.67989475992107</v>
      </c>
      <c r="K167" s="11">
        <f t="shared" si="66"/>
        <v>0.77749846282960222</v>
      </c>
      <c r="L167" s="8">
        <f>J167*'IN-rates'!$J$11</f>
        <v>0</v>
      </c>
      <c r="M167" s="10">
        <f t="shared" si="69"/>
        <v>5.7012499999999997E-3</v>
      </c>
    </row>
    <row r="168" spans="1:13">
      <c r="A168">
        <v>260</v>
      </c>
      <c r="B168">
        <v>936</v>
      </c>
      <c r="C168">
        <f t="shared" si="63"/>
        <v>526</v>
      </c>
      <c r="D168">
        <f t="shared" si="64"/>
        <v>1755.2</v>
      </c>
      <c r="E168">
        <f>Constants!B$17*B$29</f>
        <v>0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2463.6</v>
      </c>
      <c r="H168">
        <f>G168*'IN-rates'!J$12</f>
        <v>0</v>
      </c>
      <c r="I168" s="8">
        <f t="shared" si="68"/>
        <v>0</v>
      </c>
      <c r="J168" s="8">
        <f t="shared" si="65"/>
        <v>199.84413054067218</v>
      </c>
      <c r="K168" s="11">
        <f t="shared" si="66"/>
        <v>0.76863127131027764</v>
      </c>
      <c r="L168" s="8">
        <f>J168*'IN-rates'!$J$12</f>
        <v>0</v>
      </c>
      <c r="M168" s="10">
        <f t="shared" si="69"/>
        <v>5.1324999999999999E-3</v>
      </c>
    </row>
    <row r="169" spans="1:13">
      <c r="A169">
        <v>288.89999999999998</v>
      </c>
      <c r="B169">
        <v>1040</v>
      </c>
      <c r="C169">
        <f t="shared" si="63"/>
        <v>473</v>
      </c>
      <c r="D169">
        <f t="shared" si="64"/>
        <v>1585.6000000000001</v>
      </c>
      <c r="E169">
        <f>Constants!B$17*B$29</f>
        <v>0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2241.0000000000005</v>
      </c>
      <c r="H169">
        <f>G169*'IN-rates'!J$13</f>
        <v>0</v>
      </c>
      <c r="I169" s="8">
        <f t="shared" si="68"/>
        <v>0</v>
      </c>
      <c r="J169" s="8">
        <f t="shared" si="65"/>
        <v>219.50914770191875</v>
      </c>
      <c r="K169" s="11">
        <f t="shared" si="66"/>
        <v>0.75981013396302788</v>
      </c>
      <c r="L169" s="8">
        <f>J169*'IN-rates'!$J$13</f>
        <v>0</v>
      </c>
      <c r="M169" s="10">
        <f t="shared" si="69"/>
        <v>4.668750000000001E-3</v>
      </c>
    </row>
    <row r="170" spans="1:13">
      <c r="A170">
        <v>346.7</v>
      </c>
      <c r="B170">
        <v>1248</v>
      </c>
      <c r="C170">
        <f t="shared" si="63"/>
        <v>394</v>
      </c>
      <c r="D170">
        <f t="shared" si="64"/>
        <v>1332.8000000000002</v>
      </c>
      <c r="E170">
        <f>Constants!B$17*B$29</f>
        <v>0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1909.2000000000003</v>
      </c>
      <c r="H170">
        <f>G170*'IN-rates'!J$14</f>
        <v>0</v>
      </c>
      <c r="I170" s="8">
        <f t="shared" si="68"/>
        <v>0</v>
      </c>
      <c r="J170" s="8">
        <f t="shared" ref="J170:J171" si="70">C170*B170/G170</f>
        <v>257.54871150219986</v>
      </c>
      <c r="K170" s="11">
        <f t="shared" ref="K170:K171" si="71">J170/A170</f>
        <v>0.74285754687683836</v>
      </c>
      <c r="L170" s="8">
        <f>J170*'IN-rates'!$J$14</f>
        <v>0</v>
      </c>
      <c r="M170" s="10">
        <f t="shared" si="69"/>
        <v>3.977500000000001E-3</v>
      </c>
    </row>
    <row r="171" spans="1:13">
      <c r="A171">
        <v>384.3</v>
      </c>
      <c r="B171">
        <v>1384</v>
      </c>
      <c r="C171">
        <f t="shared" si="63"/>
        <v>356</v>
      </c>
      <c r="D171">
        <f t="shared" si="64"/>
        <v>1211.2</v>
      </c>
      <c r="E171">
        <f>Constants!B$17*B$29</f>
        <v>0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1749.6</v>
      </c>
      <c r="H171">
        <f>G171*'IN-rates'!J$15</f>
        <v>1749.6</v>
      </c>
      <c r="I171" s="8">
        <f t="shared" si="68"/>
        <v>43.739999999999995</v>
      </c>
      <c r="J171" s="8">
        <f t="shared" si="70"/>
        <v>281.60951074531323</v>
      </c>
      <c r="K171" s="11">
        <f t="shared" si="71"/>
        <v>0.732785612139769</v>
      </c>
      <c r="L171" s="8">
        <f>J171*'IN-rates'!$J$15</f>
        <v>281.60951074531323</v>
      </c>
      <c r="M171" s="10">
        <f t="shared" si="69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28" t="s">
        <v>169</v>
      </c>
      <c r="B174" s="28"/>
      <c r="C174" s="28"/>
      <c r="D174" s="28"/>
      <c r="E174" s="28"/>
      <c r="F174" s="28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0.5</v>
      </c>
      <c r="D176" s="12">
        <v>0</v>
      </c>
      <c r="E176" s="13">
        <f>B176</f>
        <v>79.012952785009489</v>
      </c>
      <c r="F176" s="13">
        <f>E176*C176</f>
        <v>39.506476392504744</v>
      </c>
    </row>
    <row r="177" spans="1:13">
      <c r="A177" t="s">
        <v>90</v>
      </c>
      <c r="B177" s="8">
        <f>L126</f>
        <v>79.012952785009489</v>
      </c>
      <c r="C177" s="11">
        <f>'IN-client'!B26</f>
        <v>0.5</v>
      </c>
      <c r="D177" s="12">
        <f>'IN-client'!B27</f>
        <v>4</v>
      </c>
      <c r="E177" s="13">
        <f>B176*D177</f>
        <v>316.05181114003796</v>
      </c>
      <c r="F177" s="13">
        <f>E177*C177</f>
        <v>158.02590557001898</v>
      </c>
    </row>
    <row r="178" spans="1:13">
      <c r="B178" s="8"/>
      <c r="C178" s="11"/>
      <c r="D178" s="12"/>
      <c r="E178" s="13"/>
      <c r="F178" s="13">
        <f>SUM(F176:F177)</f>
        <v>197.53238196252371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0.5</v>
      </c>
      <c r="D180">
        <v>0</v>
      </c>
      <c r="E180" s="13">
        <f>B180</f>
        <v>152.03003337041156</v>
      </c>
      <c r="F180" s="13">
        <f>E180*C180</f>
        <v>76.015016685205779</v>
      </c>
    </row>
    <row r="181" spans="1:13">
      <c r="A181" t="s">
        <v>214</v>
      </c>
      <c r="B181" s="8">
        <f>L142</f>
        <v>152.03003337041156</v>
      </c>
      <c r="C181" s="1">
        <f>C177</f>
        <v>0.5</v>
      </c>
      <c r="D181">
        <f>IF('IN-client'!B27-2&gt;0,'IN-client'!B27-2,0)</f>
        <v>2</v>
      </c>
      <c r="E181" s="13">
        <f>B180*D181+B181</f>
        <v>456.09010011123468</v>
      </c>
      <c r="F181" s="13">
        <f>E181*C181</f>
        <v>228.04505005561734</v>
      </c>
      <c r="G181" t="s">
        <v>215</v>
      </c>
    </row>
    <row r="182" spans="1:13">
      <c r="B182" s="8"/>
      <c r="C182" s="1"/>
      <c r="E182" s="13"/>
      <c r="F182" s="13">
        <f>SUM(F180:F181)</f>
        <v>304.06006674082312</v>
      </c>
    </row>
    <row r="183" spans="1:13">
      <c r="B183" s="8"/>
      <c r="C183" s="1"/>
      <c r="E183" s="13"/>
      <c r="F183" s="13"/>
    </row>
    <row r="184" spans="1:13">
      <c r="A184" t="s">
        <v>290</v>
      </c>
      <c r="B184" s="8">
        <f>L157</f>
        <v>219.50914770191875</v>
      </c>
      <c r="C184" s="1">
        <f>1-C185</f>
        <v>0.5</v>
      </c>
      <c r="D184">
        <v>0</v>
      </c>
      <c r="E184" s="13">
        <f>B184</f>
        <v>219.50914770191875</v>
      </c>
      <c r="F184" s="13">
        <f>B184*C184</f>
        <v>109.75457385095937</v>
      </c>
    </row>
    <row r="185" spans="1:13">
      <c r="A185" t="s">
        <v>291</v>
      </c>
      <c r="B185" s="8">
        <f>B184</f>
        <v>219.50914770191875</v>
      </c>
      <c r="C185" s="1">
        <f>C177</f>
        <v>0.5</v>
      </c>
      <c r="D185">
        <f>IF('IN-client'!B27-3&gt;0,'IN-client'!B27-3,0)</f>
        <v>1</v>
      </c>
      <c r="E185" s="13">
        <f>B184*D185+B185</f>
        <v>439.0182954038375</v>
      </c>
      <c r="F185" s="13">
        <f>E185*C185</f>
        <v>219.50914770191875</v>
      </c>
      <c r="G185" t="s">
        <v>292</v>
      </c>
    </row>
    <row r="186" spans="1:13">
      <c r="B186" s="8"/>
      <c r="C186" s="1"/>
      <c r="E186" s="13"/>
      <c r="F186" s="13">
        <f>SUM(F184:F185)</f>
        <v>329.26372155287811</v>
      </c>
    </row>
    <row r="187" spans="1:13">
      <c r="B187" s="8"/>
      <c r="C187" s="1"/>
      <c r="E187" s="13"/>
      <c r="F187" s="13"/>
    </row>
    <row r="188" spans="1:13">
      <c r="A188" s="28" t="s">
        <v>173</v>
      </c>
      <c r="B188" s="28"/>
      <c r="C188" s="28"/>
      <c r="D188" s="28"/>
      <c r="E188" s="28"/>
      <c r="F188" s="21"/>
      <c r="G188" s="8"/>
      <c r="H188" s="31" t="s">
        <v>174</v>
      </c>
      <c r="I188" s="31"/>
      <c r="J188" s="31"/>
      <c r="K188" s="31"/>
      <c r="L188" s="31"/>
      <c r="M188" s="31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197.53238196252371</v>
      </c>
      <c r="C190" s="8">
        <f>B190*2.1</f>
        <v>414.8180021212998</v>
      </c>
      <c r="D190" s="8">
        <f>B190*4.5</f>
        <v>888.8957188313567</v>
      </c>
      <c r="E190" s="8">
        <f>B190*9</f>
        <v>1777.7914376627134</v>
      </c>
      <c r="F190" s="8"/>
      <c r="G190" s="8"/>
      <c r="H190" t="s">
        <v>0</v>
      </c>
      <c r="J190" s="20">
        <f>'IN-client'!F19*'IN-client'!B19</f>
        <v>3.7499999999999999E-2</v>
      </c>
      <c r="K190" s="20">
        <f>'IN-client'!F20*'IN-client'!B19</f>
        <v>8.2500000000000004E-2</v>
      </c>
      <c r="L190" s="1">
        <f>'IN-client'!F21*'IN-client'!B19</f>
        <v>0.03</v>
      </c>
      <c r="M190" s="1">
        <f>'IN-client'!F22*'IN-client'!B19</f>
        <v>0</v>
      </c>
    </row>
    <row r="191" spans="1:13">
      <c r="A191" t="s">
        <v>1</v>
      </c>
      <c r="B191" s="8">
        <f>F182</f>
        <v>304.06006674082312</v>
      </c>
      <c r="C191" s="8">
        <f t="shared" ref="C191:C193" si="72">B191*2.1</f>
        <v>638.52614015572863</v>
      </c>
      <c r="D191" s="8">
        <f t="shared" ref="D191:D193" si="73">B191*4.5</f>
        <v>1368.270300333704</v>
      </c>
      <c r="E191" s="8">
        <f t="shared" ref="E191:E193" si="74">B191*9</f>
        <v>2736.5406006674079</v>
      </c>
      <c r="F191" s="8"/>
      <c r="G191" s="8"/>
      <c r="H191" t="s">
        <v>1</v>
      </c>
      <c r="J191" s="20">
        <f>'IN-client'!F19*'IN-client'!B20</f>
        <v>0.1125</v>
      </c>
      <c r="K191" s="20">
        <f>'IN-client'!F20*'IN-client'!B20</f>
        <v>0.24750000000000003</v>
      </c>
      <c r="L191" s="1">
        <f>'IN-client'!F21*'IN-client'!B20</f>
        <v>9.0000000000000011E-2</v>
      </c>
      <c r="M191" s="1">
        <f>'IN-client'!F22*'IN-client'!B20</f>
        <v>0</v>
      </c>
    </row>
    <row r="192" spans="1:13">
      <c r="A192" t="s">
        <v>2</v>
      </c>
      <c r="B192" s="8">
        <f>F186</f>
        <v>329.26372155287811</v>
      </c>
      <c r="C192" s="8">
        <f t="shared" si="72"/>
        <v>691.45381526104404</v>
      </c>
      <c r="D192" s="8">
        <f t="shared" si="73"/>
        <v>1481.6867469879514</v>
      </c>
      <c r="E192" s="8">
        <f t="shared" si="74"/>
        <v>2963.3734939759029</v>
      </c>
      <c r="F192" s="8"/>
      <c r="G192" s="8"/>
      <c r="H192" t="s">
        <v>2</v>
      </c>
      <c r="J192" s="20">
        <f>'IN-client'!F19*'IN-client'!B21</f>
        <v>8.7499999999999994E-2</v>
      </c>
      <c r="K192" s="20">
        <f>'IN-client'!F20*'IN-client'!B21</f>
        <v>0.1925</v>
      </c>
      <c r="L192" s="1">
        <f>'IN-client'!F21*'IN-client'!B21</f>
        <v>6.9999999999999993E-2</v>
      </c>
      <c r="M192" s="1">
        <f>'IN-client'!F22*'IN-client'!B21</f>
        <v>0</v>
      </c>
    </row>
    <row r="193" spans="1:14">
      <c r="A193" t="s">
        <v>3</v>
      </c>
      <c r="B193" s="8">
        <f>L172</f>
        <v>281.60951074531323</v>
      </c>
      <c r="C193" s="8">
        <f t="shared" si="72"/>
        <v>591.3799725651578</v>
      </c>
      <c r="D193" s="8">
        <f t="shared" si="73"/>
        <v>1267.2427983539096</v>
      </c>
      <c r="E193" s="8">
        <f t="shared" si="74"/>
        <v>2534.4855967078192</v>
      </c>
      <c r="F193" s="8"/>
      <c r="G193" s="8"/>
      <c r="H193" t="s">
        <v>3</v>
      </c>
      <c r="J193" s="20">
        <f>'IN-client'!F19*'IN-client'!B22</f>
        <v>1.2500000000000001E-2</v>
      </c>
      <c r="K193" s="20">
        <f>'IN-client'!F20*'IN-client'!B22</f>
        <v>2.7500000000000004E-2</v>
      </c>
      <c r="L193" s="1">
        <f>'IN-client'!F21*'IN-client'!B22</f>
        <v>1.0000000000000002E-2</v>
      </c>
      <c r="M193" s="1">
        <f>'IN-client'!F22*'IN-client'!B22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27" t="s">
        <v>175</v>
      </c>
      <c r="B195" s="27"/>
      <c r="C195" s="27"/>
      <c r="D195" s="27"/>
      <c r="E195" s="27"/>
      <c r="F195" s="27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7.4074643235946391</v>
      </c>
      <c r="C197" s="8">
        <f t="shared" si="75"/>
        <v>34.222485175007236</v>
      </c>
      <c r="D197" s="8">
        <f t="shared" si="75"/>
        <v>26.666871564940699</v>
      </c>
      <c r="E197" s="8">
        <f t="shared" si="75"/>
        <v>0</v>
      </c>
      <c r="F197" s="13">
        <f>SUM(B197:E197)</f>
        <v>68.296821063542581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34.206757508342605</v>
      </c>
      <c r="C198" s="8">
        <f t="shared" si="75"/>
        <v>158.03521968854284</v>
      </c>
      <c r="D198" s="8">
        <f t="shared" si="75"/>
        <v>123.14432703003337</v>
      </c>
      <c r="E198" s="8">
        <f t="shared" si="75"/>
        <v>0</v>
      </c>
      <c r="F198" s="13">
        <f t="shared" ref="F198:F200" si="76">SUM(B198:E198)</f>
        <v>315.38630422691881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28.810575635876834</v>
      </c>
      <c r="C199" s="8">
        <f t="shared" si="75"/>
        <v>133.10485943775097</v>
      </c>
      <c r="D199" s="8">
        <f t="shared" si="75"/>
        <v>103.71807228915659</v>
      </c>
      <c r="E199" s="8">
        <f t="shared" si="75"/>
        <v>0</v>
      </c>
      <c r="F199" s="13">
        <f t="shared" si="76"/>
        <v>265.63350736278437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3.5201188843164157</v>
      </c>
      <c r="C200" s="8">
        <f t="shared" si="75"/>
        <v>16.26294924554184</v>
      </c>
      <c r="D200" s="8">
        <f t="shared" si="75"/>
        <v>12.672427983539098</v>
      </c>
      <c r="E200" s="8">
        <f t="shared" si="75"/>
        <v>0</v>
      </c>
      <c r="F200" s="13">
        <f t="shared" si="76"/>
        <v>32.455496113397359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73.944916352130491</v>
      </c>
      <c r="C201" s="8">
        <f t="shared" ref="C201:E201" si="77">SUM(C197:C200)</f>
        <v>341.62551354684291</v>
      </c>
      <c r="D201" s="8">
        <f t="shared" si="77"/>
        <v>266.20169886766973</v>
      </c>
      <c r="E201" s="8">
        <f t="shared" si="77"/>
        <v>0</v>
      </c>
      <c r="F201" s="13">
        <f>SUM(B197:E200)</f>
        <v>681.77212876664316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27" t="s">
        <v>296</v>
      </c>
      <c r="B203" s="27"/>
      <c r="C203" s="27"/>
      <c r="D203" s="27"/>
      <c r="E203" s="27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197.53238196252371</v>
      </c>
      <c r="C206" s="8">
        <f>B206*2.1</f>
        <v>414.8180021212998</v>
      </c>
      <c r="D206" s="8">
        <f>B206*4.5</f>
        <v>888.8957188313567</v>
      </c>
      <c r="E206" s="8">
        <f>B206*9</f>
        <v>1777.7914376627134</v>
      </c>
    </row>
    <row r="207" spans="1:14">
      <c r="A207" t="s">
        <v>253</v>
      </c>
      <c r="B207" s="8">
        <f>B206-B205</f>
        <v>118.51942917751423</v>
      </c>
      <c r="C207" s="8">
        <f t="shared" ref="C207:E207" si="78">C206-C205</f>
        <v>248.89080127277987</v>
      </c>
      <c r="D207" s="8">
        <f t="shared" si="78"/>
        <v>533.33743129881395</v>
      </c>
      <c r="E207" s="8">
        <f t="shared" si="78"/>
        <v>1066.6748625976279</v>
      </c>
      <c r="F207" s="8">
        <f>SUM(B207:E207)</f>
        <v>1967.4225243467358</v>
      </c>
    </row>
    <row r="208" spans="1:14">
      <c r="A208" t="s">
        <v>254</v>
      </c>
      <c r="B208" s="8">
        <f>B207*J190</f>
        <v>4.4444785941567835</v>
      </c>
      <c r="C208" s="8">
        <f t="shared" ref="C208:E208" si="79">C207*K190</f>
        <v>20.533491105004341</v>
      </c>
      <c r="D208" s="8">
        <f t="shared" si="79"/>
        <v>16.000122938964417</v>
      </c>
      <c r="E208" s="8">
        <f t="shared" si="79"/>
        <v>0</v>
      </c>
      <c r="F208" s="8">
        <f>SUM(B208:E208)</f>
        <v>40.978092638125545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304.06006674082312</v>
      </c>
      <c r="C211" s="8">
        <f>B211*2.1</f>
        <v>638.52614015572863</v>
      </c>
      <c r="D211" s="8">
        <f>B211*4.5</f>
        <v>1368.270300333704</v>
      </c>
      <c r="E211" s="8">
        <f>B211*9</f>
        <v>2736.5406006674079</v>
      </c>
    </row>
    <row r="212" spans="1:7">
      <c r="A212" t="s">
        <v>255</v>
      </c>
      <c r="B212" s="8">
        <f>B211-B210</f>
        <v>152.03003337041156</v>
      </c>
      <c r="C212" s="8">
        <f t="shared" ref="C212:E212" si="80">C211-C210</f>
        <v>319.26307007786431</v>
      </c>
      <c r="D212" s="8">
        <f t="shared" si="80"/>
        <v>684.13515016685199</v>
      </c>
      <c r="E212" s="8">
        <f t="shared" si="80"/>
        <v>1368.270300333704</v>
      </c>
      <c r="F212" s="8">
        <f>SUM(B212:E212)</f>
        <v>2523.6985539488319</v>
      </c>
    </row>
    <row r="213" spans="1:7">
      <c r="A213" t="s">
        <v>256</v>
      </c>
      <c r="B213" s="8">
        <f>B212*J191</f>
        <v>17.103378754171302</v>
      </c>
      <c r="C213" s="8">
        <f t="shared" ref="C213:E213" si="81">C212*K191</f>
        <v>79.017609844271419</v>
      </c>
      <c r="D213" s="8">
        <f t="shared" si="81"/>
        <v>61.572163515016683</v>
      </c>
      <c r="E213" s="8">
        <f t="shared" si="81"/>
        <v>0</v>
      </c>
      <c r="F213" s="8">
        <f>SUM(B213:E213)</f>
        <v>157.6931521134594</v>
      </c>
    </row>
    <row r="214" spans="1:7">
      <c r="B214" s="8"/>
      <c r="C214" s="8"/>
      <c r="D214" s="8"/>
      <c r="E214" s="8"/>
    </row>
    <row r="215" spans="1:7">
      <c r="A215" t="s">
        <v>293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294</v>
      </c>
      <c r="B216" s="8">
        <f>F186</f>
        <v>329.26372155287811</v>
      </c>
      <c r="C216" s="8">
        <f>B216*2.1</f>
        <v>691.45381526104404</v>
      </c>
      <c r="D216" s="8">
        <f>B216*4.5</f>
        <v>1481.6867469879514</v>
      </c>
      <c r="E216" s="8">
        <f>B216*9</f>
        <v>2963.3734939759029</v>
      </c>
    </row>
    <row r="217" spans="1:7">
      <c r="A217" t="s">
        <v>295</v>
      </c>
      <c r="B217" s="8">
        <f>B216-B215</f>
        <v>109.75457385095936</v>
      </c>
      <c r="C217" s="8">
        <f t="shared" ref="C217:E217" si="82">C216-C215</f>
        <v>230.48460508701464</v>
      </c>
      <c r="D217" s="8">
        <f t="shared" si="82"/>
        <v>493.89558232931711</v>
      </c>
      <c r="E217" s="8">
        <f t="shared" si="82"/>
        <v>987.79116465863422</v>
      </c>
      <c r="F217" s="8">
        <f>SUM(B217:E217)</f>
        <v>1821.9259259259252</v>
      </c>
    </row>
    <row r="218" spans="1:7">
      <c r="B218" s="8">
        <f>B217*J192</f>
        <v>9.603525211958944</v>
      </c>
      <c r="C218" s="8">
        <f>C217*K192</f>
        <v>44.368286479250322</v>
      </c>
      <c r="D218" s="8">
        <f>D217*L192</f>
        <v>34.572690763052194</v>
      </c>
      <c r="E218" s="8">
        <f>E217*M192</f>
        <v>0</v>
      </c>
      <c r="F218" s="8">
        <f>SUM(B218:E218)</f>
        <v>88.544502454261462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31.151382560287033</v>
      </c>
      <c r="C220" s="8">
        <f t="shared" ref="C220:E220" si="83">C208+C213+C218</f>
        <v>143.91938742852608</v>
      </c>
      <c r="D220" s="8">
        <f t="shared" si="83"/>
        <v>112.14497721703329</v>
      </c>
      <c r="E220" s="8">
        <f t="shared" si="83"/>
        <v>0</v>
      </c>
      <c r="F220" s="8">
        <f>SUM(B220:E220)</f>
        <v>287.21574720584641</v>
      </c>
      <c r="G220" s="8"/>
    </row>
  </sheetData>
  <mergeCells count="16"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  <mergeCell ref="A34:L34"/>
    <mergeCell ref="A47:L47"/>
    <mergeCell ref="A60:L60"/>
    <mergeCell ref="A73:L73"/>
    <mergeCell ref="A86:C86"/>
    <mergeCell ref="E86:G8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12" sqref="B12"/>
    </sheetView>
  </sheetViews>
  <sheetFormatPr baseColWidth="10" defaultRowHeight="15" x14ac:dyDescent="0"/>
  <sheetData>
    <row r="1" spans="1:13" ht="30">
      <c r="A1" s="14" t="s">
        <v>279</v>
      </c>
    </row>
    <row r="3" spans="1:13">
      <c r="A3" s="4" t="s">
        <v>282</v>
      </c>
    </row>
    <row r="4" spans="1:13">
      <c r="A4" t="s">
        <v>280</v>
      </c>
      <c r="B4" s="1">
        <v>0</v>
      </c>
    </row>
    <row r="5" spans="1:13">
      <c r="A5" t="s">
        <v>281</v>
      </c>
      <c r="B5" s="1">
        <v>0.5</v>
      </c>
    </row>
    <row r="6" spans="1:13">
      <c r="B6" s="1"/>
    </row>
    <row r="7" spans="1:13">
      <c r="A7" s="4" t="s">
        <v>283</v>
      </c>
    </row>
    <row r="8" spans="1:13">
      <c r="A8" t="s">
        <v>87</v>
      </c>
      <c r="B8">
        <f>'RESULT-t''put'!D34</f>
        <v>233.38344795058489</v>
      </c>
    </row>
    <row r="11" spans="1:13">
      <c r="C11" s="28" t="s">
        <v>286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>
      <c r="B12">
        <f>B8</f>
        <v>233.38344795058489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33" t="s">
        <v>284</v>
      </c>
      <c r="B13" s="1">
        <v>0</v>
      </c>
      <c r="C13" s="8">
        <f t="dataTable" ref="C13:M23" dt2D="1" dtr="1" r1="B4" r2="B5"/>
        <v>233.38344795058489</v>
      </c>
      <c r="D13" s="8">
        <v>233.38344795058489</v>
      </c>
      <c r="E13" s="8">
        <v>233.38344795058489</v>
      </c>
      <c r="F13" s="8">
        <v>233.38344795058489</v>
      </c>
      <c r="G13" s="8">
        <v>233.38344795058489</v>
      </c>
      <c r="H13" s="8">
        <v>233.38344795058489</v>
      </c>
      <c r="I13" s="8">
        <v>233.38344795058489</v>
      </c>
      <c r="J13" s="8">
        <v>233.38344795058489</v>
      </c>
      <c r="K13" s="8">
        <v>233.38344795058489</v>
      </c>
      <c r="L13" s="8">
        <v>233.38344795058489</v>
      </c>
      <c r="M13" s="8">
        <v>233.38344795058489</v>
      </c>
    </row>
    <row r="14" spans="1:13">
      <c r="A14" s="33"/>
      <c r="B14" s="1">
        <v>0.1</v>
      </c>
      <c r="C14" s="8">
        <v>233.38344795058489</v>
      </c>
      <c r="D14" s="8">
        <v>233.38344795058489</v>
      </c>
      <c r="E14" s="8">
        <v>233.38344795058489</v>
      </c>
      <c r="F14" s="8">
        <v>233.38344795058489</v>
      </c>
      <c r="G14" s="8">
        <v>233.38344795058489</v>
      </c>
      <c r="H14" s="8">
        <v>233.38344795058489</v>
      </c>
      <c r="I14" s="8">
        <v>233.38344795058489</v>
      </c>
      <c r="J14" s="8">
        <v>233.38344795058489</v>
      </c>
      <c r="K14" s="8">
        <v>233.38344795058489</v>
      </c>
      <c r="L14" s="8">
        <v>233.38344795058489</v>
      </c>
      <c r="M14" s="8">
        <v>233.38344795058489</v>
      </c>
    </row>
    <row r="15" spans="1:13">
      <c r="A15" s="33"/>
      <c r="B15" s="1">
        <v>0.2</v>
      </c>
      <c r="C15" s="8">
        <v>233.38344795058489</v>
      </c>
      <c r="D15" s="8">
        <v>233.38344795058489</v>
      </c>
      <c r="E15" s="8">
        <v>233.38344795058489</v>
      </c>
      <c r="F15" s="8">
        <v>233.38344795058489</v>
      </c>
      <c r="G15" s="8">
        <v>233.38344795058489</v>
      </c>
      <c r="H15" s="8">
        <v>233.38344795058489</v>
      </c>
      <c r="I15" s="8">
        <v>233.38344795058489</v>
      </c>
      <c r="J15" s="8">
        <v>233.38344795058489</v>
      </c>
      <c r="K15" s="8">
        <v>233.38344795058489</v>
      </c>
      <c r="L15" s="8">
        <v>233.38344795058489</v>
      </c>
      <c r="M15" s="8">
        <v>233.38344795058489</v>
      </c>
    </row>
    <row r="16" spans="1:13">
      <c r="A16" s="33"/>
      <c r="B16" s="1">
        <v>0.3</v>
      </c>
      <c r="C16" s="8">
        <v>233.38344795058489</v>
      </c>
      <c r="D16" s="8">
        <v>233.38344795058489</v>
      </c>
      <c r="E16" s="8">
        <v>233.38344795058489</v>
      </c>
      <c r="F16" s="8">
        <v>233.38344795058489</v>
      </c>
      <c r="G16" s="8">
        <v>233.38344795058489</v>
      </c>
      <c r="H16" s="8">
        <v>233.38344795058489</v>
      </c>
      <c r="I16" s="8">
        <v>233.38344795058489</v>
      </c>
      <c r="J16" s="8">
        <v>233.38344795058489</v>
      </c>
      <c r="K16" s="8">
        <v>233.38344795058489</v>
      </c>
      <c r="L16" s="8">
        <v>233.38344795058489</v>
      </c>
      <c r="M16" s="8">
        <v>233.38344795058489</v>
      </c>
    </row>
    <row r="17" spans="1:13">
      <c r="A17" s="33"/>
      <c r="B17" s="1">
        <v>0.4</v>
      </c>
      <c r="C17" s="8">
        <v>233.38344795058489</v>
      </c>
      <c r="D17" s="8">
        <v>233.38344795058489</v>
      </c>
      <c r="E17" s="8">
        <v>233.38344795058489</v>
      </c>
      <c r="F17" s="8">
        <v>233.38344795058489</v>
      </c>
      <c r="G17" s="8">
        <v>233.38344795058489</v>
      </c>
      <c r="H17" s="8">
        <v>233.38344795058489</v>
      </c>
      <c r="I17" s="8">
        <v>233.38344795058489</v>
      </c>
      <c r="J17" s="8">
        <v>233.38344795058489</v>
      </c>
      <c r="K17" s="8">
        <v>233.38344795058489</v>
      </c>
      <c r="L17" s="8">
        <v>233.38344795058489</v>
      </c>
      <c r="M17" s="8">
        <v>233.38344795058489</v>
      </c>
    </row>
    <row r="18" spans="1:13">
      <c r="A18" s="33"/>
      <c r="B18" s="1">
        <v>0.5</v>
      </c>
      <c r="C18" s="8">
        <v>233.38344795058489</v>
      </c>
      <c r="D18" s="8">
        <v>233.38344795058489</v>
      </c>
      <c r="E18" s="8">
        <v>233.38344795058489</v>
      </c>
      <c r="F18" s="8">
        <v>233.38344795058489</v>
      </c>
      <c r="G18" s="8">
        <v>233.38344795058489</v>
      </c>
      <c r="H18" s="8">
        <v>233.38344795058489</v>
      </c>
      <c r="I18" s="8">
        <v>233.38344795058489</v>
      </c>
      <c r="J18" s="8">
        <v>233.38344795058489</v>
      </c>
      <c r="K18" s="8">
        <v>233.38344795058489</v>
      </c>
      <c r="L18" s="8">
        <v>233.38344795058489</v>
      </c>
      <c r="M18" s="8">
        <v>233.38344795058489</v>
      </c>
    </row>
    <row r="19" spans="1:13">
      <c r="A19" s="33"/>
      <c r="B19" s="1">
        <v>0.6</v>
      </c>
      <c r="C19" s="8">
        <v>233.38344795058489</v>
      </c>
      <c r="D19" s="8">
        <v>233.38344795058489</v>
      </c>
      <c r="E19" s="8">
        <v>233.38344795058489</v>
      </c>
      <c r="F19" s="8">
        <v>233.38344795058489</v>
      </c>
      <c r="G19" s="8">
        <v>233.38344795058489</v>
      </c>
      <c r="H19" s="8">
        <v>233.38344795058489</v>
      </c>
      <c r="I19" s="8">
        <v>233.38344795058489</v>
      </c>
      <c r="J19" s="8">
        <v>233.38344795058489</v>
      </c>
      <c r="K19" s="8">
        <v>233.38344795058489</v>
      </c>
      <c r="L19" s="8">
        <v>233.38344795058489</v>
      </c>
      <c r="M19" s="8">
        <v>233.38344795058489</v>
      </c>
    </row>
    <row r="20" spans="1:13">
      <c r="A20" s="33"/>
      <c r="B20" s="1">
        <v>0.7</v>
      </c>
      <c r="C20" s="8">
        <v>233.38344795058489</v>
      </c>
      <c r="D20" s="8">
        <v>233.38344795058489</v>
      </c>
      <c r="E20" s="8">
        <v>233.38344795058489</v>
      </c>
      <c r="F20" s="8">
        <v>233.38344795058489</v>
      </c>
      <c r="G20" s="8">
        <v>233.38344795058489</v>
      </c>
      <c r="H20" s="8">
        <v>233.38344795058489</v>
      </c>
      <c r="I20" s="8">
        <v>233.38344795058489</v>
      </c>
      <c r="J20" s="8">
        <v>233.38344795058489</v>
      </c>
      <c r="K20" s="8">
        <v>233.38344795058489</v>
      </c>
      <c r="L20" s="8">
        <v>233.38344795058489</v>
      </c>
      <c r="M20" s="8">
        <v>233.38344795058489</v>
      </c>
    </row>
    <row r="21" spans="1:13">
      <c r="A21" s="33"/>
      <c r="B21" s="1">
        <v>0.8</v>
      </c>
      <c r="C21" s="8">
        <v>233.38344795058489</v>
      </c>
      <c r="D21" s="8">
        <v>233.38344795058489</v>
      </c>
      <c r="E21" s="8">
        <v>233.38344795058489</v>
      </c>
      <c r="F21" s="8">
        <v>233.38344795058489</v>
      </c>
      <c r="G21" s="8">
        <v>233.38344795058489</v>
      </c>
      <c r="H21" s="8">
        <v>233.38344795058489</v>
      </c>
      <c r="I21" s="8">
        <v>233.38344795058489</v>
      </c>
      <c r="J21" s="8">
        <v>233.38344795058489</v>
      </c>
      <c r="K21" s="8">
        <v>233.38344795058489</v>
      </c>
      <c r="L21" s="8">
        <v>233.38344795058489</v>
      </c>
      <c r="M21" s="8">
        <v>233.38344795058489</v>
      </c>
    </row>
    <row r="22" spans="1:13">
      <c r="A22" s="33"/>
      <c r="B22" s="1">
        <v>0.9</v>
      </c>
      <c r="C22" s="8">
        <v>233.38344795058489</v>
      </c>
      <c r="D22" s="8">
        <v>233.38344795058489</v>
      </c>
      <c r="E22" s="8">
        <v>233.38344795058489</v>
      </c>
      <c r="F22" s="8">
        <v>233.38344795058489</v>
      </c>
      <c r="G22" s="8">
        <v>233.38344795058489</v>
      </c>
      <c r="H22" s="8">
        <v>233.38344795058489</v>
      </c>
      <c r="I22" s="8">
        <v>233.38344795058489</v>
      </c>
      <c r="J22" s="8">
        <v>233.38344795058489</v>
      </c>
      <c r="K22" s="8">
        <v>233.38344795058489</v>
      </c>
      <c r="L22" s="8">
        <v>233.38344795058489</v>
      </c>
      <c r="M22" s="8">
        <v>233.38344795058489</v>
      </c>
    </row>
    <row r="23" spans="1:13">
      <c r="A23" s="33"/>
      <c r="B23" s="1">
        <v>1</v>
      </c>
      <c r="C23" s="8">
        <v>233.38344795058489</v>
      </c>
      <c r="D23" s="8">
        <v>233.38344795058489</v>
      </c>
      <c r="E23" s="8">
        <v>233.38344795058489</v>
      </c>
      <c r="F23" s="8">
        <v>233.38344795058489</v>
      </c>
      <c r="G23" s="8">
        <v>233.38344795058489</v>
      </c>
      <c r="H23" s="8">
        <v>233.38344795058489</v>
      </c>
      <c r="I23" s="8">
        <v>233.38344795058489</v>
      </c>
      <c r="J23" s="8">
        <v>233.38344795058489</v>
      </c>
      <c r="K23" s="8">
        <v>233.38344795058489</v>
      </c>
      <c r="L23" s="8">
        <v>233.38344795058489</v>
      </c>
      <c r="M23" s="8">
        <v>233.38344795058489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276</v>
      </c>
      <c r="C26" s="8">
        <f>C13/$C$13</f>
        <v>1</v>
      </c>
      <c r="D26" s="8">
        <f t="shared" ref="D26:M26" si="0">D13/$C$13</f>
        <v>1</v>
      </c>
      <c r="E26" s="8">
        <f t="shared" si="0"/>
        <v>1</v>
      </c>
      <c r="F26" s="8">
        <f t="shared" si="0"/>
        <v>1</v>
      </c>
      <c r="G26" s="8">
        <f t="shared" si="0"/>
        <v>1</v>
      </c>
      <c r="H26" s="8">
        <f t="shared" si="0"/>
        <v>1</v>
      </c>
      <c r="I26" s="8">
        <f t="shared" si="0"/>
        <v>1</v>
      </c>
      <c r="J26" s="8">
        <f t="shared" si="0"/>
        <v>1</v>
      </c>
      <c r="K26" s="8">
        <f t="shared" si="0"/>
        <v>1</v>
      </c>
      <c r="L26" s="8">
        <f t="shared" si="0"/>
        <v>1</v>
      </c>
      <c r="M26" s="8">
        <f t="shared" si="0"/>
        <v>1</v>
      </c>
    </row>
    <row r="27" spans="1:13">
      <c r="B27" t="s">
        <v>267</v>
      </c>
      <c r="C27" s="8">
        <f t="shared" ref="C27:M36" si="1">C14/$C$13</f>
        <v>1</v>
      </c>
      <c r="D27" s="8">
        <f t="shared" si="1"/>
        <v>1</v>
      </c>
      <c r="E27" s="8">
        <f t="shared" si="1"/>
        <v>1</v>
      </c>
      <c r="F27" s="8">
        <f t="shared" si="1"/>
        <v>1</v>
      </c>
      <c r="G27" s="8">
        <f t="shared" si="1"/>
        <v>1</v>
      </c>
      <c r="H27" s="8">
        <f t="shared" si="1"/>
        <v>1</v>
      </c>
      <c r="I27" s="8">
        <f t="shared" si="1"/>
        <v>1</v>
      </c>
      <c r="J27" s="8">
        <f t="shared" si="1"/>
        <v>1</v>
      </c>
      <c r="K27" s="8">
        <f t="shared" si="1"/>
        <v>1</v>
      </c>
      <c r="L27" s="8">
        <f t="shared" si="1"/>
        <v>1</v>
      </c>
      <c r="M27" s="8">
        <f t="shared" si="1"/>
        <v>1</v>
      </c>
    </row>
    <row r="28" spans="1:13">
      <c r="B28" t="s">
        <v>268</v>
      </c>
      <c r="C28" s="8">
        <f t="shared" si="1"/>
        <v>1</v>
      </c>
      <c r="D28" s="8">
        <f t="shared" si="1"/>
        <v>1</v>
      </c>
      <c r="E28" s="8">
        <f t="shared" si="1"/>
        <v>1</v>
      </c>
      <c r="F28" s="8">
        <f t="shared" si="1"/>
        <v>1</v>
      </c>
      <c r="G28" s="8">
        <f t="shared" si="1"/>
        <v>1</v>
      </c>
      <c r="H28" s="8">
        <f t="shared" si="1"/>
        <v>1</v>
      </c>
      <c r="I28" s="8">
        <f t="shared" si="1"/>
        <v>1</v>
      </c>
      <c r="J28" s="8">
        <f t="shared" si="1"/>
        <v>1</v>
      </c>
      <c r="K28" s="8">
        <f t="shared" si="1"/>
        <v>1</v>
      </c>
      <c r="L28" s="8">
        <f t="shared" si="1"/>
        <v>1</v>
      </c>
      <c r="M28" s="8">
        <f t="shared" si="1"/>
        <v>1</v>
      </c>
    </row>
    <row r="29" spans="1:13">
      <c r="B29" t="s">
        <v>269</v>
      </c>
      <c r="C29" s="8">
        <f t="shared" si="1"/>
        <v>1</v>
      </c>
      <c r="D29" s="8">
        <f t="shared" si="1"/>
        <v>1</v>
      </c>
      <c r="E29" s="8">
        <f t="shared" si="1"/>
        <v>1</v>
      </c>
      <c r="F29" s="8">
        <f t="shared" si="1"/>
        <v>1</v>
      </c>
      <c r="G29" s="8">
        <f t="shared" si="1"/>
        <v>1</v>
      </c>
      <c r="H29" s="8">
        <f t="shared" si="1"/>
        <v>1</v>
      </c>
      <c r="I29" s="8">
        <f t="shared" si="1"/>
        <v>1</v>
      </c>
      <c r="J29" s="8">
        <f t="shared" si="1"/>
        <v>1</v>
      </c>
      <c r="K29" s="8">
        <f t="shared" si="1"/>
        <v>1</v>
      </c>
      <c r="L29" s="8">
        <f t="shared" si="1"/>
        <v>1</v>
      </c>
      <c r="M29" s="8">
        <f t="shared" si="1"/>
        <v>1</v>
      </c>
    </row>
    <row r="30" spans="1:13">
      <c r="B30" t="s">
        <v>270</v>
      </c>
      <c r="C30" s="8">
        <f t="shared" si="1"/>
        <v>1</v>
      </c>
      <c r="D30" s="8">
        <f t="shared" si="1"/>
        <v>1</v>
      </c>
      <c r="E30" s="8">
        <f t="shared" si="1"/>
        <v>1</v>
      </c>
      <c r="F30" s="8">
        <f t="shared" si="1"/>
        <v>1</v>
      </c>
      <c r="G30" s="8">
        <f t="shared" si="1"/>
        <v>1</v>
      </c>
      <c r="H30" s="8">
        <f t="shared" si="1"/>
        <v>1</v>
      </c>
      <c r="I30" s="8">
        <f t="shared" si="1"/>
        <v>1</v>
      </c>
      <c r="J30" s="8">
        <f t="shared" si="1"/>
        <v>1</v>
      </c>
      <c r="K30" s="8">
        <f t="shared" si="1"/>
        <v>1</v>
      </c>
      <c r="L30" s="8">
        <f t="shared" si="1"/>
        <v>1</v>
      </c>
      <c r="M30" s="8">
        <f t="shared" si="1"/>
        <v>1</v>
      </c>
    </row>
    <row r="31" spans="1:13">
      <c r="B31" t="s">
        <v>271</v>
      </c>
      <c r="C31" s="8">
        <f t="shared" si="1"/>
        <v>1</v>
      </c>
      <c r="D31" s="8">
        <f t="shared" si="1"/>
        <v>1</v>
      </c>
      <c r="E31" s="8">
        <f t="shared" si="1"/>
        <v>1</v>
      </c>
      <c r="F31" s="8">
        <f t="shared" si="1"/>
        <v>1</v>
      </c>
      <c r="G31" s="8">
        <f t="shared" si="1"/>
        <v>1</v>
      </c>
      <c r="H31" s="8">
        <f t="shared" si="1"/>
        <v>1</v>
      </c>
      <c r="I31" s="8">
        <f t="shared" si="1"/>
        <v>1</v>
      </c>
      <c r="J31" s="8">
        <f t="shared" si="1"/>
        <v>1</v>
      </c>
      <c r="K31" s="8">
        <f t="shared" si="1"/>
        <v>1</v>
      </c>
      <c r="L31" s="8">
        <f t="shared" si="1"/>
        <v>1</v>
      </c>
      <c r="M31" s="8">
        <f t="shared" si="1"/>
        <v>1</v>
      </c>
    </row>
    <row r="32" spans="1:13">
      <c r="B32" t="s">
        <v>272</v>
      </c>
      <c r="C32" s="8">
        <f t="shared" si="1"/>
        <v>1</v>
      </c>
      <c r="D32" s="8">
        <f t="shared" si="1"/>
        <v>1</v>
      </c>
      <c r="E32" s="8">
        <f t="shared" si="1"/>
        <v>1</v>
      </c>
      <c r="F32" s="8">
        <f t="shared" si="1"/>
        <v>1</v>
      </c>
      <c r="G32" s="8">
        <f t="shared" si="1"/>
        <v>1</v>
      </c>
      <c r="H32" s="8">
        <f t="shared" si="1"/>
        <v>1</v>
      </c>
      <c r="I32" s="8">
        <f t="shared" si="1"/>
        <v>1</v>
      </c>
      <c r="J32" s="8">
        <f t="shared" si="1"/>
        <v>1</v>
      </c>
      <c r="K32" s="8">
        <f t="shared" si="1"/>
        <v>1</v>
      </c>
      <c r="L32" s="8">
        <f t="shared" si="1"/>
        <v>1</v>
      </c>
      <c r="M32" s="8">
        <f t="shared" si="1"/>
        <v>1</v>
      </c>
    </row>
    <row r="33" spans="1:13">
      <c r="B33" t="s">
        <v>277</v>
      </c>
      <c r="C33" s="8">
        <f t="shared" si="1"/>
        <v>1</v>
      </c>
      <c r="D33" s="8">
        <f t="shared" si="1"/>
        <v>1</v>
      </c>
      <c r="E33" s="8">
        <f t="shared" si="1"/>
        <v>1</v>
      </c>
      <c r="F33" s="8">
        <f t="shared" si="1"/>
        <v>1</v>
      </c>
      <c r="G33" s="8">
        <f t="shared" si="1"/>
        <v>1</v>
      </c>
      <c r="H33" s="8">
        <f t="shared" si="1"/>
        <v>1</v>
      </c>
      <c r="I33" s="8">
        <f t="shared" si="1"/>
        <v>1</v>
      </c>
      <c r="J33" s="8">
        <f t="shared" si="1"/>
        <v>1</v>
      </c>
      <c r="K33" s="8">
        <f t="shared" si="1"/>
        <v>1</v>
      </c>
      <c r="L33" s="8">
        <f t="shared" si="1"/>
        <v>1</v>
      </c>
      <c r="M33" s="8">
        <f t="shared" si="1"/>
        <v>1</v>
      </c>
    </row>
    <row r="34" spans="1:13">
      <c r="B34" t="s">
        <v>273</v>
      </c>
      <c r="C34" s="8">
        <f t="shared" si="1"/>
        <v>1</v>
      </c>
      <c r="D34" s="8">
        <f t="shared" si="1"/>
        <v>1</v>
      </c>
      <c r="E34" s="8">
        <f t="shared" si="1"/>
        <v>1</v>
      </c>
      <c r="F34" s="8">
        <f t="shared" si="1"/>
        <v>1</v>
      </c>
      <c r="G34" s="8">
        <f t="shared" si="1"/>
        <v>1</v>
      </c>
      <c r="H34" s="8">
        <f t="shared" si="1"/>
        <v>1</v>
      </c>
      <c r="I34" s="8">
        <f t="shared" si="1"/>
        <v>1</v>
      </c>
      <c r="J34" s="8">
        <f t="shared" si="1"/>
        <v>1</v>
      </c>
      <c r="K34" s="8">
        <f t="shared" si="1"/>
        <v>1</v>
      </c>
      <c r="L34" s="8">
        <f t="shared" si="1"/>
        <v>1</v>
      </c>
      <c r="M34" s="8">
        <f t="shared" si="1"/>
        <v>1</v>
      </c>
    </row>
    <row r="35" spans="1:13">
      <c r="B35" t="s">
        <v>274</v>
      </c>
      <c r="C35" s="8">
        <f t="shared" si="1"/>
        <v>1</v>
      </c>
      <c r="D35" s="8">
        <f t="shared" si="1"/>
        <v>1</v>
      </c>
      <c r="E35" s="8">
        <f t="shared" si="1"/>
        <v>1</v>
      </c>
      <c r="F35" s="8">
        <f t="shared" si="1"/>
        <v>1</v>
      </c>
      <c r="G35" s="8">
        <f t="shared" si="1"/>
        <v>1</v>
      </c>
      <c r="H35" s="8">
        <f t="shared" si="1"/>
        <v>1</v>
      </c>
      <c r="I35" s="8">
        <f t="shared" si="1"/>
        <v>1</v>
      </c>
      <c r="J35" s="8">
        <f t="shared" si="1"/>
        <v>1</v>
      </c>
      <c r="K35" s="8">
        <f t="shared" si="1"/>
        <v>1</v>
      </c>
      <c r="L35" s="8">
        <f t="shared" si="1"/>
        <v>1</v>
      </c>
      <c r="M35" s="8">
        <f t="shared" si="1"/>
        <v>1</v>
      </c>
    </row>
    <row r="36" spans="1:13">
      <c r="B36" t="s">
        <v>275</v>
      </c>
      <c r="C36" s="8">
        <f t="shared" si="1"/>
        <v>1</v>
      </c>
      <c r="D36" s="8">
        <f t="shared" si="1"/>
        <v>1</v>
      </c>
      <c r="E36" s="8">
        <f t="shared" si="1"/>
        <v>1</v>
      </c>
      <c r="F36" s="8">
        <f t="shared" si="1"/>
        <v>1</v>
      </c>
      <c r="G36" s="8">
        <f t="shared" si="1"/>
        <v>1</v>
      </c>
      <c r="H36" s="8">
        <f t="shared" si="1"/>
        <v>1</v>
      </c>
      <c r="I36" s="8">
        <f t="shared" si="1"/>
        <v>1</v>
      </c>
      <c r="J36" s="8">
        <f t="shared" si="1"/>
        <v>1</v>
      </c>
      <c r="K36" s="8">
        <f t="shared" si="1"/>
        <v>1</v>
      </c>
      <c r="L36" s="8">
        <f t="shared" si="1"/>
        <v>1</v>
      </c>
      <c r="M36" s="8">
        <f t="shared" si="1"/>
        <v>1</v>
      </c>
    </row>
    <row r="38" spans="1:13">
      <c r="C38" s="28" t="s">
        <v>287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spans="1:13">
      <c r="B39">
        <f>B8</f>
        <v>233.38344795058489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33" t="s">
        <v>285</v>
      </c>
      <c r="B40" s="1">
        <v>0</v>
      </c>
      <c r="C40" s="8">
        <f t="dataTable" ref="C40:M50" dt2D="1" dtr="1" r1="B5" r2="B4"/>
        <v>233.38344795058489</v>
      </c>
      <c r="D40" s="8">
        <v>233.38344795058489</v>
      </c>
      <c r="E40" s="8">
        <v>233.38344795058489</v>
      </c>
      <c r="F40" s="8">
        <v>233.38344795058489</v>
      </c>
      <c r="G40" s="8">
        <v>233.38344795058489</v>
      </c>
      <c r="H40" s="8">
        <v>233.38344795058489</v>
      </c>
      <c r="I40" s="8">
        <v>233.38344795058489</v>
      </c>
      <c r="J40" s="8">
        <v>233.38344795058489</v>
      </c>
      <c r="K40" s="8">
        <v>233.38344795058489</v>
      </c>
      <c r="L40" s="8">
        <v>233.38344795058489</v>
      </c>
      <c r="M40" s="8">
        <v>233.38344795058489</v>
      </c>
    </row>
    <row r="41" spans="1:13">
      <c r="A41" s="33"/>
      <c r="B41" s="1">
        <v>0.1</v>
      </c>
      <c r="C41" s="8">
        <v>233.38344795058489</v>
      </c>
      <c r="D41" s="8">
        <v>233.38344795058489</v>
      </c>
      <c r="E41" s="8">
        <v>233.38344795058489</v>
      </c>
      <c r="F41" s="8">
        <v>233.38344795058489</v>
      </c>
      <c r="G41" s="8">
        <v>233.38344795058489</v>
      </c>
      <c r="H41" s="8">
        <v>233.38344795058489</v>
      </c>
      <c r="I41" s="8">
        <v>233.38344795058489</v>
      </c>
      <c r="J41" s="8">
        <v>233.38344795058489</v>
      </c>
      <c r="K41" s="8">
        <v>233.38344795058489</v>
      </c>
      <c r="L41" s="8">
        <v>233.38344795058489</v>
      </c>
      <c r="M41" s="8">
        <v>233.38344795058489</v>
      </c>
    </row>
    <row r="42" spans="1:13">
      <c r="A42" s="33"/>
      <c r="B42" s="1">
        <v>0.2</v>
      </c>
      <c r="C42" s="8">
        <v>233.38344795058489</v>
      </c>
      <c r="D42" s="8">
        <v>233.38344795058489</v>
      </c>
      <c r="E42" s="8">
        <v>233.38344795058489</v>
      </c>
      <c r="F42" s="8">
        <v>233.38344795058489</v>
      </c>
      <c r="G42" s="8">
        <v>233.38344795058489</v>
      </c>
      <c r="H42" s="8">
        <v>233.38344795058489</v>
      </c>
      <c r="I42" s="8">
        <v>233.38344795058489</v>
      </c>
      <c r="J42" s="8">
        <v>233.38344795058489</v>
      </c>
      <c r="K42" s="8">
        <v>233.38344795058489</v>
      </c>
      <c r="L42" s="8">
        <v>233.38344795058489</v>
      </c>
      <c r="M42" s="8">
        <v>233.38344795058489</v>
      </c>
    </row>
    <row r="43" spans="1:13">
      <c r="A43" s="33"/>
      <c r="B43" s="1">
        <v>0.3</v>
      </c>
      <c r="C43" s="8">
        <v>233.38344795058489</v>
      </c>
      <c r="D43" s="8">
        <v>233.38344795058489</v>
      </c>
      <c r="E43" s="8">
        <v>233.38344795058489</v>
      </c>
      <c r="F43" s="8">
        <v>233.38344795058489</v>
      </c>
      <c r="G43" s="8">
        <v>233.38344795058489</v>
      </c>
      <c r="H43" s="8">
        <v>233.38344795058489</v>
      </c>
      <c r="I43" s="8">
        <v>233.38344795058489</v>
      </c>
      <c r="J43" s="8">
        <v>233.38344795058489</v>
      </c>
      <c r="K43" s="8">
        <v>233.38344795058489</v>
      </c>
      <c r="L43" s="8">
        <v>233.38344795058489</v>
      </c>
      <c r="M43" s="8">
        <v>233.38344795058489</v>
      </c>
    </row>
    <row r="44" spans="1:13">
      <c r="A44" s="33"/>
      <c r="B44" s="1">
        <v>0.4</v>
      </c>
      <c r="C44" s="8">
        <v>233.38344795058489</v>
      </c>
      <c r="D44" s="8">
        <v>233.38344795058489</v>
      </c>
      <c r="E44" s="8">
        <v>233.38344795058489</v>
      </c>
      <c r="F44" s="8">
        <v>233.38344795058489</v>
      </c>
      <c r="G44" s="8">
        <v>233.38344795058489</v>
      </c>
      <c r="H44" s="8">
        <v>233.38344795058489</v>
      </c>
      <c r="I44" s="8">
        <v>233.38344795058489</v>
      </c>
      <c r="J44" s="8">
        <v>233.38344795058489</v>
      </c>
      <c r="K44" s="8">
        <v>233.38344795058489</v>
      </c>
      <c r="L44" s="8">
        <v>233.38344795058489</v>
      </c>
      <c r="M44" s="8">
        <v>233.38344795058489</v>
      </c>
    </row>
    <row r="45" spans="1:13">
      <c r="A45" s="33"/>
      <c r="B45" s="1">
        <v>0.5</v>
      </c>
      <c r="C45" s="8">
        <v>233.38344795058489</v>
      </c>
      <c r="D45" s="8">
        <v>233.38344795058489</v>
      </c>
      <c r="E45" s="8">
        <v>233.38344795058489</v>
      </c>
      <c r="F45" s="8">
        <v>233.38344795058489</v>
      </c>
      <c r="G45" s="8">
        <v>233.38344795058489</v>
      </c>
      <c r="H45" s="8">
        <v>233.38344795058489</v>
      </c>
      <c r="I45" s="8">
        <v>233.38344795058489</v>
      </c>
      <c r="J45" s="8">
        <v>233.38344795058489</v>
      </c>
      <c r="K45" s="8">
        <v>233.38344795058489</v>
      </c>
      <c r="L45" s="8">
        <v>233.38344795058489</v>
      </c>
      <c r="M45" s="8">
        <v>233.38344795058489</v>
      </c>
    </row>
    <row r="46" spans="1:13">
      <c r="A46" s="33"/>
      <c r="B46" s="1">
        <v>0.6</v>
      </c>
      <c r="C46" s="8">
        <v>233.38344795058489</v>
      </c>
      <c r="D46" s="8">
        <v>233.38344795058489</v>
      </c>
      <c r="E46" s="8">
        <v>233.38344795058489</v>
      </c>
      <c r="F46" s="8">
        <v>233.38344795058489</v>
      </c>
      <c r="G46" s="8">
        <v>233.38344795058489</v>
      </c>
      <c r="H46" s="8">
        <v>233.38344795058489</v>
      </c>
      <c r="I46" s="8">
        <v>233.38344795058489</v>
      </c>
      <c r="J46" s="8">
        <v>233.38344795058489</v>
      </c>
      <c r="K46" s="8">
        <v>233.38344795058489</v>
      </c>
      <c r="L46" s="8">
        <v>233.38344795058489</v>
      </c>
      <c r="M46" s="8">
        <v>233.38344795058489</v>
      </c>
    </row>
    <row r="47" spans="1:13">
      <c r="A47" s="33"/>
      <c r="B47" s="1">
        <v>0.7</v>
      </c>
      <c r="C47" s="8">
        <v>233.38344795058489</v>
      </c>
      <c r="D47" s="8">
        <v>233.38344795058489</v>
      </c>
      <c r="E47" s="8">
        <v>233.38344795058489</v>
      </c>
      <c r="F47" s="8">
        <v>233.38344795058489</v>
      </c>
      <c r="G47" s="8">
        <v>233.38344795058489</v>
      </c>
      <c r="H47" s="8">
        <v>233.38344795058489</v>
      </c>
      <c r="I47" s="8">
        <v>233.38344795058489</v>
      </c>
      <c r="J47" s="8">
        <v>233.38344795058489</v>
      </c>
      <c r="K47" s="8">
        <v>233.38344795058489</v>
      </c>
      <c r="L47" s="8">
        <v>233.38344795058489</v>
      </c>
      <c r="M47" s="8">
        <v>233.38344795058489</v>
      </c>
    </row>
    <row r="48" spans="1:13">
      <c r="A48" s="33"/>
      <c r="B48" s="1">
        <v>0.8</v>
      </c>
      <c r="C48" s="8">
        <v>233.38344795058489</v>
      </c>
      <c r="D48" s="8">
        <v>233.38344795058489</v>
      </c>
      <c r="E48" s="8">
        <v>233.38344795058489</v>
      </c>
      <c r="F48" s="8">
        <v>233.38344795058489</v>
      </c>
      <c r="G48" s="8">
        <v>233.38344795058489</v>
      </c>
      <c r="H48" s="8">
        <v>233.38344795058489</v>
      </c>
      <c r="I48" s="8">
        <v>233.38344795058489</v>
      </c>
      <c r="J48" s="8">
        <v>233.38344795058489</v>
      </c>
      <c r="K48" s="8">
        <v>233.38344795058489</v>
      </c>
      <c r="L48" s="8">
        <v>233.38344795058489</v>
      </c>
      <c r="M48" s="8">
        <v>233.38344795058489</v>
      </c>
    </row>
    <row r="49" spans="1:13">
      <c r="A49" s="33"/>
      <c r="B49" s="1">
        <v>0.9</v>
      </c>
      <c r="C49" s="8">
        <v>233.38344795058489</v>
      </c>
      <c r="D49" s="8">
        <v>233.38344795058489</v>
      </c>
      <c r="E49" s="8">
        <v>233.38344795058489</v>
      </c>
      <c r="F49" s="8">
        <v>233.38344795058489</v>
      </c>
      <c r="G49" s="8">
        <v>233.38344795058489</v>
      </c>
      <c r="H49" s="8">
        <v>233.38344795058489</v>
      </c>
      <c r="I49" s="8">
        <v>233.38344795058489</v>
      </c>
      <c r="J49" s="8">
        <v>233.38344795058489</v>
      </c>
      <c r="K49" s="8">
        <v>233.38344795058489</v>
      </c>
      <c r="L49" s="8">
        <v>233.38344795058489</v>
      </c>
      <c r="M49" s="8">
        <v>233.38344795058489</v>
      </c>
    </row>
    <row r="50" spans="1:13">
      <c r="A50" s="33"/>
      <c r="B50" s="1">
        <v>1</v>
      </c>
      <c r="C50" s="8">
        <v>233.38344795058489</v>
      </c>
      <c r="D50" s="8">
        <v>233.38344795058489</v>
      </c>
      <c r="E50" s="8">
        <v>233.38344795058489</v>
      </c>
      <c r="F50" s="8">
        <v>233.38344795058489</v>
      </c>
      <c r="G50" s="8">
        <v>233.38344795058489</v>
      </c>
      <c r="H50" s="8">
        <v>233.38344795058489</v>
      </c>
      <c r="I50" s="8">
        <v>233.38344795058489</v>
      </c>
      <c r="J50" s="8">
        <v>233.38344795058489</v>
      </c>
      <c r="K50" s="8">
        <v>233.38344795058489</v>
      </c>
      <c r="L50" s="8">
        <v>233.38344795058489</v>
      </c>
      <c r="M50" s="8">
        <v>233.38344795058489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278</v>
      </c>
      <c r="C53" s="8">
        <f>C40/$C$40</f>
        <v>1</v>
      </c>
      <c r="D53" s="8">
        <f t="shared" ref="D53:M53" si="2">D40/$C$40</f>
        <v>1</v>
      </c>
      <c r="E53" s="8">
        <f t="shared" si="2"/>
        <v>1</v>
      </c>
      <c r="F53" s="8">
        <f t="shared" si="2"/>
        <v>1</v>
      </c>
      <c r="G53" s="8">
        <f t="shared" si="2"/>
        <v>1</v>
      </c>
      <c r="H53" s="8">
        <f t="shared" si="2"/>
        <v>1</v>
      </c>
      <c r="I53" s="8">
        <f t="shared" si="2"/>
        <v>1</v>
      </c>
      <c r="J53" s="8">
        <f t="shared" si="2"/>
        <v>1</v>
      </c>
      <c r="K53" s="8">
        <f t="shared" si="2"/>
        <v>1</v>
      </c>
      <c r="L53" s="8">
        <f t="shared" si="2"/>
        <v>1</v>
      </c>
      <c r="M53" s="8">
        <f t="shared" si="2"/>
        <v>1</v>
      </c>
    </row>
    <row r="54" spans="1:13">
      <c r="B54" t="s">
        <v>257</v>
      </c>
      <c r="C54" s="8">
        <f t="shared" ref="C54:M63" si="3">C41/$C$40</f>
        <v>1</v>
      </c>
      <c r="D54" s="8">
        <f t="shared" si="3"/>
        <v>1</v>
      </c>
      <c r="E54" s="8">
        <f t="shared" si="3"/>
        <v>1</v>
      </c>
      <c r="F54" s="8">
        <f t="shared" si="3"/>
        <v>1</v>
      </c>
      <c r="G54" s="8">
        <f t="shared" si="3"/>
        <v>1</v>
      </c>
      <c r="H54" s="8">
        <f t="shared" si="3"/>
        <v>1</v>
      </c>
      <c r="I54" s="8">
        <f t="shared" si="3"/>
        <v>1</v>
      </c>
      <c r="J54" s="8">
        <f t="shared" si="3"/>
        <v>1</v>
      </c>
      <c r="K54" s="8">
        <f t="shared" si="3"/>
        <v>1</v>
      </c>
      <c r="L54" s="8">
        <f t="shared" si="3"/>
        <v>1</v>
      </c>
      <c r="M54" s="8">
        <f t="shared" si="3"/>
        <v>1</v>
      </c>
    </row>
    <row r="55" spans="1:13">
      <c r="B55" t="s">
        <v>258</v>
      </c>
      <c r="C55" s="8">
        <f t="shared" si="3"/>
        <v>1</v>
      </c>
      <c r="D55" s="8">
        <f t="shared" si="3"/>
        <v>1</v>
      </c>
      <c r="E55" s="8">
        <f t="shared" si="3"/>
        <v>1</v>
      </c>
      <c r="F55" s="8">
        <f t="shared" si="3"/>
        <v>1</v>
      </c>
      <c r="G55" s="8">
        <f t="shared" si="3"/>
        <v>1</v>
      </c>
      <c r="H55" s="8">
        <f t="shared" si="3"/>
        <v>1</v>
      </c>
      <c r="I55" s="8">
        <f t="shared" si="3"/>
        <v>1</v>
      </c>
      <c r="J55" s="8">
        <f t="shared" si="3"/>
        <v>1</v>
      </c>
      <c r="K55" s="8">
        <f t="shared" si="3"/>
        <v>1</v>
      </c>
      <c r="L55" s="8">
        <f t="shared" si="3"/>
        <v>1</v>
      </c>
      <c r="M55" s="8">
        <f t="shared" si="3"/>
        <v>1</v>
      </c>
    </row>
    <row r="56" spans="1:13">
      <c r="B56" t="s">
        <v>259</v>
      </c>
      <c r="C56" s="8">
        <f t="shared" si="3"/>
        <v>1</v>
      </c>
      <c r="D56" s="8">
        <f t="shared" si="3"/>
        <v>1</v>
      </c>
      <c r="E56" s="8">
        <f t="shared" si="3"/>
        <v>1</v>
      </c>
      <c r="F56" s="8">
        <f t="shared" si="3"/>
        <v>1</v>
      </c>
      <c r="G56" s="8">
        <f t="shared" si="3"/>
        <v>1</v>
      </c>
      <c r="H56" s="8">
        <f t="shared" si="3"/>
        <v>1</v>
      </c>
      <c r="I56" s="8">
        <f t="shared" si="3"/>
        <v>1</v>
      </c>
      <c r="J56" s="8">
        <f t="shared" si="3"/>
        <v>1</v>
      </c>
      <c r="K56" s="8">
        <f t="shared" si="3"/>
        <v>1</v>
      </c>
      <c r="L56" s="8">
        <f t="shared" si="3"/>
        <v>1</v>
      </c>
      <c r="M56" s="8">
        <f t="shared" si="3"/>
        <v>1</v>
      </c>
    </row>
    <row r="57" spans="1:13">
      <c r="B57" t="s">
        <v>260</v>
      </c>
      <c r="C57" s="8">
        <f t="shared" si="3"/>
        <v>1</v>
      </c>
      <c r="D57" s="8">
        <f t="shared" si="3"/>
        <v>1</v>
      </c>
      <c r="E57" s="8">
        <f t="shared" si="3"/>
        <v>1</v>
      </c>
      <c r="F57" s="8">
        <f t="shared" si="3"/>
        <v>1</v>
      </c>
      <c r="G57" s="8">
        <f t="shared" si="3"/>
        <v>1</v>
      </c>
      <c r="H57" s="8">
        <f t="shared" si="3"/>
        <v>1</v>
      </c>
      <c r="I57" s="8">
        <f t="shared" si="3"/>
        <v>1</v>
      </c>
      <c r="J57" s="8">
        <f t="shared" si="3"/>
        <v>1</v>
      </c>
      <c r="K57" s="8">
        <f t="shared" si="3"/>
        <v>1</v>
      </c>
      <c r="L57" s="8">
        <f t="shared" si="3"/>
        <v>1</v>
      </c>
      <c r="M57" s="8">
        <f t="shared" si="3"/>
        <v>1</v>
      </c>
    </row>
    <row r="58" spans="1:13">
      <c r="B58" t="s">
        <v>261</v>
      </c>
      <c r="C58" s="8">
        <f t="shared" si="3"/>
        <v>1</v>
      </c>
      <c r="D58" s="8">
        <f t="shared" si="3"/>
        <v>1</v>
      </c>
      <c r="E58" s="8">
        <f t="shared" si="3"/>
        <v>1</v>
      </c>
      <c r="F58" s="8">
        <f t="shared" si="3"/>
        <v>1</v>
      </c>
      <c r="G58" s="8">
        <f t="shared" si="3"/>
        <v>1</v>
      </c>
      <c r="H58" s="8">
        <f t="shared" si="3"/>
        <v>1</v>
      </c>
      <c r="I58" s="8">
        <f t="shared" si="3"/>
        <v>1</v>
      </c>
      <c r="J58" s="8">
        <f t="shared" si="3"/>
        <v>1</v>
      </c>
      <c r="K58" s="8">
        <f t="shared" si="3"/>
        <v>1</v>
      </c>
      <c r="L58" s="8">
        <f t="shared" si="3"/>
        <v>1</v>
      </c>
      <c r="M58" s="8">
        <f t="shared" si="3"/>
        <v>1</v>
      </c>
    </row>
    <row r="59" spans="1:13">
      <c r="B59" t="s">
        <v>262</v>
      </c>
      <c r="C59" s="8">
        <f t="shared" si="3"/>
        <v>1</v>
      </c>
      <c r="D59" s="8">
        <f t="shared" si="3"/>
        <v>1</v>
      </c>
      <c r="E59" s="8">
        <f t="shared" si="3"/>
        <v>1</v>
      </c>
      <c r="F59" s="8">
        <f t="shared" si="3"/>
        <v>1</v>
      </c>
      <c r="G59" s="8">
        <f t="shared" si="3"/>
        <v>1</v>
      </c>
      <c r="H59" s="8">
        <f t="shared" si="3"/>
        <v>1</v>
      </c>
      <c r="I59" s="8">
        <f t="shared" si="3"/>
        <v>1</v>
      </c>
      <c r="J59" s="8">
        <f t="shared" si="3"/>
        <v>1</v>
      </c>
      <c r="K59" s="8">
        <f t="shared" si="3"/>
        <v>1</v>
      </c>
      <c r="L59" s="8">
        <f t="shared" si="3"/>
        <v>1</v>
      </c>
      <c r="M59" s="8">
        <f t="shared" si="3"/>
        <v>1</v>
      </c>
    </row>
    <row r="60" spans="1:13">
      <c r="B60" t="s">
        <v>263</v>
      </c>
      <c r="C60" s="8">
        <f t="shared" si="3"/>
        <v>1</v>
      </c>
      <c r="D60" s="8">
        <f t="shared" si="3"/>
        <v>1</v>
      </c>
      <c r="E60" s="8">
        <f t="shared" si="3"/>
        <v>1</v>
      </c>
      <c r="F60" s="8">
        <f t="shared" si="3"/>
        <v>1</v>
      </c>
      <c r="G60" s="8">
        <f t="shared" si="3"/>
        <v>1</v>
      </c>
      <c r="H60" s="8">
        <f t="shared" si="3"/>
        <v>1</v>
      </c>
      <c r="I60" s="8">
        <f t="shared" si="3"/>
        <v>1</v>
      </c>
      <c r="J60" s="8">
        <f t="shared" si="3"/>
        <v>1</v>
      </c>
      <c r="K60" s="8">
        <f t="shared" si="3"/>
        <v>1</v>
      </c>
      <c r="L60" s="8">
        <f t="shared" si="3"/>
        <v>1</v>
      </c>
      <c r="M60" s="8">
        <f t="shared" si="3"/>
        <v>1</v>
      </c>
    </row>
    <row r="61" spans="1:13">
      <c r="B61" t="s">
        <v>264</v>
      </c>
      <c r="C61" s="8">
        <f t="shared" si="3"/>
        <v>1</v>
      </c>
      <c r="D61" s="8">
        <f t="shared" si="3"/>
        <v>1</v>
      </c>
      <c r="E61" s="8">
        <f t="shared" si="3"/>
        <v>1</v>
      </c>
      <c r="F61" s="8">
        <f t="shared" si="3"/>
        <v>1</v>
      </c>
      <c r="G61" s="8">
        <f t="shared" si="3"/>
        <v>1</v>
      </c>
      <c r="H61" s="8">
        <f t="shared" si="3"/>
        <v>1</v>
      </c>
      <c r="I61" s="8">
        <f t="shared" si="3"/>
        <v>1</v>
      </c>
      <c r="J61" s="8">
        <f t="shared" si="3"/>
        <v>1</v>
      </c>
      <c r="K61" s="8">
        <f t="shared" si="3"/>
        <v>1</v>
      </c>
      <c r="L61" s="8">
        <f t="shared" si="3"/>
        <v>1</v>
      </c>
      <c r="M61" s="8">
        <f t="shared" si="3"/>
        <v>1</v>
      </c>
    </row>
    <row r="62" spans="1:13">
      <c r="B62" t="s">
        <v>265</v>
      </c>
      <c r="C62" s="8">
        <f t="shared" si="3"/>
        <v>1</v>
      </c>
      <c r="D62" s="8">
        <f t="shared" si="3"/>
        <v>1</v>
      </c>
      <c r="E62" s="8">
        <f t="shared" si="3"/>
        <v>1</v>
      </c>
      <c r="F62" s="8">
        <f t="shared" si="3"/>
        <v>1</v>
      </c>
      <c r="G62" s="8">
        <f t="shared" si="3"/>
        <v>1</v>
      </c>
      <c r="H62" s="8">
        <f t="shared" si="3"/>
        <v>1</v>
      </c>
      <c r="I62" s="8">
        <f t="shared" si="3"/>
        <v>1</v>
      </c>
      <c r="J62" s="8">
        <f t="shared" si="3"/>
        <v>1</v>
      </c>
      <c r="K62" s="8">
        <f t="shared" si="3"/>
        <v>1</v>
      </c>
      <c r="L62" s="8">
        <f t="shared" si="3"/>
        <v>1</v>
      </c>
      <c r="M62" s="8">
        <f t="shared" si="3"/>
        <v>1</v>
      </c>
    </row>
    <row r="63" spans="1:13">
      <c r="B63" t="s">
        <v>266</v>
      </c>
      <c r="C63" s="8">
        <f t="shared" si="3"/>
        <v>1</v>
      </c>
      <c r="D63" s="8">
        <f t="shared" si="3"/>
        <v>1</v>
      </c>
      <c r="E63" s="8">
        <f t="shared" si="3"/>
        <v>1</v>
      </c>
      <c r="F63" s="8">
        <f t="shared" si="3"/>
        <v>1</v>
      </c>
      <c r="G63" s="8">
        <f t="shared" si="3"/>
        <v>1</v>
      </c>
      <c r="H63" s="8">
        <f t="shared" si="3"/>
        <v>1</v>
      </c>
      <c r="I63" s="8">
        <f t="shared" si="3"/>
        <v>1</v>
      </c>
      <c r="J63" s="8">
        <f t="shared" si="3"/>
        <v>1</v>
      </c>
      <c r="K63" s="8">
        <f t="shared" si="3"/>
        <v>1</v>
      </c>
      <c r="L63" s="8">
        <f t="shared" si="3"/>
        <v>1</v>
      </c>
      <c r="M63" s="8">
        <f t="shared" si="3"/>
        <v>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9" activeCellId="1" sqref="A11:A59 C11:D59"/>
    </sheetView>
  </sheetViews>
  <sheetFormatPr baseColWidth="10" defaultRowHeight="15" x14ac:dyDescent="0"/>
  <sheetData>
    <row r="1" spans="1:4" ht="30">
      <c r="A1" s="14" t="s">
        <v>308</v>
      </c>
    </row>
    <row r="3" spans="1:4">
      <c r="A3" s="4" t="s">
        <v>282</v>
      </c>
    </row>
    <row r="4" spans="1:4">
      <c r="A4" t="s">
        <v>309</v>
      </c>
      <c r="B4" s="26">
        <v>40</v>
      </c>
    </row>
    <row r="5" spans="1:4">
      <c r="B5" s="1"/>
    </row>
    <row r="6" spans="1:4">
      <c r="A6" s="4" t="s">
        <v>283</v>
      </c>
    </row>
    <row r="7" spans="1:4">
      <c r="A7" t="s">
        <v>87</v>
      </c>
      <c r="B7">
        <f>'RESULT-t''put'!D34</f>
        <v>233.38344795058489</v>
      </c>
    </row>
    <row r="9" spans="1:4">
      <c r="A9" t="s">
        <v>310</v>
      </c>
      <c r="B9">
        <f>B7</f>
        <v>233.38344795058489</v>
      </c>
      <c r="C9" t="s">
        <v>311</v>
      </c>
      <c r="D9" t="s">
        <v>312</v>
      </c>
    </row>
    <row r="10" spans="1:4">
      <c r="A10">
        <v>1</v>
      </c>
      <c r="B10" s="8">
        <f t="dataTable" ref="B10:B59" dt2D="0" dtr="0" r1="B4"/>
        <v>97.971637476590558</v>
      </c>
      <c r="C10" s="11">
        <f>B10/MAX(B$10:B$59)</f>
        <v>0.41606160892314975</v>
      </c>
    </row>
    <row r="11" spans="1:4">
      <c r="A11">
        <v>2</v>
      </c>
      <c r="B11" s="8">
        <v>137.18360312228242</v>
      </c>
      <c r="C11" s="11">
        <f t="shared" ref="C11:C59" si="0">B11/MAX(B$10:B$59)</f>
        <v>0.5825852471494074</v>
      </c>
      <c r="D11" s="19">
        <f>C11-C10</f>
        <v>0.16652363822625765</v>
      </c>
    </row>
    <row r="12" spans="1:4">
      <c r="A12">
        <v>3</v>
      </c>
      <c r="B12" s="8">
        <v>158.89724090082819</v>
      </c>
      <c r="C12" s="11">
        <f t="shared" si="0"/>
        <v>0.67479776193844399</v>
      </c>
      <c r="D12" s="19">
        <f t="shared" ref="D12:D59" si="1">C12-C11</f>
        <v>9.2212514789036581E-2</v>
      </c>
    </row>
    <row r="13" spans="1:4">
      <c r="A13">
        <v>4</v>
      </c>
      <c r="B13" s="8">
        <v>172.40419186469583</v>
      </c>
      <c r="C13" s="11">
        <f t="shared" si="0"/>
        <v>0.73215848280029183</v>
      </c>
      <c r="D13" s="19">
        <f t="shared" si="1"/>
        <v>5.7360720861847847E-2</v>
      </c>
    </row>
    <row r="14" spans="1:4">
      <c r="A14">
        <v>5</v>
      </c>
      <c r="B14" s="8">
        <v>182.50833375727834</v>
      </c>
      <c r="C14" s="11">
        <f t="shared" si="0"/>
        <v>0.77506830487629996</v>
      </c>
      <c r="D14" s="19">
        <f t="shared" si="1"/>
        <v>4.2909822076008131E-2</v>
      </c>
    </row>
    <row r="15" spans="1:4">
      <c r="A15">
        <v>6</v>
      </c>
      <c r="B15" s="8">
        <v>189.59934716050199</v>
      </c>
      <c r="C15" s="11">
        <f t="shared" si="0"/>
        <v>0.80518210639508958</v>
      </c>
      <c r="D15" s="19">
        <f t="shared" si="1"/>
        <v>3.0113801518789618E-2</v>
      </c>
    </row>
    <row r="16" spans="1:4">
      <c r="A16">
        <v>7</v>
      </c>
      <c r="B16" s="8">
        <v>195.55637368430678</v>
      </c>
      <c r="C16" s="11">
        <f t="shared" si="0"/>
        <v>0.83048014268119641</v>
      </c>
      <c r="D16" s="19">
        <f t="shared" si="1"/>
        <v>2.5298036286106829E-2</v>
      </c>
    </row>
    <row r="17" spans="1:4">
      <c r="A17">
        <v>8</v>
      </c>
      <c r="B17" s="8">
        <v>200.02687610572451</v>
      </c>
      <c r="C17" s="11">
        <f t="shared" si="0"/>
        <v>0.8494652742770048</v>
      </c>
      <c r="D17" s="19">
        <f t="shared" si="1"/>
        <v>1.8985131595808391E-2</v>
      </c>
    </row>
    <row r="18" spans="1:4">
      <c r="A18">
        <v>9</v>
      </c>
      <c r="B18" s="8">
        <v>203.92168001300925</v>
      </c>
      <c r="C18" s="11">
        <f t="shared" si="0"/>
        <v>0.86600555493213061</v>
      </c>
      <c r="D18" s="19">
        <f t="shared" si="1"/>
        <v>1.6540280655125805E-2</v>
      </c>
    </row>
    <row r="19" spans="1:4">
      <c r="A19">
        <v>10</v>
      </c>
      <c r="B19" s="8">
        <v>207.32111578996307</v>
      </c>
      <c r="C19" s="11">
        <f t="shared" si="0"/>
        <v>0.88044212816107437</v>
      </c>
      <c r="D19" s="19">
        <f t="shared" si="1"/>
        <v>1.4436573228943761E-2</v>
      </c>
    </row>
    <row r="20" spans="1:4">
      <c r="A20">
        <v>11</v>
      </c>
      <c r="B20" s="8">
        <v>209.84194602831144</v>
      </c>
      <c r="C20" s="11">
        <f t="shared" si="0"/>
        <v>0.89114747831958274</v>
      </c>
      <c r="D20" s="19">
        <f t="shared" si="1"/>
        <v>1.0705350158508375E-2</v>
      </c>
    </row>
    <row r="21" spans="1:4">
      <c r="A21">
        <v>12</v>
      </c>
      <c r="B21" s="8">
        <v>212.09354314706937</v>
      </c>
      <c r="C21" s="11">
        <f t="shared" si="0"/>
        <v>0.90070946119550432</v>
      </c>
      <c r="D21" s="19">
        <f t="shared" si="1"/>
        <v>9.5619828759215819E-3</v>
      </c>
    </row>
    <row r="22" spans="1:4">
      <c r="A22">
        <v>13</v>
      </c>
      <c r="B22" s="8">
        <v>214.22196161618803</v>
      </c>
      <c r="C22" s="11">
        <f t="shared" si="0"/>
        <v>0.90974833444017011</v>
      </c>
      <c r="D22" s="19">
        <f t="shared" si="1"/>
        <v>9.0388732446657905E-3</v>
      </c>
    </row>
    <row r="23" spans="1:4">
      <c r="A23">
        <v>14</v>
      </c>
      <c r="B23" s="8">
        <v>216.17224280076186</v>
      </c>
      <c r="C23" s="11">
        <f t="shared" si="0"/>
        <v>0.91803070215807447</v>
      </c>
      <c r="D23" s="19">
        <f t="shared" si="1"/>
        <v>8.2823677179043598E-3</v>
      </c>
    </row>
    <row r="24" spans="1:4">
      <c r="A24">
        <v>15</v>
      </c>
      <c r="B24" s="8">
        <v>217.63187380983521</v>
      </c>
      <c r="C24" s="11">
        <f t="shared" si="0"/>
        <v>0.92422939845131835</v>
      </c>
      <c r="D24" s="19">
        <f t="shared" si="1"/>
        <v>6.1986962932438772E-3</v>
      </c>
    </row>
    <row r="25" spans="1:4">
      <c r="A25">
        <v>16</v>
      </c>
      <c r="B25" s="8">
        <v>219.17267756929692</v>
      </c>
      <c r="C25" s="11">
        <f t="shared" si="0"/>
        <v>0.93077281558415592</v>
      </c>
      <c r="D25" s="19">
        <f t="shared" si="1"/>
        <v>6.5434171328375701E-3</v>
      </c>
    </row>
    <row r="26" spans="1:4">
      <c r="A26">
        <v>17</v>
      </c>
      <c r="B26" s="8">
        <v>220.30095184262561</v>
      </c>
      <c r="C26" s="11">
        <f t="shared" si="0"/>
        <v>0.93556432077441976</v>
      </c>
      <c r="D26" s="19">
        <f t="shared" si="1"/>
        <v>4.7915051902638339E-3</v>
      </c>
    </row>
    <row r="27" spans="1:4">
      <c r="A27">
        <v>18</v>
      </c>
      <c r="B27" s="8">
        <v>221.57889746366033</v>
      </c>
      <c r="C27" s="11">
        <f t="shared" si="0"/>
        <v>0.94099144361220077</v>
      </c>
      <c r="D27" s="19">
        <f t="shared" si="1"/>
        <v>5.4271228377810177E-3</v>
      </c>
    </row>
    <row r="28" spans="1:4">
      <c r="A28">
        <v>19</v>
      </c>
      <c r="B28" s="8">
        <v>222.512506856442</v>
      </c>
      <c r="C28" s="11">
        <f t="shared" si="0"/>
        <v>0.94495625461333688</v>
      </c>
      <c r="D28" s="19">
        <f t="shared" si="1"/>
        <v>3.9648110011361037E-3</v>
      </c>
    </row>
    <row r="29" spans="1:4">
      <c r="A29">
        <v>20</v>
      </c>
      <c r="B29" s="8">
        <v>223.57454474337914</v>
      </c>
      <c r="C29" s="11">
        <f t="shared" si="0"/>
        <v>0.94946647005280005</v>
      </c>
      <c r="D29" s="19">
        <f t="shared" si="1"/>
        <v>4.5102154394631722E-3</v>
      </c>
    </row>
    <row r="30" spans="1:4">
      <c r="A30">
        <v>21</v>
      </c>
      <c r="B30" s="8">
        <v>224.50253390573005</v>
      </c>
      <c r="C30" s="11">
        <f t="shared" si="0"/>
        <v>0.95340741330837464</v>
      </c>
      <c r="D30" s="19">
        <f t="shared" si="1"/>
        <v>3.9409432555745916E-3</v>
      </c>
    </row>
    <row r="31" spans="1:4">
      <c r="A31">
        <v>22</v>
      </c>
      <c r="B31" s="8">
        <v>225.2534275019531</v>
      </c>
      <c r="C31" s="11">
        <f t="shared" si="0"/>
        <v>0.95659627496080235</v>
      </c>
      <c r="D31" s="19">
        <f t="shared" si="1"/>
        <v>3.1888616524277102E-3</v>
      </c>
    </row>
    <row r="32" spans="1:4">
      <c r="A32">
        <v>23</v>
      </c>
      <c r="B32" s="8">
        <v>225.91469877638173</v>
      </c>
      <c r="C32" s="11">
        <f t="shared" si="0"/>
        <v>0.95940453250818869</v>
      </c>
      <c r="D32" s="19">
        <f t="shared" si="1"/>
        <v>2.8082575473863391E-3</v>
      </c>
    </row>
    <row r="33" spans="1:4">
      <c r="A33">
        <v>24</v>
      </c>
      <c r="B33" s="8">
        <v>226.68473062586671</v>
      </c>
      <c r="C33" s="11">
        <f t="shared" si="0"/>
        <v>0.96267466964655535</v>
      </c>
      <c r="D33" s="19">
        <f t="shared" si="1"/>
        <v>3.2701371383666578E-3</v>
      </c>
    </row>
    <row r="34" spans="1:4">
      <c r="A34">
        <v>25</v>
      </c>
      <c r="B34" s="8">
        <v>227.35184894501998</v>
      </c>
      <c r="C34" s="11">
        <f t="shared" si="0"/>
        <v>0.96550775816439649</v>
      </c>
      <c r="D34" s="19">
        <f t="shared" si="1"/>
        <v>2.8330885178411425E-3</v>
      </c>
    </row>
    <row r="35" spans="1:4">
      <c r="A35">
        <v>26</v>
      </c>
      <c r="B35" s="8">
        <v>228.01028866525797</v>
      </c>
      <c r="C35" s="11">
        <f t="shared" si="0"/>
        <v>0.96830399079291185</v>
      </c>
      <c r="D35" s="19">
        <f t="shared" si="1"/>
        <v>2.7962326285153605E-3</v>
      </c>
    </row>
    <row r="36" spans="1:4">
      <c r="A36">
        <v>27</v>
      </c>
      <c r="B36" s="8">
        <v>228.49104816467553</v>
      </c>
      <c r="C36" s="11">
        <f t="shared" si="0"/>
        <v>0.97034565893263802</v>
      </c>
      <c r="D36" s="19">
        <f t="shared" si="1"/>
        <v>2.0416681397261716E-3</v>
      </c>
    </row>
    <row r="37" spans="1:4">
      <c r="A37">
        <v>28</v>
      </c>
      <c r="B37" s="8">
        <v>228.97076701157039</v>
      </c>
      <c r="C37" s="11">
        <f t="shared" si="0"/>
        <v>0.97238290767534197</v>
      </c>
      <c r="D37" s="19">
        <f t="shared" si="1"/>
        <v>2.0372487427039454E-3</v>
      </c>
    </row>
    <row r="38" spans="1:4">
      <c r="A38">
        <v>29</v>
      </c>
      <c r="B38" s="8">
        <v>229.49623093736292</v>
      </c>
      <c r="C38" s="11">
        <f t="shared" si="0"/>
        <v>0.9746144245921492</v>
      </c>
      <c r="D38" s="19">
        <f t="shared" si="1"/>
        <v>2.2315169168072302E-3</v>
      </c>
    </row>
    <row r="39" spans="1:4">
      <c r="A39">
        <v>30</v>
      </c>
      <c r="B39" s="8">
        <v>229.91219332587065</v>
      </c>
      <c r="C39" s="11">
        <f t="shared" si="0"/>
        <v>0.97638091523241632</v>
      </c>
      <c r="D39" s="19">
        <f t="shared" si="1"/>
        <v>1.7664906402671265E-3</v>
      </c>
    </row>
    <row r="40" spans="1:4">
      <c r="A40">
        <v>31</v>
      </c>
      <c r="B40" s="8">
        <v>230.3838653085534</v>
      </c>
      <c r="C40" s="11">
        <f t="shared" si="0"/>
        <v>0.97838399090873995</v>
      </c>
      <c r="D40" s="19">
        <f t="shared" si="1"/>
        <v>2.003075676323629E-3</v>
      </c>
    </row>
    <row r="41" spans="1:4">
      <c r="A41">
        <v>32</v>
      </c>
      <c r="B41" s="8">
        <v>230.84348692512964</v>
      </c>
      <c r="C41" s="11">
        <f t="shared" si="0"/>
        <v>0.98033589162423296</v>
      </c>
      <c r="D41" s="19">
        <f t="shared" si="1"/>
        <v>1.9519007154930046E-3</v>
      </c>
    </row>
    <row r="42" spans="1:4">
      <c r="A42">
        <v>33</v>
      </c>
      <c r="B42" s="8">
        <v>231.20110869325345</v>
      </c>
      <c r="C42" s="11">
        <f t="shared" si="0"/>
        <v>0.98185462390292</v>
      </c>
      <c r="D42" s="19">
        <f t="shared" si="1"/>
        <v>1.5187322786870405E-3</v>
      </c>
    </row>
    <row r="43" spans="1:4">
      <c r="A43">
        <v>34</v>
      </c>
      <c r="B43" s="8">
        <v>231.48193257303538</v>
      </c>
      <c r="C43" s="11">
        <f t="shared" si="0"/>
        <v>0.98304721431230291</v>
      </c>
      <c r="D43" s="19">
        <f t="shared" si="1"/>
        <v>1.1925904093829098E-3</v>
      </c>
    </row>
    <row r="44" spans="1:4">
      <c r="A44">
        <v>35</v>
      </c>
      <c r="B44" s="8">
        <v>231.87949856845171</v>
      </c>
      <c r="C44" s="11">
        <f t="shared" si="0"/>
        <v>0.98473557996553163</v>
      </c>
      <c r="D44" s="19">
        <f t="shared" si="1"/>
        <v>1.6883656532287183E-3</v>
      </c>
    </row>
    <row r="45" spans="1:4">
      <c r="A45">
        <v>36</v>
      </c>
      <c r="B45" s="8">
        <v>232.24055769615276</v>
      </c>
      <c r="C45" s="11">
        <f t="shared" si="0"/>
        <v>0.98626890987056237</v>
      </c>
      <c r="D45" s="19">
        <f t="shared" si="1"/>
        <v>1.5333299050307447E-3</v>
      </c>
    </row>
    <row r="46" spans="1:4">
      <c r="A46">
        <v>37</v>
      </c>
      <c r="B46" s="8">
        <v>232.60149741034024</v>
      </c>
      <c r="C46" s="11">
        <f t="shared" si="0"/>
        <v>0.98780173265557492</v>
      </c>
      <c r="D46" s="19">
        <f t="shared" si="1"/>
        <v>1.5328227850125442E-3</v>
      </c>
    </row>
    <row r="47" spans="1:4">
      <c r="A47">
        <v>38</v>
      </c>
      <c r="B47" s="8">
        <v>232.76169238310055</v>
      </c>
      <c r="C47" s="11">
        <f t="shared" si="0"/>
        <v>0.98848204156767183</v>
      </c>
      <c r="D47" s="19">
        <f t="shared" si="1"/>
        <v>6.8030891209691635E-4</v>
      </c>
    </row>
    <row r="48" spans="1:4">
      <c r="A48">
        <v>39</v>
      </c>
      <c r="B48" s="8">
        <v>233.08423763968776</v>
      </c>
      <c r="C48" s="11">
        <f t="shared" si="0"/>
        <v>0.98985181247140164</v>
      </c>
      <c r="D48" s="19">
        <f t="shared" si="1"/>
        <v>1.3697709037298056E-3</v>
      </c>
    </row>
    <row r="49" spans="1:4">
      <c r="A49">
        <v>40</v>
      </c>
      <c r="B49" s="8">
        <v>233.38344795058489</v>
      </c>
      <c r="C49" s="11">
        <f t="shared" si="0"/>
        <v>0.99112248556174376</v>
      </c>
      <c r="D49" s="19">
        <f t="shared" si="1"/>
        <v>1.2706730903421226E-3</v>
      </c>
    </row>
    <row r="50" spans="1:4">
      <c r="A50">
        <v>41</v>
      </c>
      <c r="B50" s="8">
        <v>233.68651925788609</v>
      </c>
      <c r="C50" s="11">
        <f t="shared" si="0"/>
        <v>0.99240955536053432</v>
      </c>
      <c r="D50" s="19">
        <f t="shared" si="1"/>
        <v>1.2870697987905633E-3</v>
      </c>
    </row>
    <row r="51" spans="1:4">
      <c r="A51">
        <v>42</v>
      </c>
      <c r="B51" s="8">
        <v>233.86449839294383</v>
      </c>
      <c r="C51" s="11">
        <f t="shared" si="0"/>
        <v>0.99316538926506182</v>
      </c>
      <c r="D51" s="19">
        <f t="shared" si="1"/>
        <v>7.55833904527492E-4</v>
      </c>
    </row>
    <row r="52" spans="1:4">
      <c r="A52">
        <v>43</v>
      </c>
      <c r="B52" s="8">
        <v>234.14262721237867</v>
      </c>
      <c r="C52" s="11">
        <f t="shared" si="0"/>
        <v>0.99434653441158039</v>
      </c>
      <c r="D52" s="19">
        <f t="shared" si="1"/>
        <v>1.1811451465185696E-3</v>
      </c>
    </row>
    <row r="53" spans="1:4">
      <c r="A53">
        <v>44</v>
      </c>
      <c r="B53" s="8">
        <v>234.32771802500991</v>
      </c>
      <c r="C53" s="11">
        <f t="shared" si="0"/>
        <v>0.99513256987330934</v>
      </c>
      <c r="D53" s="19">
        <f t="shared" si="1"/>
        <v>7.8603546172895111E-4</v>
      </c>
    </row>
    <row r="54" spans="1:4">
      <c r="A54">
        <v>45</v>
      </c>
      <c r="B54" s="8">
        <v>234.5098787487392</v>
      </c>
      <c r="C54" s="11">
        <f t="shared" si="0"/>
        <v>0.99590616196332127</v>
      </c>
      <c r="D54" s="19">
        <f t="shared" si="1"/>
        <v>7.7359209001193197E-4</v>
      </c>
    </row>
    <row r="55" spans="1:4">
      <c r="A55">
        <v>46</v>
      </c>
      <c r="B55" s="8">
        <v>234.74044248565389</v>
      </c>
      <c r="C55" s="11">
        <f t="shared" si="0"/>
        <v>0.99688530982499679</v>
      </c>
      <c r="D55" s="19">
        <f t="shared" si="1"/>
        <v>9.7914786167552226E-4</v>
      </c>
    </row>
    <row r="56" spans="1:4">
      <c r="A56">
        <v>47</v>
      </c>
      <c r="B56" s="8">
        <v>234.97713600121</v>
      </c>
      <c r="C56" s="11">
        <f t="shared" si="0"/>
        <v>0.99789048935899705</v>
      </c>
      <c r="D56" s="19">
        <f t="shared" si="1"/>
        <v>1.0051795340002556E-3</v>
      </c>
    </row>
    <row r="57" spans="1:4">
      <c r="A57">
        <v>48</v>
      </c>
      <c r="B57" s="8">
        <v>235.18670585505339</v>
      </c>
      <c r="C57" s="11">
        <f t="shared" si="0"/>
        <v>0.99878048132828201</v>
      </c>
      <c r="D57" s="19">
        <f t="shared" si="1"/>
        <v>8.8999196928496449E-4</v>
      </c>
    </row>
    <row r="58" spans="1:4">
      <c r="A58">
        <v>49</v>
      </c>
      <c r="B58" s="8">
        <v>235.28772965031229</v>
      </c>
      <c r="C58" s="11">
        <f t="shared" si="0"/>
        <v>0.9992095047056343</v>
      </c>
      <c r="D58" s="19">
        <f>C58-C57</f>
        <v>4.290233773522889E-4</v>
      </c>
    </row>
    <row r="59" spans="1:4">
      <c r="A59">
        <v>50</v>
      </c>
      <c r="B59" s="8">
        <v>235.47387063699691</v>
      </c>
      <c r="C59" s="11">
        <f t="shared" si="0"/>
        <v>1</v>
      </c>
      <c r="D59" s="19">
        <f t="shared" si="1"/>
        <v>7.9049529436570065E-4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'IN-client'!B6</f>
        <v>0.18</v>
      </c>
    </row>
    <row r="7" spans="1:3">
      <c r="A7" t="s">
        <v>46</v>
      </c>
      <c r="B7" s="1">
        <f>'IN-client'!B7</f>
        <v>0.28999999999999998</v>
      </c>
    </row>
    <row r="8" spans="1:3">
      <c r="A8" t="s">
        <v>195</v>
      </c>
      <c r="B8" s="19">
        <f>C10*'IN-client'!B26</f>
        <v>0.26500000000000001</v>
      </c>
      <c r="C8" t="s">
        <v>199</v>
      </c>
    </row>
    <row r="9" spans="1:3">
      <c r="A9" t="s">
        <v>194</v>
      </c>
      <c r="B9" s="19">
        <f>C10-B8</f>
        <v>0.26500000000000001</v>
      </c>
      <c r="C9" t="s">
        <v>199</v>
      </c>
    </row>
    <row r="10" spans="1:3">
      <c r="A10" t="s">
        <v>193</v>
      </c>
      <c r="C10" s="1">
        <f>'IN-client'!B8</f>
        <v>0.53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'IN-client'!C9</f>
        <v>OK</v>
      </c>
    </row>
    <row r="7" spans="1:2">
      <c r="A7" t="s">
        <v>126</v>
      </c>
      <c r="B7" t="str">
        <f>'IN-client'!C16</f>
        <v>OK</v>
      </c>
    </row>
    <row r="8" spans="1:2">
      <c r="A8" t="s">
        <v>127</v>
      </c>
      <c r="B8" t="str">
        <f>'IN-client'!G14</f>
        <v>OK</v>
      </c>
    </row>
    <row r="9" spans="1:2">
      <c r="A9" t="s">
        <v>128</v>
      </c>
      <c r="B9" t="str">
        <f>'IN-client'!C23</f>
        <v>OK</v>
      </c>
    </row>
    <row r="10" spans="1:2">
      <c r="A10" t="s">
        <v>129</v>
      </c>
      <c r="B10" t="str">
        <f>'IN-client'!G23</f>
        <v>OK</v>
      </c>
    </row>
    <row r="12" spans="1:2">
      <c r="A12" s="4" t="s">
        <v>42</v>
      </c>
    </row>
    <row r="13" spans="1:2">
      <c r="A13" t="s">
        <v>130</v>
      </c>
      <c r="B13" t="str">
        <f>'IN-rates'!C14</f>
        <v>OK</v>
      </c>
    </row>
    <row r="14" spans="1:2">
      <c r="A14" t="s">
        <v>131</v>
      </c>
      <c r="B14" t="str">
        <f>'IN-rates'!G14</f>
        <v>OK</v>
      </c>
    </row>
    <row r="15" spans="1:2">
      <c r="A15" t="s">
        <v>132</v>
      </c>
      <c r="B15" t="str">
        <f>'IN-rates'!K16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" priority="1" operator="containsText" text="OK">
      <formula>NOT(ISERROR(SEARCH("OK",B1)))</formula>
    </cfRule>
    <cfRule type="containsText" dxfId="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239</v>
      </c>
    </row>
    <row r="7" spans="1:2">
      <c r="A7">
        <v>20150723.100000001</v>
      </c>
      <c r="B7" t="s">
        <v>240</v>
      </c>
    </row>
    <row r="8" spans="1:2">
      <c r="A8">
        <v>20150724.100000001</v>
      </c>
      <c r="B8" t="s">
        <v>288</v>
      </c>
    </row>
    <row r="9" spans="1:2">
      <c r="A9">
        <v>20150727.100000001</v>
      </c>
      <c r="B9" t="s">
        <v>289</v>
      </c>
    </row>
    <row r="10" spans="1:2">
      <c r="A10">
        <v>20150727.199999999</v>
      </c>
      <c r="B10" t="s">
        <v>297</v>
      </c>
    </row>
    <row r="11" spans="1:2">
      <c r="A11">
        <v>20151202.100000001</v>
      </c>
      <c r="B11" t="s">
        <v>307</v>
      </c>
    </row>
    <row r="12" spans="1:2">
      <c r="A12">
        <v>20160119.100000001</v>
      </c>
      <c r="B12" t="s">
        <v>313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 2 data tables</vt:lpstr>
      <vt:lpstr>Aggregate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2016-01-31T03:36:24Z</dcterms:modified>
</cp:coreProperties>
</file>