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9.xml" ContentType="application/vnd.openxmlformats-officedocument.spreadsheetml.comments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fem\Documents\Management\Agile\"/>
    </mc:Choice>
  </mc:AlternateContent>
  <xr:revisionPtr revIDLastSave="0" documentId="13_ncr:1_{74E20DAD-5EC1-4B27-9B12-205D781110C3}" xr6:coauthVersionLast="47" xr6:coauthVersionMax="47" xr10:uidLastSave="{00000000-0000-0000-0000-000000000000}"/>
  <bookViews>
    <workbookView xWindow="28680" yWindow="-120" windowWidth="29040" windowHeight="15840" tabRatio="783" activeTab="4" xr2:uid="{0C959F60-99EC-4857-89BA-17DCA24DC46C}"/>
  </bookViews>
  <sheets>
    <sheet name="Calendar" sheetId="8" r:id="rId1"/>
    <sheet name="Team Meetings and Activites" sheetId="9" r:id="rId2"/>
    <sheet name="1. Business Objectives" sheetId="1" r:id="rId3"/>
    <sheet name="2. PI Feature Backlog" sheetId="2" r:id="rId4"/>
    <sheet name="3. PI Issue Backlog" sheetId="3" r:id="rId5"/>
    <sheet name="CP S50" sheetId="14" r:id="rId6"/>
    <sheet name="CP S51" sheetId="17" r:id="rId7"/>
    <sheet name="CP S52" sheetId="18" r:id="rId8"/>
    <sheet name="CP S53" sheetId="19" r:id="rId9"/>
    <sheet name="CP S54" sheetId="20" r:id="rId10"/>
    <sheet name="CP S55" sheetId="21" r:id="rId11"/>
    <sheet name="4. CP Summary" sheetId="15" r:id="rId12"/>
    <sheet name="5. Sprint Planning" sheetId="4" r:id="rId13"/>
    <sheet name="6. Risks" sheetId="6" r:id="rId14"/>
    <sheet name="7. Confidence Vote" sheetId="7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5" l="1"/>
  <c r="O21" i="15"/>
  <c r="O22" i="15"/>
  <c r="O23" i="15"/>
  <c r="O24" i="15"/>
  <c r="O25" i="15"/>
  <c r="O26" i="15"/>
  <c r="O27" i="15"/>
  <c r="N20" i="15"/>
  <c r="N21" i="15"/>
  <c r="N22" i="15"/>
  <c r="N23" i="15"/>
  <c r="N24" i="15"/>
  <c r="N25" i="15"/>
  <c r="N26" i="15"/>
  <c r="N27" i="15"/>
  <c r="M20" i="15"/>
  <c r="M21" i="15"/>
  <c r="M22" i="15"/>
  <c r="M23" i="15"/>
  <c r="M24" i="15"/>
  <c r="M25" i="15"/>
  <c r="M26" i="15"/>
  <c r="M27" i="15"/>
  <c r="L20" i="15"/>
  <c r="L21" i="15"/>
  <c r="L22" i="15"/>
  <c r="L23" i="15"/>
  <c r="L24" i="15"/>
  <c r="L25" i="15"/>
  <c r="L26" i="15"/>
  <c r="L27" i="15"/>
  <c r="K20" i="15"/>
  <c r="K21" i="15"/>
  <c r="K22" i="15"/>
  <c r="K23" i="15"/>
  <c r="K24" i="15"/>
  <c r="K25" i="15"/>
  <c r="K26" i="15"/>
  <c r="K27" i="15"/>
  <c r="J20" i="15"/>
  <c r="J21" i="15"/>
  <c r="J22" i="15"/>
  <c r="J23" i="15"/>
  <c r="J24" i="15"/>
  <c r="J25" i="15"/>
  <c r="J26" i="15"/>
  <c r="J27" i="15"/>
  <c r="I20" i="15"/>
  <c r="I21" i="15"/>
  <c r="I22" i="15"/>
  <c r="I23" i="15"/>
  <c r="I24" i="15"/>
  <c r="I25" i="15"/>
  <c r="I26" i="15"/>
  <c r="I27" i="15"/>
  <c r="H20" i="15"/>
  <c r="H21" i="15"/>
  <c r="H22" i="15"/>
  <c r="H23" i="15"/>
  <c r="H24" i="15"/>
  <c r="H25" i="15"/>
  <c r="H26" i="15"/>
  <c r="H27" i="15"/>
  <c r="G20" i="15"/>
  <c r="G21" i="15"/>
  <c r="G22" i="15"/>
  <c r="G23" i="15"/>
  <c r="G24" i="15"/>
  <c r="G25" i="15"/>
  <c r="G26" i="15"/>
  <c r="G27" i="15"/>
  <c r="F20" i="15"/>
  <c r="F21" i="15"/>
  <c r="F22" i="15"/>
  <c r="F23" i="15"/>
  <c r="F24" i="15"/>
  <c r="F25" i="15"/>
  <c r="F26" i="15"/>
  <c r="F27" i="15"/>
  <c r="E20" i="15"/>
  <c r="E21" i="15"/>
  <c r="E22" i="15"/>
  <c r="E23" i="15"/>
  <c r="E24" i="15"/>
  <c r="E25" i="15"/>
  <c r="E26" i="15"/>
  <c r="E27" i="15"/>
  <c r="D20" i="15"/>
  <c r="D21" i="15"/>
  <c r="D22" i="15"/>
  <c r="D23" i="15"/>
  <c r="D24" i="15"/>
  <c r="D25" i="15"/>
  <c r="D26" i="15"/>
  <c r="D27" i="15"/>
  <c r="W15" i="21"/>
  <c r="E23" i="21" s="1"/>
  <c r="E25" i="21" s="1"/>
  <c r="T15" i="21"/>
  <c r="S15" i="21"/>
  <c r="Q15" i="21"/>
  <c r="O15" i="21"/>
  <c r="N15" i="21"/>
  <c r="M15" i="21"/>
  <c r="L15" i="21"/>
  <c r="K15" i="21"/>
  <c r="J15" i="21"/>
  <c r="I15" i="21"/>
  <c r="H15" i="21"/>
  <c r="G15" i="21"/>
  <c r="F15" i="21"/>
  <c r="P14" i="21"/>
  <c r="R14" i="21" s="1"/>
  <c r="U14" i="21" s="1"/>
  <c r="V14" i="21" s="1"/>
  <c r="E14" i="21"/>
  <c r="U13" i="21"/>
  <c r="V13" i="21" s="1"/>
  <c r="R13" i="21"/>
  <c r="P13" i="21"/>
  <c r="E13" i="21"/>
  <c r="P12" i="21"/>
  <c r="R12" i="21" s="1"/>
  <c r="U12" i="21" s="1"/>
  <c r="V12" i="21" s="1"/>
  <c r="E12" i="21"/>
  <c r="P11" i="21"/>
  <c r="R11" i="21" s="1"/>
  <c r="U11" i="21" s="1"/>
  <c r="V11" i="21" s="1"/>
  <c r="E11" i="21"/>
  <c r="R10" i="21"/>
  <c r="U10" i="21" s="1"/>
  <c r="V10" i="21" s="1"/>
  <c r="P10" i="21"/>
  <c r="E10" i="21"/>
  <c r="P9" i="21"/>
  <c r="R9" i="21" s="1"/>
  <c r="U9" i="21" s="1"/>
  <c r="V9" i="21" s="1"/>
  <c r="E9" i="21"/>
  <c r="P8" i="21"/>
  <c r="R8" i="21" s="1"/>
  <c r="U8" i="21" s="1"/>
  <c r="V8" i="21" s="1"/>
  <c r="E8" i="21"/>
  <c r="P7" i="21"/>
  <c r="P15" i="21" s="1"/>
  <c r="E7" i="21"/>
  <c r="E15" i="21" s="1"/>
  <c r="E19" i="21" s="1"/>
  <c r="W15" i="20"/>
  <c r="E23" i="20" s="1"/>
  <c r="E25" i="20" s="1"/>
  <c r="T15" i="20"/>
  <c r="S15" i="20"/>
  <c r="Q15" i="20"/>
  <c r="O15" i="20"/>
  <c r="N15" i="20"/>
  <c r="M15" i="20"/>
  <c r="L15" i="20"/>
  <c r="K15" i="20"/>
  <c r="J15" i="20"/>
  <c r="I15" i="20"/>
  <c r="H15" i="20"/>
  <c r="G15" i="20"/>
  <c r="F15" i="20"/>
  <c r="U14" i="20"/>
  <c r="V14" i="20" s="1"/>
  <c r="R14" i="20"/>
  <c r="P14" i="20"/>
  <c r="E14" i="20"/>
  <c r="P13" i="20"/>
  <c r="R13" i="20" s="1"/>
  <c r="U13" i="20" s="1"/>
  <c r="V13" i="20" s="1"/>
  <c r="E13" i="20"/>
  <c r="P12" i="20"/>
  <c r="R12" i="20" s="1"/>
  <c r="U12" i="20" s="1"/>
  <c r="V12" i="20" s="1"/>
  <c r="E12" i="20"/>
  <c r="R11" i="20"/>
  <c r="U11" i="20" s="1"/>
  <c r="V11" i="20" s="1"/>
  <c r="P11" i="20"/>
  <c r="E11" i="20"/>
  <c r="U10" i="20"/>
  <c r="V10" i="20" s="1"/>
  <c r="R10" i="20"/>
  <c r="P10" i="20"/>
  <c r="E10" i="20"/>
  <c r="P9" i="20"/>
  <c r="R9" i="20" s="1"/>
  <c r="U9" i="20" s="1"/>
  <c r="V9" i="20" s="1"/>
  <c r="E9" i="20"/>
  <c r="P8" i="20"/>
  <c r="R8" i="20" s="1"/>
  <c r="U8" i="20" s="1"/>
  <c r="V8" i="20" s="1"/>
  <c r="E8" i="20"/>
  <c r="R7" i="20"/>
  <c r="P7" i="20"/>
  <c r="E7" i="20"/>
  <c r="E15" i="20" s="1"/>
  <c r="E19" i="20" s="1"/>
  <c r="E23" i="19"/>
  <c r="E25" i="19" s="1"/>
  <c r="W15" i="19"/>
  <c r="T15" i="19"/>
  <c r="S15" i="19"/>
  <c r="Q15" i="19"/>
  <c r="O15" i="19"/>
  <c r="N15" i="19"/>
  <c r="M15" i="19"/>
  <c r="L15" i="19"/>
  <c r="K15" i="19"/>
  <c r="J15" i="19"/>
  <c r="I15" i="19"/>
  <c r="H15" i="19"/>
  <c r="G15" i="19"/>
  <c r="F15" i="19"/>
  <c r="R14" i="19"/>
  <c r="U14" i="19" s="1"/>
  <c r="V14" i="19" s="1"/>
  <c r="P14" i="19"/>
  <c r="E14" i="19"/>
  <c r="P13" i="19"/>
  <c r="R13" i="19" s="1"/>
  <c r="U13" i="19" s="1"/>
  <c r="V13" i="19" s="1"/>
  <c r="E13" i="19"/>
  <c r="V12" i="19"/>
  <c r="U12" i="19"/>
  <c r="R12" i="19"/>
  <c r="P12" i="19"/>
  <c r="E12" i="19"/>
  <c r="P11" i="19"/>
  <c r="R11" i="19" s="1"/>
  <c r="U11" i="19" s="1"/>
  <c r="V11" i="19" s="1"/>
  <c r="E11" i="19"/>
  <c r="R10" i="19"/>
  <c r="U10" i="19" s="1"/>
  <c r="V10" i="19" s="1"/>
  <c r="P10" i="19"/>
  <c r="E10" i="19"/>
  <c r="U9" i="19"/>
  <c r="V9" i="19" s="1"/>
  <c r="R9" i="19"/>
  <c r="P9" i="19"/>
  <c r="E9" i="19"/>
  <c r="R8" i="19"/>
  <c r="U8" i="19" s="1"/>
  <c r="V8" i="19" s="1"/>
  <c r="P8" i="19"/>
  <c r="E8" i="19"/>
  <c r="P7" i="19"/>
  <c r="P15" i="19" s="1"/>
  <c r="E7" i="19"/>
  <c r="E15" i="19" s="1"/>
  <c r="E19" i="19" s="1"/>
  <c r="W15" i="18"/>
  <c r="E23" i="18" s="1"/>
  <c r="E25" i="18" s="1"/>
  <c r="T15" i="18"/>
  <c r="S15" i="18"/>
  <c r="Q15" i="18"/>
  <c r="O15" i="18"/>
  <c r="N15" i="18"/>
  <c r="M15" i="18"/>
  <c r="L15" i="18"/>
  <c r="K15" i="18"/>
  <c r="J15" i="18"/>
  <c r="I15" i="18"/>
  <c r="H15" i="18"/>
  <c r="G15" i="18"/>
  <c r="F15" i="18"/>
  <c r="R14" i="18"/>
  <c r="U14" i="18" s="1"/>
  <c r="V14" i="18" s="1"/>
  <c r="P14" i="18"/>
  <c r="E14" i="18"/>
  <c r="P13" i="18"/>
  <c r="R13" i="18" s="1"/>
  <c r="U13" i="18" s="1"/>
  <c r="V13" i="18" s="1"/>
  <c r="E13" i="18"/>
  <c r="P12" i="18"/>
  <c r="R12" i="18" s="1"/>
  <c r="U12" i="18" s="1"/>
  <c r="V12" i="18" s="1"/>
  <c r="E12" i="18"/>
  <c r="P11" i="18"/>
  <c r="R11" i="18" s="1"/>
  <c r="U11" i="18" s="1"/>
  <c r="V11" i="18" s="1"/>
  <c r="E11" i="18"/>
  <c r="P10" i="18"/>
  <c r="R10" i="18" s="1"/>
  <c r="U10" i="18" s="1"/>
  <c r="V10" i="18" s="1"/>
  <c r="E10" i="18"/>
  <c r="P9" i="18"/>
  <c r="P15" i="18" s="1"/>
  <c r="E9" i="18"/>
  <c r="R8" i="18"/>
  <c r="U8" i="18" s="1"/>
  <c r="V8" i="18" s="1"/>
  <c r="P8" i="18"/>
  <c r="E8" i="18"/>
  <c r="R7" i="18"/>
  <c r="P7" i="18"/>
  <c r="E7" i="18"/>
  <c r="E15" i="18" s="1"/>
  <c r="E19" i="18" s="1"/>
  <c r="W15" i="17"/>
  <c r="E23" i="17" s="1"/>
  <c r="E25" i="17" s="1"/>
  <c r="T15" i="17"/>
  <c r="S15" i="17"/>
  <c r="Q15" i="17"/>
  <c r="O15" i="17"/>
  <c r="N15" i="17"/>
  <c r="M15" i="17"/>
  <c r="L15" i="17"/>
  <c r="K15" i="17"/>
  <c r="J15" i="17"/>
  <c r="I15" i="17"/>
  <c r="H15" i="17"/>
  <c r="G15" i="17"/>
  <c r="F15" i="17"/>
  <c r="U14" i="17"/>
  <c r="V14" i="17" s="1"/>
  <c r="R14" i="17"/>
  <c r="P14" i="17"/>
  <c r="E14" i="17"/>
  <c r="R13" i="17"/>
  <c r="U13" i="17" s="1"/>
  <c r="V13" i="17" s="1"/>
  <c r="P13" i="17"/>
  <c r="E13" i="17"/>
  <c r="P12" i="17"/>
  <c r="R12" i="17" s="1"/>
  <c r="U12" i="17" s="1"/>
  <c r="V12" i="17" s="1"/>
  <c r="E12" i="17"/>
  <c r="R11" i="17"/>
  <c r="U11" i="17" s="1"/>
  <c r="V11" i="17" s="1"/>
  <c r="P11" i="17"/>
  <c r="E11" i="17"/>
  <c r="P10" i="17"/>
  <c r="R10" i="17" s="1"/>
  <c r="U10" i="17" s="1"/>
  <c r="V10" i="17" s="1"/>
  <c r="E10" i="17"/>
  <c r="P9" i="17"/>
  <c r="R9" i="17" s="1"/>
  <c r="U9" i="17" s="1"/>
  <c r="V9" i="17" s="1"/>
  <c r="E9" i="17"/>
  <c r="P8" i="17"/>
  <c r="R8" i="17" s="1"/>
  <c r="U8" i="17" s="1"/>
  <c r="V8" i="17" s="1"/>
  <c r="E8" i="17"/>
  <c r="R7" i="17"/>
  <c r="P7" i="17"/>
  <c r="P15" i="17" s="1"/>
  <c r="E7" i="17"/>
  <c r="E15" i="17" s="1"/>
  <c r="E19" i="17" s="1"/>
  <c r="I7" i="1"/>
  <c r="I8" i="1"/>
  <c r="I9" i="1"/>
  <c r="I10" i="1"/>
  <c r="I6" i="1"/>
  <c r="CP17" i="8"/>
  <c r="CQ17" i="8"/>
  <c r="CR17" i="8"/>
  <c r="CS17" i="8"/>
  <c r="CT17" i="8"/>
  <c r="CW17" i="8"/>
  <c r="CX17" i="8"/>
  <c r="CY17" i="8"/>
  <c r="CZ17" i="8"/>
  <c r="DA17" i="8"/>
  <c r="DD17" i="8"/>
  <c r="DE17" i="8"/>
  <c r="DF17" i="8"/>
  <c r="DG17" i="8"/>
  <c r="DH17" i="8"/>
  <c r="DK17" i="8"/>
  <c r="DL17" i="8"/>
  <c r="DM17" i="8"/>
  <c r="DN17" i="8"/>
  <c r="DO17" i="8"/>
  <c r="DR17" i="8"/>
  <c r="DS17" i="8"/>
  <c r="DT17" i="8"/>
  <c r="DU17" i="8"/>
  <c r="DV17" i="8"/>
  <c r="DY17" i="8"/>
  <c r="DZ17" i="8"/>
  <c r="EA17" i="8"/>
  <c r="EB17" i="8"/>
  <c r="EC17" i="8"/>
  <c r="EF17" i="8"/>
  <c r="EG17" i="8"/>
  <c r="EH17" i="8"/>
  <c r="EI17" i="8"/>
  <c r="EJ17" i="8"/>
  <c r="EM17" i="8"/>
  <c r="EN17" i="8"/>
  <c r="EO17" i="8"/>
  <c r="EP17" i="8"/>
  <c r="EQ17" i="8"/>
  <c r="ET17" i="8"/>
  <c r="EU17" i="8"/>
  <c r="EV17" i="8"/>
  <c r="EW17" i="8"/>
  <c r="EX17" i="8"/>
  <c r="FA17" i="8"/>
  <c r="FB17" i="8"/>
  <c r="FC17" i="8"/>
  <c r="FD17" i="8"/>
  <c r="FE17" i="8"/>
  <c r="FH17" i="8"/>
  <c r="FI17" i="8"/>
  <c r="FJ17" i="8"/>
  <c r="FK17" i="8"/>
  <c r="FL17" i="8"/>
  <c r="FO17" i="8"/>
  <c r="FP17" i="8"/>
  <c r="FQ17" i="8"/>
  <c r="FR17" i="8"/>
  <c r="FS17" i="8"/>
  <c r="FV17" i="8"/>
  <c r="FW17" i="8"/>
  <c r="FX17" i="8"/>
  <c r="FY17" i="8"/>
  <c r="FZ17" i="8"/>
  <c r="CF17" i="8"/>
  <c r="K17" i="8"/>
  <c r="L17" i="8"/>
  <c r="M17" i="8"/>
  <c r="N17" i="8"/>
  <c r="Q17" i="8"/>
  <c r="R17" i="8"/>
  <c r="S17" i="8"/>
  <c r="T17" i="8"/>
  <c r="U17" i="8"/>
  <c r="X17" i="8"/>
  <c r="Y17" i="8"/>
  <c r="Z17" i="8"/>
  <c r="AA17" i="8"/>
  <c r="AB17" i="8"/>
  <c r="AE17" i="8"/>
  <c r="AF17" i="8"/>
  <c r="AG17" i="8"/>
  <c r="AH17" i="8"/>
  <c r="AI17" i="8"/>
  <c r="AL17" i="8"/>
  <c r="AM17" i="8"/>
  <c r="AN17" i="8"/>
  <c r="AO17" i="8"/>
  <c r="AP17" i="8"/>
  <c r="AS17" i="8"/>
  <c r="AT17" i="8"/>
  <c r="AU17" i="8"/>
  <c r="AV17" i="8"/>
  <c r="AW17" i="8"/>
  <c r="AZ17" i="8"/>
  <c r="BA17" i="8"/>
  <c r="BB17" i="8"/>
  <c r="BC17" i="8"/>
  <c r="BD17" i="8"/>
  <c r="BG17" i="8"/>
  <c r="BH17" i="8"/>
  <c r="BI17" i="8"/>
  <c r="BJ17" i="8"/>
  <c r="BK17" i="8"/>
  <c r="BN17" i="8"/>
  <c r="BO17" i="8"/>
  <c r="BP17" i="8"/>
  <c r="BQ17" i="8"/>
  <c r="BR17" i="8"/>
  <c r="BU17" i="8"/>
  <c r="BV17" i="8"/>
  <c r="BW17" i="8"/>
  <c r="BX17" i="8"/>
  <c r="BY17" i="8"/>
  <c r="CB17" i="8"/>
  <c r="CC17" i="8"/>
  <c r="CD17" i="8"/>
  <c r="CE17" i="8"/>
  <c r="J17" i="8"/>
  <c r="C38" i="1"/>
  <c r="C39" i="1"/>
  <c r="C40" i="1"/>
  <c r="C41" i="1"/>
  <c r="C42" i="1"/>
  <c r="Z26" i="4"/>
  <c r="Y26" i="4"/>
  <c r="Z25" i="4"/>
  <c r="Y25" i="4"/>
  <c r="Z24" i="4"/>
  <c r="Y24" i="4"/>
  <c r="Z23" i="4"/>
  <c r="Y23" i="4"/>
  <c r="Z22" i="4"/>
  <c r="Y22" i="4"/>
  <c r="Z21" i="4"/>
  <c r="Y21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21" i="4"/>
  <c r="N21" i="4"/>
  <c r="Q11" i="4"/>
  <c r="F22" i="4"/>
  <c r="F23" i="4"/>
  <c r="F24" i="4"/>
  <c r="F25" i="4"/>
  <c r="F26" i="4"/>
  <c r="F27" i="4"/>
  <c r="F28" i="4"/>
  <c r="F29" i="4"/>
  <c r="F30" i="4"/>
  <c r="F31" i="4"/>
  <c r="F32" i="4"/>
  <c r="F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1" i="4"/>
  <c r="E22" i="4"/>
  <c r="E23" i="4"/>
  <c r="E24" i="4"/>
  <c r="E25" i="4"/>
  <c r="E26" i="4"/>
  <c r="E27" i="4"/>
  <c r="E28" i="4"/>
  <c r="E29" i="4"/>
  <c r="E30" i="4"/>
  <c r="E31" i="4"/>
  <c r="E32" i="4"/>
  <c r="E21" i="4"/>
  <c r="U10" i="4"/>
  <c r="Q10" i="4"/>
  <c r="M10" i="4"/>
  <c r="I10" i="4"/>
  <c r="E10" i="4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E6" i="2"/>
  <c r="E7" i="2"/>
  <c r="E8" i="2"/>
  <c r="E9" i="2"/>
  <c r="L9" i="1" s="1"/>
  <c r="E10" i="2"/>
  <c r="L12" i="1" s="1"/>
  <c r="E11" i="2"/>
  <c r="L10" i="1" s="1"/>
  <c r="E12" i="2"/>
  <c r="L13" i="1" s="1"/>
  <c r="E13" i="2"/>
  <c r="L19" i="1" s="1"/>
  <c r="E14" i="2"/>
  <c r="E15" i="2"/>
  <c r="E16" i="2"/>
  <c r="E17" i="2"/>
  <c r="E18" i="2"/>
  <c r="E19" i="2"/>
  <c r="E20" i="2"/>
  <c r="E21" i="2"/>
  <c r="E22" i="2"/>
  <c r="E23" i="2"/>
  <c r="E24" i="2"/>
  <c r="E25" i="2"/>
  <c r="L20" i="1" s="1"/>
  <c r="E26" i="2"/>
  <c r="E27" i="2"/>
  <c r="E28" i="2"/>
  <c r="E29" i="2"/>
  <c r="E30" i="2"/>
  <c r="E31" i="2"/>
  <c r="M20" i="1"/>
  <c r="N20" i="1"/>
  <c r="J25" i="3"/>
  <c r="F25" i="3"/>
  <c r="J24" i="3"/>
  <c r="F24" i="3"/>
  <c r="J23" i="3"/>
  <c r="F23" i="3"/>
  <c r="V7" i="14"/>
  <c r="V8" i="14"/>
  <c r="V9" i="14"/>
  <c r="V10" i="14"/>
  <c r="V11" i="14"/>
  <c r="V12" i="14"/>
  <c r="U7" i="14"/>
  <c r="U8" i="14"/>
  <c r="U9" i="14"/>
  <c r="U10" i="14"/>
  <c r="U11" i="14"/>
  <c r="U12" i="14"/>
  <c r="P7" i="14"/>
  <c r="P8" i="14"/>
  <c r="P9" i="14"/>
  <c r="P10" i="14"/>
  <c r="P11" i="14"/>
  <c r="P12" i="14"/>
  <c r="P13" i="14"/>
  <c r="R13" i="14" s="1"/>
  <c r="U13" i="14" s="1"/>
  <c r="V13" i="14" s="1"/>
  <c r="P14" i="14"/>
  <c r="R14" i="14" s="1"/>
  <c r="U14" i="14" s="1"/>
  <c r="V14" i="14" s="1"/>
  <c r="R7" i="14"/>
  <c r="R8" i="14"/>
  <c r="R10" i="14"/>
  <c r="R11" i="14"/>
  <c r="R9" i="14"/>
  <c r="R12" i="14"/>
  <c r="E7" i="14"/>
  <c r="E8" i="14"/>
  <c r="E9" i="14"/>
  <c r="E10" i="14"/>
  <c r="E11" i="14"/>
  <c r="E12" i="14"/>
  <c r="E13" i="14"/>
  <c r="E14" i="14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D26" i="2"/>
  <c r="D27" i="2"/>
  <c r="D28" i="2"/>
  <c r="D29" i="2"/>
  <c r="D30" i="2"/>
  <c r="D31" i="2"/>
  <c r="J66" i="3"/>
  <c r="F66" i="3"/>
  <c r="L6" i="1"/>
  <c r="L7" i="1"/>
  <c r="L8" i="1"/>
  <c r="L11" i="1"/>
  <c r="L14" i="1"/>
  <c r="L15" i="1"/>
  <c r="L16" i="1"/>
  <c r="L17" i="1"/>
  <c r="L18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J54" i="3"/>
  <c r="J55" i="3"/>
  <c r="J56" i="3"/>
  <c r="J57" i="3"/>
  <c r="J58" i="3"/>
  <c r="J59" i="3"/>
  <c r="J60" i="3"/>
  <c r="J61" i="3"/>
  <c r="J62" i="3"/>
  <c r="J63" i="3"/>
  <c r="J64" i="3"/>
  <c r="J65" i="3"/>
  <c r="J53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J160" i="3"/>
  <c r="F160" i="3"/>
  <c r="J159" i="3"/>
  <c r="F159" i="3"/>
  <c r="J158" i="3"/>
  <c r="F158" i="3"/>
  <c r="J157" i="3"/>
  <c r="F157" i="3"/>
  <c r="F156" i="3"/>
  <c r="J156" i="3"/>
  <c r="M26" i="1"/>
  <c r="N26" i="1"/>
  <c r="M14" i="1"/>
  <c r="N14" i="1"/>
  <c r="M34" i="1"/>
  <c r="N34" i="1"/>
  <c r="M13" i="1"/>
  <c r="N13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M9" i="1"/>
  <c r="M8" i="1"/>
  <c r="M6" i="1"/>
  <c r="M7" i="1"/>
  <c r="M10" i="1"/>
  <c r="M12" i="1"/>
  <c r="M11" i="1"/>
  <c r="M17" i="1"/>
  <c r="M16" i="1"/>
  <c r="M18" i="1"/>
  <c r="M15" i="1"/>
  <c r="M19" i="1"/>
  <c r="M21" i="1"/>
  <c r="M22" i="1"/>
  <c r="M23" i="1"/>
  <c r="M25" i="1"/>
  <c r="M24" i="1"/>
  <c r="M27" i="1"/>
  <c r="M28" i="1"/>
  <c r="M29" i="1"/>
  <c r="M32" i="1"/>
  <c r="M31" i="1"/>
  <c r="M33" i="1"/>
  <c r="M30" i="1"/>
  <c r="N9" i="1"/>
  <c r="N8" i="1"/>
  <c r="N6" i="1"/>
  <c r="N7" i="1"/>
  <c r="N10" i="1"/>
  <c r="N12" i="1"/>
  <c r="N11" i="1"/>
  <c r="N17" i="1"/>
  <c r="N16" i="1"/>
  <c r="N18" i="1"/>
  <c r="N15" i="1"/>
  <c r="N19" i="1"/>
  <c r="N21" i="1"/>
  <c r="N22" i="1"/>
  <c r="N23" i="1"/>
  <c r="N25" i="1"/>
  <c r="N24" i="1"/>
  <c r="N27" i="1"/>
  <c r="N28" i="1"/>
  <c r="N29" i="1"/>
  <c r="N32" i="1"/>
  <c r="N31" i="1"/>
  <c r="N33" i="1"/>
  <c r="N30" i="1"/>
  <c r="R7" i="21" l="1"/>
  <c r="R15" i="20"/>
  <c r="E20" i="20" s="1"/>
  <c r="U7" i="20"/>
  <c r="P15" i="20"/>
  <c r="R7" i="19"/>
  <c r="R15" i="18"/>
  <c r="E20" i="18" s="1"/>
  <c r="R9" i="18"/>
  <c r="U9" i="18" s="1"/>
  <c r="V9" i="18" s="1"/>
  <c r="U7" i="18"/>
  <c r="R15" i="17"/>
  <c r="E20" i="17" s="1"/>
  <c r="U7" i="17"/>
  <c r="U11" i="4"/>
  <c r="E11" i="4"/>
  <c r="I11" i="4"/>
  <c r="Y11" i="4"/>
  <c r="M11" i="4"/>
  <c r="Q27" i="15"/>
  <c r="R15" i="21" l="1"/>
  <c r="E20" i="21" s="1"/>
  <c r="U7" i="21"/>
  <c r="U15" i="20"/>
  <c r="E21" i="20" s="1"/>
  <c r="V7" i="20"/>
  <c r="V15" i="20" s="1"/>
  <c r="E22" i="20" s="1"/>
  <c r="R15" i="19"/>
  <c r="E20" i="19" s="1"/>
  <c r="U7" i="19"/>
  <c r="U15" i="18"/>
  <c r="E21" i="18" s="1"/>
  <c r="V7" i="18"/>
  <c r="V15" i="18" s="1"/>
  <c r="E22" i="18" s="1"/>
  <c r="U15" i="17"/>
  <c r="E21" i="17" s="1"/>
  <c r="V7" i="17"/>
  <c r="V15" i="17" s="1"/>
  <c r="E22" i="17" s="1"/>
  <c r="W15" i="14"/>
  <c r="T15" i="14"/>
  <c r="S15" i="14"/>
  <c r="Q15" i="14"/>
  <c r="O15" i="14"/>
  <c r="N15" i="14"/>
  <c r="M15" i="14"/>
  <c r="L15" i="14"/>
  <c r="K15" i="14"/>
  <c r="J15" i="14"/>
  <c r="I15" i="14"/>
  <c r="H15" i="14"/>
  <c r="G15" i="14"/>
  <c r="F15" i="14"/>
  <c r="O15" i="9"/>
  <c r="N15" i="9"/>
  <c r="N13" i="9"/>
  <c r="O13" i="9" s="1"/>
  <c r="N12" i="9"/>
  <c r="O12" i="9" s="1"/>
  <c r="N11" i="9"/>
  <c r="N16" i="9" s="1"/>
  <c r="N17" i="9" s="1"/>
  <c r="O9" i="9"/>
  <c r="M9" i="9"/>
  <c r="M8" i="9"/>
  <c r="O8" i="9" s="1"/>
  <c r="M7" i="9"/>
  <c r="O7" i="9" s="1"/>
  <c r="M6" i="9"/>
  <c r="O6" i="9" s="1"/>
  <c r="O5" i="9"/>
  <c r="M5" i="9"/>
  <c r="M4" i="9"/>
  <c r="O4" i="9" s="1"/>
  <c r="U15" i="21" l="1"/>
  <c r="E21" i="21" s="1"/>
  <c r="V7" i="21"/>
  <c r="V15" i="21" s="1"/>
  <c r="E22" i="21" s="1"/>
  <c r="U15" i="19"/>
  <c r="E21" i="19" s="1"/>
  <c r="V7" i="19"/>
  <c r="V15" i="19" s="1"/>
  <c r="E22" i="19" s="1"/>
  <c r="E23" i="14"/>
  <c r="E25" i="14" s="1"/>
  <c r="Y10" i="4"/>
  <c r="P27" i="15"/>
  <c r="E15" i="14"/>
  <c r="E19" i="14" s="1"/>
  <c r="P15" i="14"/>
  <c r="Q25" i="15"/>
  <c r="M28" i="15"/>
  <c r="F16" i="15" s="1"/>
  <c r="O28" i="15"/>
  <c r="F17" i="15" s="1"/>
  <c r="G28" i="15"/>
  <c r="F13" i="15" s="1"/>
  <c r="I28" i="15"/>
  <c r="F14" i="15" s="1"/>
  <c r="K28" i="15"/>
  <c r="F15" i="15" s="1"/>
  <c r="Q26" i="15"/>
  <c r="Q20" i="15"/>
  <c r="Q21" i="15"/>
  <c r="Q24" i="15"/>
  <c r="Q23" i="15"/>
  <c r="Q22" i="15"/>
  <c r="E28" i="15"/>
  <c r="F12" i="15" s="1"/>
  <c r="O16" i="9"/>
  <c r="O17" i="9" s="1"/>
  <c r="M16" i="9"/>
  <c r="M17" i="9" s="1"/>
  <c r="O11" i="9"/>
  <c r="Q28" i="15" l="1"/>
  <c r="R15" i="14"/>
  <c r="E20" i="14" s="1"/>
  <c r="U15" i="14" l="1"/>
  <c r="E21" i="14" s="1"/>
  <c r="J28" i="15" l="1"/>
  <c r="E15" i="15" s="1"/>
  <c r="G15" i="15" s="1"/>
  <c r="P24" i="15"/>
  <c r="P25" i="15"/>
  <c r="P21" i="15"/>
  <c r="P23" i="15"/>
  <c r="P26" i="15"/>
  <c r="L28" i="15"/>
  <c r="E16" i="15" s="1"/>
  <c r="G16" i="15" s="1"/>
  <c r="H28" i="15"/>
  <c r="E14" i="15" s="1"/>
  <c r="G14" i="15" s="1"/>
  <c r="V15" i="14"/>
  <c r="E22" i="14" s="1"/>
  <c r="N28" i="15"/>
  <c r="E17" i="15" s="1"/>
  <c r="G17" i="15" s="1"/>
  <c r="F28" i="15"/>
  <c r="E13" i="15" s="1"/>
  <c r="G13" i="15" s="1"/>
  <c r="D28" i="15"/>
  <c r="E12" i="15" s="1"/>
  <c r="G12" i="15" s="1"/>
  <c r="H14" i="7"/>
  <c r="G14" i="7"/>
  <c r="F14" i="7"/>
  <c r="E14" i="7"/>
  <c r="D14" i="7"/>
  <c r="C14" i="7"/>
  <c r="P22" i="15" l="1"/>
  <c r="P20" i="15"/>
  <c r="H2" i="7"/>
  <c r="P28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tc={1E30DC20-0830-4F2A-97CF-7040B9F6DA3B}</author>
  </authors>
  <commentList>
    <comment ref="L5" authorId="0" shapeId="0" xr:uid="{1E30DC20-0830-4F2A-97CF-7040B9F6DA3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Format Painter to Copy Color to Feature Summary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tc={9C6A17F5-5C98-45BE-868C-1AC1DBF0D05D}</author>
  </authors>
  <commentList>
    <comment ref="N5" authorId="0" shapeId="0" xr:uid="{9C6A17F5-5C98-45BE-868C-1AC1DBF0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Format Painter to Copy Color to Feature Summary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tc={972AD86D-E177-47C9-9B32-C2BA9825BAE7}</author>
    <author>tc={F8E14544-FC48-4E49-9F50-3D65E1EB07BC}</author>
    <author>tc={AF38ACA5-5DAD-4EC4-B0DE-D7129580EAAF}</author>
  </authors>
  <commentList>
    <comment ref="D6" authorId="0" shapeId="0" xr:uid="{972AD86D-E177-47C9-9B32-C2BA9825BAE7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percentage to account for time required for work on other teams.</t>
      </text>
    </comment>
    <comment ref="S6" authorId="1" shapeId="0" xr:uid="{F8E14544-FC48-4E49-9F50-3D65E1EB07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HR Training, Professional Development Days, QA and Release, Support work.</t>
      </text>
    </comment>
    <comment ref="T6" authorId="2" shapeId="0" xr:uid="{AF38ACA5-5DAD-4EC4-B0DE-D7129580EAAF}">
      <text>
        <t>[Threaded comment]
Your version of Excel allows you to read this threaded comment; however, any edits to it will get removed if the file is opened in a newer version of Excel. Learn more: https://go.microsoft.com/fwlink/?linkid=870924
Comment:
    1-1s, Stand-up, Grooming, Sprint Review, Sprint Retro, Sprint Planning, Town Halls, etc.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tc={D82B3FAC-B11D-4ED5-8DBB-F6D4B2D1E330}</author>
    <author>tc={323A434D-1969-4E9A-AEAD-952D3078C01D}</author>
    <author>tc={FDA32627-89EE-42E7-BF4B-D09FEC8DAEB9}</author>
  </authors>
  <commentList>
    <comment ref="D6" authorId="0" shapeId="0" xr:uid="{D82B3FAC-B11D-4ED5-8DBB-F6D4B2D1E330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percentage to account for time required for work on other teams.</t>
      </text>
    </comment>
    <comment ref="S6" authorId="1" shapeId="0" xr:uid="{323A434D-1969-4E9A-AEAD-952D3078C01D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HR Training, Professional Development Days, QA and Release, Support work.</t>
      </text>
    </comment>
    <comment ref="T6" authorId="2" shapeId="0" xr:uid="{FDA32627-89EE-42E7-BF4B-D09FEC8DAEB9}">
      <text>
        <t>[Threaded comment]
Your version of Excel allows you to read this threaded comment; however, any edits to it will get removed if the file is opened in a newer version of Excel. Learn more: https://go.microsoft.com/fwlink/?linkid=870924
Comment:
    1-1s, Stand-up, Grooming, Sprint Review, Sprint Retro, Sprint Planning, Town Halls, etc.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tc={FDE7F320-9032-475A-B69C-02FEE6EDD7C4}</author>
    <author>tc={FAA244B2-D918-4581-8697-ABADC396FA2A}</author>
    <author>tc={30617889-BB77-4995-A17D-912656D8B8A6}</author>
  </authors>
  <commentList>
    <comment ref="D6" authorId="0" shapeId="0" xr:uid="{FDE7F320-9032-475A-B69C-02FEE6EDD7C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percentage to account for time required for work on other teams.</t>
      </text>
    </comment>
    <comment ref="S6" authorId="1" shapeId="0" xr:uid="{FAA244B2-D918-4581-8697-ABADC396FA2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HR Training, Professional Development Days, QA and Release, Support work.</t>
      </text>
    </comment>
    <comment ref="T6" authorId="2" shapeId="0" xr:uid="{30617889-BB77-4995-A17D-912656D8B8A6}">
      <text>
        <t>[Threaded comment]
Your version of Excel allows you to read this threaded comment; however, any edits to it will get removed if the file is opened in a newer version of Excel. Learn more: https://go.microsoft.com/fwlink/?linkid=870924
Comment:
    1-1s, Stand-up, Grooming, Sprint Review, Sprint Retro, Sprint Planning, Town Halls, etc.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tc={3345E718-C60C-43C7-9955-324625D9160C}</author>
    <author>tc={FC9ADE77-B02F-4DD6-A457-C2950D787AB9}</author>
    <author>tc={7A50ECAA-B47D-4116-BB0F-370B1889C463}</author>
  </authors>
  <commentList>
    <comment ref="D6" authorId="0" shapeId="0" xr:uid="{3345E718-C60C-43C7-9955-324625D9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percentage to account for time required for work on other teams.</t>
      </text>
    </comment>
    <comment ref="S6" authorId="1" shapeId="0" xr:uid="{FC9ADE77-B02F-4DD6-A457-C2950D787AB9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HR Training, Professional Development Days, QA and Release, Support work.</t>
      </text>
    </comment>
    <comment ref="T6" authorId="2" shapeId="0" xr:uid="{7A50ECAA-B47D-4116-BB0F-370B1889C463}">
      <text>
        <t>[Threaded comment]
Your version of Excel allows you to read this threaded comment; however, any edits to it will get removed if the file is opened in a newer version of Excel. Learn more: https://go.microsoft.com/fwlink/?linkid=870924
Comment:
    1-1s, Stand-up, Grooming, Sprint Review, Sprint Retro, Sprint Planning, Town Halls, etc.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tc={D8781E1D-EB46-4A1E-9D96-E2CCA5FE12E9}</author>
    <author>tc={0B8EFBF3-FB20-4EB6-AB92-0DB59ECEE2BB}</author>
    <author>tc={A081A51F-FA59-4FC4-BE84-0DA5E943F0FE}</author>
  </authors>
  <commentList>
    <comment ref="D6" authorId="0" shapeId="0" xr:uid="{D8781E1D-EB46-4A1E-9D96-E2CCA5FE12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percentage to account for time required for work on other teams.</t>
      </text>
    </comment>
    <comment ref="S6" authorId="1" shapeId="0" xr:uid="{0B8EFBF3-FB20-4EB6-AB92-0DB59ECEE2BB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HR Training, Professional Development Days, QA and Release, Support work.</t>
      </text>
    </comment>
    <comment ref="T6" authorId="2" shapeId="0" xr:uid="{A081A51F-FA59-4FC4-BE84-0DA5E943F0FE}">
      <text>
        <t>[Threaded comment]
Your version of Excel allows you to read this threaded comment; however, any edits to it will get removed if the file is opened in a newer version of Excel. Learn more: https://go.microsoft.com/fwlink/?linkid=870924
Comment:
    1-1s, Stand-up, Grooming, Sprint Review, Sprint Retro, Sprint Planning, Town Halls, etc.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tc={3DDE631D-0A95-47F0-A5B0-ADB5EBC1E593}</author>
    <author>tc={CA718F12-14E6-405F-948F-50D50DD7E287}</author>
    <author>tc={31FD7588-8903-4646-912B-E4758499504C}</author>
  </authors>
  <commentList>
    <comment ref="D6" authorId="0" shapeId="0" xr:uid="{3DDE631D-0A95-47F0-A5B0-ADB5EBC1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percentage to account for time required for work on other teams.</t>
      </text>
    </comment>
    <comment ref="S6" authorId="1" shapeId="0" xr:uid="{CA718F12-14E6-405F-948F-50D50DD7E2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 HR Training, Professional Development Days, QA and Release, Support work.</t>
      </text>
    </comment>
    <comment ref="T6" authorId="2" shapeId="0" xr:uid="{31FD7588-8903-4646-912B-E4758499504C}">
      <text>
        <t>[Threaded comment]
Your version of Excel allows you to read this threaded comment; however, any edits to it will get removed if the file is opened in a newer version of Excel. Learn more: https://go.microsoft.com/fwlink/?linkid=870924
Comment:
    1-1s, Stand-up, Grooming, Sprint Review, Sprint Retro, Sprint Planning, Town Halls, etc.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Keefe</author>
  </authors>
  <commentList>
    <comment ref="B7" authorId="0" shapeId="0" xr:uid="{C609427D-9204-4383-ADB0-E91389D6FCF9}">
      <text>
        <r>
          <rPr>
            <b/>
            <sz val="9"/>
            <color indexed="81"/>
            <rFont val="Tahoma"/>
            <family val="2"/>
          </rPr>
          <t>Use Format Painter to Copy Color to Feature Summary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<sst xmlns="http://schemas.openxmlformats.org/spreadsheetml/2006/main" count="997" uniqueCount="295">
  <si>
    <t>January</t>
  </si>
  <si>
    <t>February</t>
  </si>
  <si>
    <t>March</t>
  </si>
  <si>
    <t>April</t>
  </si>
  <si>
    <t>Sun</t>
  </si>
  <si>
    <t>Mon</t>
  </si>
  <si>
    <t>Tue</t>
  </si>
  <si>
    <t>Wed</t>
  </si>
  <si>
    <t>Thu</t>
  </si>
  <si>
    <t>Fri</t>
  </si>
  <si>
    <t>Sat</t>
  </si>
  <si>
    <t>PI Planning Event: 1/3-1/6</t>
  </si>
  <si>
    <t>PI Planning Event</t>
  </si>
  <si>
    <t>D27 UAT</t>
  </si>
  <si>
    <t>D28 UAT</t>
  </si>
  <si>
    <t>D29 UAT</t>
  </si>
  <si>
    <t>D30 UAT</t>
  </si>
  <si>
    <t>D31 UAT</t>
  </si>
  <si>
    <t>D32 UAT</t>
  </si>
  <si>
    <t>D33 UAT</t>
  </si>
  <si>
    <t>D27R</t>
  </si>
  <si>
    <t>D28R</t>
  </si>
  <si>
    <t>D29R</t>
  </si>
  <si>
    <t>D30R</t>
  </si>
  <si>
    <t>D31R</t>
  </si>
  <si>
    <t>D32R</t>
  </si>
  <si>
    <t>D33R</t>
  </si>
  <si>
    <t xml:space="preserve">Business Objectives </t>
  </si>
  <si>
    <t>Supporting Features</t>
  </si>
  <si>
    <t>Enter business objectives below. These are not necessarily features, but are generally overarching.</t>
  </si>
  <si>
    <t>These are the features that will support/achieve the objectives to the left.</t>
  </si>
  <si>
    <t>↕</t>
  </si>
  <si>
    <t>Business Objectives/Features</t>
  </si>
  <si>
    <t>Priority</t>
  </si>
  <si>
    <t>Impact/Value</t>
  </si>
  <si>
    <t>Size (Effort)</t>
  </si>
  <si>
    <t>Est Pts</t>
  </si>
  <si>
    <t>% of PI</t>
  </si>
  <si>
    <t>PI</t>
  </si>
  <si>
    <t>Feature(s)</t>
  </si>
  <si>
    <t>Planned?</t>
  </si>
  <si>
    <t>Feature Link</t>
  </si>
  <si>
    <t>Feature Stories</t>
  </si>
  <si>
    <t>Parent/Main</t>
  </si>
  <si>
    <t>Dependency 1</t>
  </si>
  <si>
    <t>Dependency 2</t>
  </si>
  <si>
    <t>Dependency 3</t>
  </si>
  <si>
    <t>High</t>
  </si>
  <si>
    <t>Medium</t>
  </si>
  <si>
    <t>M</t>
  </si>
  <si>
    <t>Q1</t>
  </si>
  <si>
    <t>S</t>
  </si>
  <si>
    <t>XL</t>
  </si>
  <si>
    <t>Q2</t>
  </si>
  <si>
    <t>Low</t>
  </si>
  <si>
    <t>Q3</t>
  </si>
  <si>
    <t>Q4</t>
  </si>
  <si>
    <t>QX</t>
  </si>
  <si>
    <t>Q</t>
  </si>
  <si>
    <t>Points per Quarter</t>
  </si>
  <si>
    <t>Program Increment Feature Backlog</t>
  </si>
  <si>
    <t>List of features included in the Program Increment</t>
  </si>
  <si>
    <t>Feature Key</t>
  </si>
  <si>
    <t>Link</t>
  </si>
  <si>
    <t>Stories</t>
  </si>
  <si>
    <t>Committed?</t>
  </si>
  <si>
    <t>Feature Summary</t>
  </si>
  <si>
    <t>Feature Key 2</t>
  </si>
  <si>
    <t>Deep Dive #</t>
  </si>
  <si>
    <t>Notes</t>
  </si>
  <si>
    <t>Feature Color Key</t>
  </si>
  <si>
    <t>Name</t>
  </si>
  <si>
    <t>Committed</t>
  </si>
  <si>
    <t>Feature</t>
  </si>
  <si>
    <t>Light Gray</t>
  </si>
  <si>
    <t>Red</t>
  </si>
  <si>
    <t>Orange</t>
  </si>
  <si>
    <t>Yellow</t>
  </si>
  <si>
    <t>Green</t>
  </si>
  <si>
    <t>Teal</t>
  </si>
  <si>
    <t>Blue</t>
  </si>
  <si>
    <t>Periwinkle</t>
  </si>
  <si>
    <t>Violet</t>
  </si>
  <si>
    <t>Indigo</t>
  </si>
  <si>
    <t>Dark Gray</t>
  </si>
  <si>
    <t>PI Issue Backlog</t>
  </si>
  <si>
    <t>List of stories (broken down from features) included in the Program Increment</t>
  </si>
  <si>
    <t>Source</t>
  </si>
  <si>
    <t>Issue Key</t>
  </si>
  <si>
    <t>Story/Bug Summary</t>
  </si>
  <si>
    <t>Story Link</t>
  </si>
  <si>
    <t>Points</t>
  </si>
  <si>
    <t>Feat. Link</t>
  </si>
  <si>
    <t>Planned</t>
  </si>
  <si>
    <t>Capacity Planning</t>
  </si>
  <si>
    <t xml:space="preserve">OPTION 1: </t>
  </si>
  <si>
    <t xml:space="preserve">OPTION 2: </t>
  </si>
  <si>
    <t>Allocate hours; enter availability per day</t>
  </si>
  <si>
    <t>Override Availability</t>
  </si>
  <si>
    <t>Title</t>
  </si>
  <si>
    <t>Estimated % of Time Dedicated to this Team</t>
  </si>
  <si>
    <t>Estimated Dedicated Hours
(Calculated)</t>
  </si>
  <si>
    <t>M 01</t>
  </si>
  <si>
    <t>Tu 02</t>
  </si>
  <si>
    <t>W 03</t>
  </si>
  <si>
    <t>Th 04</t>
  </si>
  <si>
    <t>F 05</t>
  </si>
  <si>
    <t>M 06</t>
  </si>
  <si>
    <t>Tu 07</t>
  </si>
  <si>
    <t>W 08</t>
  </si>
  <si>
    <t>Th 09</t>
  </si>
  <si>
    <t>F 10</t>
  </si>
  <si>
    <t>Hours Available (Calculated by Day Availability)</t>
  </si>
  <si>
    <t>Time Off (Override)</t>
  </si>
  <si>
    <t>Max Possible Capacity (Calculated)</t>
  </si>
  <si>
    <t>% Time for Training, QA, and Support</t>
  </si>
  <si>
    <t>Estimated Hours Dedicated to Team Meetings</t>
  </si>
  <si>
    <t>Available Hours (Calculated)</t>
  </si>
  <si>
    <t>Estimation = hours/8 (Calculated)</t>
  </si>
  <si>
    <t>Planned Story Points</t>
  </si>
  <si>
    <t>Notes and Comments</t>
  </si>
  <si>
    <t>Product Analyst</t>
  </si>
  <si>
    <t>Software Engineer</t>
  </si>
  <si>
    <t>QA Engineer</t>
  </si>
  <si>
    <t>Totals</t>
  </si>
  <si>
    <t xml:space="preserve"> </t>
  </si>
  <si>
    <t xml:space="preserve">  </t>
  </si>
  <si>
    <t>Capacity</t>
  </si>
  <si>
    <t>Total Hours Before Time Off</t>
  </si>
  <si>
    <t>Max Possible Hours After Time Off</t>
  </si>
  <si>
    <t>Hours Available after Training, QA, Support, and Meetings</t>
  </si>
  <si>
    <t>Estimated Capacity (in approx. Story Points)</t>
  </si>
  <si>
    <t>Final Agreed Upon Team Capacity (in Story Points)</t>
  </si>
  <si>
    <t>Buffer/Adjustments</t>
  </si>
  <si>
    <t>Total Sprint Capacity</t>
  </si>
  <si>
    <t>Program Increment Capacity Summary</t>
  </si>
  <si>
    <t>In order to plan work for a team, first determine team capacity. See Instructions below.</t>
  </si>
  <si>
    <t>Iteration</t>
  </si>
  <si>
    <t>Duration</t>
  </si>
  <si>
    <t>3-Sprint Avg Velocity (SPs)</t>
  </si>
  <si>
    <t>Planned Capacity (SPs)</t>
  </si>
  <si>
    <t>Load (Final Planned Work)</t>
  </si>
  <si>
    <t>Load (Unplanned)</t>
  </si>
  <si>
    <t>Start Date</t>
  </si>
  <si>
    <t>End Date</t>
  </si>
  <si>
    <t>2-Weeks</t>
  </si>
  <si>
    <t>Total Max</t>
  </si>
  <si>
    <t>Total Plan</t>
  </si>
  <si>
    <t>Total</t>
  </si>
  <si>
    <t>Sprint Planning</t>
  </si>
  <si>
    <t>Stories identified need to be scheduled into sprints. Program Increments can have 5-6 Sprints in total, aligning with Quarter end. For Example, a July-Sept PI will have 6 Sprints if started on the week of July 4th, but it will have only 5 Sprints if started on the week of July 18th.</t>
  </si>
  <si>
    <t>Sprint Name</t>
  </si>
  <si>
    <t>Vacations</t>
  </si>
  <si>
    <t>Key</t>
  </si>
  <si>
    <t>Summary</t>
  </si>
  <si>
    <t>Team</t>
  </si>
  <si>
    <t>Infrastructure</t>
  </si>
  <si>
    <t>Security</t>
  </si>
  <si>
    <t>Architecture</t>
  </si>
  <si>
    <t>Enablement</t>
  </si>
  <si>
    <t>Risks</t>
  </si>
  <si>
    <t>Are there any risks to accomplishing the planned work?</t>
  </si>
  <si>
    <t>1. Resolved – The risk is not a problem</t>
  </si>
  <si>
    <t>2. Owned – A member of the team takes ownership of the item as it was not resolved in the meeting</t>
  </si>
  <si>
    <t>3. Accepted – The risk cannot be resolved so it has to be understood and accepted for what it is</t>
  </si>
  <si>
    <t>4. Mitigated – Formulate a plan to eradicate the risk.</t>
  </si>
  <si>
    <t>After roaming exercise, risks that require further follow up during the PI are moved to the program risks board for further tracking.</t>
  </si>
  <si>
    <t>Values</t>
  </si>
  <si>
    <t>RISK Description</t>
  </si>
  <si>
    <t>Likelihood</t>
  </si>
  <si>
    <t>Impact</t>
  </si>
  <si>
    <t>Severity</t>
  </si>
  <si>
    <t>ROAM Status</t>
  </si>
  <si>
    <t>Owner</t>
  </si>
  <si>
    <t>JIRA Issue</t>
  </si>
  <si>
    <t>Liklihood</t>
  </si>
  <si>
    <t>Example Risk</t>
  </si>
  <si>
    <t>Owned</t>
  </si>
  <si>
    <t>Team Member 1</t>
  </si>
  <si>
    <t>ITAPPS-12345</t>
  </si>
  <si>
    <t>Resolved</t>
  </si>
  <si>
    <t>Accepted</t>
  </si>
  <si>
    <t>Mitigated</t>
  </si>
  <si>
    <t>Confidence Vote</t>
  </si>
  <si>
    <t>Average</t>
  </si>
  <si>
    <t xml:space="preserve">How confident is each member of the team that we can accomplish all that has been planned? Place an X in only 1 of the columns for each team member. </t>
  </si>
  <si>
    <t>Team Member Name</t>
  </si>
  <si>
    <t>I don’t understand (0)</t>
  </si>
  <si>
    <t>No Confidence (1)</t>
  </si>
  <si>
    <t>Little Confidence (2)</t>
  </si>
  <si>
    <t>Good Confidence (3)</t>
  </si>
  <si>
    <t>High Confidence (4)</t>
  </si>
  <si>
    <t>Very High Confidence (5)</t>
  </si>
  <si>
    <t>Value</t>
  </si>
  <si>
    <t>Vote</t>
  </si>
  <si>
    <t>x</t>
  </si>
  <si>
    <t>I don’t understand</t>
  </si>
  <si>
    <t>No Confidence</t>
  </si>
  <si>
    <t>Little Confidence</t>
  </si>
  <si>
    <t>Good Confidence</t>
  </si>
  <si>
    <t>High Confidence</t>
  </si>
  <si>
    <t>Very High Confidence</t>
  </si>
  <si>
    <t>Total Score</t>
  </si>
  <si>
    <t>Planned Meetings &amp; Activities</t>
  </si>
  <si>
    <t>Sprint Duration - 2 Weeks (10 Working Days)</t>
  </si>
  <si>
    <t>Team Meeting Minutes</t>
  </si>
  <si>
    <t>Training, Prof Dev, QA, &amp; Support Minutes</t>
  </si>
  <si>
    <t>Total Hours</t>
  </si>
  <si>
    <t>Recommended 
Feature or Epic</t>
  </si>
  <si>
    <t>Scrum Ceremonies</t>
  </si>
  <si>
    <t>Tu</t>
  </si>
  <si>
    <t>W</t>
  </si>
  <si>
    <t>Th</t>
  </si>
  <si>
    <t>F</t>
  </si>
  <si>
    <t>General Work</t>
  </si>
  <si>
    <t>Project Planning</t>
  </si>
  <si>
    <t>Daily Update/Scrum Call</t>
  </si>
  <si>
    <t>Grooming</t>
  </si>
  <si>
    <t>Sprint Review, Planning, &amp; Retrospective</t>
  </si>
  <si>
    <t>Sprint Demo</t>
  </si>
  <si>
    <t>QA Weekly Check-in</t>
  </si>
  <si>
    <t>QA - Testing</t>
  </si>
  <si>
    <t>Training, Prof Development, QA, Support Activities - (minimum/average high-level guess in minutes; this will differ by team member)</t>
  </si>
  <si>
    <t>Manager/Employee 1-1s</t>
  </si>
  <si>
    <t>Not Logged</t>
  </si>
  <si>
    <t>N/A</t>
  </si>
  <si>
    <t>Training/Self Development</t>
  </si>
  <si>
    <t>Support</t>
  </si>
  <si>
    <t>Specific Bugs</t>
  </si>
  <si>
    <t>Estimated Average Support (for all Team Members)</t>
  </si>
  <si>
    <t>QA</t>
  </si>
  <si>
    <t>Specific Stories</t>
  </si>
  <si>
    <t>Tech Swarm Sessions</t>
  </si>
  <si>
    <t>Specific Stories or General Work</t>
  </si>
  <si>
    <t>Requirements / Business Process</t>
  </si>
  <si>
    <t>Total Time</t>
  </si>
  <si>
    <t>Total Time as Percentage of Sprint</t>
  </si>
  <si>
    <t>Real Pts</t>
  </si>
  <si>
    <t>PI Day Number</t>
  </si>
  <si>
    <t>Percent Complete</t>
  </si>
  <si>
    <t>NMD</t>
  </si>
  <si>
    <t>DD</t>
  </si>
  <si>
    <t>Dev Day (DD) / No Meeting Day (NMD)</t>
  </si>
  <si>
    <t>Holiday (H)</t>
  </si>
  <si>
    <t>UAT ([Team Letter][Sprint#] UAT)</t>
  </si>
  <si>
    <t xml:space="preserve">Releases ([Team Letter][Sprint#]R) </t>
  </si>
  <si>
    <t>Other Events</t>
  </si>
  <si>
    <t>May</t>
  </si>
  <si>
    <t>June</t>
  </si>
  <si>
    <t>Tues</t>
  </si>
  <si>
    <t>July</t>
  </si>
  <si>
    <t>H</t>
  </si>
  <si>
    <t>H-US</t>
  </si>
  <si>
    <t>Development Day</t>
  </si>
  <si>
    <t>No-meeting Day</t>
  </si>
  <si>
    <t>Sprint 28: 1/9-1/13</t>
  </si>
  <si>
    <t>Sprint 29: 1/16-1/27</t>
  </si>
  <si>
    <t>Sprint 30: 1/30-2/10</t>
  </si>
  <si>
    <t>Sprint 31: 2/13-2/24</t>
  </si>
  <si>
    <t>Sprint 32: 2/27-3/10</t>
  </si>
  <si>
    <t>Sprint 33: 3/13-3/24</t>
  </si>
  <si>
    <t>Recommended 
Worklog Activity
for Time Tracking</t>
  </si>
  <si>
    <t>Total Story Points per PI</t>
  </si>
  <si>
    <t>Feature A</t>
  </si>
  <si>
    <t>Feature B</t>
  </si>
  <si>
    <t>Feature C</t>
  </si>
  <si>
    <t>Feature D</t>
  </si>
  <si>
    <t>Feature E</t>
  </si>
  <si>
    <t>ITAPPS-00000</t>
  </si>
  <si>
    <t>PA 1</t>
  </si>
  <si>
    <t>SE 1</t>
  </si>
  <si>
    <t>PA 2</t>
  </si>
  <si>
    <t>SE 2</t>
  </si>
  <si>
    <t>SE 3</t>
  </si>
  <si>
    <t>SE 4</t>
  </si>
  <si>
    <t>QA 1</t>
  </si>
  <si>
    <t>QA 2</t>
  </si>
  <si>
    <t>Sprint 50</t>
  </si>
  <si>
    <t>S50 Max</t>
  </si>
  <si>
    <t>S50 Plan</t>
  </si>
  <si>
    <t>S51 Max</t>
  </si>
  <si>
    <t>S51 Plan</t>
  </si>
  <si>
    <t>S52 Max</t>
  </si>
  <si>
    <t>S52 Plan</t>
  </si>
  <si>
    <t>S53 Max</t>
  </si>
  <si>
    <t>S53 Plan</t>
  </si>
  <si>
    <t>S54 Max</t>
  </si>
  <si>
    <t>S54 Plan</t>
  </si>
  <si>
    <t>S55 Max</t>
  </si>
  <si>
    <t>S55 Plan</t>
  </si>
  <si>
    <t>Sprint 51</t>
  </si>
  <si>
    <t>Sprint 52</t>
  </si>
  <si>
    <t>Sprint 53</t>
  </si>
  <si>
    <t>Sprint 54</t>
  </si>
  <si>
    <t>Sprint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</si>
</sst>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m\ d\,\ yyyy;@"/>
    <numFmt numFmtId="165" formatCode="0.0%"/>
    <numFmt numFmtId="166" formatCode="0.0_);\(0.0\)"/>
    <numFmt numFmtId="167" formatCode="###0;###0"/>
    <numFmt numFmtId="168" formatCode="###0.0;###0.0"/>
    <numFmt numFmtId="169" formatCode="yyyy\-mm\-dd;@"/>
    <numFmt numFmtId="170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964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0E5FF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rgb="FF00007E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Segoe U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5" tint="-0.499984740745262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  <font>
      <sz val="11"/>
      <color rgb="FF172B4D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172B4D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FFF7"/>
        <bgColor indexed="64"/>
      </patternFill>
    </fill>
    <fill>
      <patternFill patternType="solid">
        <fgColor rgb="FFFAE89C"/>
        <bgColor indexed="64"/>
      </patternFill>
    </fill>
    <fill>
      <patternFill patternType="solid">
        <fgColor rgb="FFFDFECE"/>
        <bgColor indexed="64"/>
      </patternFill>
    </fill>
    <fill>
      <patternFill patternType="solid">
        <fgColor rgb="FF7800D2"/>
        <bgColor indexed="64"/>
      </patternFill>
    </fill>
    <fill>
      <patternFill patternType="solid">
        <fgColor rgb="FFF7C9F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80F8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FFF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7FF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6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5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5" tint="-0.24994659260841701"/>
      </top>
      <bottom style="thin">
        <color theme="7" tint="-0.2499465926084170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thin">
        <color indexed="64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/>
      <right/>
      <top style="double">
        <color rgb="FFA5A5A5"/>
      </top>
      <bottom/>
      <diagonal/>
    </border>
    <border>
      <left/>
      <right/>
      <top/>
      <bottom style="medium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/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 style="double">
        <color auto="1"/>
      </bottom>
      <diagonal/>
    </border>
    <border>
      <left/>
      <right style="thin">
        <color theme="8"/>
      </right>
      <top style="thin">
        <color theme="8"/>
      </top>
      <bottom style="double">
        <color auto="1"/>
      </bottom>
      <diagonal/>
    </border>
    <border>
      <left/>
      <right style="thin">
        <color theme="8"/>
      </right>
      <top style="double">
        <color auto="1"/>
      </top>
      <bottom/>
      <diagonal/>
    </border>
    <border>
      <left style="thin">
        <color theme="8"/>
      </left>
      <right/>
      <top style="double">
        <color auto="1"/>
      </top>
      <bottom/>
      <diagonal/>
    </border>
    <border>
      <left style="medium">
        <color theme="8" tint="-0.24994659260841701"/>
      </left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" fillId="18" borderId="13" applyNumberFormat="0" applyFont="0" applyAlignment="0" applyProtection="0"/>
    <xf numFmtId="0" fontId="2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</cellStyleXfs>
  <cellXfs count="192">
    <xf numFmtId="0" fontId="0" fillId="0" borderId="0" xfId="0"/>
    <xf numFmtId="0" fontId="6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0" xfId="2"/>
    <xf numFmtId="0" fontId="3" fillId="0" borderId="1" xfId="0" applyFont="1" applyBorder="1" applyAlignment="1">
      <alignment horizontal="left"/>
    </xf>
    <xf numFmtId="0" fontId="9" fillId="2" borderId="0" xfId="0" applyFont="1" applyFill="1"/>
    <xf numFmtId="0" fontId="8" fillId="3" borderId="0" xfId="0" applyFont="1" applyFill="1"/>
    <xf numFmtId="0" fontId="14" fillId="4" borderId="0" xfId="0" applyFont="1" applyFill="1"/>
    <xf numFmtId="0" fontId="10" fillId="5" borderId="0" xfId="0" applyFont="1" applyFill="1"/>
    <xf numFmtId="0" fontId="12" fillId="6" borderId="0" xfId="0" applyFont="1" applyFill="1"/>
    <xf numFmtId="0" fontId="16" fillId="7" borderId="0" xfId="0" applyFont="1" applyFill="1"/>
    <xf numFmtId="0" fontId="13" fillId="8" borderId="0" xfId="0" applyFont="1" applyFill="1"/>
    <xf numFmtId="0" fontId="2" fillId="9" borderId="0" xfId="0" applyFont="1" applyFill="1"/>
    <xf numFmtId="0" fontId="17" fillId="10" borderId="0" xfId="0" applyFont="1" applyFill="1"/>
    <xf numFmtId="0" fontId="18" fillId="11" borderId="0" xfId="0" applyFont="1" applyFill="1"/>
    <xf numFmtId="0" fontId="19" fillId="12" borderId="0" xfId="0" applyFont="1" applyFill="1"/>
    <xf numFmtId="0" fontId="11" fillId="0" borderId="0" xfId="2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22" fillId="13" borderId="0" xfId="0" applyFont="1" applyFill="1" applyAlignment="1">
      <alignment horizontal="center" vertical="center"/>
    </xf>
    <xf numFmtId="0" fontId="15" fillId="14" borderId="0" xfId="0" applyFont="1" applyFill="1"/>
    <xf numFmtId="0" fontId="0" fillId="0" borderId="0" xfId="0" applyAlignment="1">
      <alignment vertical="center"/>
    </xf>
    <xf numFmtId="0" fontId="24" fillId="15" borderId="0" xfId="0" applyFont="1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3" fillId="11" borderId="2" xfId="0" applyFont="1" applyFill="1" applyBorder="1"/>
    <xf numFmtId="0" fontId="3" fillId="11" borderId="2" xfId="0" applyFont="1" applyFill="1" applyBorder="1" applyAlignment="1">
      <alignment horizontal="right"/>
    </xf>
    <xf numFmtId="0" fontId="0" fillId="11" borderId="2" xfId="0" applyFill="1" applyBorder="1"/>
    <xf numFmtId="0" fontId="0" fillId="11" borderId="2" xfId="0" applyFill="1" applyBorder="1" applyAlignment="1">
      <alignment horizontal="right"/>
    </xf>
    <xf numFmtId="0" fontId="23" fillId="11" borderId="3" xfId="0" applyFont="1" applyFill="1" applyBorder="1" applyAlignment="1">
      <alignment horizontal="left"/>
    </xf>
    <xf numFmtId="0" fontId="23" fillId="11" borderId="4" xfId="0" applyFont="1" applyFill="1" applyBorder="1" applyAlignment="1">
      <alignment horizontal="left"/>
    </xf>
    <xf numFmtId="0" fontId="3" fillId="11" borderId="5" xfId="0" applyFont="1" applyFill="1" applyBorder="1"/>
    <xf numFmtId="164" fontId="0" fillId="11" borderId="2" xfId="0" applyNumberFormat="1" applyFill="1" applyBorder="1" applyAlignment="1">
      <alignment horizontal="right"/>
    </xf>
    <xf numFmtId="0" fontId="25" fillId="0" borderId="0" xfId="0" applyFont="1"/>
    <xf numFmtId="0" fontId="26" fillId="0" borderId="0" xfId="0" applyFont="1"/>
    <xf numFmtId="0" fontId="0" fillId="0" borderId="0" xfId="0" applyAlignment="1">
      <alignment horizontal="left"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3" fillId="11" borderId="12" xfId="0" applyFon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1" fontId="6" fillId="3" borderId="7" xfId="0" applyNumberFormat="1" applyFont="1" applyFill="1" applyBorder="1" applyAlignment="1">
      <alignment horizontal="center" vertical="center" wrapText="1"/>
    </xf>
    <xf numFmtId="0" fontId="28" fillId="0" borderId="0" xfId="0" applyFont="1"/>
    <xf numFmtId="0" fontId="2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3" fillId="0" borderId="0" xfId="0" applyFont="1"/>
    <xf numFmtId="0" fontId="0" fillId="24" borderId="0" xfId="0" applyFill="1" applyAlignment="1">
      <alignment horizontal="center" vertical="center"/>
    </xf>
    <xf numFmtId="0" fontId="0" fillId="24" borderId="0" xfId="0" applyFill="1"/>
    <xf numFmtId="0" fontId="0" fillId="25" borderId="0" xfId="0" applyFill="1"/>
    <xf numFmtId="0" fontId="0" fillId="26" borderId="0" xfId="0" applyFill="1"/>
    <xf numFmtId="0" fontId="12" fillId="23" borderId="0" xfId="0" applyFont="1" applyFill="1" applyAlignment="1">
      <alignment horizontal="left"/>
    </xf>
    <xf numFmtId="0" fontId="31" fillId="22" borderId="0" xfId="0" applyFont="1" applyFill="1" applyAlignment="1">
      <alignment horizontal="left"/>
    </xf>
    <xf numFmtId="0" fontId="32" fillId="3" borderId="23" xfId="6" applyFont="1" applyFill="1" applyBorder="1" applyAlignment="1">
      <alignment horizontal="center" vertical="center" wrapText="1"/>
    </xf>
    <xf numFmtId="0" fontId="33" fillId="3" borderId="25" xfId="5" applyFont="1" applyFill="1" applyBorder="1" applyAlignment="1">
      <alignment horizontal="center" wrapText="1"/>
    </xf>
    <xf numFmtId="0" fontId="33" fillId="3" borderId="26" xfId="5" applyFont="1" applyFill="1" applyBorder="1" applyAlignment="1">
      <alignment horizontal="center" wrapText="1"/>
    </xf>
    <xf numFmtId="0" fontId="33" fillId="3" borderId="23" xfId="5" applyFont="1" applyFill="1" applyBorder="1" applyAlignment="1">
      <alignment horizontal="center" wrapText="1"/>
    </xf>
    <xf numFmtId="0" fontId="30" fillId="27" borderId="27" xfId="6" applyFont="1" applyFill="1" applyBorder="1" applyAlignment="1">
      <alignment horizontal="left" vertical="top" wrapText="1"/>
    </xf>
    <xf numFmtId="0" fontId="30" fillId="27" borderId="23" xfId="3" applyFont="1" applyFill="1" applyBorder="1" applyAlignment="1">
      <alignment horizontal="center" vertical="center" wrapText="1"/>
    </xf>
    <xf numFmtId="0" fontId="30" fillId="27" borderId="28" xfId="5" applyFont="1" applyFill="1" applyBorder="1" applyAlignment="1">
      <alignment horizontal="center" vertical="top" wrapText="1"/>
    </xf>
    <xf numFmtId="166" fontId="30" fillId="27" borderId="23" xfId="5" applyNumberFormat="1" applyFont="1" applyFill="1" applyBorder="1" applyAlignment="1">
      <alignment horizontal="center" vertical="top" wrapText="1"/>
    </xf>
    <xf numFmtId="0" fontId="28" fillId="0" borderId="29" xfId="0" applyFont="1" applyBorder="1" applyAlignment="1">
      <alignment horizontal="left" vertical="top" wrapText="1"/>
    </xf>
    <xf numFmtId="167" fontId="28" fillId="0" borderId="0" xfId="0" applyNumberFormat="1" applyFont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167" fontId="28" fillId="0" borderId="30" xfId="5" applyNumberFormat="1" applyFont="1" applyFill="1" applyBorder="1" applyAlignment="1">
      <alignment horizontal="center" vertical="top" wrapText="1"/>
    </xf>
    <xf numFmtId="166" fontId="28" fillId="0" borderId="29" xfId="5" applyNumberFormat="1" applyFont="1" applyFill="1" applyBorder="1" applyAlignment="1">
      <alignment horizontal="center" vertical="top" wrapText="1"/>
    </xf>
    <xf numFmtId="0" fontId="30" fillId="27" borderId="23" xfId="6" applyFont="1" applyFill="1" applyBorder="1" applyAlignment="1">
      <alignment horizontal="left" vertical="top" wrapText="1"/>
    </xf>
    <xf numFmtId="0" fontId="30" fillId="27" borderId="31" xfId="0" applyFont="1" applyFill="1" applyBorder="1" applyAlignment="1">
      <alignment vertical="top"/>
    </xf>
    <xf numFmtId="0" fontId="28" fillId="27" borderId="32" xfId="0" applyFont="1" applyFill="1" applyBorder="1" applyAlignment="1">
      <alignment vertical="top" wrapText="1"/>
    </xf>
    <xf numFmtId="167" fontId="30" fillId="28" borderId="33" xfId="4" applyNumberFormat="1" applyFont="1" applyFill="1" applyBorder="1" applyAlignment="1">
      <alignment horizontal="center" vertical="top" wrapText="1"/>
    </xf>
    <xf numFmtId="168" fontId="2" fillId="29" borderId="31" xfId="3" applyNumberFormat="1" applyFont="1" applyFill="1" applyBorder="1" applyAlignment="1">
      <alignment horizontal="center" vertical="top" wrapText="1"/>
    </xf>
    <xf numFmtId="0" fontId="28" fillId="27" borderId="34" xfId="0" applyFont="1" applyFill="1" applyBorder="1" applyAlignment="1">
      <alignment vertical="top" wrapText="1"/>
    </xf>
    <xf numFmtId="0" fontId="30" fillId="27" borderId="23" xfId="0" applyFont="1" applyFill="1" applyBorder="1" applyAlignment="1">
      <alignment vertical="top"/>
    </xf>
    <xf numFmtId="0" fontId="28" fillId="27" borderId="35" xfId="0" applyFont="1" applyFill="1" applyBorder="1" applyAlignment="1">
      <alignment vertical="top" wrapText="1"/>
    </xf>
    <xf numFmtId="9" fontId="30" fillId="28" borderId="28" xfId="1" applyFont="1" applyFill="1" applyBorder="1" applyAlignment="1">
      <alignment horizontal="center" vertical="top" wrapText="1"/>
    </xf>
    <xf numFmtId="9" fontId="2" fillId="29" borderId="23" xfId="1" applyFont="1" applyFill="1" applyBorder="1" applyAlignment="1">
      <alignment horizontal="center" vertical="top" wrapText="1"/>
    </xf>
    <xf numFmtId="0" fontId="28" fillId="27" borderId="23" xfId="0" applyFont="1" applyFill="1" applyBorder="1" applyAlignment="1">
      <alignment vertical="top" wrapText="1"/>
    </xf>
    <xf numFmtId="1" fontId="3" fillId="0" borderId="0" xfId="0" applyNumberFormat="1" applyFont="1"/>
    <xf numFmtId="1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top" wrapText="1"/>
    </xf>
    <xf numFmtId="9" fontId="0" fillId="0" borderId="0" xfId="0" applyNumberFormat="1" applyAlignment="1">
      <alignment horizontal="left" vertical="top" wrapText="1"/>
    </xf>
    <xf numFmtId="9" fontId="0" fillId="0" borderId="0" xfId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4" fillId="30" borderId="36" xfId="0" applyFont="1" applyFill="1" applyBorder="1"/>
    <xf numFmtId="9" fontId="34" fillId="30" borderId="36" xfId="0" applyNumberFormat="1" applyFont="1" applyFill="1" applyBorder="1"/>
    <xf numFmtId="1" fontId="8" fillId="3" borderId="0" xfId="0" applyNumberFormat="1" applyFont="1" applyFill="1"/>
    <xf numFmtId="1" fontId="0" fillId="0" borderId="0" xfId="0" applyNumberFormat="1" applyAlignment="1">
      <alignment horizontal="center" vertical="center"/>
    </xf>
    <xf numFmtId="1" fontId="8" fillId="3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0" fontId="34" fillId="0" borderId="36" xfId="0" applyFont="1" applyBorder="1"/>
    <xf numFmtId="9" fontId="34" fillId="0" borderId="36" xfId="0" applyNumberFormat="1" applyFont="1" applyBorder="1"/>
    <xf numFmtId="0" fontId="34" fillId="0" borderId="37" xfId="0" applyFont="1" applyBorder="1"/>
    <xf numFmtId="0" fontId="0" fillId="0" borderId="38" xfId="0" applyBorder="1"/>
    <xf numFmtId="2" fontId="5" fillId="0" borderId="0" xfId="0" applyNumberFormat="1" applyFont="1"/>
    <xf numFmtId="0" fontId="3" fillId="0" borderId="39" xfId="0" applyFont="1" applyBorder="1"/>
    <xf numFmtId="0" fontId="3" fillId="0" borderId="40" xfId="0" applyFont="1" applyBorder="1"/>
    <xf numFmtId="9" fontId="3" fillId="0" borderId="41" xfId="0" applyNumberFormat="1" applyFont="1" applyBorder="1"/>
    <xf numFmtId="0" fontId="0" fillId="31" borderId="42" xfId="0" applyFill="1" applyBorder="1"/>
    <xf numFmtId="0" fontId="0" fillId="31" borderId="43" xfId="0" applyFill="1" applyBorder="1"/>
    <xf numFmtId="2" fontId="0" fillId="31" borderId="44" xfId="0" applyNumberFormat="1" applyFill="1" applyBorder="1"/>
    <xf numFmtId="0" fontId="0" fillId="0" borderId="45" xfId="0" applyBorder="1"/>
    <xf numFmtId="0" fontId="0" fillId="0" borderId="46" xfId="0" applyBorder="1"/>
    <xf numFmtId="2" fontId="0" fillId="0" borderId="47" xfId="0" applyNumberFormat="1" applyBorder="1"/>
    <xf numFmtId="0" fontId="0" fillId="31" borderId="45" xfId="0" applyFill="1" applyBorder="1"/>
    <xf numFmtId="0" fontId="0" fillId="31" borderId="46" xfId="0" applyFill="1" applyBorder="1"/>
    <xf numFmtId="2" fontId="0" fillId="31" borderId="47" xfId="0" applyNumberFormat="1" applyFill="1" applyBorder="1"/>
    <xf numFmtId="0" fontId="0" fillId="0" borderId="48" xfId="0" applyBorder="1"/>
    <xf numFmtId="0" fontId="0" fillId="0" borderId="49" xfId="0" applyBorder="1"/>
    <xf numFmtId="0" fontId="3" fillId="11" borderId="32" xfId="0" applyFont="1" applyFill="1" applyBorder="1"/>
    <xf numFmtId="0" fontId="3" fillId="11" borderId="50" xfId="0" applyFont="1" applyFill="1" applyBorder="1"/>
    <xf numFmtId="2" fontId="3" fillId="11" borderId="51" xfId="0" applyNumberFormat="1" applyFont="1" applyFill="1" applyBorder="1"/>
    <xf numFmtId="169" fontId="0" fillId="0" borderId="0" xfId="0" applyNumberFormat="1"/>
    <xf numFmtId="170" fontId="0" fillId="0" borderId="0" xfId="0" applyNumberFormat="1"/>
    <xf numFmtId="170" fontId="0" fillId="0" borderId="52" xfId="0" applyNumberFormat="1" applyBorder="1"/>
    <xf numFmtId="0" fontId="35" fillId="22" borderId="22" xfId="0" applyFont="1" applyFill="1" applyBorder="1" applyAlignment="1">
      <alignment horizontal="center" vertic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 wrapText="1"/>
    </xf>
    <xf numFmtId="0" fontId="11" fillId="0" borderId="0" xfId="2" applyFill="1" applyAlignment="1">
      <alignment horizontal="center" vertical="center"/>
    </xf>
    <xf numFmtId="0" fontId="11" fillId="0" borderId="0" xfId="2" applyAlignment="1">
      <alignment horizontal="center" vertical="center"/>
    </xf>
    <xf numFmtId="9" fontId="34" fillId="0" borderId="53" xfId="0" applyNumberFormat="1" applyFont="1" applyBorder="1"/>
    <xf numFmtId="0" fontId="0" fillId="0" borderId="0" xfId="0" applyAlignment="1">
      <alignment horizontal="fill"/>
    </xf>
    <xf numFmtId="0" fontId="11" fillId="0" borderId="0" xfId="2" applyNumberForma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37" fillId="0" borderId="0" xfId="0" applyFont="1"/>
    <xf numFmtId="0" fontId="38" fillId="0" borderId="0" xfId="2" applyFont="1"/>
    <xf numFmtId="0" fontId="39" fillId="0" borderId="0" xfId="2" applyFont="1"/>
    <xf numFmtId="0" fontId="0" fillId="0" borderId="0" xfId="2" applyFont="1" applyFill="1" applyAlignment="1">
      <alignment wrapText="1"/>
    </xf>
    <xf numFmtId="0" fontId="0" fillId="22" borderId="0" xfId="0" applyFill="1"/>
    <xf numFmtId="0" fontId="0" fillId="11" borderId="2" xfId="0" applyFill="1" applyBorder="1" applyAlignment="1">
      <alignment horizontal="justify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7" fillId="0" borderId="0" xfId="0" applyFont="1" applyAlignment="1">
      <alignment vertical="center"/>
    </xf>
    <xf numFmtId="0" fontId="40" fillId="0" borderId="0" xfId="0" applyFont="1"/>
    <xf numFmtId="0" fontId="41" fillId="33" borderId="0" xfId="0" applyFont="1" applyFill="1"/>
    <xf numFmtId="0" fontId="42" fillId="32" borderId="0" xfId="0" applyFont="1" applyFill="1"/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9" fontId="44" fillId="0" borderId="0" xfId="1" applyFont="1" applyAlignment="1">
      <alignment horizontal="center" vertical="center"/>
    </xf>
    <xf numFmtId="0" fontId="0" fillId="0" borderId="0" xfId="0" applyFill="1"/>
    <xf numFmtId="0" fontId="35" fillId="0" borderId="0" xfId="0" applyFont="1" applyFill="1" applyBorder="1" applyAlignment="1">
      <alignment horizontal="center" vertical="center"/>
    </xf>
    <xf numFmtId="0" fontId="42" fillId="34" borderId="0" xfId="0" applyFont="1" applyFill="1" applyAlignment="1">
      <alignment horizontal="left"/>
    </xf>
    <xf numFmtId="0" fontId="35" fillId="22" borderId="55" xfId="0" applyFont="1" applyFill="1" applyBorder="1" applyAlignment="1">
      <alignment horizontal="center" vertical="center"/>
    </xf>
    <xf numFmtId="0" fontId="45" fillId="35" borderId="54" xfId="0" applyFont="1" applyFill="1" applyBorder="1" applyAlignment="1">
      <alignment horizontal="center" vertical="center"/>
    </xf>
    <xf numFmtId="0" fontId="28" fillId="0" borderId="0" xfId="0" applyFont="1" applyFill="1"/>
    <xf numFmtId="0" fontId="33" fillId="0" borderId="0" xfId="0" applyFont="1" applyFill="1" applyBorder="1" applyAlignment="1">
      <alignment horizontal="center" vertical="center"/>
    </xf>
    <xf numFmtId="0" fontId="15" fillId="36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0" fillId="37" borderId="0" xfId="0" applyFill="1"/>
    <xf numFmtId="0" fontId="28" fillId="0" borderId="0" xfId="0" applyFont="1" applyFill="1" applyAlignment="1">
      <alignment horizontal="center"/>
    </xf>
    <xf numFmtId="0" fontId="15" fillId="36" borderId="22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11" fillId="0" borderId="0" xfId="2" applyFill="1" applyAlignment="1">
      <alignment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165" fontId="0" fillId="0" borderId="0" xfId="1" applyNumberFormat="1" applyFont="1" applyFill="1" applyAlignment="1">
      <alignment horizontal="center" vertical="center"/>
    </xf>
    <xf numFmtId="9" fontId="0" fillId="0" borderId="0" xfId="1" applyNumberFormat="1" applyFont="1" applyFill="1" applyBorder="1"/>
    <xf numFmtId="0" fontId="19" fillId="0" borderId="0" xfId="0" applyFont="1" applyFill="1"/>
    <xf numFmtId="0" fontId="0" fillId="0" borderId="0" xfId="0" applyFill="1" applyAlignment="1">
      <alignment horizontal="center" vertical="center"/>
    </xf>
    <xf numFmtId="0" fontId="17" fillId="0" borderId="0" xfId="0" applyFont="1" applyFill="1"/>
    <xf numFmtId="0" fontId="10" fillId="0" borderId="0" xfId="0" applyFont="1" applyFill="1"/>
    <xf numFmtId="0" fontId="15" fillId="0" borderId="0" xfId="0" applyFont="1" applyFill="1"/>
    <xf numFmtId="0" fontId="13" fillId="0" borderId="0" xfId="0" applyFont="1" applyFill="1"/>
    <xf numFmtId="0" fontId="12" fillId="0" borderId="0" xfId="0" applyFont="1" applyFill="1"/>
    <xf numFmtId="0" fontId="34" fillId="0" borderId="36" xfId="0" applyFont="1" applyFill="1" applyBorder="1"/>
    <xf numFmtId="0" fontId="2" fillId="0" borderId="0" xfId="0" applyFont="1" applyFill="1" applyAlignment="1">
      <alignment vertical="center"/>
    </xf>
    <xf numFmtId="0" fontId="42" fillId="0" borderId="0" xfId="0" applyFont="1" applyFill="1" applyAlignment="1"/>
    <xf numFmtId="0" fontId="36" fillId="23" borderId="18" xfId="0" applyFont="1" applyFill="1" applyBorder="1" applyAlignment="1">
      <alignment horizontal="center" vertical="center"/>
    </xf>
    <xf numFmtId="0" fontId="36" fillId="23" borderId="19" xfId="0" applyFont="1" applyFill="1" applyBorder="1" applyAlignment="1">
      <alignment horizontal="center" vertical="center"/>
    </xf>
    <xf numFmtId="0" fontId="36" fillId="23" borderId="20" xfId="0" applyFont="1" applyFill="1" applyBorder="1" applyAlignment="1">
      <alignment horizontal="center" vertical="center"/>
    </xf>
    <xf numFmtId="0" fontId="36" fillId="23" borderId="21" xfId="0" applyFont="1" applyFill="1" applyBorder="1" applyAlignment="1">
      <alignment horizontal="center" vertical="center"/>
    </xf>
    <xf numFmtId="0" fontId="0" fillId="25" borderId="14" xfId="0" applyFill="1" applyBorder="1" applyAlignment="1">
      <alignment horizontal="center"/>
    </xf>
    <xf numFmtId="0" fontId="0" fillId="25" borderId="15" xfId="0" applyFill="1" applyBorder="1" applyAlignment="1">
      <alignment horizontal="center"/>
    </xf>
    <xf numFmtId="0" fontId="0" fillId="25" borderId="16" xfId="0" applyFill="1" applyBorder="1" applyAlignment="1">
      <alignment horizontal="center"/>
    </xf>
    <xf numFmtId="0" fontId="0" fillId="27" borderId="6" xfId="0" applyFill="1" applyBorder="1" applyAlignment="1">
      <alignment horizontal="center"/>
    </xf>
    <xf numFmtId="0" fontId="0" fillId="27" borderId="17" xfId="0" applyFill="1" applyBorder="1" applyAlignment="1">
      <alignment horizontal="center"/>
    </xf>
    <xf numFmtId="0" fontId="0" fillId="27" borderId="7" xfId="0" applyFill="1" applyBorder="1" applyAlignment="1">
      <alignment horizontal="center"/>
    </xf>
    <xf numFmtId="0" fontId="32" fillId="3" borderId="24" xfId="3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3" fillId="0" borderId="0" xfId="0" applyFont="1" applyAlignment="1">
      <alignment horizontal="center"/>
    </xf>
  </cellXfs>
  <cellStyles count="7">
    <cellStyle name="20% - Accent4" xfId="5" builtinId="42"/>
    <cellStyle name="40% - Accent4" xfId="6" builtinId="43"/>
    <cellStyle name="Accent4" xfId="4" builtinId="41"/>
    <cellStyle name="Hyperlink" xfId="2" builtinId="8"/>
    <cellStyle name="Normal" xfId="0" builtinId="0"/>
    <cellStyle name="Note" xfId="3" builtinId="10"/>
    <cellStyle name="Percent" xfId="1" builtinId="5"/>
  </cellStyles>
  <dxfs count="3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 tint="-0.34998626667073579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rgb="FF000000"/>
          <bgColor rgb="FFFFFFFF"/>
        </patternFill>
      </fill>
    </dxf>
    <dxf>
      <border>
        <bottom style="medium">
          <color rgb="FFAEAAAA"/>
        </bottom>
      </border>
    </dxf>
    <dxf>
      <font>
        <b/>
      </font>
      <alignment horizontal="left" vertical="bottom" textRotation="0" wrapText="0" indent="0" justifyLastLine="0" shrinkToFit="0" readingOrder="0"/>
    </dxf>
    <dxf>
      <numFmt numFmtId="170" formatCode="0.0"/>
    </dxf>
    <dxf>
      <font>
        <b val="0"/>
      </font>
      <numFmt numFmtId="170" formatCode="0.0"/>
    </dxf>
    <dxf>
      <numFmt numFmtId="170" formatCode="0.0"/>
      <border diagonalUp="0" diagonalDown="0" outline="0">
        <left style="medium">
          <color theme="8" tint="-0.24994659260841701"/>
        </left>
        <right/>
        <top/>
        <bottom/>
      </border>
    </dxf>
    <dxf>
      <font>
        <b val="0"/>
      </font>
      <numFmt numFmtId="170" formatCode="0.0"/>
    </dxf>
    <dxf>
      <numFmt numFmtId="170" formatCode="0.0"/>
    </dxf>
    <dxf>
      <font>
        <b val="0"/>
      </font>
      <numFmt numFmtId="170" formatCode="0.0"/>
    </dxf>
    <dxf>
      <numFmt numFmtId="170" formatCode="0.0"/>
    </dxf>
    <dxf>
      <font>
        <b val="0"/>
      </font>
      <numFmt numFmtId="170" formatCode="0.0"/>
    </dxf>
    <dxf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"/>
    </dxf>
    <dxf>
      <numFmt numFmtId="170" formatCode="0.0"/>
    </dxf>
    <dxf>
      <font>
        <b val="0"/>
      </font>
      <numFmt numFmtId="170" formatCode="0.0"/>
    </dxf>
    <dxf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"/>
    </dxf>
    <dxf>
      <numFmt numFmtId="170" formatCode="0.0"/>
    </dxf>
    <dxf>
      <font>
        <b val="0"/>
      </font>
      <numFmt numFmtId="170" formatCode="0.0"/>
    </dxf>
    <dxf>
      <numFmt numFmtId="170" formatCode="0.0"/>
    </dxf>
    <dxf>
      <font>
        <b val="0"/>
      </font>
      <numFmt numFmtId="170" formatCode="0.0"/>
    </dxf>
    <dxf>
      <numFmt numFmtId="170" formatCode="0.0"/>
    </dxf>
    <dxf>
      <font>
        <b val="0"/>
      </font>
      <numFmt numFmtId="170" formatCode="0.0"/>
    </dxf>
    <dxf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"/>
    </dxf>
    <dxf>
      <numFmt numFmtId="170" formatCode="0.0"/>
    </dxf>
    <dxf>
      <font>
        <b val="0"/>
      </font>
      <numFmt numFmtId="170" formatCode="0.0"/>
    </dxf>
    <dxf>
      <numFmt numFmtId="170" formatCode="0.0"/>
    </dxf>
    <dxf>
      <font>
        <b val="0"/>
      </font>
      <numFmt numFmtId="170" formatCode="0.0"/>
    </dxf>
    <dxf>
      <numFmt numFmtId="170" formatCode="0.0"/>
    </dxf>
    <dxf>
      <font>
        <b val="0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numFmt numFmtId="169" formatCode="yyyy\-mm\-dd;@"/>
    </dxf>
    <dxf>
      <numFmt numFmtId="169" formatCode="yyyy\-mm\-dd;@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font>
        <b/>
        <color theme="8" tint="-0.249977111117893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border diagonalUp="0" diagonalDown="0" outline="0">
        <left style="thin">
          <color rgb="FFA5A5A5"/>
        </left>
        <right/>
        <top style="thin">
          <color rgb="FFA5A5A5"/>
        </top>
        <bottom style="thin">
          <color rgb="FFA5A5A5"/>
        </bottom>
      </border>
    </dxf>
    <dxf>
      <border diagonalUp="0" diagonalDown="0" outline="0">
        <left/>
        <right/>
        <top style="double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wrapText="1"/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font>
        <b/>
        <color theme="8" tint="-0.249977111117893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border diagonalUp="0" diagonalDown="0" outline="0">
        <left style="thin">
          <color rgb="FFA5A5A5"/>
        </left>
        <right/>
        <top style="thin">
          <color rgb="FFA5A5A5"/>
        </top>
        <bottom style="thin">
          <color rgb="FFA5A5A5"/>
        </bottom>
      </border>
    </dxf>
    <dxf>
      <border diagonalUp="0" diagonalDown="0" outline="0">
        <left/>
        <right/>
        <top style="double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wrapText="1"/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font>
        <b/>
        <color theme="8" tint="-0.249977111117893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border diagonalUp="0" diagonalDown="0" outline="0">
        <left style="thin">
          <color rgb="FFA5A5A5"/>
        </left>
        <right/>
        <top style="thin">
          <color rgb="FFA5A5A5"/>
        </top>
        <bottom style="thin">
          <color rgb="FFA5A5A5"/>
        </bottom>
      </border>
    </dxf>
    <dxf>
      <border diagonalUp="0" diagonalDown="0" outline="0">
        <left/>
        <right/>
        <top style="double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wrapText="1"/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font>
        <b/>
        <color theme="8" tint="-0.249977111117893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border diagonalUp="0" diagonalDown="0" outline="0">
        <left style="thin">
          <color rgb="FFA5A5A5"/>
        </left>
        <right/>
        <top style="thin">
          <color rgb="FFA5A5A5"/>
        </top>
        <bottom style="thin">
          <color rgb="FFA5A5A5"/>
        </bottom>
      </border>
    </dxf>
    <dxf>
      <border diagonalUp="0" diagonalDown="0" outline="0">
        <left/>
        <right/>
        <top style="double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wrapText="1"/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font>
        <b/>
        <color theme="8" tint="-0.249977111117893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border diagonalUp="0" diagonalDown="0" outline="0">
        <left style="thin">
          <color rgb="FFA5A5A5"/>
        </left>
        <right/>
        <top style="thin">
          <color rgb="FFA5A5A5"/>
        </top>
        <bottom style="thin">
          <color rgb="FFA5A5A5"/>
        </bottom>
      </border>
    </dxf>
    <dxf>
      <border diagonalUp="0" diagonalDown="0" outline="0">
        <left/>
        <right/>
        <top style="double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wrapText="1"/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font>
        <b/>
        <color theme="8" tint="-0.249977111117893"/>
      </font>
      <numFmt numFmtId="1" formatCode="0"/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" formatCode="0"/>
      <fill>
        <patternFill patternType="solid">
          <fgColor indexed="64"/>
          <bgColor theme="8" tint="0.79998168889431442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3" formatCode="0%"/>
      <border diagonalUp="0" diagonalDown="0" outline="0">
        <left style="thin">
          <color rgb="FFA5A5A5"/>
        </left>
        <right/>
        <top style="thin">
          <color rgb="FFA5A5A5"/>
        </top>
        <bottom style="thin">
          <color rgb="FFA5A5A5"/>
        </bottom>
      </border>
    </dxf>
    <dxf>
      <border diagonalUp="0" diagonalDown="0" outline="0">
        <left/>
        <right/>
        <top style="double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wrapText="1"/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border>
        <bottom style="medium">
          <color theme="2" tint="-0.24994659260841701"/>
        </bottom>
      </border>
    </dxf>
    <dxf>
      <font>
        <b/>
      </font>
      <alignment horizontal="left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textRotation="0" wrapText="0" indent="0" justifyLastLine="0" shrinkToFit="0" readingOrder="0"/>
    </dxf>
    <dxf>
      <font>
        <b val="0"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border>
        <bottom style="medium">
          <color theme="2" tint="-0.24994659260841701"/>
        </bottom>
      </border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textRotation="0" wrapText="0" indent="0" justifyLastLine="0" shrinkToFit="0" readingOrder="0"/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5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</dxf>
    <dxf>
      <font>
        <b/>
        <i val="0"/>
        <color rgb="FFC00000"/>
      </font>
      <fill>
        <patternFill>
          <bgColor theme="5" tint="0.7999816888943144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ont>
        <b/>
        <i val="0"/>
        <color theme="7" tint="-0.499984740745262"/>
      </font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  <color theme="6" tint="-0.499984740745262"/>
      </font>
      <fill>
        <patternFill>
          <bgColor theme="6" tint="0.79998168889431442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color theme="9" tint="-0.499984740745262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color theme="7" tint="-0.499984740745262"/>
      </font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  <color theme="5" tint="-0.499984740745262"/>
      </font>
      <fill>
        <patternFill>
          <bgColor theme="5" tint="0.5999633777886288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rgb="FFC00000"/>
      </font>
      <fill>
        <patternFill>
          <bgColor rgb="FFFFA7A7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4" tint="0.39994506668294322"/>
      </font>
      <fill>
        <patternFill>
          <bgColor theme="8" tint="0.79998168889431442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/>
        <i val="0"/>
        <color theme="4"/>
      </font>
      <fill>
        <patternFill>
          <bgColor theme="8" tint="0.59996337778862885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color theme="4" tint="-0.24994659260841701"/>
      </font>
      <fill>
        <patternFill>
          <bgColor theme="8" tint="0.39994506668294322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5C5"/>
      <color rgb="FF7FF9D9"/>
      <color rgb="FFFFA7A7"/>
      <color rgb="FFF6C1A0"/>
      <color rgb="FF85DFFF"/>
      <color rgb="FF80F8D9"/>
      <color rgb="FF81F7EC"/>
      <color rgb="FFA7FBE5"/>
      <color rgb="FF79FFC9"/>
      <color rgb="FF0000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47627</xdr:colOff>
      <xdr:row>4</xdr:row>
      <xdr:rowOff>38101</xdr:rowOff>
    </xdr:from>
    <xdr:to>
      <xdr:col>8</xdr:col>
      <xdr:colOff>800100</xdr:colOff>
      <xdr:row>8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BD1391-5D21-43E5-8277-D3C0089006CB}"/>
            </a:ext>
          </a:extLst>
        </xdr:cNvPr>
        <xdr:cNvSpPr txBox="1"/>
      </xdr:nvSpPr>
      <xdr:spPr>
        <a:xfrm>
          <a:off x="266702" y="876301"/>
          <a:ext cx="8143873" cy="8667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Velocity -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representing team's historical velocity in points per sprint</a:t>
          </a:r>
          <a:r>
            <a:rPr lang="en-US" b="0"/>
            <a:t> </a:t>
          </a:r>
          <a:br>
            <a:rPr lang="en-US"/>
          </a:b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Capacity -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per future sprint representing team's historical velocity adjusted for availability changes</a:t>
          </a:r>
          <a:r>
            <a:rPr lang="en-US" b="0"/>
            <a:t> </a:t>
          </a:r>
          <a:br>
            <a:rPr lang="en-US"/>
          </a:b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Load -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of the story points allocated to a sprint</a:t>
          </a:r>
          <a:r>
            <a:rPr lang="en-US" b="0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All three are described using story points (SP) not hours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efe, Matt" id="{8E7FA3C2-E787-4473-A34F-7D2578080DF9}" userId="S::Matt.Keefe@cdk.com::be65b8d6-388f-434d-b09b-a2b74911925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90C646-EA87-4013-A0B1-18E079DA3B85}" name="Table5" displayName="Table5" ref="B5:R35" totalsRowCount="1" headerRowDxfId="381" dataDxfId="380">
  <autoFilter ref="B5:R34" xr:uid="{3590C646-EA87-4013-A0B1-18E079DA3B85}"/>
  <sortState xmlns:xlrd2="http://schemas.microsoft.com/office/spreadsheetml/2017/richdata2" ref="B6:R34">
    <sortCondition ref="J5:J34"/>
  </sortState>
  <tableColumns count="17">
    <tableColumn id="1" xr3:uid="{D28E4BA8-6D7B-49E8-8FD4-58936CBE2AC7}" name="↕" dataDxfId="379"/>
    <tableColumn id="2" xr3:uid="{ADCE5FE4-BE47-4C48-B403-1AA13492FFB5}" name="Business Objectives/Features" dataDxfId="378"/>
    <tableColumn id="3" xr3:uid="{CEDAE60C-D843-4FFF-81B9-9A55FFF52F6C}" name="Priority" dataDxfId="377" totalsRowDxfId="376"/>
    <tableColumn id="13" xr3:uid="{1A5C2147-7056-4534-9409-547C4A579182}" name="Impact/Value" dataDxfId="375" totalsRowDxfId="374"/>
    <tableColumn id="12" xr3:uid="{E8119779-55D4-454A-9CFA-CA54BEF61FF3}" name="Size (Effort)" dataDxfId="373" totalsRowDxfId="372"/>
    <tableColumn id="11" xr3:uid="{B7CFF7EB-3EBC-40D9-B5F6-BF56FB935B59}" name="Est Pts" dataDxfId="371"/>
    <tableColumn id="17" xr3:uid="{95A4B7E3-CDC1-49AD-88C3-038E1AE52BAD}" name="Real Pts"/>
    <tableColumn id="14" xr3:uid="{D92A03CC-3D48-472F-9813-C875A799807A}" name="% of PI" dataDxfId="370" totalsRowDxfId="369" dataCellStyle="Percent">
      <calculatedColumnFormula>Table5[[#This Row],[Est Pts]]/$H$2</calculatedColumnFormula>
    </tableColumn>
    <tableColumn id="15" xr3:uid="{7CD9D53C-5222-4F0A-B0A0-91CEDB04AF1C}" name="PI" dataDxfId="368" totalsRowDxfId="367" dataCellStyle="Percent"/>
    <tableColumn id="4" xr3:uid="{FE686C0E-881C-4821-89EE-8E045B7F81EF}" name="Feature(s)" dataDxfId="366"/>
    <tableColumn id="8" xr3:uid="{47E21F64-03F3-4307-8635-D12109489D53}" name="Planned?" dataDxfId="365">
      <calculatedColumnFormula>IFERROR(VLOOKUP(Table5[[#This Row],[Feature(s)]],Table1[[Feature Key]:[Committed?]],3,FALSE),"")</calculatedColumnFormula>
    </tableColumn>
    <tableColumn id="10" xr3:uid="{225846CD-664F-4FB5-A5F9-A764BF4F0CBE}" name="Feature Link" dataDxfId="364" totalsRowDxfId="363">
      <calculatedColumnFormula>IF(LEFT(Table5[[#This Row],[Feature(s)]],6)="ITAPPS",HYPERLINK("https://projects.cdk.com/browse/"&amp;Table5[[#This Row],[Feature(s)]],"Feature"),"")</calculatedColumnFormula>
    </tableColumn>
    <tableColumn id="16" xr3:uid="{064F051B-178C-4C8B-8647-D69323BBDB8B}" name="Feature Stories" dataDxfId="362" totalsRowDxfId="361" dataCellStyle="Hyperlink">
      <calculatedColumnFormula>IF(LEFT(Table5[[#This Row],[Feature(s)]],6)="ITAPPS",HYPERLINK("https://projects.cdk.com/issues/?jql=issueFunction%20in%20issuesInEpics(%22key%20%3D%20"&amp;Table5[[#This Row],[Feature(s)]]&amp;"%22)","Stories"),"")</calculatedColumnFormula>
    </tableColumn>
    <tableColumn id="9" xr3:uid="{A9D94CA5-6B2E-407F-B5C5-BB8D9B649148}" name="Parent/Main" dataDxfId="360"/>
    <tableColumn id="5" xr3:uid="{046C6BBD-C870-4040-952B-867098536814}" name="Dependency 1" dataDxfId="359"/>
    <tableColumn id="6" xr3:uid="{03F02E73-E0DE-4C3F-842C-36103A96B6A2}" name="Dependency 2" dataDxfId="358"/>
    <tableColumn id="7" xr3:uid="{3445EC02-32C7-4ACF-B75C-790119CD4672}" name="Dependency 3" dataDxfId="357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0027C3-750D-48C4-9353-67DEDA323FD9}" name="Totals481012148" displayName="Totals481012148" ref="B18:E25" totalsRowShown="0" headerRowDxfId="246" tableBorderDxfId="245">
  <tableColumns count="4">
    <tableColumn id="1" xr3:uid="{26D73E48-A1CF-4048-9C33-E0546B45E9CF}" name="Totals"/>
    <tableColumn id="2" xr3:uid="{11A46727-5A27-4DF4-8DC1-3CCA7923853B}" name=" "/>
    <tableColumn id="3" xr3:uid="{4F657A78-7445-4B83-946F-6B2E0C175906}" name="  "/>
    <tableColumn id="4" xr3:uid="{7B5B56E7-12C0-4530-8B5B-90559BBDC8CE}" name="Capacity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B6707A-14C8-4849-A029-DE5FF1352321}" name="TeamCapacity3" displayName="TeamCapacity3" ref="B6:X15" totalsRowCount="1" headerRowDxfId="240">
  <autoFilter ref="B6:X14" xr:uid="{6C15913E-59A5-4439-AC8F-6F7D4DE78B3C}"/>
  <tableColumns count="23">
    <tableColumn id="1" xr3:uid="{17631DD9-3697-488A-BA3A-21B48F05C69B}" name="Name" dataDxfId="239"/>
    <tableColumn id="2" xr3:uid="{D46D738A-4A30-4C51-BDB3-297A1CC7ABD3}" name="Title" totalsRowDxfId="238"/>
    <tableColumn id="3" xr3:uid="{53C9E249-5740-4FFC-AD5E-44C01F5A4BD6}" name="Estimated % of Time Dedicated to this Team" dataDxfId="237" totalsRowDxfId="236"/>
    <tableColumn id="9" xr3:uid="{1A64BB01-8529-4F67-AC07-6356F63291C5}" name="Estimated Dedicated Hours_x000a_(Calculated)" totalsRowFunction="custom" dataDxfId="235" totalsRowDxfId="234">
      <calculatedColumnFormula>TeamCapacity3[[#This Row],[Estimated % of Time Dedicated to this Team]]*80</calculatedColumnFormula>
      <totalsRowFormula>SUM(TeamCapacity3[Estimated Dedicated Hours
(Calculated)])</totalsRowFormula>
    </tableColumn>
    <tableColumn id="18" xr3:uid="{F2F93C99-6091-474B-8CBC-6E6A0D682B85}" name="M 01" totalsRowFunction="sum" dataDxfId="233" totalsRowDxfId="232"/>
    <tableColumn id="19" xr3:uid="{A1A4AF3E-2157-469E-A423-B3D91C79239C}" name="Tu 02" totalsRowFunction="sum" dataDxfId="231" totalsRowDxfId="230"/>
    <tableColumn id="20" xr3:uid="{83AF427A-5CA4-4938-9196-45222079865A}" name="W 03" totalsRowFunction="sum" dataDxfId="229" totalsRowDxfId="228"/>
    <tableColumn id="21" xr3:uid="{B7DBCDC2-93FB-48E0-8C71-C81CFF40CC88}" name="Th 04" totalsRowFunction="sum" dataDxfId="227" totalsRowDxfId="226"/>
    <tableColumn id="22" xr3:uid="{DF584DC4-2801-415E-AB9D-41169B38901B}" name="F 05" totalsRowFunction="sum" dataDxfId="225" totalsRowDxfId="224"/>
    <tableColumn id="23" xr3:uid="{86F24591-FE29-4F77-B9A4-68738027AAF5}" name="M 06" totalsRowFunction="sum" dataDxfId="223" totalsRowDxfId="222"/>
    <tableColumn id="17" xr3:uid="{06B6B5D5-9DD8-42B7-8A81-ED5851ABACE3}" name="Tu 07" totalsRowFunction="sum" dataDxfId="221" totalsRowDxfId="220"/>
    <tableColumn id="16" xr3:uid="{EC064AED-48A5-4E67-8D59-977B95A04F51}" name="W 08" totalsRowFunction="sum" dataDxfId="219" totalsRowDxfId="218"/>
    <tableColumn id="15" xr3:uid="{35B0227E-78D1-4879-9D3E-D9A24490DEE9}" name="Th 09" totalsRowFunction="sum" dataDxfId="217" totalsRowDxfId="216"/>
    <tableColumn id="10" xr3:uid="{0C496001-CA9E-413D-B08C-AB4A444EA305}" name="F 10" totalsRowFunction="sum" dataDxfId="215" totalsRowDxfId="214"/>
    <tableColumn id="24" xr3:uid="{C300F508-0E31-4998-9DBD-A9F926F7F8C1}" name="Hours Available (Calculated by Day Availability)" totalsRowFunction="custom" dataDxfId="213" totalsRowDxfId="212">
      <calculatedColumnFormula>SUM(F7:O7)</calculatedColumnFormula>
      <totalsRowFormula>SUM(TeamCapacity3[Hours Available (Calculated by Day Availability)])</totalsRowFormula>
    </tableColumn>
    <tableColumn id="25" xr3:uid="{85EFB306-73E3-465C-99AD-8CC736C5B866}" name="Time Off (Override)" totalsRowFunction="custom" dataDxfId="211" totalsRowDxfId="210">
      <totalsRowFormula>SUM(TeamCapacity3[Time Off (Override)])</totalsRowFormula>
    </tableColumn>
    <tableColumn id="5" xr3:uid="{1FBD52F1-B556-4CAD-BD2B-7EB720A95B7D}" name="Max Possible Capacity (Calculated)" totalsRowFunction="custom" dataDxfId="209">
      <calculatedColumnFormula>(IF(NOT(ISBLANK(TeamCapacity3[[#This Row],[Time Off (Override)]])),TeamCapacity3[[#This Row],[Estimated Dedicated Hours
(Calculated)]]-TeamCapacity3[[#This Row],[Time Off (Override)]],TeamCapacity3[[#This Row],[Hours Available (Calculated by Day Availability)]]))</calculatedColumnFormula>
      <totalsRowFormula>SUM(TeamCapacity3[Max Possible Capacity (Calculated)])</totalsRowFormula>
    </tableColumn>
    <tableColumn id="11" xr3:uid="{7C98DF61-9165-4779-9EA2-783C2D838FDD}" name="% Time for Training, QA, and Support" totalsRowFunction="custom" dataDxfId="208" totalsRowDxfId="207">
      <totalsRowFormula>AVERAGE(TeamCapacity3[% Time for Training, QA, and Support])</totalsRowFormula>
    </tableColumn>
    <tableColumn id="13" xr3:uid="{42A27FC0-D10C-4B90-AC63-EC4F27DEE3B3}" name="Estimated Hours Dedicated to Team Meetings" totalsRowFunction="custom" totalsRowDxfId="206" dataCellStyle="Percent">
      <totalsRowFormula>AVERAGE(TeamCapacity3[Estimated Hours Dedicated to Team Meetings])</totalsRowFormula>
    </tableColumn>
    <tableColumn id="7" xr3:uid="{A9747869-2A86-46B6-A08D-0C5A3421EE26}" name="Available Hours (Calculated)" totalsRowFunction="custom" dataDxfId="205">
      <calculatedColumnFormula>MAX(0,(TeamCapacity3[[#This Row],[Max Possible Capacity (Calculated)]]-(TeamCapacity3[[#This Row],[Max Possible Capacity (Calculated)]]*TeamCapacity3[[#This Row],[% Time for Training, QA, and Support]])-(TeamCapacity3[[#This Row],[Max Possible Capacity (Calculated)]]*TeamCapacity3[[#This Row],[Estimated Hours Dedicated to Team Meetings]])))</calculatedColumnFormula>
      <totalsRowFormula>SUM(TeamCapacity3[Available Hours (Calculated)])</totalsRowFormula>
    </tableColumn>
    <tableColumn id="12" xr3:uid="{B44F3D8A-D1AC-40AF-B52A-EB71F63F432B}" name="Estimation = hours/8 (Calculated)" totalsRowFunction="custom" dataDxfId="204" totalsRowDxfId="203">
      <calculatedColumnFormula>TeamCapacity3[[#This Row],[Available Hours (Calculated)]]/8</calculatedColumnFormula>
      <totalsRowFormula>SUM(TeamCapacity3[Estimation = hours/8 (Calculated)])</totalsRowFormula>
    </tableColumn>
    <tableColumn id="8" xr3:uid="{46223171-FAF1-4E82-8138-53FAE14A7DBA}" name="Planned Story Points" totalsRowFunction="custom" totalsRowDxfId="202">
      <totalsRowFormula>SUM(TeamCapacity3[Planned Story Points])</totalsRowFormula>
    </tableColumn>
    <tableColumn id="14" xr3:uid="{21D90F47-C3FB-4D43-8097-802EDB3D7748}" name="Notes and Comments"/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977B65-D308-4909-AA74-5E3053FD6188}" name="Totals48101214814" displayName="Totals48101214814" ref="B18:E25" totalsRowShown="0" headerRowDxfId="201" tableBorderDxfId="200">
  <tableColumns count="4">
    <tableColumn id="1" xr3:uid="{2ED6B5B1-EE0F-46E7-8352-4F86368F9F74}" name="Totals"/>
    <tableColumn id="2" xr3:uid="{7E0C981C-5888-4F11-9C2D-A791480D9C41}" name=" "/>
    <tableColumn id="3" xr3:uid="{1B903B62-116F-47A4-81DA-DB21FB5DCF42}" name="  "/>
    <tableColumn id="4" xr3:uid="{E61D371C-5C80-4C0B-ABF4-F9EBC8F9CE68}" name="Capacity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D59E114-26FE-453A-9C35-B35AF25AD45F}" name="TeamCapacity4" displayName="TeamCapacity4" ref="B6:X15" totalsRowCount="1" headerRowDxfId="195">
  <autoFilter ref="B6:X14" xr:uid="{6C15913E-59A5-4439-AC8F-6F7D4DE78B3C}"/>
  <tableColumns count="23">
    <tableColumn id="1" xr3:uid="{91500A16-0B4E-4C58-95F0-8A2D49A49DC2}" name="Name" dataDxfId="194"/>
    <tableColumn id="2" xr3:uid="{BCB5B605-BF79-4F9A-A674-39086F3EE7C9}" name="Title" totalsRowDxfId="193"/>
    <tableColumn id="3" xr3:uid="{CED0745D-2FE5-4644-AD92-5DBEF8EA0FB1}" name="Estimated % of Time Dedicated to this Team" dataDxfId="192" totalsRowDxfId="191"/>
    <tableColumn id="9" xr3:uid="{DA541C3C-8990-4BC7-B2F2-B845BD1687CB}" name="Estimated Dedicated Hours_x000a_(Calculated)" totalsRowFunction="custom" dataDxfId="190" totalsRowDxfId="189">
      <calculatedColumnFormula>TeamCapacity4[[#This Row],[Estimated % of Time Dedicated to this Team]]*80</calculatedColumnFormula>
      <totalsRowFormula>SUM(TeamCapacity4[Estimated Dedicated Hours
(Calculated)])</totalsRowFormula>
    </tableColumn>
    <tableColumn id="18" xr3:uid="{DB499F41-56F4-4F7E-BA77-F8425A48DD1C}" name="M 01" totalsRowFunction="sum" dataDxfId="188" totalsRowDxfId="187"/>
    <tableColumn id="19" xr3:uid="{06DB5CF3-908F-4013-B8FD-F5B074EA9336}" name="Tu 02" totalsRowFunction="sum" dataDxfId="186" totalsRowDxfId="185"/>
    <tableColumn id="20" xr3:uid="{76CFC56B-1500-41B8-9205-C82AE38522B1}" name="W 03" totalsRowFunction="sum" dataDxfId="184" totalsRowDxfId="183"/>
    <tableColumn id="21" xr3:uid="{D7A8972F-FB59-4FF5-8248-C5947BEBB9C5}" name="Th 04" totalsRowFunction="sum" dataDxfId="182" totalsRowDxfId="181"/>
    <tableColumn id="22" xr3:uid="{E030C502-6747-4EF3-B6F2-DE14A3A16FF0}" name="F 05" totalsRowFunction="sum" dataDxfId="180" totalsRowDxfId="179"/>
    <tableColumn id="23" xr3:uid="{C9668FFA-31AB-4867-9704-CD8AFCEE8852}" name="M 06" totalsRowFunction="sum" dataDxfId="178" totalsRowDxfId="177"/>
    <tableColumn id="17" xr3:uid="{EAB179CC-514E-4C87-92D6-8A4419114917}" name="Tu 07" totalsRowFunction="sum" dataDxfId="176" totalsRowDxfId="175"/>
    <tableColumn id="16" xr3:uid="{293BAF50-8B6A-4461-A151-96C8F773E5D3}" name="W 08" totalsRowFunction="sum" dataDxfId="174" totalsRowDxfId="173"/>
    <tableColumn id="15" xr3:uid="{9229380A-23F0-4E91-9466-3D2EA821CE6A}" name="Th 09" totalsRowFunction="sum" dataDxfId="172" totalsRowDxfId="171"/>
    <tableColumn id="10" xr3:uid="{FF43E405-AC31-448A-9730-EAE3836893D4}" name="F 10" totalsRowFunction="sum" dataDxfId="170" totalsRowDxfId="169"/>
    <tableColumn id="24" xr3:uid="{AD1A135D-8374-4153-B589-98DA91C30AE2}" name="Hours Available (Calculated by Day Availability)" totalsRowFunction="custom" dataDxfId="168" totalsRowDxfId="167">
      <calculatedColumnFormula>SUM(F7:O7)</calculatedColumnFormula>
      <totalsRowFormula>SUM(TeamCapacity4[Hours Available (Calculated by Day Availability)])</totalsRowFormula>
    </tableColumn>
    <tableColumn id="25" xr3:uid="{51383327-F2A7-4C45-A7D1-32F7741F0ECA}" name="Time Off (Override)" totalsRowFunction="custom" dataDxfId="166" totalsRowDxfId="165">
      <totalsRowFormula>SUM(TeamCapacity4[Time Off (Override)])</totalsRowFormula>
    </tableColumn>
    <tableColumn id="5" xr3:uid="{57C949B1-81BC-476A-BAB4-BE5697D080A2}" name="Max Possible Capacity (Calculated)" totalsRowFunction="custom" dataDxfId="164">
      <calculatedColumnFormula>(IF(NOT(ISBLANK(TeamCapacity4[[#This Row],[Time Off (Override)]])),TeamCapacity4[[#This Row],[Estimated Dedicated Hours
(Calculated)]]-TeamCapacity4[[#This Row],[Time Off (Override)]],TeamCapacity4[[#This Row],[Hours Available (Calculated by Day Availability)]]))</calculatedColumnFormula>
      <totalsRowFormula>SUM(TeamCapacity4[Max Possible Capacity (Calculated)])</totalsRowFormula>
    </tableColumn>
    <tableColumn id="11" xr3:uid="{E1FA7D56-865C-43A2-B04A-5B844C004568}" name="% Time for Training, QA, and Support" totalsRowFunction="custom" dataDxfId="163" totalsRowDxfId="162">
      <totalsRowFormula>AVERAGE(TeamCapacity4[% Time for Training, QA, and Support])</totalsRowFormula>
    </tableColumn>
    <tableColumn id="13" xr3:uid="{14FF608B-2363-4EE6-970B-523C4113F4E2}" name="Estimated Hours Dedicated to Team Meetings" totalsRowFunction="custom" totalsRowDxfId="161" dataCellStyle="Percent">
      <totalsRowFormula>AVERAGE(TeamCapacity4[Estimated Hours Dedicated to Team Meetings])</totalsRowFormula>
    </tableColumn>
    <tableColumn id="7" xr3:uid="{92B02F18-D9C8-43BF-9BD0-AD48E8266F6C}" name="Available Hours (Calculated)" totalsRowFunction="custom" dataDxfId="160">
      <calculatedColumnFormula>MAX(0,(TeamCapacity4[[#This Row],[Max Possible Capacity (Calculated)]]-(TeamCapacity4[[#This Row],[Max Possible Capacity (Calculated)]]*TeamCapacity4[[#This Row],[% Time for Training, QA, and Support]])-(TeamCapacity4[[#This Row],[Max Possible Capacity (Calculated)]]*TeamCapacity4[[#This Row],[Estimated Hours Dedicated to Team Meetings]])))</calculatedColumnFormula>
      <totalsRowFormula>SUM(TeamCapacity4[Available Hours (Calculated)])</totalsRowFormula>
    </tableColumn>
    <tableColumn id="12" xr3:uid="{951E1350-B3EF-4535-A158-F308C9BC0F31}" name="Estimation = hours/8 (Calculated)" totalsRowFunction="custom" dataDxfId="159" totalsRowDxfId="158">
      <calculatedColumnFormula>TeamCapacity4[[#This Row],[Available Hours (Calculated)]]/8</calculatedColumnFormula>
      <totalsRowFormula>SUM(TeamCapacity4[Estimation = hours/8 (Calculated)])</totalsRowFormula>
    </tableColumn>
    <tableColumn id="8" xr3:uid="{5D75A13A-0C45-4277-951D-12A984B29756}" name="Planned Story Points" totalsRowFunction="custom" totalsRowDxfId="157">
      <totalsRowFormula>SUM(TeamCapacity4[Planned Story Points])</totalsRowFormula>
    </tableColumn>
    <tableColumn id="14" xr3:uid="{16467BB1-4599-47A7-9716-5A40E9E442D6}" name="Notes and Comments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77880A3-622D-4632-B825-8B9D5C412BAC}" name="Totals4810121481418" displayName="Totals4810121481418" ref="B18:E25" totalsRowShown="0" headerRowDxfId="156" tableBorderDxfId="155">
  <tableColumns count="4">
    <tableColumn id="1" xr3:uid="{CCB05026-D05B-4643-BE08-44FB39B69ED3}" name="Totals"/>
    <tableColumn id="2" xr3:uid="{D5C89908-47DA-41FD-B26F-E7E100B101EB}" name=" "/>
    <tableColumn id="3" xr3:uid="{FA476D6A-510A-41D2-AEE5-D60350BE2C59}" name="  "/>
    <tableColumn id="4" xr3:uid="{AC1205FE-CACB-47E9-8A7F-11074D9DC72A}" name="Capacity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A83C38C-3CE4-45D9-A23B-028452674CE2}" name="TeamCapacity5" displayName="TeamCapacity5" ref="B6:X15" totalsRowCount="1" headerRowDxfId="150">
  <autoFilter ref="B6:X14" xr:uid="{6C15913E-59A5-4439-AC8F-6F7D4DE78B3C}"/>
  <tableColumns count="23">
    <tableColumn id="1" xr3:uid="{3EB25180-1BCF-4F70-AAAB-9C78464B3F4C}" name="Name" dataDxfId="149"/>
    <tableColumn id="2" xr3:uid="{BF9B12DB-5E29-4824-A6FB-44BA1F96274E}" name="Title" totalsRowDxfId="148"/>
    <tableColumn id="3" xr3:uid="{739E97E5-7E62-41F5-BB07-37262F7D51FB}" name="Estimated % of Time Dedicated to this Team" dataDxfId="147" totalsRowDxfId="146"/>
    <tableColumn id="9" xr3:uid="{E928E5E8-FA16-4F13-9E0D-2CB7615EB2B5}" name="Estimated Dedicated Hours_x000a_(Calculated)" totalsRowFunction="custom" dataDxfId="145" totalsRowDxfId="144">
      <calculatedColumnFormula>TeamCapacity5[[#This Row],[Estimated % of Time Dedicated to this Team]]*80</calculatedColumnFormula>
      <totalsRowFormula>SUM(TeamCapacity5[Estimated Dedicated Hours
(Calculated)])</totalsRowFormula>
    </tableColumn>
    <tableColumn id="18" xr3:uid="{73EB93B4-1406-4F3B-A841-3505DEC3C94D}" name="M 01" totalsRowFunction="sum" dataDxfId="143" totalsRowDxfId="142"/>
    <tableColumn id="19" xr3:uid="{42E2ADF8-541A-43E3-A104-8AAC62F4A690}" name="Tu 02" totalsRowFunction="sum" dataDxfId="141" totalsRowDxfId="140"/>
    <tableColumn id="20" xr3:uid="{97581EDE-DDBB-4E59-9F96-1136549F7C16}" name="W 03" totalsRowFunction="sum" dataDxfId="139" totalsRowDxfId="138"/>
    <tableColumn id="21" xr3:uid="{F5C5D15C-D0C0-4347-8D8F-3B7187C5D8B5}" name="Th 04" totalsRowFunction="sum" dataDxfId="137" totalsRowDxfId="136"/>
    <tableColumn id="22" xr3:uid="{58B1BC92-3F77-467B-8F12-950BF764C648}" name="F 05" totalsRowFunction="sum" dataDxfId="135" totalsRowDxfId="134"/>
    <tableColumn id="23" xr3:uid="{F29961B1-CA32-4412-815F-1A936402FB82}" name="M 06" totalsRowFunction="sum" dataDxfId="133" totalsRowDxfId="132"/>
    <tableColumn id="17" xr3:uid="{8F8DBE7E-5DAA-4E28-98B1-1534977AE7FF}" name="Tu 07" totalsRowFunction="sum" dataDxfId="131" totalsRowDxfId="130"/>
    <tableColumn id="16" xr3:uid="{0C1FA43C-60F1-43C7-9D7E-155858F85EFD}" name="W 08" totalsRowFunction="sum" dataDxfId="129" totalsRowDxfId="128"/>
    <tableColumn id="15" xr3:uid="{20A16E95-926B-4F7E-8E9B-CB3FC03884B4}" name="Th 09" totalsRowFunction="sum" dataDxfId="127" totalsRowDxfId="126"/>
    <tableColumn id="10" xr3:uid="{4378ADD4-2ABE-492F-A3E4-813F5CF23045}" name="F 10" totalsRowFunction="sum" dataDxfId="125" totalsRowDxfId="124"/>
    <tableColumn id="24" xr3:uid="{ADEF5BEC-96EE-4470-A726-DBF3903D0F20}" name="Hours Available (Calculated by Day Availability)" totalsRowFunction="custom" dataDxfId="123" totalsRowDxfId="122">
      <calculatedColumnFormula>SUM(F7:O7)</calculatedColumnFormula>
      <totalsRowFormula>SUM(TeamCapacity5[Hours Available (Calculated by Day Availability)])</totalsRowFormula>
    </tableColumn>
    <tableColumn id="25" xr3:uid="{8C3AE4FA-4D83-41BA-8909-611D67FF665A}" name="Time Off (Override)" totalsRowFunction="custom" dataDxfId="121" totalsRowDxfId="120">
      <totalsRowFormula>SUM(TeamCapacity5[Time Off (Override)])</totalsRowFormula>
    </tableColumn>
    <tableColumn id="5" xr3:uid="{DBC43803-9886-4B46-B37C-55D56FF7BE59}" name="Max Possible Capacity (Calculated)" totalsRowFunction="custom" dataDxfId="119">
      <calculatedColumnFormula>(IF(NOT(ISBLANK(TeamCapacity5[[#This Row],[Time Off (Override)]])),TeamCapacity5[[#This Row],[Estimated Dedicated Hours
(Calculated)]]-TeamCapacity5[[#This Row],[Time Off (Override)]],TeamCapacity5[[#This Row],[Hours Available (Calculated by Day Availability)]]))</calculatedColumnFormula>
      <totalsRowFormula>SUM(TeamCapacity5[Max Possible Capacity (Calculated)])</totalsRowFormula>
    </tableColumn>
    <tableColumn id="11" xr3:uid="{5A42734D-AB43-4905-8FFB-160BF9DC078B}" name="% Time for Training, QA, and Support" totalsRowFunction="custom" dataDxfId="118" totalsRowDxfId="117">
      <totalsRowFormula>AVERAGE(TeamCapacity5[% Time for Training, QA, and Support])</totalsRowFormula>
    </tableColumn>
    <tableColumn id="13" xr3:uid="{7C2F29B7-7D74-4840-A47B-66654F839083}" name="Estimated Hours Dedicated to Team Meetings" totalsRowFunction="custom" totalsRowDxfId="116" dataCellStyle="Percent">
      <totalsRowFormula>AVERAGE(TeamCapacity5[Estimated Hours Dedicated to Team Meetings])</totalsRowFormula>
    </tableColumn>
    <tableColumn id="7" xr3:uid="{754B51E8-7E40-4F41-A2E6-F6DABAFE54CC}" name="Available Hours (Calculated)" totalsRowFunction="custom" dataDxfId="115">
      <calculatedColumnFormula>MAX(0,(TeamCapacity5[[#This Row],[Max Possible Capacity (Calculated)]]-(TeamCapacity5[[#This Row],[Max Possible Capacity (Calculated)]]*TeamCapacity5[[#This Row],[% Time for Training, QA, and Support]])-(TeamCapacity5[[#This Row],[Max Possible Capacity (Calculated)]]*TeamCapacity5[[#This Row],[Estimated Hours Dedicated to Team Meetings]])))</calculatedColumnFormula>
      <totalsRowFormula>SUM(TeamCapacity5[Available Hours (Calculated)])</totalsRowFormula>
    </tableColumn>
    <tableColumn id="12" xr3:uid="{E3B6D420-C4E1-405B-A8B7-F3A35A436082}" name="Estimation = hours/8 (Calculated)" totalsRowFunction="custom" dataDxfId="114" totalsRowDxfId="113">
      <calculatedColumnFormula>TeamCapacity5[[#This Row],[Available Hours (Calculated)]]/8</calculatedColumnFormula>
      <totalsRowFormula>SUM(TeamCapacity5[Estimation = hours/8 (Calculated)])</totalsRowFormula>
    </tableColumn>
    <tableColumn id="8" xr3:uid="{44DDF879-692F-4E34-B691-D1A52EADCD13}" name="Planned Story Points" totalsRowFunction="custom" totalsRowDxfId="112">
      <totalsRowFormula>SUM(TeamCapacity5[Planned Story Points])</totalsRowFormula>
    </tableColumn>
    <tableColumn id="14" xr3:uid="{7FD8DF9D-31EF-4C53-BDA7-9DCF0E1239F4}" name="Notes and Comments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BC48911-D947-43EC-92D0-78544F407A8F}" name="Totals481012148141820" displayName="Totals481012148141820" ref="B18:E25" totalsRowShown="0" headerRowDxfId="111" tableBorderDxfId="110">
  <tableColumns count="4">
    <tableColumn id="1" xr3:uid="{D3099F1D-155D-4222-88E9-E7EA56085877}" name="Totals"/>
    <tableColumn id="2" xr3:uid="{4196FF86-0E8B-4255-B513-28B26486AAA0}" name=" "/>
    <tableColumn id="3" xr3:uid="{5CF6BEC5-307C-44FD-B74B-327803B5282C}" name="  "/>
    <tableColumn id="4" xr3:uid="{473D0C45-568E-4DF2-8C27-1AF61FDC8ACC}" name="Capacity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26F8167-7EBA-44BF-943D-9BBFC0009EC0}" name="TeamCapacity6" displayName="TeamCapacity6" ref="B6:X15" totalsRowCount="1" headerRowDxfId="105">
  <autoFilter ref="B6:X14" xr:uid="{6C15913E-59A5-4439-AC8F-6F7D4DE78B3C}"/>
  <tableColumns count="23">
    <tableColumn id="1" xr3:uid="{5FDB3EE1-FABA-4F4A-B8EC-EBBF2D577669}" name="Name" dataDxfId="104"/>
    <tableColumn id="2" xr3:uid="{1646EB3F-6D60-4281-95A6-BDB25B670ED8}" name="Title" totalsRowDxfId="103"/>
    <tableColumn id="3" xr3:uid="{40BE1B1A-83AD-43B8-991D-B7BC03FC6EC2}" name="Estimated % of Time Dedicated to this Team" dataDxfId="102" totalsRowDxfId="101"/>
    <tableColumn id="9" xr3:uid="{751ADCBB-02EF-4A03-BB18-1EC7013D6A54}" name="Estimated Dedicated Hours_x000a_(Calculated)" totalsRowFunction="custom" dataDxfId="100" totalsRowDxfId="99">
      <calculatedColumnFormula>TeamCapacity6[[#This Row],[Estimated % of Time Dedicated to this Team]]*80</calculatedColumnFormula>
      <totalsRowFormula>SUM(TeamCapacity6[Estimated Dedicated Hours
(Calculated)])</totalsRowFormula>
    </tableColumn>
    <tableColumn id="18" xr3:uid="{E691B92F-75DB-451D-8977-C301956CFE3C}" name="M 01" totalsRowFunction="sum" dataDxfId="98" totalsRowDxfId="97"/>
    <tableColumn id="19" xr3:uid="{AFA207E2-38F4-4D57-98D9-5D669E59C095}" name="Tu 02" totalsRowFunction="sum" dataDxfId="96" totalsRowDxfId="95"/>
    <tableColumn id="20" xr3:uid="{1960DC3E-529A-49C4-BFF2-208413F11ECB}" name="W 03" totalsRowFunction="sum" dataDxfId="94" totalsRowDxfId="93"/>
    <tableColumn id="21" xr3:uid="{316571BD-638B-44F3-998F-3B94AC6DA777}" name="Th 04" totalsRowFunction="sum" dataDxfId="92" totalsRowDxfId="91"/>
    <tableColumn id="22" xr3:uid="{8714047D-252D-4A35-B3D0-C8450964870F}" name="F 05" totalsRowFunction="sum" dataDxfId="90" totalsRowDxfId="89"/>
    <tableColumn id="23" xr3:uid="{AAACC7C4-2284-494F-BFF0-08CCDDAE8645}" name="M 06" totalsRowFunction="sum" dataDxfId="88" totalsRowDxfId="87"/>
    <tableColumn id="17" xr3:uid="{A8D8E43B-1A4E-4AB9-BD39-341226E16A5B}" name="Tu 07" totalsRowFunction="sum" dataDxfId="86" totalsRowDxfId="85"/>
    <tableColumn id="16" xr3:uid="{34B34D6E-1B89-4771-AB5D-103658620D5E}" name="W 08" totalsRowFunction="sum" dataDxfId="84" totalsRowDxfId="83"/>
    <tableColumn id="15" xr3:uid="{A4EE04AC-9233-4322-BF33-C45183F58C64}" name="Th 09" totalsRowFunction="sum" dataDxfId="82" totalsRowDxfId="81"/>
    <tableColumn id="10" xr3:uid="{17A749A8-7E9F-4A79-AB44-B7793D5DCD19}" name="F 10" totalsRowFunction="sum" dataDxfId="80" totalsRowDxfId="79"/>
    <tableColumn id="24" xr3:uid="{3F9C7CD3-4DB2-415C-A804-BB167F996665}" name="Hours Available (Calculated by Day Availability)" totalsRowFunction="custom" dataDxfId="78" totalsRowDxfId="77">
      <calculatedColumnFormula>SUM(F7:O7)</calculatedColumnFormula>
      <totalsRowFormula>SUM(TeamCapacity6[Hours Available (Calculated by Day Availability)])</totalsRowFormula>
    </tableColumn>
    <tableColumn id="25" xr3:uid="{7776FDA5-6826-4323-94C5-D3E6D5AE1A89}" name="Time Off (Override)" totalsRowFunction="custom" dataDxfId="76" totalsRowDxfId="75">
      <totalsRowFormula>SUM(TeamCapacity6[Time Off (Override)])</totalsRowFormula>
    </tableColumn>
    <tableColumn id="5" xr3:uid="{6A026E5D-D692-431C-BF2C-9DF2C91885FA}" name="Max Possible Capacity (Calculated)" totalsRowFunction="custom" dataDxfId="74">
      <calculatedColumnFormula>(IF(NOT(ISBLANK(TeamCapacity6[[#This Row],[Time Off (Override)]])),TeamCapacity6[[#This Row],[Estimated Dedicated Hours
(Calculated)]]-TeamCapacity6[[#This Row],[Time Off (Override)]],TeamCapacity6[[#This Row],[Hours Available (Calculated by Day Availability)]]))</calculatedColumnFormula>
      <totalsRowFormula>SUM(TeamCapacity6[Max Possible Capacity (Calculated)])</totalsRowFormula>
    </tableColumn>
    <tableColumn id="11" xr3:uid="{922969B3-7563-40DE-9073-7B3652D4E45A}" name="% Time for Training, QA, and Support" totalsRowFunction="custom" dataDxfId="73" totalsRowDxfId="72">
      <totalsRowFormula>AVERAGE(TeamCapacity6[% Time for Training, QA, and Support])</totalsRowFormula>
    </tableColumn>
    <tableColumn id="13" xr3:uid="{4CBB4C26-5E48-461C-8911-5D0D87766107}" name="Estimated Hours Dedicated to Team Meetings" totalsRowFunction="custom" totalsRowDxfId="71" dataCellStyle="Percent">
      <totalsRowFormula>AVERAGE(TeamCapacity6[Estimated Hours Dedicated to Team Meetings])</totalsRowFormula>
    </tableColumn>
    <tableColumn id="7" xr3:uid="{07FA69FB-4A5A-4AFF-8D58-FA4CF553EF18}" name="Available Hours (Calculated)" totalsRowFunction="custom" dataDxfId="70">
      <calculatedColumnFormula>MAX(0,(TeamCapacity6[[#This Row],[Max Possible Capacity (Calculated)]]-(TeamCapacity6[[#This Row],[Max Possible Capacity (Calculated)]]*TeamCapacity6[[#This Row],[% Time for Training, QA, and Support]])-(TeamCapacity6[[#This Row],[Max Possible Capacity (Calculated)]]*TeamCapacity6[[#This Row],[Estimated Hours Dedicated to Team Meetings]])))</calculatedColumnFormula>
      <totalsRowFormula>SUM(TeamCapacity6[Available Hours (Calculated)])</totalsRowFormula>
    </tableColumn>
    <tableColumn id="12" xr3:uid="{C12F3245-7F5A-47E7-B09A-CC0400FA299A}" name="Estimation = hours/8 (Calculated)" totalsRowFunction="custom" dataDxfId="69" totalsRowDxfId="68">
      <calculatedColumnFormula>TeamCapacity6[[#This Row],[Available Hours (Calculated)]]/8</calculatedColumnFormula>
      <totalsRowFormula>SUM(TeamCapacity6[Estimation = hours/8 (Calculated)])</totalsRowFormula>
    </tableColumn>
    <tableColumn id="8" xr3:uid="{E04E608A-F05B-41D9-91DC-25596B624A18}" name="Planned Story Points" totalsRowFunction="custom" totalsRowDxfId="67">
      <totalsRowFormula>SUM(TeamCapacity6[Planned Story Points])</totalsRowFormula>
    </tableColumn>
    <tableColumn id="14" xr3:uid="{D0D23C36-572F-4DAE-BCDE-A44B97775D8E}" name="Notes and Comments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88B4002-55EE-4144-A50E-9C5471B658E7}" name="Totals48101214814182022" displayName="Totals48101214814182022" ref="B18:E25" totalsRowShown="0" headerRowDxfId="66" tableBorderDxfId="65">
  <tableColumns count="4">
    <tableColumn id="1" xr3:uid="{60A87D70-4681-4B15-ACA4-05FBE61E34C5}" name="Totals"/>
    <tableColumn id="2" xr3:uid="{88E7F31C-6F7F-4B6B-BBE7-560F771BFDF3}" name=" "/>
    <tableColumn id="3" xr3:uid="{E434C7BA-A67D-49D9-B823-A02541B92ACA}" name="  "/>
    <tableColumn id="4" xr3:uid="{2066CBDA-8316-4A7D-9468-D9AF08EB7BD7}" name="Capacity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74CA6A2-2136-413E-9AA9-F92218123707}" name="Table4" displayName="Table4" ref="B11:I17" totalsRowShown="0" headerRowDxfId="64">
  <autoFilter ref="B11:I17" xr:uid="{49887003-ADEB-43EC-AE93-24C94DB2B3BF}"/>
  <tableColumns count="8">
    <tableColumn id="1" xr3:uid="{D81E64F4-BD9E-4D6B-A8DF-07D7A8F967A4}" name="Iteration"/>
    <tableColumn id="2" xr3:uid="{5A20D4D1-C3B1-4216-B54E-D252B92E11EF}" name="Duration"/>
    <tableColumn id="3" xr3:uid="{EABB61A3-05D0-4823-B953-3D6FD8B364AF}" name="3-Sprint Avg Velocity (SPs)"/>
    <tableColumn id="4" xr3:uid="{C332B542-06B9-43AF-B60B-4AC5F49BE5EE}" name="Planned Capacity (SPs)"/>
    <tableColumn id="5" xr3:uid="{B9E4412A-310A-441C-925B-472E0EE211B8}" name="Load (Final Planned Work)" dataDxfId="63"/>
    <tableColumn id="8" xr3:uid="{43BC14E8-0912-4BEC-9A4F-F64FB564FB40}" name="Load (Unplanned)" dataDxfId="62">
      <calculatedColumnFormula>MAX(Table4[[#This Row],[Planned Capacity (SPs)]]-Table4[[#This Row],[Load (Final Planned Work)]],0)</calculatedColumnFormula>
    </tableColumn>
    <tableColumn id="6" xr3:uid="{F5896EDE-FEFC-45A2-939D-1B489CC94D9D}" name="Start Date" dataDxfId="61"/>
    <tableColumn id="7" xr3:uid="{43B0B5C2-BCD4-4900-B325-7B923C61187E}" name="End Date" dataDxfId="6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AD3AE-B6F4-4022-9969-85C6A5C35B48}" name="Table6" displayName="Table6" ref="B37:C42" totalsRowShown="0">
  <autoFilter ref="B37:C42" xr:uid="{96CAD3AE-B6F4-4022-9969-85C6A5C35B48}"/>
  <tableColumns count="2">
    <tableColumn id="1" xr3:uid="{C6B7321A-C503-45C4-844B-FB309B6072F5}" name="Q" dataDxfId="356"/>
    <tableColumn id="2" xr3:uid="{E13A0B41-3F02-49B0-A056-5834FBFD7292}" name="Points per Quarter" dataDxfId="355">
      <calculatedColumnFormula>SUMIF(Table5[PI],B38,Table5[Real Pts])</calculatedColumnFormula>
    </tableColumn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004B72C-5A5B-48DF-A4EC-E712F9F06507}" name="Table527" displayName="Table527" ref="B19:Q28" totalsRowCount="1">
  <autoFilter ref="B19:Q27" xr:uid="{AD30597B-7C89-46A9-ADD5-B4FEA15B0317}"/>
  <tableColumns count="16">
    <tableColumn id="1" xr3:uid="{1327AD97-A71D-4C93-9188-FAAC911017EB}" name="Name" totalsRowLabel="Total" dataDxfId="59"/>
    <tableColumn id="2" xr3:uid="{B564B43D-6524-4B88-983D-CCBA2F12EB5A}" name="Title"/>
    <tableColumn id="3" xr3:uid="{A4053C6C-7BDC-4647-A453-8C9826F9C285}" name="S50 Max" totalsRowFunction="custom" dataDxfId="58" totalsRowDxfId="57">
      <calculatedColumnFormula>VLOOKUP(Table527[[#This Row],[Name]],TeamCapacity1[[Name]:[Planned Story Points]],21, FALSE)</calculatedColumnFormula>
      <totalsRowFormula>SUM(Table527[S50 Max])</totalsRowFormula>
    </tableColumn>
    <tableColumn id="11" xr3:uid="{B5A60E7C-A7A1-4962-9FAB-003F760D015D}" name="S50 Plan" totalsRowFunction="custom" dataDxfId="56" totalsRowDxfId="55">
      <calculatedColumnFormula>VLOOKUP(Table527[[#This Row],[Name]],TeamCapacity1[[Name]:[Planned Story Points]],22, FALSE)</calculatedColumnFormula>
      <totalsRowFormula>SUM(Table527[S50 Plan])</totalsRowFormula>
    </tableColumn>
    <tableColumn id="4" xr3:uid="{372BF448-2FEC-4DF4-9893-2721FB9F23F3}" name="S51 Max" totalsRowFunction="custom" dataDxfId="54" totalsRowDxfId="53">
      <calculatedColumnFormula>VLOOKUP(Table527[[#This Row],[Name]],TeamCapacity2[[Name]:[Planned Story Points]],21, FALSE)</calculatedColumnFormula>
      <totalsRowFormula>SUM(Table527[S51 Max])</totalsRowFormula>
    </tableColumn>
    <tableColumn id="12" xr3:uid="{9D80B1C4-7E2A-41FA-8FB4-0357EF7A4138}" name="S51 Plan" totalsRowFunction="custom" dataDxfId="52" totalsRowDxfId="51">
      <calculatedColumnFormula>VLOOKUP(Table527[[#This Row],[Name]],TeamCapacity2[[Name]:[Planned Story Points]],22, FALSE)</calculatedColumnFormula>
      <totalsRowFormula>SUM(Table527[S51 Plan])</totalsRowFormula>
    </tableColumn>
    <tableColumn id="5" xr3:uid="{0C112378-AE60-48CC-A81E-0719F0FE9964}" name="S52 Max" totalsRowFunction="custom" dataDxfId="50" totalsRowDxfId="49">
      <calculatedColumnFormula>VLOOKUP(Table527[[#This Row],[Name]],TeamCapacity3[[Name]:[Planned Story Points]],21, FALSE)</calculatedColumnFormula>
      <totalsRowFormula>SUM(Table527[S52 Max])</totalsRowFormula>
    </tableColumn>
    <tableColumn id="13" xr3:uid="{36766677-900C-4688-B7A4-7D8259625BBF}" name="S52 Plan" totalsRowFunction="custom" dataDxfId="48" totalsRowDxfId="47">
      <calculatedColumnFormula>VLOOKUP(Table527[[#This Row],[Name]],TeamCapacity3[[Name]:[Planned Story Points]],22, FALSE)</calculatedColumnFormula>
      <totalsRowFormula>SUM(Table527[S52 Plan])</totalsRowFormula>
    </tableColumn>
    <tableColumn id="6" xr3:uid="{A0246F82-B219-49C6-A9F5-D460AB172F76}" name="S53 Max" totalsRowFunction="custom" dataDxfId="46" totalsRowDxfId="45">
      <calculatedColumnFormula>VLOOKUP(Table527[[#This Row],[Name]],TeamCapacity4[[Name]:[Planned Story Points]],21, FALSE)</calculatedColumnFormula>
      <totalsRowFormula>SUM(Table527[S53 Max])</totalsRowFormula>
    </tableColumn>
    <tableColumn id="14" xr3:uid="{D755A7F8-6726-446C-93FF-5CB8327A28B5}" name="S53 Plan" totalsRowFunction="custom" dataDxfId="44" totalsRowDxfId="43">
      <calculatedColumnFormula>VLOOKUP(Table527[[#This Row],[Name]],TeamCapacity4[[Name]:[Planned Story Points]],22, FALSE)</calculatedColumnFormula>
      <totalsRowFormula>SUM(Table527[S53 Plan])</totalsRowFormula>
    </tableColumn>
    <tableColumn id="7" xr3:uid="{27123FCA-5D79-4824-9C50-0F246B8323F5}" name="S54 Max" totalsRowFunction="custom" dataDxfId="42" totalsRowDxfId="41">
      <calculatedColumnFormula>VLOOKUP(Table527[[#This Row],[Name]],TeamCapacity5[[Name]:[Planned Story Points]],21, FALSE)</calculatedColumnFormula>
      <totalsRowFormula>SUM(Table527[S54 Max])</totalsRowFormula>
    </tableColumn>
    <tableColumn id="15" xr3:uid="{EC76A237-C0DD-47D0-9A45-3C8ED9C56CDB}" name="S54 Plan" totalsRowFunction="custom" dataDxfId="40" totalsRowDxfId="39">
      <calculatedColumnFormula>VLOOKUP(Table527[[#This Row],[Name]],TeamCapacity5[[Name]:[Planned Story Points]],22, FALSE)</calculatedColumnFormula>
      <totalsRowFormula>SUM(Table527[S54 Plan])</totalsRowFormula>
    </tableColumn>
    <tableColumn id="10" xr3:uid="{8317AFAC-6250-475D-8392-3B68A94A52A6}" name="S55 Max" totalsRowFunction="custom" dataDxfId="38" totalsRowDxfId="37">
      <calculatedColumnFormula>VLOOKUP(Table527[[#This Row],[Name]],TeamCapacity6[[Name]:[Planned Story Points]],21, FALSE)</calculatedColumnFormula>
      <totalsRowFormula>SUM(Table527[S55 Max])</totalsRowFormula>
    </tableColumn>
    <tableColumn id="16" xr3:uid="{89A1C2EE-CA1F-4944-BA20-8007C8608A9D}" name="S55 Plan" totalsRowFunction="custom" dataDxfId="36" totalsRowDxfId="35">
      <calculatedColumnFormula>VLOOKUP(Table527[[#This Row],[Name]],TeamCapacity6[[Name]:[Planned Story Points]],22, FALSE)</calculatedColumnFormula>
      <totalsRowFormula>SUM(Table527[S55 Plan])</totalsRowFormula>
    </tableColumn>
    <tableColumn id="9" xr3:uid="{1AC07AAB-20C4-4D74-8A44-288E67E841C0}" name="Total Max" totalsRowFunction="sum" dataDxfId="34" totalsRowDxfId="33">
      <calculatedColumnFormula>SUM(D20,F20,H20,J20,L20,N20)</calculatedColumnFormula>
    </tableColumn>
    <tableColumn id="18" xr3:uid="{A8D16607-CE01-4B38-891F-334379A37A96}" name="Total Plan" totalsRowFunction="custom" dataDxfId="32" totalsRowDxfId="31">
      <calculatedColumnFormula>SUM(E20,G20,I20,K20,M20,O20)</calculatedColumnFormula>
      <totalsRowFormula>SUM(Table527[Total Plan])</totalsRowFormula>
    </tableColumn>
  </tableColumns>
  <tableStyleInfo name="TableStyleLight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B9C7D37-034A-40D4-B0EB-637E263D79C4}" name="Table1316" displayName="Table1316" ref="B7:B18" totalsRowShown="0" headerRowDxfId="30" dataDxfId="28" headerRowBorderDxfId="29">
  <autoFilter ref="B7:B18" xr:uid="{B2CA0B28-A26C-4B52-8CCF-13586C3238BE}"/>
  <tableColumns count="1">
    <tableColumn id="1" xr3:uid="{EA83068E-0C3B-4E36-9539-5F08FB75D384}" name="Feature Color Key" dataDxfId="27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D064-BE53-40F9-9E16-E8F3E1AA3303}" name="Table8" displayName="Table8" ref="B12:H34" totalsRowShown="0">
  <autoFilter ref="B12:H34" xr:uid="{350AD064-BE53-40F9-9E16-E8F3E1AA3303}"/>
  <tableColumns count="7">
    <tableColumn id="1" xr3:uid="{769A5F1C-E6F5-4ECD-850D-492AFFDA95A1}" name="RISK Description"/>
    <tableColumn id="2" xr3:uid="{A4139423-9238-45F9-AF12-C409BD2835B3}" name="Likelihood"/>
    <tableColumn id="3" xr3:uid="{B6340BBF-6064-40E2-9EF6-F2DABC5A85D4}" name="Impact"/>
    <tableColumn id="4" xr3:uid="{FDF66DAE-0161-4085-879C-3AF6C11C5C91}" name="Severity"/>
    <tableColumn id="5" xr3:uid="{647BBD44-6C50-47E9-880D-5A7F37312712}" name="ROAM Status"/>
    <tableColumn id="6" xr3:uid="{06676256-E5A0-4D81-BBE4-CFC8B2368FB3}" name="Owner"/>
    <tableColumn id="7" xr3:uid="{112D626D-10C4-4E79-A356-BE535CB1CC70}" name="JIRA Issue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ED673B-977C-448A-A916-A8B2728C31AE}" name="Table14" displayName="Table14" ref="J12:M17" totalsRowShown="0" headerRowDxfId="26" dataDxfId="24" headerRowBorderDxfId="25" tableBorderDxfId="23">
  <autoFilter ref="J12:M17" xr:uid="{03ED673B-977C-448A-A916-A8B2728C31AE}">
    <filterColumn colId="0" hiddenButton="1"/>
    <filterColumn colId="1" hiddenButton="1"/>
    <filterColumn colId="2" hiddenButton="1"/>
    <filterColumn colId="3" hiddenButton="1"/>
  </autoFilter>
  <tableColumns count="4">
    <tableColumn id="1" xr3:uid="{7B51FADE-D7C6-4934-BFD0-FD16AA86DE05}" name="Liklihood" dataDxfId="22"/>
    <tableColumn id="2" xr3:uid="{B780AB84-A4DF-4831-A9D2-123B60F16911}" name="Impact" dataDxfId="21"/>
    <tableColumn id="3" xr3:uid="{44DF11A7-7972-4200-B08E-7F52A88B15D0}" name="Severity" dataDxfId="20"/>
    <tableColumn id="4" xr3:uid="{D1EF1B68-6B72-4649-8C62-BEA6B732F3ED}" name="ROAM Status" dataDxfId="19"/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20AF5B-7928-4B36-B9C2-3BD99CED758F}" name="Table10" displayName="Table10" ref="B5:H14" totalsRowCount="1" headerRowDxfId="18" dataDxfId="17">
  <autoFilter ref="B5:H13" xr:uid="{6120AF5B-7928-4B36-B9C2-3BD99CED75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27104CB-05DB-4AAE-A0A0-70E92BB8D003}" name="Team Member Name" totalsRowLabel="Total Score" dataDxfId="16" totalsRowDxfId="15"/>
    <tableColumn id="2" xr3:uid="{DC42B4CB-114A-4DBF-90E0-EAB26974D57B}" name="I don’t understand (0)" totalsRowFunction="custom" dataDxfId="14" totalsRowDxfId="13">
      <totalsRowFormula>COUNTA(Table10[I don’t understand (0)])*0</totalsRowFormula>
    </tableColumn>
    <tableColumn id="3" xr3:uid="{F51A90B5-5315-4A23-A789-13535ABC0B2C}" name="No Confidence (1)" totalsRowFunction="custom" dataDxfId="12" totalsRowDxfId="11">
      <totalsRowFormula>COUNTA(Table10[No Confidence (1)])*1</totalsRowFormula>
    </tableColumn>
    <tableColumn id="4" xr3:uid="{689B17F3-F2E9-4FA7-8BA3-2C412D5FAD83}" name="Little Confidence (2)" totalsRowFunction="custom" dataDxfId="10" totalsRowDxfId="9">
      <totalsRowFormula>COUNTA(Table10[Little Confidence (2)])*2</totalsRowFormula>
    </tableColumn>
    <tableColumn id="5" xr3:uid="{2DAE04A1-5C6D-4E3B-A95F-6D32BDA1939F}" name="Good Confidence (3)" totalsRowFunction="custom" dataDxfId="8" totalsRowDxfId="7">
      <totalsRowFormula>COUNTA(Table10[Good Confidence (3)])*3</totalsRowFormula>
    </tableColumn>
    <tableColumn id="6" xr3:uid="{6C6C12E3-A136-4B7D-9D15-081B60B21EA1}" name="High Confidence (4)" totalsRowFunction="custom" dataDxfId="6" totalsRowDxfId="5">
      <totalsRowFormula>COUNTA(Table10[High Confidence (4)])*4</totalsRowFormula>
    </tableColumn>
    <tableColumn id="7" xr3:uid="{F3194CC2-5B39-4409-BC83-30AC75E62F55}" name="Very High Confidence (5)" totalsRowFunction="custom" dataDxfId="4" totalsRowDxfId="3">
      <totalsRowFormula>COUNTA(Table10[Very High Confidence (5)])*5</totalsRowFormula>
    </tableColumn>
  </tableColumns>
  <tableStyleInfo name="TableStyleLight18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35F252-9976-4933-B95B-30B5B411C3D4}" name="Table11" displayName="Table11" ref="J5:K11" totalsRowShown="0" headerRowDxfId="2">
  <autoFilter ref="J5:K11" xr:uid="{F035F252-9976-4933-B95B-30B5B411C3D4}">
    <filterColumn colId="0" hiddenButton="1"/>
    <filterColumn colId="1" hiddenButton="1"/>
  </autoFilter>
  <tableColumns count="2">
    <tableColumn id="1" xr3:uid="{312F48CE-83E8-4C2F-822C-8CABCCCADCC2}" name="Value" dataDxfId="1"/>
    <tableColumn id="2" xr3:uid="{8B3C59EA-7555-4BC5-A313-B6C73D983F4B}" name="Vote" dataDxfId="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0AE59-7B14-4B52-9334-06F9793CEE32}" name="Table1" displayName="Table1" ref="B5:J31" totalsRowShown="0" headerRowDxfId="352">
  <autoFilter ref="B5:J31" xr:uid="{9660AE59-7B14-4B52-9334-06F9793CEE32}"/>
  <sortState xmlns:xlrd2="http://schemas.microsoft.com/office/spreadsheetml/2017/richdata2" ref="B6:J31">
    <sortCondition ref="B5:B31"/>
  </sortState>
  <tableColumns count="9">
    <tableColumn id="1" xr3:uid="{8851EDB2-18F8-4D23-8225-0435956F2464}" name="↕"/>
    <tableColumn id="2" xr3:uid="{B8DB3E1F-43D5-4366-9C7D-053FAAB06337}" name="Feature Key"/>
    <tableColumn id="5" xr3:uid="{C032A680-1665-47C4-AEC3-27D682A827A2}" name="Link" dataDxfId="351">
      <calculatedColumnFormula>IF(NOT(ISBLANK(Table1[[#This Row],[Feature Key]])),HYPERLINK("https://projects.cdk.com/browse/"&amp;Table1[[#This Row],[Feature Key]],"Link"),"")</calculatedColumnFormula>
    </tableColumn>
    <tableColumn id="10" xr3:uid="{7122CCD1-DEF4-4FC8-B9F2-13CB7150789E}" name="Stories" dataDxfId="350" dataCellStyle="Hyperlink">
      <calculatedColumnFormula>IF(LEFT(Table1[[#This Row],[Feature Key]],6)="ITAPPS",HYPERLINK("https://projects.cdk.com/issues/?jql=issueFunction%20in%20issuesInEpics(%22key%20%3D%20"&amp;Table1[[#This Row],[Feature Key]]&amp;"%22)","Stories"),"")</calculatedColumnFormula>
    </tableColumn>
    <tableColumn id="3" xr3:uid="{647976C4-0250-4BDF-BBDE-ACFFFEA2F6E3}" name="Committed?"/>
    <tableColumn id="4" xr3:uid="{BBD1D670-85F5-450F-9B26-F9EF6DDBC8DA}" name="Feature Summary"/>
    <tableColumn id="7" xr3:uid="{7E122BB2-E816-4504-9961-EB6DA43BD282}" name="Feature Key 2"/>
    <tableColumn id="8" xr3:uid="{5227B7EF-B842-487F-B29E-ADC6F74F675A}" name="Deep Dive #" dataDxfId="349"/>
    <tableColumn id="6" xr3:uid="{EB041B93-D0A4-495E-9C90-0D6EC6BD2370}" name="Notes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142FBE-3EA3-463F-8162-30DBD693F897}" name="Table134" displayName="Table134" ref="L5:M16" totalsRowShown="0" headerRowDxfId="348" dataDxfId="346" headerRowBorderDxfId="347">
  <autoFilter ref="L5:M16" xr:uid="{FC142FBE-3EA3-463F-8162-30DBD693F897}"/>
  <tableColumns count="2">
    <tableColumn id="1" xr3:uid="{740A416B-2E6A-4634-A501-DEF7E7083E6D}" name="Feature Color Key" dataDxfId="345"/>
    <tableColumn id="2" xr3:uid="{06EB10D6-F38D-4B0D-9843-63A97EA4A26A}" name="Name" dataDxfId="34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32AC2F3-9EB6-497E-9909-E2E1FA3DC9E6}" name="Table113" displayName="Table113" ref="B5:L160" totalsRowShown="0" headerRowDxfId="343">
  <autoFilter ref="B5:L160" xr:uid="{9660AE59-7B14-4B52-9334-06F9793CEE32}"/>
  <tableColumns count="11">
    <tableColumn id="1" xr3:uid="{048C7A6D-7390-4188-B017-795A9D9D83FC}" name="↕"/>
    <tableColumn id="7" xr3:uid="{D0EECF91-8E18-406B-A195-0A1647A8056B}" name="Source"/>
    <tableColumn id="2" xr3:uid="{EB88BE54-27AD-4BDA-8D6E-A6391630B28D}" name="Issue Key"/>
    <tableColumn id="6" xr3:uid="{207CEE89-92C4-4168-914E-DA3EBDA5ED5D}" name="Story/Bug Summary" dataCellStyle="Hyperlink"/>
    <tableColumn id="5" xr3:uid="{22883630-4A19-4F3A-81A6-B67847385EE0}" name="Story Link" dataDxfId="342" dataCellStyle="Hyperlink">
      <calculatedColumnFormula>IF(NOT(ISBLANK(Table113[[#This Row],[Issue Key]])),HYPERLINK("https://projects.cdk.com/browse/"&amp;Table113[[#This Row],[Issue Key]],"Link"),"")</calculatedColumnFormula>
    </tableColumn>
    <tableColumn id="8" xr3:uid="{A5F26E10-2F1F-4384-82C8-71EB8D71BD07}" name="Priority"/>
    <tableColumn id="9" xr3:uid="{ABC37BBD-88D0-4C1A-AFDB-A46F7FB7273F}" name="Points"/>
    <tableColumn id="10" xr3:uid="{CCC17A85-3F50-43B5-AB1E-0354C75FB61A}" name="Feature Key"/>
    <tableColumn id="11" xr3:uid="{C0616F17-1A77-4D6E-96A7-5DACD06CB3A8}" name="Feat. Link" dataDxfId="341" dataCellStyle="Hyperlink">
      <calculatedColumnFormula>IF(NOT(ISBLANK(Table113[[#This Row],[Feature Key]])),HYPERLINK("https://projects.cdk.com/browse/"&amp;Table113[[#This Row],[Feature Key]],"Link"),"")</calculatedColumnFormula>
    </tableColumn>
    <tableColumn id="4" xr3:uid="{2A5F18D0-00BC-4D80-83F3-D3CD3ADE2FA5}" name="Feature Summary" dataDxfId="340">
      <calculatedColumnFormula>IFERROR(VLOOKUP(Table113[[#This Row],[Feature Key]],Table1[[Feature Key]:[Feature Summary]],5,FALSE),"")</calculatedColumnFormula>
    </tableColumn>
    <tableColumn id="12" xr3:uid="{2497C293-F2E3-4247-BCB9-38785BFF8551}" name="Notes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D913A9-DC87-44ED-9702-BC3F3BCFFF1C}" name="Table1345" displayName="Table1345" ref="N5:O16" totalsRowShown="0" headerRowDxfId="339" dataDxfId="337" headerRowBorderDxfId="338">
  <autoFilter ref="N5:O16" xr:uid="{B3D913A9-DC87-44ED-9702-BC3F3BCFFF1C}"/>
  <tableColumns count="2">
    <tableColumn id="1" xr3:uid="{BCC876E3-926A-4863-AA78-29227960F1F7}" name="Feature Color Key" dataDxfId="336"/>
    <tableColumn id="2" xr3:uid="{C556ABB6-BBEC-4879-84BD-2C2E0BA1402E}" name="Name" dataDxfId="33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5BEEFD9-9BAA-40F1-B010-9EAF1AF4D2AB}" name="TeamCapacity1" displayName="TeamCapacity1" ref="B6:X15" totalsRowCount="1" headerRowDxfId="330">
  <autoFilter ref="B6:X14" xr:uid="{6C15913E-59A5-4439-AC8F-6F7D4DE78B3C}"/>
  <tableColumns count="23">
    <tableColumn id="1" xr3:uid="{D9760BA0-624F-4A5D-AAFF-CDA699C44CC1}" name="Name" dataDxfId="329"/>
    <tableColumn id="2" xr3:uid="{29E51E91-B859-4741-8456-DDBCC97B204E}" name="Title" totalsRowDxfId="328"/>
    <tableColumn id="3" xr3:uid="{ADF59C6F-DE87-41A4-A195-365400CF20F6}" name="Estimated % of Time Dedicated to this Team" dataDxfId="327" totalsRowDxfId="326"/>
    <tableColumn id="9" xr3:uid="{74FACD1D-FDDA-4BDD-92AE-69A29D2739BA}" name="Estimated Dedicated Hours_x000a_(Calculated)" totalsRowFunction="custom" dataDxfId="325" totalsRowDxfId="324">
      <calculatedColumnFormula>TeamCapacity1[[#This Row],[Estimated % of Time Dedicated to this Team]]*80</calculatedColumnFormula>
      <totalsRowFormula>SUM(TeamCapacity1[Estimated Dedicated Hours
(Calculated)])</totalsRowFormula>
    </tableColumn>
    <tableColumn id="18" xr3:uid="{9B5F2190-05C3-4392-B9AF-496EF7345AC0}" name="M 01" totalsRowFunction="sum" dataDxfId="323" totalsRowDxfId="322"/>
    <tableColumn id="19" xr3:uid="{170046C5-17AD-477C-A81D-106709A85746}" name="Tu 02" totalsRowFunction="sum" dataDxfId="321" totalsRowDxfId="320"/>
    <tableColumn id="20" xr3:uid="{83819D7D-21A0-499F-A86F-336597D88734}" name="W 03" totalsRowFunction="sum" dataDxfId="319" totalsRowDxfId="318"/>
    <tableColumn id="21" xr3:uid="{BB6114BF-0BC9-4925-A22F-1A7E4C121FB2}" name="Th 04" totalsRowFunction="sum" dataDxfId="317" totalsRowDxfId="316"/>
    <tableColumn id="22" xr3:uid="{F3A54D2A-B142-4FF9-BB26-901CADC641D2}" name="F 05" totalsRowFunction="sum" dataDxfId="315" totalsRowDxfId="314"/>
    <tableColumn id="23" xr3:uid="{DD46236A-AAE2-4D66-9F03-C42CDFAC103C}" name="M 06" totalsRowFunction="sum" dataDxfId="313" totalsRowDxfId="312"/>
    <tableColumn id="17" xr3:uid="{C825CF77-2DDA-4461-9AC5-F57155ABA1C3}" name="Tu 07" totalsRowFunction="sum" dataDxfId="311" totalsRowDxfId="310"/>
    <tableColumn id="16" xr3:uid="{5FE6B10B-CB43-4A29-B9D8-B41312DB89C2}" name="W 08" totalsRowFunction="sum" dataDxfId="309" totalsRowDxfId="308"/>
    <tableColumn id="15" xr3:uid="{2D2E77C9-544D-4DD0-857B-0C6639078435}" name="Th 09" totalsRowFunction="sum" dataDxfId="307" totalsRowDxfId="306"/>
    <tableColumn id="10" xr3:uid="{963D2999-00D7-49BB-B00E-903501FD6B30}" name="F 10" totalsRowFunction="sum" dataDxfId="305" totalsRowDxfId="304"/>
    <tableColumn id="24" xr3:uid="{4D5A583A-740D-4FEE-BA4D-0097C3495A9C}" name="Hours Available (Calculated by Day Availability)" totalsRowFunction="custom" dataDxfId="303" totalsRowDxfId="302">
      <calculatedColumnFormula>SUM(F7:O7)</calculatedColumnFormula>
      <totalsRowFormula>SUM(TeamCapacity1[Hours Available (Calculated by Day Availability)])</totalsRowFormula>
    </tableColumn>
    <tableColumn id="25" xr3:uid="{FA531190-69E9-4EC8-8573-112544527669}" name="Time Off (Override)" totalsRowFunction="custom" dataDxfId="301" totalsRowDxfId="300">
      <totalsRowFormula>SUM(TeamCapacity1[Time Off (Override)])</totalsRowFormula>
    </tableColumn>
    <tableColumn id="5" xr3:uid="{6BBAA8E3-7786-47B3-A0D4-06D92CE59C1D}" name="Max Possible Capacity (Calculated)" totalsRowFunction="custom" dataDxfId="299">
      <calculatedColumnFormula>(IF(NOT(ISBLANK(TeamCapacity1[[#This Row],[Time Off (Override)]])),TeamCapacity1[[#This Row],[Estimated Dedicated Hours
(Calculated)]]-TeamCapacity1[[#This Row],[Time Off (Override)]],TeamCapacity1[[#This Row],[Hours Available (Calculated by Day Availability)]]))</calculatedColumnFormula>
      <totalsRowFormula>SUM(TeamCapacity1[Max Possible Capacity (Calculated)])</totalsRowFormula>
    </tableColumn>
    <tableColumn id="11" xr3:uid="{E31372BF-EC53-4E97-9480-A05565A3AE76}" name="% Time for Training, QA, and Support" totalsRowFunction="custom" dataDxfId="298" totalsRowDxfId="297">
      <totalsRowFormula>AVERAGE(TeamCapacity1[% Time for Training, QA, and Support])</totalsRowFormula>
    </tableColumn>
    <tableColumn id="13" xr3:uid="{FF36EBE4-066E-4E39-B8CA-3C6D2AF44739}" name="Estimated Hours Dedicated to Team Meetings" totalsRowFunction="custom" totalsRowDxfId="296" dataCellStyle="Percent">
      <totalsRowFormula>AVERAGE(TeamCapacity1[Estimated Hours Dedicated to Team Meetings])</totalsRowFormula>
    </tableColumn>
    <tableColumn id="7" xr3:uid="{0871A0BC-68F3-4127-8348-CD9CD37B1DA6}" name="Available Hours (Calculated)" totalsRowFunction="custom" dataDxfId="295">
      <calculatedColumnFormula>MAX(0,(TeamCapacity1[[#This Row],[Max Possible Capacity (Calculated)]]-(TeamCapacity1[[#This Row],[Max Possible Capacity (Calculated)]]*TeamCapacity1[[#This Row],[% Time for Training, QA, and Support]])-(TeamCapacity1[[#This Row],[Max Possible Capacity (Calculated)]]*TeamCapacity1[[#This Row],[Estimated Hours Dedicated to Team Meetings]])))</calculatedColumnFormula>
      <totalsRowFormula>SUM(TeamCapacity1[Available Hours (Calculated)])</totalsRowFormula>
    </tableColumn>
    <tableColumn id="12" xr3:uid="{7121233D-2022-4F08-AF84-3BF77F1F4323}" name="Estimation = hours/8 (Calculated)" totalsRowFunction="custom" dataDxfId="294" totalsRowDxfId="293">
      <calculatedColumnFormula>TeamCapacity1[[#This Row],[Available Hours (Calculated)]]/8</calculatedColumnFormula>
      <totalsRowFormula>SUM(TeamCapacity1[Estimation = hours/8 (Calculated)])</totalsRowFormula>
    </tableColumn>
    <tableColumn id="8" xr3:uid="{7F10C44E-6568-47D1-9100-85A37477202C}" name="Planned Story Points" totalsRowFunction="custom" totalsRowDxfId="292">
      <totalsRowFormula>SUM(TeamCapacity1[Planned Story Points])</totalsRowFormula>
    </tableColumn>
    <tableColumn id="14" xr3:uid="{B9D9CF07-782F-43C7-92A9-63D3FE7D53EA}" name="Notes and Comments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6318177-65BE-410D-B8F6-9FA4E6B0C803}" name="Totals48101214" displayName="Totals48101214" ref="B18:E25" totalsRowShown="0" headerRowDxfId="291" tableBorderDxfId="290">
  <tableColumns count="4">
    <tableColumn id="1" xr3:uid="{3B21B062-970E-48A8-8507-4D0C86B9EEE6}" name="Totals"/>
    <tableColumn id="2" xr3:uid="{71AD8FC1-1610-4DE7-8DCF-B9FABC400A32}" name=" "/>
    <tableColumn id="3" xr3:uid="{3580FDF7-057B-4789-9ED8-65246A2EA705}" name="  "/>
    <tableColumn id="4" xr3:uid="{61E265ED-C309-4E81-B994-1F3368F43743}" name="Capacity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7E2E39-9372-42C8-8A3F-0710B3D752F4}" name="TeamCapacity2" displayName="TeamCapacity2" ref="B6:X15" totalsRowCount="1" headerRowDxfId="285">
  <autoFilter ref="B6:X14" xr:uid="{6C15913E-59A5-4439-AC8F-6F7D4DE78B3C}"/>
  <tableColumns count="23">
    <tableColumn id="1" xr3:uid="{7EC4299E-AE1C-481C-A27A-02A21135F51C}" name="Name" dataDxfId="284"/>
    <tableColumn id="2" xr3:uid="{72B73F24-0B7B-4423-B198-B766A752849F}" name="Title" totalsRowDxfId="283"/>
    <tableColumn id="3" xr3:uid="{370E50D2-F9CB-4E29-942F-336CD76B4128}" name="Estimated % of Time Dedicated to this Team" dataDxfId="282" totalsRowDxfId="281"/>
    <tableColumn id="9" xr3:uid="{1411AF7A-F3D5-408F-A8CB-36EBAC944CC7}" name="Estimated Dedicated Hours_x000a_(Calculated)" totalsRowFunction="custom" dataDxfId="280" totalsRowDxfId="279">
      <calculatedColumnFormula>TeamCapacity2[[#This Row],[Estimated % of Time Dedicated to this Team]]*80</calculatedColumnFormula>
      <totalsRowFormula>SUM(TeamCapacity2[Estimated Dedicated Hours
(Calculated)])</totalsRowFormula>
    </tableColumn>
    <tableColumn id="18" xr3:uid="{FF98943B-912C-4A18-8BA5-B60E1C23DDE7}" name="M 01" totalsRowFunction="sum" dataDxfId="278" totalsRowDxfId="277"/>
    <tableColumn id="19" xr3:uid="{2A4FB68B-16A9-4B86-8225-2901ED88CBEE}" name="Tu 02" totalsRowFunction="sum" dataDxfId="276" totalsRowDxfId="275"/>
    <tableColumn id="20" xr3:uid="{ABF454D3-A76F-4467-B0FE-FA19E9EC75AA}" name="W 03" totalsRowFunction="sum" dataDxfId="274" totalsRowDxfId="273"/>
    <tableColumn id="21" xr3:uid="{E0E79385-781C-42E7-834C-1115C5B7B3A6}" name="Th 04" totalsRowFunction="sum" dataDxfId="272" totalsRowDxfId="271"/>
    <tableColumn id="22" xr3:uid="{F44A0B45-D6D7-4C09-B61C-F61AA580CCCF}" name="F 05" totalsRowFunction="sum" dataDxfId="270" totalsRowDxfId="269"/>
    <tableColumn id="23" xr3:uid="{05CD79C1-417A-4786-87E5-53DA699AAAE4}" name="M 06" totalsRowFunction="sum" dataDxfId="268" totalsRowDxfId="267"/>
    <tableColumn id="17" xr3:uid="{E3FA9AA4-B97A-4F30-A0AF-3C410B0B427F}" name="Tu 07" totalsRowFunction="sum" dataDxfId="266" totalsRowDxfId="265"/>
    <tableColumn id="16" xr3:uid="{175559EF-892F-4847-97D9-4C4A055017A9}" name="W 08" totalsRowFunction="sum" dataDxfId="264" totalsRowDxfId="263"/>
    <tableColumn id="15" xr3:uid="{030F427F-CC3D-4687-B854-1C230C95E398}" name="Th 09" totalsRowFunction="sum" dataDxfId="262" totalsRowDxfId="261"/>
    <tableColumn id="10" xr3:uid="{06BB237E-AE41-4D5D-AD98-53F49289C659}" name="F 10" totalsRowFunction="sum" dataDxfId="260" totalsRowDxfId="259"/>
    <tableColumn id="24" xr3:uid="{A40E6AEC-1DDC-4758-95B6-E5EF615576D2}" name="Hours Available (Calculated by Day Availability)" totalsRowFunction="custom" dataDxfId="258" totalsRowDxfId="257">
      <calculatedColumnFormula>SUM(F7:O7)</calculatedColumnFormula>
      <totalsRowFormula>SUM(TeamCapacity2[Hours Available (Calculated by Day Availability)])</totalsRowFormula>
    </tableColumn>
    <tableColumn id="25" xr3:uid="{92BD6CA0-EC01-420B-89CD-E450B2D0A482}" name="Time Off (Override)" totalsRowFunction="custom" dataDxfId="256" totalsRowDxfId="255">
      <totalsRowFormula>SUM(TeamCapacity2[Time Off (Override)])</totalsRowFormula>
    </tableColumn>
    <tableColumn id="5" xr3:uid="{63695A54-0297-4BF1-A117-777FEC8B1FF9}" name="Max Possible Capacity (Calculated)" totalsRowFunction="custom" dataDxfId="254">
      <calculatedColumnFormula>(IF(NOT(ISBLANK(TeamCapacity2[[#This Row],[Time Off (Override)]])),TeamCapacity2[[#This Row],[Estimated Dedicated Hours
(Calculated)]]-TeamCapacity2[[#This Row],[Time Off (Override)]],TeamCapacity2[[#This Row],[Hours Available (Calculated by Day Availability)]]))</calculatedColumnFormula>
      <totalsRowFormula>SUM(TeamCapacity2[Max Possible Capacity (Calculated)])</totalsRowFormula>
    </tableColumn>
    <tableColumn id="11" xr3:uid="{C0F97DDE-D379-45C8-AECD-F6566FDBCA23}" name="% Time for Training, QA, and Support" totalsRowFunction="custom" dataDxfId="253" totalsRowDxfId="252">
      <totalsRowFormula>AVERAGE(TeamCapacity2[% Time for Training, QA, and Support])</totalsRowFormula>
    </tableColumn>
    <tableColumn id="13" xr3:uid="{7DFECD92-272A-46E2-98E6-4AB2F8A742C9}" name="Estimated Hours Dedicated to Team Meetings" totalsRowFunction="custom" totalsRowDxfId="251" dataCellStyle="Percent">
      <totalsRowFormula>AVERAGE(TeamCapacity2[Estimated Hours Dedicated to Team Meetings])</totalsRowFormula>
    </tableColumn>
    <tableColumn id="7" xr3:uid="{528DA1D5-EEC5-4452-91E0-C61ECDABD6D6}" name="Available Hours (Calculated)" totalsRowFunction="custom" dataDxfId="250">
      <calculatedColumnFormula>MAX(0,(TeamCapacity2[[#This Row],[Max Possible Capacity (Calculated)]]-(TeamCapacity2[[#This Row],[Max Possible Capacity (Calculated)]]*TeamCapacity2[[#This Row],[% Time for Training, QA, and Support]])-(TeamCapacity2[[#This Row],[Max Possible Capacity (Calculated)]]*TeamCapacity2[[#This Row],[Estimated Hours Dedicated to Team Meetings]])))</calculatedColumnFormula>
      <totalsRowFormula>SUM(TeamCapacity2[Available Hours (Calculated)])</totalsRowFormula>
    </tableColumn>
    <tableColumn id="12" xr3:uid="{A2C0C4DB-1E1D-4111-90A1-920059772F50}" name="Estimation = hours/8 (Calculated)" totalsRowFunction="custom" dataDxfId="249" totalsRowDxfId="248">
      <calculatedColumnFormula>TeamCapacity2[[#This Row],[Available Hours (Calculated)]]/8</calculatedColumnFormula>
      <totalsRowFormula>SUM(TeamCapacity2[Estimation = hours/8 (Calculated)])</totalsRowFormula>
    </tableColumn>
    <tableColumn id="8" xr3:uid="{91077362-7A08-41B6-B2AA-D006B95A378A}" name="Planned Story Points" totalsRowFunction="custom" totalsRowDxfId="247">
      <totalsRowFormula>SUM(TeamCapacity2[Planned Story Points])</totalsRowFormula>
    </tableColumn>
    <tableColumn id="14" xr3:uid="{FD9211AE-2991-43A9-BCF6-68C626A929E2}" name="Notes and Comment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2-06-28T14:08:35.43" personId="{8E7FA3C2-E787-4473-A34F-7D2578080DF9}" id="{1E30DC20-0830-4F2A-97CF-7040B9F6DA3B}">
    <text>Use Format Painter to Copy Color to Feature Summary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5" dT="2022-06-28T14:08:35.43" personId="{8E7FA3C2-E787-4473-A34F-7D2578080DF9}" id="{9C6A17F5-5C98-45BE-868C-1AC1DBF0D05D}">
    <text>Use Format Painter to Copy Color to Feature Summary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6" dT="2022-06-27T18:30:18.15" personId="{8E7FA3C2-E787-4473-A34F-7D2578080DF9}" id="{972AD86D-E177-47C9-9B32-C2BA9825BAE7}">
    <text>Decrease percentage to account for time required for work on other teams.</text>
  </threadedComment>
  <threadedComment ref="S6" dT="2022-06-27T18:29:05.58" personId="{8E7FA3C2-E787-4473-A34F-7D2578080DF9}" id="{F8E14544-FC48-4E49-9F50-3D65E1EB07BC}">
    <text>Required HR Training, Professional Development Days, QA and Release, Support work.</text>
  </threadedComment>
  <threadedComment ref="T6" dT="2022-03-30T20:06:50.46" personId="{8E7FA3C2-E787-4473-A34F-7D2578080DF9}" id="{AF38ACA5-5DAD-4EC4-B0DE-D7129580EAAF}">
    <text>1-1s, Stand-up, Grooming, Sprint Review, Sprint Retro, Sprint Planning, Town Halls, etc.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6" dT="2022-06-27T18:30:18.15" personId="{8E7FA3C2-E787-4473-A34F-7D2578080DF9}" id="{D82B3FAC-B11D-4ED5-8DBB-F6D4B2D1E330}">
    <text>Decrease percentage to account for time required for work on other teams.</text>
  </threadedComment>
  <threadedComment ref="S6" dT="2022-06-27T18:29:05.58" personId="{8E7FA3C2-E787-4473-A34F-7D2578080DF9}" id="{323A434D-1969-4E9A-AEAD-952D3078C01D}">
    <text>Required HR Training, Professional Development Days, QA and Release, Support work.</text>
  </threadedComment>
  <threadedComment ref="T6" dT="2022-03-30T20:06:50.46" personId="{8E7FA3C2-E787-4473-A34F-7D2578080DF9}" id="{FDA32627-89EE-42E7-BF4B-D09FEC8DAEB9}">
    <text>1-1s, Stand-up, Grooming, Sprint Review, Sprint Retro, Sprint Planning, Town Halls, etc.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6" dT="2022-06-27T18:30:18.15" personId="{8E7FA3C2-E787-4473-A34F-7D2578080DF9}" id="{FDE7F320-9032-475A-B69C-02FEE6EDD7C4}">
    <text>Decrease percentage to account for time required for work on other teams.</text>
  </threadedComment>
  <threadedComment ref="S6" dT="2022-06-27T18:29:05.58" personId="{8E7FA3C2-E787-4473-A34F-7D2578080DF9}" id="{FAA244B2-D918-4581-8697-ABADC396FA2A}">
    <text>Required HR Training, Professional Development Days, QA and Release, Support work.</text>
  </threadedComment>
  <threadedComment ref="T6" dT="2022-03-30T20:06:50.46" personId="{8E7FA3C2-E787-4473-A34F-7D2578080DF9}" id="{30617889-BB77-4995-A17D-912656D8B8A6}">
    <text>1-1s, Stand-up, Grooming, Sprint Review, Sprint Retro, Sprint Planning, Town Halls, etc.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6" dT="2022-06-27T18:30:18.15" personId="{8E7FA3C2-E787-4473-A34F-7D2578080DF9}" id="{3345E718-C60C-43C7-9955-324625D9160C}">
    <text>Decrease percentage to account for time required for work on other teams.</text>
  </threadedComment>
  <threadedComment ref="S6" dT="2022-06-27T18:29:05.58" personId="{8E7FA3C2-E787-4473-A34F-7D2578080DF9}" id="{FC9ADE77-B02F-4DD6-A457-C2950D787AB9}">
    <text>Required HR Training, Professional Development Days, QA and Release, Support work.</text>
  </threadedComment>
  <threadedComment ref="T6" dT="2022-03-30T20:06:50.46" personId="{8E7FA3C2-E787-4473-A34F-7D2578080DF9}" id="{7A50ECAA-B47D-4116-BB0F-370B1889C463}">
    <text>1-1s, Stand-up, Grooming, Sprint Review, Sprint Retro, Sprint Planning, Town Halls, etc.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6" dT="2022-06-27T18:30:18.15" personId="{8E7FA3C2-E787-4473-A34F-7D2578080DF9}" id="{D8781E1D-EB46-4A1E-9D96-E2CCA5FE12E9}">
    <text>Decrease percentage to account for time required for work on other teams.</text>
  </threadedComment>
  <threadedComment ref="S6" dT="2022-06-27T18:29:05.58" personId="{8E7FA3C2-E787-4473-A34F-7D2578080DF9}" id="{0B8EFBF3-FB20-4EB6-AB92-0DB59ECEE2BB}">
    <text>Required HR Training, Professional Development Days, QA and Release, Support work.</text>
  </threadedComment>
  <threadedComment ref="T6" dT="2022-03-30T20:06:50.46" personId="{8E7FA3C2-E787-4473-A34F-7D2578080DF9}" id="{A081A51F-FA59-4FC4-BE84-0DA5E943F0FE}">
    <text>1-1s, Stand-up, Grooming, Sprint Review, Sprint Retro, Sprint Planning, Town Halls, etc.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6" dT="2022-06-27T18:30:18.15" personId="{8E7FA3C2-E787-4473-A34F-7D2578080DF9}" id="{3DDE631D-0A95-47F0-A5B0-ADB5EBC1E593}">
    <text>Decrease percentage to account for time required for work on other teams.</text>
  </threadedComment>
  <threadedComment ref="S6" dT="2022-06-27T18:29:05.58" personId="{8E7FA3C2-E787-4473-A34F-7D2578080DF9}" id="{CA718F12-14E6-405F-948F-50D50DD7E287}">
    <text>Required HR Training, Professional Development Days, QA and Release, Support work.</text>
  </threadedComment>
  <threadedComment ref="T6" dT="2022-03-30T20:06:50.46" personId="{8E7FA3C2-E787-4473-A34F-7D2578080DF9}" id="{31FD7588-8903-4646-912B-E4758499504C}">
    <text>1-1s, Stand-up, Grooming, Sprint Review, Sprint Retro, Sprint Planning, Town Halls, etc.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Relationship Id="rId6" Type="http://schemas.microsoft.com/office/2017/10/relationships/threadedComment" Target="../threadedComments/threadedComment7.xml"/><Relationship Id="rId5" Type="http://schemas.openxmlformats.org/officeDocument/2006/relationships/comments" Target="../comments7.xml"/><Relationship Id="rId4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Relationship Id="rId6" Type="http://schemas.microsoft.com/office/2017/10/relationships/threadedComment" Target="../threadedComments/threadedComment8.xml"/><Relationship Id="rId5" Type="http://schemas.openxmlformats.org/officeDocument/2006/relationships/comments" Target="../comments8.xml"/><Relationship Id="rId4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6" Type="http://schemas.microsoft.com/office/2017/10/relationships/threadedComment" Target="../threadedComments/threadedComment4.xml"/><Relationship Id="rId5" Type="http://schemas.openxmlformats.org/officeDocument/2006/relationships/comments" Target="../comments4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6" Type="http://schemas.microsoft.com/office/2017/10/relationships/threadedComment" Target="../threadedComments/threadedComment5.xml"/><Relationship Id="rId5" Type="http://schemas.openxmlformats.org/officeDocument/2006/relationships/comments" Target="../comments5.xml"/><Relationship Id="rId4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6" Type="http://schemas.microsoft.com/office/2017/10/relationships/threadedComment" Target="../threadedComments/threadedComment6.xml"/><Relationship Id="rId5" Type="http://schemas.openxmlformats.org/officeDocument/2006/relationships/comments" Target="../comments6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4872-28F6-458F-A12C-C29785BBEB7E}">
  <dimension ref="A1:GN24"/>
  <sheetViews>
    <sheetView zoomScale="90" zoomScaleNormal="90" workbookViewId="0">
      <pane xSplit="1" topLeftCell="B1" activePane="topRight" state="frozen"/>
      <selection pane="topRight"/>
    </sheetView>
  </sheetViews>
  <sheetFormatPr defaultRowHeight="15" x14ac:dyDescent="0.25"/>
  <cols>
    <col min="1" max="1" width="35.85546875" bestFit="1" customWidth="1"/>
    <col min="2" max="249" width="4.7109375" customWidth="1"/>
  </cols>
  <sheetData>
    <row r="1" spans="1:196" s="55" customFormat="1" x14ac:dyDescent="0.25">
      <c r="B1" s="55" t="s">
        <v>0</v>
      </c>
      <c r="AG1" s="55" t="s">
        <v>1</v>
      </c>
      <c r="BI1" s="55" t="s">
        <v>2</v>
      </c>
      <c r="CN1" s="55" t="s">
        <v>3</v>
      </c>
      <c r="DR1" s="55" t="s">
        <v>247</v>
      </c>
      <c r="EW1" s="55" t="s">
        <v>248</v>
      </c>
      <c r="GA1" s="55" t="s">
        <v>250</v>
      </c>
    </row>
    <row r="2" spans="1:196" x14ac:dyDescent="0.25">
      <c r="B2" s="56" t="s">
        <v>4</v>
      </c>
      <c r="C2" s="16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56" t="s">
        <v>10</v>
      </c>
      <c r="I2" s="56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56" t="s">
        <v>10</v>
      </c>
      <c r="P2" s="56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56" t="s">
        <v>10</v>
      </c>
      <c r="W2" s="56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56" t="s">
        <v>10</v>
      </c>
      <c r="AD2" s="56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56" t="s">
        <v>10</v>
      </c>
      <c r="AK2" s="56" t="s">
        <v>4</v>
      </c>
      <c r="AL2" s="2" t="s">
        <v>5</v>
      </c>
      <c r="AM2" s="2" t="s">
        <v>6</v>
      </c>
      <c r="AN2" s="2" t="s">
        <v>7</v>
      </c>
      <c r="AO2" s="2" t="s">
        <v>8</v>
      </c>
      <c r="AP2" s="2" t="s">
        <v>9</v>
      </c>
      <c r="AQ2" s="56" t="s">
        <v>10</v>
      </c>
      <c r="AR2" s="56" t="s">
        <v>4</v>
      </c>
      <c r="AS2" s="2" t="s">
        <v>5</v>
      </c>
      <c r="AT2" s="2" t="s">
        <v>6</v>
      </c>
      <c r="AU2" s="2" t="s">
        <v>7</v>
      </c>
      <c r="AV2" s="2" t="s">
        <v>8</v>
      </c>
      <c r="AW2" s="2" t="s">
        <v>9</v>
      </c>
      <c r="AX2" s="56" t="s">
        <v>10</v>
      </c>
      <c r="AY2" s="56" t="s">
        <v>4</v>
      </c>
      <c r="AZ2" s="2" t="s">
        <v>5</v>
      </c>
      <c r="BA2" s="2" t="s">
        <v>6</v>
      </c>
      <c r="BB2" s="2" t="s">
        <v>7</v>
      </c>
      <c r="BC2" s="2" t="s">
        <v>8</v>
      </c>
      <c r="BD2" s="2" t="s">
        <v>9</v>
      </c>
      <c r="BE2" s="56" t="s">
        <v>10</v>
      </c>
      <c r="BF2" s="56" t="s">
        <v>4</v>
      </c>
      <c r="BG2" s="2" t="s">
        <v>5</v>
      </c>
      <c r="BH2" s="2" t="s">
        <v>6</v>
      </c>
      <c r="BI2" s="2" t="s">
        <v>7</v>
      </c>
      <c r="BJ2" s="2" t="s">
        <v>8</v>
      </c>
      <c r="BK2" s="2" t="s">
        <v>9</v>
      </c>
      <c r="BL2" s="56" t="s">
        <v>10</v>
      </c>
      <c r="BM2" s="56" t="s">
        <v>4</v>
      </c>
      <c r="BN2" s="2" t="s">
        <v>5</v>
      </c>
      <c r="BO2" s="2" t="s">
        <v>6</v>
      </c>
      <c r="BP2" s="2" t="s">
        <v>7</v>
      </c>
      <c r="BQ2" s="2" t="s">
        <v>8</v>
      </c>
      <c r="BR2" s="2" t="s">
        <v>9</v>
      </c>
      <c r="BS2" s="56" t="s">
        <v>10</v>
      </c>
      <c r="BT2" s="56" t="s">
        <v>4</v>
      </c>
      <c r="BU2" s="2" t="s">
        <v>5</v>
      </c>
      <c r="BV2" s="2" t="s">
        <v>6</v>
      </c>
      <c r="BW2" s="2" t="s">
        <v>7</v>
      </c>
      <c r="BX2" s="2" t="s">
        <v>8</v>
      </c>
      <c r="BY2" s="2" t="s">
        <v>9</v>
      </c>
      <c r="BZ2" s="56" t="s">
        <v>10</v>
      </c>
      <c r="CA2" s="56" t="s">
        <v>4</v>
      </c>
      <c r="CB2" s="2" t="s">
        <v>5</v>
      </c>
      <c r="CC2" s="2" t="s">
        <v>6</v>
      </c>
      <c r="CD2" s="2" t="s">
        <v>7</v>
      </c>
      <c r="CE2" s="2" t="s">
        <v>8</v>
      </c>
      <c r="CF2" s="2" t="s">
        <v>9</v>
      </c>
      <c r="CG2" s="56" t="s">
        <v>10</v>
      </c>
      <c r="CH2" s="56" t="s">
        <v>4</v>
      </c>
      <c r="CI2" s="2" t="s">
        <v>5</v>
      </c>
      <c r="CJ2" s="2" t="s">
        <v>6</v>
      </c>
      <c r="CK2" s="2" t="s">
        <v>7</v>
      </c>
      <c r="CL2" s="2" t="s">
        <v>8</v>
      </c>
      <c r="CM2" s="2" t="s">
        <v>9</v>
      </c>
      <c r="CN2" s="56" t="s">
        <v>10</v>
      </c>
      <c r="CO2" s="56" t="s">
        <v>4</v>
      </c>
      <c r="CP2" s="2" t="s">
        <v>5</v>
      </c>
      <c r="CQ2" s="2" t="s">
        <v>6</v>
      </c>
      <c r="CR2" s="2" t="s">
        <v>7</v>
      </c>
      <c r="CS2" s="2" t="s">
        <v>8</v>
      </c>
      <c r="CT2" s="2" t="s">
        <v>9</v>
      </c>
      <c r="CU2" s="56" t="s">
        <v>10</v>
      </c>
      <c r="CV2" s="56" t="s">
        <v>4</v>
      </c>
      <c r="CW2" s="2" t="s">
        <v>5</v>
      </c>
      <c r="CX2" s="2" t="s">
        <v>6</v>
      </c>
      <c r="CY2" s="2" t="s">
        <v>7</v>
      </c>
      <c r="CZ2" s="2" t="s">
        <v>8</v>
      </c>
      <c r="DA2" s="2" t="s">
        <v>9</v>
      </c>
      <c r="DB2" s="56" t="s">
        <v>10</v>
      </c>
      <c r="DC2" s="56" t="s">
        <v>4</v>
      </c>
      <c r="DD2" s="2" t="s">
        <v>5</v>
      </c>
      <c r="DE2" s="2" t="s">
        <v>6</v>
      </c>
      <c r="DF2" s="2" t="s">
        <v>7</v>
      </c>
      <c r="DG2" s="2" t="s">
        <v>8</v>
      </c>
      <c r="DH2" s="2" t="s">
        <v>9</v>
      </c>
      <c r="DI2" s="56" t="s">
        <v>10</v>
      </c>
      <c r="DJ2" s="56" t="s">
        <v>4</v>
      </c>
      <c r="DK2" s="2" t="s">
        <v>5</v>
      </c>
      <c r="DL2" s="2" t="s">
        <v>6</v>
      </c>
      <c r="DM2" s="2" t="s">
        <v>7</v>
      </c>
      <c r="DN2" s="2" t="s">
        <v>8</v>
      </c>
      <c r="DO2" s="2" t="s">
        <v>9</v>
      </c>
      <c r="DP2" s="56" t="s">
        <v>10</v>
      </c>
      <c r="DQ2" s="56" t="s">
        <v>4</v>
      </c>
      <c r="DR2" s="2" t="s">
        <v>5</v>
      </c>
      <c r="DS2" s="2" t="s">
        <v>6</v>
      </c>
      <c r="DT2" s="2" t="s">
        <v>7</v>
      </c>
      <c r="DU2" s="2" t="s">
        <v>8</v>
      </c>
      <c r="DV2" s="2" t="s">
        <v>9</v>
      </c>
      <c r="DW2" s="56" t="s">
        <v>10</v>
      </c>
      <c r="DX2" s="56" t="s">
        <v>4</v>
      </c>
      <c r="DY2" s="2" t="s">
        <v>5</v>
      </c>
      <c r="DZ2" s="2" t="s">
        <v>6</v>
      </c>
      <c r="EA2" s="2" t="s">
        <v>7</v>
      </c>
      <c r="EB2" s="2" t="s">
        <v>8</v>
      </c>
      <c r="EC2" s="2" t="s">
        <v>9</v>
      </c>
      <c r="ED2" s="56" t="s">
        <v>10</v>
      </c>
      <c r="EE2" s="56" t="s">
        <v>4</v>
      </c>
      <c r="EF2" s="2" t="s">
        <v>5</v>
      </c>
      <c r="EG2" s="2" t="s">
        <v>6</v>
      </c>
      <c r="EH2" s="2" t="s">
        <v>7</v>
      </c>
      <c r="EI2" s="2" t="s">
        <v>8</v>
      </c>
      <c r="EJ2" s="2" t="s">
        <v>9</v>
      </c>
      <c r="EK2" s="56" t="s">
        <v>10</v>
      </c>
      <c r="EL2" s="56" t="s">
        <v>4</v>
      </c>
      <c r="EM2" s="2" t="s">
        <v>5</v>
      </c>
      <c r="EN2" s="2" t="s">
        <v>6</v>
      </c>
      <c r="EO2" s="2" t="s">
        <v>7</v>
      </c>
      <c r="EP2" s="2" t="s">
        <v>8</v>
      </c>
      <c r="EQ2" s="2" t="s">
        <v>9</v>
      </c>
      <c r="ER2" s="56" t="s">
        <v>10</v>
      </c>
      <c r="ES2" s="56" t="s">
        <v>4</v>
      </c>
      <c r="ET2" s="162" t="s">
        <v>5</v>
      </c>
      <c r="EU2" s="2" t="s">
        <v>6</v>
      </c>
      <c r="EV2" s="2" t="s">
        <v>7</v>
      </c>
      <c r="EW2" s="2" t="s">
        <v>8</v>
      </c>
      <c r="EX2" s="2" t="s">
        <v>9</v>
      </c>
      <c r="EY2" s="56" t="s">
        <v>10</v>
      </c>
      <c r="EZ2" s="56" t="s">
        <v>4</v>
      </c>
      <c r="FA2" s="2" t="s">
        <v>5</v>
      </c>
      <c r="FB2" s="2" t="s">
        <v>249</v>
      </c>
      <c r="FC2" s="2" t="s">
        <v>7</v>
      </c>
      <c r="FD2" s="2" t="s">
        <v>8</v>
      </c>
      <c r="FE2" s="2" t="s">
        <v>9</v>
      </c>
      <c r="FF2" s="56" t="s">
        <v>10</v>
      </c>
      <c r="FG2" s="56" t="s">
        <v>4</v>
      </c>
      <c r="FH2" s="2" t="s">
        <v>5</v>
      </c>
      <c r="FI2" s="2" t="s">
        <v>249</v>
      </c>
      <c r="FJ2" s="2" t="s">
        <v>7</v>
      </c>
      <c r="FK2" s="2" t="s">
        <v>8</v>
      </c>
      <c r="FL2" s="2" t="s">
        <v>9</v>
      </c>
      <c r="FM2" s="56" t="s">
        <v>10</v>
      </c>
      <c r="FN2" s="56" t="s">
        <v>4</v>
      </c>
      <c r="FO2" s="2" t="s">
        <v>5</v>
      </c>
      <c r="FP2" s="2" t="s">
        <v>249</v>
      </c>
      <c r="FQ2" s="2" t="s">
        <v>7</v>
      </c>
      <c r="FR2" s="2" t="s">
        <v>8</v>
      </c>
      <c r="FS2" s="2" t="s">
        <v>9</v>
      </c>
      <c r="FT2" s="56" t="s">
        <v>10</v>
      </c>
      <c r="FU2" s="56" t="s">
        <v>4</v>
      </c>
      <c r="FV2" s="2" t="s">
        <v>5</v>
      </c>
      <c r="FW2" s="2" t="s">
        <v>249</v>
      </c>
      <c r="FX2" s="2" t="s">
        <v>7</v>
      </c>
      <c r="FY2" s="2" t="s">
        <v>8</v>
      </c>
      <c r="FZ2" s="2" t="s">
        <v>9</v>
      </c>
      <c r="GA2" s="56" t="s">
        <v>10</v>
      </c>
      <c r="GB2" s="56" t="s">
        <v>4</v>
      </c>
      <c r="GC2" s="2" t="s">
        <v>5</v>
      </c>
      <c r="GD2" s="162" t="s">
        <v>249</v>
      </c>
      <c r="GE2" s="2" t="s">
        <v>7</v>
      </c>
      <c r="GF2" s="2" t="s">
        <v>8</v>
      </c>
      <c r="GG2" s="2" t="s">
        <v>9</v>
      </c>
      <c r="GH2" s="56" t="s">
        <v>10</v>
      </c>
      <c r="GI2" s="56" t="s">
        <v>4</v>
      </c>
      <c r="GJ2" s="2" t="s">
        <v>5</v>
      </c>
      <c r="GK2" s="2" t="s">
        <v>249</v>
      </c>
      <c r="GL2" s="2" t="s">
        <v>7</v>
      </c>
      <c r="GM2" s="2" t="s">
        <v>8</v>
      </c>
      <c r="GN2" s="2" t="s">
        <v>9</v>
      </c>
    </row>
    <row r="3" spans="1:196" x14ac:dyDescent="0.25">
      <c r="B3" s="57">
        <v>1</v>
      </c>
      <c r="C3" s="163">
        <v>2</v>
      </c>
      <c r="D3">
        <v>3</v>
      </c>
      <c r="E3">
        <v>4</v>
      </c>
      <c r="F3">
        <v>5</v>
      </c>
      <c r="G3">
        <v>6</v>
      </c>
      <c r="H3" s="57">
        <v>7</v>
      </c>
      <c r="I3" s="57">
        <v>8</v>
      </c>
      <c r="J3">
        <v>9</v>
      </c>
      <c r="K3">
        <v>10</v>
      </c>
      <c r="L3">
        <v>11</v>
      </c>
      <c r="M3">
        <v>12</v>
      </c>
      <c r="N3">
        <v>13</v>
      </c>
      <c r="O3" s="57">
        <v>14</v>
      </c>
      <c r="P3" s="57">
        <v>15</v>
      </c>
      <c r="Q3">
        <v>16</v>
      </c>
      <c r="R3">
        <v>17</v>
      </c>
      <c r="S3">
        <v>18</v>
      </c>
      <c r="T3">
        <v>19</v>
      </c>
      <c r="U3">
        <v>20</v>
      </c>
      <c r="V3" s="57">
        <v>21</v>
      </c>
      <c r="W3" s="57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 s="57">
        <v>28</v>
      </c>
      <c r="AD3" s="57">
        <v>29</v>
      </c>
      <c r="AE3">
        <v>30</v>
      </c>
      <c r="AF3">
        <v>31</v>
      </c>
      <c r="AG3">
        <v>1</v>
      </c>
      <c r="AH3">
        <v>2</v>
      </c>
      <c r="AI3">
        <v>3</v>
      </c>
      <c r="AJ3" s="57">
        <v>4</v>
      </c>
      <c r="AK3" s="57">
        <v>5</v>
      </c>
      <c r="AL3">
        <v>6</v>
      </c>
      <c r="AM3">
        <v>7</v>
      </c>
      <c r="AN3">
        <v>8</v>
      </c>
      <c r="AO3">
        <v>9</v>
      </c>
      <c r="AP3">
        <v>10</v>
      </c>
      <c r="AQ3" s="57">
        <v>11</v>
      </c>
      <c r="AR3" s="57">
        <v>12</v>
      </c>
      <c r="AS3">
        <v>13</v>
      </c>
      <c r="AT3">
        <v>14</v>
      </c>
      <c r="AU3">
        <v>15</v>
      </c>
      <c r="AV3">
        <v>16</v>
      </c>
      <c r="AW3">
        <v>17</v>
      </c>
      <c r="AX3" s="57">
        <v>18</v>
      </c>
      <c r="AY3" s="57">
        <v>19</v>
      </c>
      <c r="AZ3">
        <v>20</v>
      </c>
      <c r="BA3">
        <v>21</v>
      </c>
      <c r="BB3">
        <v>22</v>
      </c>
      <c r="BC3">
        <v>23</v>
      </c>
      <c r="BD3">
        <v>24</v>
      </c>
      <c r="BE3" s="57">
        <v>25</v>
      </c>
      <c r="BF3" s="57">
        <v>26</v>
      </c>
      <c r="BG3">
        <v>27</v>
      </c>
      <c r="BH3">
        <v>28</v>
      </c>
      <c r="BI3">
        <v>1</v>
      </c>
      <c r="BJ3">
        <v>2</v>
      </c>
      <c r="BK3">
        <v>3</v>
      </c>
      <c r="BL3" s="57">
        <v>4</v>
      </c>
      <c r="BM3" s="57">
        <v>5</v>
      </c>
      <c r="BN3">
        <v>6</v>
      </c>
      <c r="BO3">
        <v>7</v>
      </c>
      <c r="BP3">
        <v>8</v>
      </c>
      <c r="BQ3">
        <v>9</v>
      </c>
      <c r="BR3">
        <v>10</v>
      </c>
      <c r="BS3" s="57">
        <v>11</v>
      </c>
      <c r="BT3" s="57">
        <v>12</v>
      </c>
      <c r="BU3">
        <v>13</v>
      </c>
      <c r="BV3">
        <v>14</v>
      </c>
      <c r="BW3">
        <v>15</v>
      </c>
      <c r="BX3">
        <v>16</v>
      </c>
      <c r="BY3">
        <v>17</v>
      </c>
      <c r="BZ3" s="57">
        <v>18</v>
      </c>
      <c r="CA3" s="57">
        <v>19</v>
      </c>
      <c r="CB3">
        <v>20</v>
      </c>
      <c r="CC3">
        <v>21</v>
      </c>
      <c r="CD3">
        <v>22</v>
      </c>
      <c r="CE3">
        <v>23</v>
      </c>
      <c r="CF3">
        <v>24</v>
      </c>
      <c r="CG3" s="57">
        <v>25</v>
      </c>
      <c r="CH3" s="57">
        <v>26</v>
      </c>
      <c r="CI3">
        <v>27</v>
      </c>
      <c r="CJ3">
        <v>28</v>
      </c>
      <c r="CK3">
        <v>29</v>
      </c>
      <c r="CL3">
        <v>30</v>
      </c>
      <c r="CM3">
        <v>31</v>
      </c>
      <c r="CN3" s="57">
        <v>1</v>
      </c>
      <c r="CO3" s="57">
        <v>2</v>
      </c>
      <c r="CP3">
        <v>3</v>
      </c>
      <c r="CQ3">
        <v>4</v>
      </c>
      <c r="CR3" s="2">
        <v>5</v>
      </c>
      <c r="CS3" s="2">
        <v>6</v>
      </c>
      <c r="CT3" s="2">
        <v>7</v>
      </c>
      <c r="CU3" s="56">
        <v>8</v>
      </c>
      <c r="CV3" s="56">
        <v>9</v>
      </c>
      <c r="CW3" s="2">
        <v>10</v>
      </c>
      <c r="CX3" s="2">
        <v>11</v>
      </c>
      <c r="CY3" s="2">
        <v>12</v>
      </c>
      <c r="CZ3" s="2">
        <v>13</v>
      </c>
      <c r="DA3" s="2">
        <v>14</v>
      </c>
      <c r="DB3" s="56">
        <v>15</v>
      </c>
      <c r="DC3" s="56">
        <v>16</v>
      </c>
      <c r="DD3" s="2">
        <v>17</v>
      </c>
      <c r="DE3" s="2">
        <v>18</v>
      </c>
      <c r="DF3" s="2">
        <v>19</v>
      </c>
      <c r="DG3" s="2">
        <v>20</v>
      </c>
      <c r="DH3" s="2">
        <v>21</v>
      </c>
      <c r="DI3" s="56">
        <v>22</v>
      </c>
      <c r="DJ3" s="56">
        <v>23</v>
      </c>
      <c r="DK3" s="2">
        <v>24</v>
      </c>
      <c r="DL3" s="2">
        <v>25</v>
      </c>
      <c r="DM3" s="2">
        <v>26</v>
      </c>
      <c r="DN3" s="2">
        <v>27</v>
      </c>
      <c r="DO3" s="2">
        <v>28</v>
      </c>
      <c r="DP3" s="56">
        <v>29</v>
      </c>
      <c r="DQ3" s="56">
        <v>30</v>
      </c>
      <c r="DR3" s="2">
        <v>1</v>
      </c>
      <c r="DS3" s="2">
        <v>2</v>
      </c>
      <c r="DT3" s="2">
        <v>3</v>
      </c>
      <c r="DU3" s="2">
        <v>4</v>
      </c>
      <c r="DV3" s="2">
        <v>5</v>
      </c>
      <c r="DW3" s="56">
        <v>6</v>
      </c>
      <c r="DX3" s="56">
        <v>7</v>
      </c>
      <c r="DY3" s="2">
        <v>8</v>
      </c>
      <c r="DZ3" s="2">
        <v>9</v>
      </c>
      <c r="EA3" s="2">
        <v>10</v>
      </c>
      <c r="EB3" s="2">
        <v>11</v>
      </c>
      <c r="EC3" s="2">
        <v>12</v>
      </c>
      <c r="ED3" s="56">
        <v>13</v>
      </c>
      <c r="EE3" s="56">
        <v>14</v>
      </c>
      <c r="EF3" s="2">
        <v>15</v>
      </c>
      <c r="EG3" s="2">
        <v>16</v>
      </c>
      <c r="EH3" s="2">
        <v>17</v>
      </c>
      <c r="EI3" s="2">
        <v>18</v>
      </c>
      <c r="EJ3" s="2">
        <v>19</v>
      </c>
      <c r="EK3" s="56">
        <v>20</v>
      </c>
      <c r="EL3" s="56">
        <v>21</v>
      </c>
      <c r="EM3" s="2">
        <v>22</v>
      </c>
      <c r="EN3" s="2">
        <v>23</v>
      </c>
      <c r="EO3" s="2">
        <v>24</v>
      </c>
      <c r="EP3" s="2">
        <v>25</v>
      </c>
      <c r="EQ3" s="2">
        <v>26</v>
      </c>
      <c r="ER3" s="56">
        <v>27</v>
      </c>
      <c r="ES3" s="56">
        <v>28</v>
      </c>
      <c r="ET3" s="162">
        <v>29</v>
      </c>
      <c r="EU3" s="2">
        <v>30</v>
      </c>
      <c r="EV3" s="2">
        <v>31</v>
      </c>
      <c r="EW3" s="2">
        <v>1</v>
      </c>
      <c r="EX3" s="2">
        <v>2</v>
      </c>
      <c r="EY3" s="56">
        <v>3</v>
      </c>
      <c r="EZ3" s="56">
        <v>4</v>
      </c>
      <c r="FA3" s="2">
        <v>5</v>
      </c>
      <c r="FB3" s="2">
        <v>6</v>
      </c>
      <c r="FC3" s="2">
        <v>7</v>
      </c>
      <c r="FD3" s="2">
        <v>8</v>
      </c>
      <c r="FE3" s="2">
        <v>9</v>
      </c>
      <c r="FF3" s="56">
        <v>10</v>
      </c>
      <c r="FG3" s="56">
        <v>11</v>
      </c>
      <c r="FH3" s="2">
        <v>12</v>
      </c>
      <c r="FI3" s="2">
        <v>13</v>
      </c>
      <c r="FJ3" s="2">
        <v>14</v>
      </c>
      <c r="FK3" s="2">
        <v>15</v>
      </c>
      <c r="FL3" s="2">
        <v>16</v>
      </c>
      <c r="FM3" s="56">
        <v>17</v>
      </c>
      <c r="FN3" s="56">
        <v>18</v>
      </c>
      <c r="FO3" s="2">
        <v>19</v>
      </c>
      <c r="FP3" s="2">
        <v>20</v>
      </c>
      <c r="FQ3" s="2">
        <v>21</v>
      </c>
      <c r="FR3" s="2">
        <v>22</v>
      </c>
      <c r="FS3" s="2">
        <v>23</v>
      </c>
      <c r="FT3" s="56">
        <v>24</v>
      </c>
      <c r="FU3" s="56">
        <v>25</v>
      </c>
      <c r="FV3" s="2">
        <v>26</v>
      </c>
      <c r="FW3" s="2">
        <v>27</v>
      </c>
      <c r="FX3" s="2">
        <v>28</v>
      </c>
      <c r="FY3" s="2">
        <v>29</v>
      </c>
      <c r="FZ3" s="2">
        <v>30</v>
      </c>
      <c r="GA3" s="56">
        <v>1</v>
      </c>
      <c r="GB3" s="56">
        <v>2</v>
      </c>
      <c r="GC3" s="2">
        <v>3</v>
      </c>
      <c r="GD3" s="162">
        <v>4</v>
      </c>
      <c r="GE3" s="2">
        <v>5</v>
      </c>
      <c r="GF3" s="2">
        <v>6</v>
      </c>
      <c r="GG3" s="2">
        <v>7</v>
      </c>
      <c r="GH3" s="56">
        <v>8</v>
      </c>
      <c r="GI3" s="56">
        <v>9</v>
      </c>
      <c r="GJ3" s="2">
        <v>10</v>
      </c>
      <c r="GK3" s="2">
        <v>11</v>
      </c>
      <c r="GL3" s="2">
        <v>12</v>
      </c>
      <c r="GM3" s="2">
        <v>13</v>
      </c>
      <c r="GN3" s="2">
        <v>14</v>
      </c>
    </row>
    <row r="4" spans="1:196" x14ac:dyDescent="0.25">
      <c r="A4" s="58" t="s">
        <v>11</v>
      </c>
      <c r="B4" s="57"/>
      <c r="C4" s="163"/>
      <c r="D4" s="183" t="s">
        <v>12</v>
      </c>
      <c r="E4" s="184"/>
      <c r="F4" s="184"/>
      <c r="G4" s="185"/>
      <c r="H4" s="57"/>
      <c r="I4" s="57"/>
      <c r="O4" s="57"/>
      <c r="P4" s="57"/>
      <c r="V4" s="57"/>
      <c r="W4" s="57"/>
      <c r="AC4" s="57"/>
      <c r="AD4" s="57"/>
      <c r="AJ4" s="57"/>
      <c r="AK4" s="57"/>
      <c r="AQ4" s="57"/>
      <c r="AR4" s="57"/>
      <c r="AX4" s="57"/>
      <c r="AY4" s="57"/>
      <c r="BE4" s="57"/>
      <c r="BF4" s="57"/>
      <c r="BL4" s="57"/>
      <c r="BM4" s="57"/>
      <c r="BS4" s="57"/>
      <c r="BT4" s="57"/>
      <c r="BZ4" s="57"/>
      <c r="CA4" s="57"/>
      <c r="CG4" s="57"/>
      <c r="CH4" s="57"/>
      <c r="CN4" s="57"/>
      <c r="CO4" s="57"/>
      <c r="CU4" s="57"/>
      <c r="CV4" s="57"/>
      <c r="DB4" s="56"/>
      <c r="DC4" s="56"/>
      <c r="DI4" s="56"/>
      <c r="DJ4" s="56"/>
      <c r="DP4" s="56"/>
      <c r="DQ4" s="56"/>
      <c r="DW4" s="56"/>
      <c r="DX4" s="56"/>
      <c r="ED4" s="56"/>
      <c r="EE4" s="56"/>
      <c r="EK4" s="56"/>
      <c r="EL4" s="56"/>
      <c r="ER4" s="56"/>
      <c r="ES4" s="56"/>
      <c r="ET4" s="163"/>
      <c r="EY4" s="56"/>
      <c r="EZ4" s="56"/>
      <c r="FF4" s="56"/>
      <c r="FG4" s="56"/>
      <c r="FM4" s="56"/>
      <c r="FN4" s="56"/>
      <c r="FT4" s="56"/>
      <c r="FU4" s="56"/>
      <c r="GA4" s="56"/>
      <c r="GB4" s="56"/>
      <c r="GD4" s="163"/>
      <c r="GH4" s="56"/>
      <c r="GI4" s="56"/>
    </row>
    <row r="5" spans="1:196" x14ac:dyDescent="0.25">
      <c r="A5" s="59" t="s">
        <v>255</v>
      </c>
      <c r="B5" s="57"/>
      <c r="C5" s="163"/>
      <c r="H5" s="57"/>
      <c r="I5" s="57"/>
      <c r="J5" s="186" t="s">
        <v>277</v>
      </c>
      <c r="K5" s="187"/>
      <c r="L5" s="187"/>
      <c r="M5" s="187"/>
      <c r="N5" s="188"/>
      <c r="O5" s="57"/>
      <c r="P5" s="57"/>
      <c r="V5" s="57"/>
      <c r="W5" s="57"/>
      <c r="AC5" s="57"/>
      <c r="AD5" s="57"/>
      <c r="AJ5" s="57"/>
      <c r="AK5" s="57"/>
      <c r="AQ5" s="57"/>
      <c r="AR5" s="57"/>
      <c r="AX5" s="57"/>
      <c r="AY5" s="57"/>
      <c r="BE5" s="57"/>
      <c r="BF5" s="57"/>
      <c r="BL5" s="57"/>
      <c r="BM5" s="57"/>
      <c r="BS5" s="57"/>
      <c r="BT5" s="57"/>
      <c r="BZ5" s="57"/>
      <c r="CA5" s="57"/>
      <c r="CG5" s="57"/>
      <c r="CH5" s="57"/>
      <c r="CN5" s="57"/>
      <c r="CO5" s="57"/>
      <c r="CU5" s="57"/>
      <c r="CV5" s="57"/>
      <c r="DB5" s="56"/>
      <c r="DC5" s="56"/>
      <c r="DI5" s="56"/>
      <c r="DJ5" s="56"/>
      <c r="DP5" s="56"/>
      <c r="DQ5" s="56"/>
      <c r="DW5" s="56"/>
      <c r="DX5" s="56"/>
      <c r="ED5" s="56"/>
      <c r="EE5" s="56"/>
      <c r="EK5" s="56"/>
      <c r="EL5" s="56"/>
      <c r="ER5" s="56"/>
      <c r="ES5" s="56"/>
      <c r="ET5" s="163"/>
      <c r="EY5" s="56"/>
      <c r="EZ5" s="56"/>
      <c r="FF5" s="56"/>
      <c r="FG5" s="56"/>
      <c r="FM5" s="56"/>
      <c r="FN5" s="56"/>
      <c r="FT5" s="56"/>
      <c r="FU5" s="56"/>
      <c r="GA5" s="56"/>
      <c r="GB5" s="56"/>
      <c r="GD5" s="163"/>
      <c r="GH5" s="56"/>
      <c r="GI5" s="56"/>
    </row>
    <row r="6" spans="1:196" x14ac:dyDescent="0.25">
      <c r="A6" s="59" t="s">
        <v>256</v>
      </c>
      <c r="B6" s="57"/>
      <c r="C6" s="163"/>
      <c r="H6" s="57"/>
      <c r="I6" s="57"/>
      <c r="O6" s="57"/>
      <c r="P6" s="57"/>
      <c r="Q6" s="186" t="s">
        <v>290</v>
      </c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8"/>
      <c r="AC6" s="57"/>
      <c r="AD6" s="57"/>
      <c r="AJ6" s="57"/>
      <c r="AK6" s="57"/>
      <c r="AQ6" s="57"/>
      <c r="AR6" s="57"/>
      <c r="AX6" s="57"/>
      <c r="AY6" s="57"/>
      <c r="BE6" s="57"/>
      <c r="BF6" s="57"/>
      <c r="BL6" s="57"/>
      <c r="BM6" s="57"/>
      <c r="BS6" s="57"/>
      <c r="BT6" s="57"/>
      <c r="BZ6" s="57"/>
      <c r="CA6" s="57"/>
      <c r="CG6" s="57"/>
      <c r="CH6" s="57"/>
      <c r="CN6" s="57"/>
      <c r="CO6" s="57"/>
      <c r="CU6" s="57"/>
      <c r="CV6" s="57"/>
      <c r="DB6" s="56"/>
      <c r="DC6" s="56"/>
      <c r="DI6" s="56"/>
      <c r="DJ6" s="56"/>
      <c r="DP6" s="56"/>
      <c r="DQ6" s="56"/>
      <c r="DW6" s="56"/>
      <c r="DX6" s="56"/>
      <c r="ED6" s="56"/>
      <c r="EE6" s="56"/>
      <c r="EK6" s="56"/>
      <c r="EL6" s="56"/>
      <c r="ER6" s="56"/>
      <c r="ES6" s="56"/>
      <c r="ET6" s="163"/>
      <c r="EY6" s="56"/>
      <c r="EZ6" s="56"/>
      <c r="FF6" s="56"/>
      <c r="FG6" s="56"/>
      <c r="FM6" s="56"/>
      <c r="FN6" s="56"/>
      <c r="FT6" s="56"/>
      <c r="FU6" s="56"/>
      <c r="GA6" s="56"/>
      <c r="GB6" s="56"/>
      <c r="GD6" s="163"/>
      <c r="GH6" s="56"/>
      <c r="GI6" s="56"/>
    </row>
    <row r="7" spans="1:196" x14ac:dyDescent="0.25">
      <c r="A7" s="59" t="s">
        <v>257</v>
      </c>
      <c r="B7" s="57"/>
      <c r="C7" s="163"/>
      <c r="H7" s="57"/>
      <c r="I7" s="57"/>
      <c r="O7" s="57"/>
      <c r="P7" s="57"/>
      <c r="V7" s="57"/>
      <c r="W7" s="57"/>
      <c r="AC7" s="57"/>
      <c r="AD7" s="57"/>
      <c r="AE7" s="186" t="s">
        <v>291</v>
      </c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8"/>
      <c r="AQ7" s="57"/>
      <c r="AR7" s="57"/>
      <c r="AX7" s="57"/>
      <c r="AY7" s="57"/>
      <c r="BE7" s="57"/>
      <c r="BF7" s="57"/>
      <c r="BL7" s="57"/>
      <c r="BM7" s="57"/>
      <c r="BS7" s="57"/>
      <c r="BT7" s="57"/>
      <c r="BZ7" s="57"/>
      <c r="CA7" s="57"/>
      <c r="CG7" s="57"/>
      <c r="CH7" s="57"/>
      <c r="CN7" s="57"/>
      <c r="CO7" s="57"/>
      <c r="CU7" s="57"/>
      <c r="CV7" s="57"/>
      <c r="DB7" s="56"/>
      <c r="DC7" s="56"/>
      <c r="DI7" s="56"/>
      <c r="DJ7" s="56"/>
      <c r="DP7" s="56"/>
      <c r="DQ7" s="56"/>
      <c r="DW7" s="56"/>
      <c r="DX7" s="56"/>
      <c r="ED7" s="56"/>
      <c r="EE7" s="56"/>
      <c r="EK7" s="56"/>
      <c r="EL7" s="56"/>
      <c r="ER7" s="56"/>
      <c r="ES7" s="56"/>
      <c r="ET7" s="163"/>
      <c r="EY7" s="56"/>
      <c r="EZ7" s="56"/>
      <c r="FF7" s="56"/>
      <c r="FG7" s="56"/>
      <c r="FM7" s="56"/>
      <c r="FN7" s="56"/>
      <c r="FT7" s="56"/>
      <c r="FU7" s="56"/>
      <c r="GA7" s="56"/>
      <c r="GB7" s="56"/>
      <c r="GD7" s="163"/>
      <c r="GH7" s="56"/>
      <c r="GI7" s="56"/>
    </row>
    <row r="8" spans="1:196" x14ac:dyDescent="0.25">
      <c r="A8" s="59" t="s">
        <v>258</v>
      </c>
      <c r="B8" s="57"/>
      <c r="C8" s="163"/>
      <c r="H8" s="57"/>
      <c r="I8" s="57"/>
      <c r="O8" s="57"/>
      <c r="P8" s="57"/>
      <c r="V8" s="57"/>
      <c r="W8" s="57"/>
      <c r="AC8" s="57"/>
      <c r="AD8" s="57"/>
      <c r="AJ8" s="57"/>
      <c r="AK8" s="57"/>
      <c r="AQ8" s="57"/>
      <c r="AR8" s="57"/>
      <c r="AS8" s="186" t="s">
        <v>292</v>
      </c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8"/>
      <c r="BE8" s="57"/>
      <c r="BF8" s="57"/>
      <c r="BL8" s="57"/>
      <c r="BM8" s="57"/>
      <c r="BS8" s="57"/>
      <c r="BT8" s="57"/>
      <c r="BZ8" s="57"/>
      <c r="CA8" s="57"/>
      <c r="CG8" s="57"/>
      <c r="CH8" s="57"/>
      <c r="CN8" s="57"/>
      <c r="CO8" s="57"/>
      <c r="CU8" s="57"/>
      <c r="CV8" s="57"/>
      <c r="DB8" s="56"/>
      <c r="DC8" s="56"/>
      <c r="DI8" s="56"/>
      <c r="DJ8" s="56"/>
      <c r="DP8" s="56"/>
      <c r="DQ8" s="56"/>
      <c r="DW8" s="56"/>
      <c r="DX8" s="56"/>
      <c r="ED8" s="56"/>
      <c r="EE8" s="56"/>
      <c r="EK8" s="56"/>
      <c r="EL8" s="56"/>
      <c r="ER8" s="56"/>
      <c r="ES8" s="56"/>
      <c r="ET8" s="163"/>
      <c r="EY8" s="56"/>
      <c r="EZ8" s="56"/>
      <c r="FF8" s="56"/>
      <c r="FG8" s="56"/>
      <c r="FM8" s="56"/>
      <c r="FN8" s="56"/>
      <c r="FT8" s="56"/>
      <c r="FU8" s="56"/>
      <c r="GA8" s="56"/>
      <c r="GB8" s="56"/>
      <c r="GD8" s="163"/>
      <c r="GH8" s="56"/>
      <c r="GI8" s="56"/>
    </row>
    <row r="9" spans="1:196" x14ac:dyDescent="0.25">
      <c r="A9" s="59" t="s">
        <v>259</v>
      </c>
      <c r="B9" s="57"/>
      <c r="C9" s="163"/>
      <c r="H9" s="57"/>
      <c r="I9" s="57"/>
      <c r="O9" s="57"/>
      <c r="P9" s="57"/>
      <c r="V9" s="57"/>
      <c r="W9" s="57"/>
      <c r="AC9" s="57"/>
      <c r="AD9" s="57"/>
      <c r="AJ9" s="57"/>
      <c r="AK9" s="57"/>
      <c r="AQ9" s="57"/>
      <c r="AR9" s="57"/>
      <c r="AX9" s="57"/>
      <c r="AY9" s="57"/>
      <c r="BE9" s="57"/>
      <c r="BF9" s="57"/>
      <c r="BG9" s="186" t="s">
        <v>293</v>
      </c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8"/>
      <c r="BS9" s="57"/>
      <c r="BT9" s="57"/>
      <c r="BZ9" s="57"/>
      <c r="CA9" s="57"/>
      <c r="CG9" s="57"/>
      <c r="CH9" s="57"/>
      <c r="CN9" s="57"/>
      <c r="CO9" s="57"/>
      <c r="CU9" s="57"/>
      <c r="CV9" s="57"/>
      <c r="DB9" s="56"/>
      <c r="DC9" s="56"/>
      <c r="DI9" s="56"/>
      <c r="DJ9" s="56"/>
      <c r="DP9" s="56"/>
      <c r="DQ9" s="56"/>
      <c r="DW9" s="56"/>
      <c r="DX9" s="56"/>
      <c r="ED9" s="56"/>
      <c r="EE9" s="56"/>
      <c r="EK9" s="56"/>
      <c r="EL9" s="56"/>
      <c r="ER9" s="56"/>
      <c r="ES9" s="56"/>
      <c r="ET9" s="163"/>
      <c r="EY9" s="56"/>
      <c r="EZ9" s="56"/>
      <c r="FF9" s="56"/>
      <c r="FG9" s="56"/>
      <c r="FM9" s="56"/>
      <c r="FN9" s="56"/>
      <c r="FT9" s="56"/>
      <c r="FU9" s="56"/>
      <c r="GA9" s="56"/>
      <c r="GB9" s="56"/>
      <c r="GD9" s="163"/>
      <c r="GH9" s="56"/>
      <c r="GI9" s="56"/>
    </row>
    <row r="10" spans="1:196" x14ac:dyDescent="0.25">
      <c r="A10" s="59" t="s">
        <v>260</v>
      </c>
      <c r="B10" s="57"/>
      <c r="C10" s="163"/>
      <c r="H10" s="57"/>
      <c r="I10" s="57"/>
      <c r="O10" s="57"/>
      <c r="P10" s="57"/>
      <c r="V10" s="57"/>
      <c r="W10" s="57"/>
      <c r="AC10" s="57"/>
      <c r="AD10" s="57"/>
      <c r="AJ10" s="57"/>
      <c r="AK10" s="57"/>
      <c r="AQ10" s="57"/>
      <c r="AR10" s="57"/>
      <c r="AX10" s="57"/>
      <c r="AY10" s="57"/>
      <c r="BE10" s="57"/>
      <c r="BF10" s="57"/>
      <c r="BL10" s="57"/>
      <c r="BM10" s="57"/>
      <c r="BS10" s="57"/>
      <c r="BT10" s="57"/>
      <c r="BU10" s="186" t="s">
        <v>294</v>
      </c>
      <c r="BV10" s="187"/>
      <c r="BW10" s="187"/>
      <c r="BX10" s="187"/>
      <c r="BY10" s="187"/>
      <c r="BZ10" s="187"/>
      <c r="CA10" s="187"/>
      <c r="CB10" s="187"/>
      <c r="CC10" s="187"/>
      <c r="CD10" s="187"/>
      <c r="CE10" s="187"/>
      <c r="CF10" s="188"/>
      <c r="CG10" s="57"/>
      <c r="CH10" s="57"/>
      <c r="CN10" s="57"/>
      <c r="CO10" s="57"/>
      <c r="CU10" s="57"/>
      <c r="CV10" s="57"/>
      <c r="DB10" s="56"/>
      <c r="DC10" s="56"/>
      <c r="DI10" s="56"/>
      <c r="DJ10" s="56"/>
      <c r="DP10" s="56"/>
      <c r="DQ10" s="56"/>
      <c r="DW10" s="56"/>
      <c r="DX10" s="56"/>
      <c r="ED10" s="56"/>
      <c r="EE10" s="56"/>
      <c r="EK10" s="56"/>
      <c r="EL10" s="56"/>
      <c r="ER10" s="56"/>
      <c r="ES10" s="56"/>
      <c r="ET10" s="163"/>
      <c r="EY10" s="56"/>
      <c r="EZ10" s="56"/>
      <c r="FF10" s="56"/>
      <c r="FG10" s="56"/>
      <c r="FM10" s="56"/>
      <c r="FN10" s="56"/>
      <c r="FT10" s="56"/>
      <c r="FU10" s="56"/>
      <c r="GA10" s="56"/>
      <c r="GB10" s="56"/>
      <c r="GD10" s="163"/>
      <c r="GH10" s="56"/>
      <c r="GI10" s="56"/>
    </row>
    <row r="11" spans="1:196" x14ac:dyDescent="0.25">
      <c r="A11" s="60" t="s">
        <v>244</v>
      </c>
      <c r="B11" s="57"/>
      <c r="C11" s="163"/>
      <c r="D11" s="179" t="s">
        <v>13</v>
      </c>
      <c r="E11" s="180"/>
      <c r="H11" s="57"/>
      <c r="I11" s="57"/>
      <c r="O11" s="57"/>
      <c r="P11" s="57"/>
      <c r="Q11" s="179" t="s">
        <v>14</v>
      </c>
      <c r="R11" s="180"/>
      <c r="V11" s="57"/>
      <c r="W11" s="57"/>
      <c r="AC11" s="57"/>
      <c r="AD11" s="57"/>
      <c r="AE11" s="179" t="s">
        <v>15</v>
      </c>
      <c r="AF11" s="180"/>
      <c r="AJ11" s="57"/>
      <c r="AK11" s="57"/>
      <c r="AQ11" s="57"/>
      <c r="AR11" s="57"/>
      <c r="AS11" s="179" t="s">
        <v>16</v>
      </c>
      <c r="AT11" s="180"/>
      <c r="AX11" s="57"/>
      <c r="AY11" s="57"/>
      <c r="BE11" s="57"/>
      <c r="BF11" s="57"/>
      <c r="BG11" s="179" t="s">
        <v>17</v>
      </c>
      <c r="BH11" s="180"/>
      <c r="BL11" s="57"/>
      <c r="BM11" s="57"/>
      <c r="BS11" s="57"/>
      <c r="BT11" s="57"/>
      <c r="BU11" s="179" t="s">
        <v>18</v>
      </c>
      <c r="BV11" s="180"/>
      <c r="BZ11" s="57"/>
      <c r="CA11" s="57"/>
      <c r="CG11" s="57"/>
      <c r="CH11" s="57"/>
      <c r="CI11" s="181" t="s">
        <v>19</v>
      </c>
      <c r="CJ11" s="182"/>
      <c r="CN11" s="57"/>
      <c r="CO11" s="57"/>
      <c r="CU11" s="57"/>
      <c r="CV11" s="57"/>
      <c r="DB11" s="56"/>
      <c r="DC11" s="56"/>
      <c r="DI11" s="56"/>
      <c r="DJ11" s="56"/>
      <c r="DP11" s="56"/>
      <c r="DQ11" s="56"/>
      <c r="DW11" s="56"/>
      <c r="DX11" s="56"/>
      <c r="ED11" s="56"/>
      <c r="EE11" s="56"/>
      <c r="EK11" s="56"/>
      <c r="EL11" s="56"/>
      <c r="ER11" s="56"/>
      <c r="ES11" s="56"/>
      <c r="ET11" s="163"/>
      <c r="EY11" s="56"/>
      <c r="EZ11" s="56"/>
      <c r="FF11" s="56"/>
      <c r="FG11" s="56"/>
      <c r="FM11" s="56"/>
      <c r="FN11" s="56"/>
      <c r="FT11" s="56"/>
      <c r="FU11" s="56"/>
      <c r="GA11" s="56"/>
      <c r="GB11" s="56"/>
      <c r="GD11" s="163"/>
      <c r="GH11" s="56"/>
      <c r="GI11" s="56"/>
    </row>
    <row r="12" spans="1:196" x14ac:dyDescent="0.25">
      <c r="A12" s="61" t="s">
        <v>245</v>
      </c>
      <c r="B12" s="57"/>
      <c r="C12" s="163"/>
      <c r="F12" s="153" t="s">
        <v>20</v>
      </c>
      <c r="H12" s="57"/>
      <c r="I12" s="57"/>
      <c r="O12" s="57"/>
      <c r="P12" s="57"/>
      <c r="S12" s="124" t="s">
        <v>21</v>
      </c>
      <c r="V12" s="57"/>
      <c r="W12" s="57"/>
      <c r="AC12" s="57"/>
      <c r="AD12" s="57"/>
      <c r="AG12" s="124" t="s">
        <v>22</v>
      </c>
      <c r="AJ12" s="57"/>
      <c r="AK12" s="57"/>
      <c r="AQ12" s="57"/>
      <c r="AR12" s="57"/>
      <c r="AU12" s="124" t="s">
        <v>23</v>
      </c>
      <c r="AX12" s="57"/>
      <c r="AY12" s="57"/>
      <c r="BE12" s="57"/>
      <c r="BF12" s="57"/>
      <c r="BI12" s="124" t="s">
        <v>24</v>
      </c>
      <c r="BL12" s="57"/>
      <c r="BM12" s="57"/>
      <c r="BS12" s="57"/>
      <c r="BT12" s="57"/>
      <c r="BW12" s="124" t="s">
        <v>25</v>
      </c>
      <c r="BZ12" s="57"/>
      <c r="CA12" s="57"/>
      <c r="CG12" s="57"/>
      <c r="CH12" s="57"/>
      <c r="CK12" s="124" t="s">
        <v>26</v>
      </c>
      <c r="CN12" s="57"/>
      <c r="CO12" s="57"/>
      <c r="CU12" s="57"/>
      <c r="CV12" s="57"/>
      <c r="DB12" s="56"/>
      <c r="DC12" s="56"/>
      <c r="DI12" s="56"/>
      <c r="DJ12" s="56"/>
      <c r="DP12" s="56"/>
      <c r="DQ12" s="56"/>
      <c r="DW12" s="56"/>
      <c r="DX12" s="56"/>
      <c r="ED12" s="56"/>
      <c r="EE12" s="56"/>
      <c r="EK12" s="56"/>
      <c r="EL12" s="56"/>
      <c r="ER12" s="56"/>
      <c r="ES12" s="56"/>
      <c r="ET12" s="163"/>
      <c r="EY12" s="56"/>
      <c r="EZ12" s="56"/>
      <c r="FF12" s="56"/>
      <c r="FG12" s="56"/>
      <c r="FM12" s="56"/>
      <c r="FN12" s="56"/>
      <c r="FT12" s="56"/>
      <c r="FU12" s="56"/>
      <c r="GA12" s="56"/>
      <c r="GB12" s="56"/>
      <c r="GD12" s="163"/>
      <c r="GH12" s="56"/>
      <c r="GI12" s="56"/>
    </row>
    <row r="13" spans="1:196" s="150" customFormat="1" x14ac:dyDescent="0.25">
      <c r="A13" s="152" t="s">
        <v>242</v>
      </c>
      <c r="B13" s="56"/>
      <c r="C13" s="163"/>
      <c r="F13" s="154" t="s">
        <v>241</v>
      </c>
      <c r="H13" s="56"/>
      <c r="I13" s="56"/>
      <c r="O13" s="56"/>
      <c r="P13" s="56"/>
      <c r="S13" s="151"/>
      <c r="T13" s="154" t="s">
        <v>240</v>
      </c>
      <c r="V13" s="56"/>
      <c r="W13" s="56"/>
      <c r="AC13" s="56"/>
      <c r="AD13" s="56"/>
      <c r="AG13" s="151"/>
      <c r="AH13" s="154" t="s">
        <v>241</v>
      </c>
      <c r="AJ13" s="56"/>
      <c r="AK13" s="56"/>
      <c r="AQ13" s="56"/>
      <c r="AR13" s="56"/>
      <c r="AU13" s="151"/>
      <c r="AV13" s="154" t="s">
        <v>240</v>
      </c>
      <c r="AX13" s="56"/>
      <c r="AY13" s="56"/>
      <c r="BE13" s="56"/>
      <c r="BF13" s="56"/>
      <c r="BI13" s="151"/>
      <c r="BJ13" s="154" t="s">
        <v>241</v>
      </c>
      <c r="BL13" s="56"/>
      <c r="BM13" s="56"/>
      <c r="BS13" s="56"/>
      <c r="BT13" s="56"/>
      <c r="BW13" s="151"/>
      <c r="BX13" s="154" t="s">
        <v>240</v>
      </c>
      <c r="BZ13" s="56"/>
      <c r="CA13" s="56"/>
      <c r="CG13" s="56"/>
      <c r="CH13" s="56"/>
      <c r="CK13" s="151"/>
      <c r="CN13" s="56"/>
      <c r="CO13" s="56"/>
      <c r="CS13" s="154" t="s">
        <v>241</v>
      </c>
      <c r="CU13" s="56"/>
      <c r="CV13" s="56"/>
      <c r="DB13" s="56"/>
      <c r="DC13" s="56"/>
      <c r="DG13" s="154" t="s">
        <v>240</v>
      </c>
      <c r="DI13" s="56"/>
      <c r="DJ13" s="56"/>
      <c r="DP13" s="56"/>
      <c r="DQ13" s="56"/>
      <c r="DU13" s="154" t="s">
        <v>241</v>
      </c>
      <c r="DW13" s="56"/>
      <c r="DX13" s="56"/>
      <c r="ED13" s="56"/>
      <c r="EE13" s="56"/>
      <c r="EI13" s="154" t="s">
        <v>240</v>
      </c>
      <c r="EK13" s="56"/>
      <c r="EL13" s="56"/>
      <c r="ER13" s="56"/>
      <c r="ES13" s="56"/>
      <c r="ET13" s="163"/>
      <c r="EW13" s="154" t="s">
        <v>241</v>
      </c>
      <c r="EY13" s="56"/>
      <c r="EZ13" s="56"/>
      <c r="FF13" s="56"/>
      <c r="FG13" s="56"/>
      <c r="FK13" s="154" t="s">
        <v>240</v>
      </c>
      <c r="FM13" s="56"/>
      <c r="FN13" s="56"/>
      <c r="FT13" s="56"/>
      <c r="FU13" s="56"/>
      <c r="GA13" s="56"/>
      <c r="GB13" s="56"/>
      <c r="GD13" s="163"/>
      <c r="GH13" s="56"/>
      <c r="GI13" s="56"/>
    </row>
    <row r="14" spans="1:196" s="155" customFormat="1" x14ac:dyDescent="0.25">
      <c r="A14" s="157" t="s">
        <v>243</v>
      </c>
      <c r="B14" s="56"/>
      <c r="C14" s="161" t="s">
        <v>251</v>
      </c>
      <c r="F14" s="156"/>
      <c r="H14" s="56"/>
      <c r="I14" s="56"/>
      <c r="O14" s="56"/>
      <c r="P14" s="56"/>
      <c r="S14" s="156"/>
      <c r="T14" s="156"/>
      <c r="V14" s="56"/>
      <c r="W14" s="56"/>
      <c r="AC14" s="56"/>
      <c r="AD14" s="56"/>
      <c r="AG14" s="156"/>
      <c r="AH14" s="156"/>
      <c r="AJ14" s="56"/>
      <c r="AK14" s="56"/>
      <c r="AQ14" s="56"/>
      <c r="AR14" s="56"/>
      <c r="AU14" s="156"/>
      <c r="AV14" s="156"/>
      <c r="AX14" s="56"/>
      <c r="AY14" s="56"/>
      <c r="BE14" s="56"/>
      <c r="BF14" s="56"/>
      <c r="BI14" s="156"/>
      <c r="BJ14" s="156"/>
      <c r="BL14" s="56"/>
      <c r="BM14" s="56"/>
      <c r="BS14" s="56"/>
      <c r="BT14" s="56"/>
      <c r="BW14" s="156"/>
      <c r="BX14" s="156"/>
      <c r="BZ14" s="56"/>
      <c r="CA14" s="56"/>
      <c r="CG14" s="56"/>
      <c r="CH14" s="56"/>
      <c r="CK14" s="156"/>
      <c r="CN14" s="56"/>
      <c r="CO14" s="56"/>
      <c r="CS14" s="156"/>
      <c r="CU14" s="56"/>
      <c r="CV14" s="56"/>
      <c r="DB14" s="56"/>
      <c r="DC14" s="56"/>
      <c r="DI14" s="56"/>
      <c r="DJ14" s="56"/>
      <c r="DP14" s="56"/>
      <c r="DQ14" s="56"/>
      <c r="DW14" s="56"/>
      <c r="DX14" s="56"/>
      <c r="ED14" s="56"/>
      <c r="EE14" s="56"/>
      <c r="EK14" s="56"/>
      <c r="EL14" s="56"/>
      <c r="ER14" s="56"/>
      <c r="ES14" s="56"/>
      <c r="ET14" s="161" t="s">
        <v>252</v>
      </c>
      <c r="EY14" s="56"/>
      <c r="EZ14" s="56"/>
      <c r="FF14" s="56"/>
      <c r="FG14" s="56"/>
      <c r="FM14" s="56"/>
      <c r="FN14" s="56"/>
      <c r="FT14" s="56"/>
      <c r="FU14" s="56"/>
      <c r="GA14" s="56"/>
      <c r="GB14" s="56"/>
      <c r="GD14" s="161" t="s">
        <v>252</v>
      </c>
      <c r="GH14" s="56"/>
      <c r="GI14" s="56"/>
    </row>
    <row r="15" spans="1:196" s="155" customFormat="1" x14ac:dyDescent="0.25">
      <c r="A15" s="158"/>
      <c r="F15" s="156"/>
      <c r="S15" s="156"/>
      <c r="T15" s="156"/>
      <c r="AG15" s="156"/>
      <c r="AH15" s="156"/>
      <c r="AU15" s="156"/>
      <c r="AV15" s="156"/>
      <c r="BI15" s="156"/>
      <c r="BJ15" s="156"/>
      <c r="BW15" s="156"/>
      <c r="BX15" s="156"/>
      <c r="CK15" s="156"/>
      <c r="CS15" s="156"/>
    </row>
    <row r="16" spans="1:196" x14ac:dyDescent="0.25">
      <c r="A16" s="145" t="s">
        <v>238</v>
      </c>
      <c r="B16" s="147"/>
      <c r="C16" s="147"/>
      <c r="D16" s="147"/>
      <c r="E16" s="147"/>
      <c r="F16" s="147"/>
      <c r="G16" s="147"/>
      <c r="H16" s="147"/>
      <c r="I16" s="147"/>
      <c r="J16" s="147">
        <v>1</v>
      </c>
      <c r="K16" s="147">
        <v>2</v>
      </c>
      <c r="L16" s="147">
        <v>3</v>
      </c>
      <c r="M16" s="147">
        <v>4</v>
      </c>
      <c r="N16" s="147">
        <v>5</v>
      </c>
      <c r="O16" s="147"/>
      <c r="P16" s="147"/>
      <c r="Q16" s="147">
        <v>6</v>
      </c>
      <c r="R16" s="147">
        <v>7</v>
      </c>
      <c r="S16" s="147">
        <v>8</v>
      </c>
      <c r="T16" s="147">
        <v>9</v>
      </c>
      <c r="U16" s="147">
        <v>10</v>
      </c>
      <c r="V16" s="147"/>
      <c r="W16" s="147"/>
      <c r="X16" s="147">
        <v>11</v>
      </c>
      <c r="Y16" s="147">
        <v>12</v>
      </c>
      <c r="Z16" s="147">
        <v>13</v>
      </c>
      <c r="AA16" s="147">
        <v>14</v>
      </c>
      <c r="AB16" s="147">
        <v>15</v>
      </c>
      <c r="AC16" s="147"/>
      <c r="AD16" s="147"/>
      <c r="AE16" s="147">
        <v>16</v>
      </c>
      <c r="AF16" s="147">
        <v>17</v>
      </c>
      <c r="AG16" s="147">
        <v>18</v>
      </c>
      <c r="AH16" s="147">
        <v>19</v>
      </c>
      <c r="AI16" s="147">
        <v>20</v>
      </c>
      <c r="AJ16" s="147"/>
      <c r="AK16" s="147"/>
      <c r="AL16" s="147">
        <v>21</v>
      </c>
      <c r="AM16" s="147">
        <v>22</v>
      </c>
      <c r="AN16" s="147">
        <v>23</v>
      </c>
      <c r="AO16" s="147">
        <v>24</v>
      </c>
      <c r="AP16" s="147">
        <v>25</v>
      </c>
      <c r="AQ16" s="147"/>
      <c r="AR16" s="147"/>
      <c r="AS16" s="147">
        <v>26</v>
      </c>
      <c r="AT16" s="147">
        <v>27</v>
      </c>
      <c r="AU16" s="147">
        <v>28</v>
      </c>
      <c r="AV16" s="147">
        <v>29</v>
      </c>
      <c r="AW16" s="147">
        <v>30</v>
      </c>
      <c r="AX16" s="147"/>
      <c r="AY16" s="147"/>
      <c r="AZ16" s="147">
        <v>31</v>
      </c>
      <c r="BA16" s="147">
        <v>32</v>
      </c>
      <c r="BB16" s="147">
        <v>33</v>
      </c>
      <c r="BC16" s="147">
        <v>34</v>
      </c>
      <c r="BD16" s="147">
        <v>35</v>
      </c>
      <c r="BE16" s="147"/>
      <c r="BF16" s="147"/>
      <c r="BG16" s="147">
        <v>36</v>
      </c>
      <c r="BH16" s="147">
        <v>37</v>
      </c>
      <c r="BI16" s="147">
        <v>38</v>
      </c>
      <c r="BJ16" s="147">
        <v>39</v>
      </c>
      <c r="BK16" s="147">
        <v>40</v>
      </c>
      <c r="BL16" s="147"/>
      <c r="BM16" s="147"/>
      <c r="BN16" s="147">
        <v>41</v>
      </c>
      <c r="BO16" s="147">
        <v>42</v>
      </c>
      <c r="BP16" s="147">
        <v>43</v>
      </c>
      <c r="BQ16" s="147">
        <v>44</v>
      </c>
      <c r="BR16" s="147">
        <v>45</v>
      </c>
      <c r="BS16" s="147"/>
      <c r="BT16" s="147"/>
      <c r="BU16" s="147">
        <v>46</v>
      </c>
      <c r="BV16" s="147">
        <v>47</v>
      </c>
      <c r="BW16" s="147">
        <v>48</v>
      </c>
      <c r="BX16" s="147">
        <v>49</v>
      </c>
      <c r="BY16" s="147">
        <v>50</v>
      </c>
      <c r="BZ16" s="147"/>
      <c r="CA16" s="147"/>
      <c r="CB16" s="147">
        <v>51</v>
      </c>
      <c r="CC16" s="147">
        <v>52</v>
      </c>
      <c r="CD16" s="147">
        <v>53</v>
      </c>
      <c r="CE16" s="147">
        <v>54</v>
      </c>
      <c r="CF16" s="147">
        <v>55</v>
      </c>
      <c r="CP16" s="147">
        <v>1</v>
      </c>
      <c r="CQ16" s="147">
        <v>2</v>
      </c>
      <c r="CR16" s="147">
        <v>3</v>
      </c>
      <c r="CS16" s="147">
        <v>4</v>
      </c>
      <c r="CT16" s="147">
        <v>5</v>
      </c>
      <c r="CU16" s="147"/>
      <c r="CV16" s="147"/>
      <c r="CW16" s="147">
        <v>6</v>
      </c>
      <c r="CX16" s="147">
        <v>7</v>
      </c>
      <c r="CY16" s="147">
        <v>8</v>
      </c>
      <c r="CZ16" s="147">
        <v>9</v>
      </c>
      <c r="DA16" s="147">
        <v>10</v>
      </c>
      <c r="DB16" s="147"/>
      <c r="DC16" s="147"/>
      <c r="DD16" s="147">
        <v>11</v>
      </c>
      <c r="DE16" s="147">
        <v>12</v>
      </c>
      <c r="DF16" s="147">
        <v>13</v>
      </c>
      <c r="DG16" s="147">
        <v>14</v>
      </c>
      <c r="DH16" s="147">
        <v>15</v>
      </c>
      <c r="DI16" s="147"/>
      <c r="DJ16" s="147"/>
      <c r="DK16" s="147">
        <v>16</v>
      </c>
      <c r="DL16" s="147">
        <v>17</v>
      </c>
      <c r="DM16" s="147">
        <v>18</v>
      </c>
      <c r="DN16" s="147">
        <v>19</v>
      </c>
      <c r="DO16" s="147">
        <v>20</v>
      </c>
      <c r="DP16" s="147"/>
      <c r="DQ16" s="147"/>
      <c r="DR16" s="147">
        <v>21</v>
      </c>
      <c r="DS16" s="147">
        <v>22</v>
      </c>
      <c r="DT16" s="147">
        <v>23</v>
      </c>
      <c r="DU16" s="147">
        <v>24</v>
      </c>
      <c r="DV16" s="147">
        <v>25</v>
      </c>
      <c r="DW16" s="147"/>
      <c r="DX16" s="147"/>
      <c r="DY16" s="147">
        <v>26</v>
      </c>
      <c r="DZ16" s="147">
        <v>27</v>
      </c>
      <c r="EA16" s="147">
        <v>28</v>
      </c>
      <c r="EB16" s="147">
        <v>29</v>
      </c>
      <c r="EC16" s="147">
        <v>30</v>
      </c>
      <c r="ED16" s="147"/>
      <c r="EE16" s="147"/>
      <c r="EF16" s="147">
        <v>31</v>
      </c>
      <c r="EG16" s="147">
        <v>32</v>
      </c>
      <c r="EH16" s="147">
        <v>33</v>
      </c>
      <c r="EI16" s="147">
        <v>34</v>
      </c>
      <c r="EJ16" s="147">
        <v>35</v>
      </c>
      <c r="EK16" s="147"/>
      <c r="EL16" s="147"/>
      <c r="EM16" s="147">
        <v>36</v>
      </c>
      <c r="EN16" s="147">
        <v>37</v>
      </c>
      <c r="EO16" s="147">
        <v>38</v>
      </c>
      <c r="EP16" s="147">
        <v>39</v>
      </c>
      <c r="EQ16" s="147">
        <v>40</v>
      </c>
      <c r="ER16" s="147"/>
      <c r="ES16" s="147"/>
      <c r="ET16" s="147">
        <v>41</v>
      </c>
      <c r="EU16" s="147">
        <v>42</v>
      </c>
      <c r="EV16" s="147">
        <v>43</v>
      </c>
      <c r="EW16" s="147">
        <v>44</v>
      </c>
      <c r="EX16" s="147">
        <v>45</v>
      </c>
      <c r="EY16" s="147"/>
      <c r="EZ16" s="147"/>
      <c r="FA16" s="147">
        <v>46</v>
      </c>
      <c r="FB16" s="147">
        <v>47</v>
      </c>
      <c r="FC16" s="147">
        <v>48</v>
      </c>
      <c r="FD16" s="147">
        <v>49</v>
      </c>
      <c r="FE16" s="147">
        <v>50</v>
      </c>
      <c r="FF16" s="147"/>
      <c r="FG16" s="147"/>
      <c r="FH16" s="147">
        <v>51</v>
      </c>
      <c r="FI16" s="147">
        <v>52</v>
      </c>
      <c r="FJ16" s="147">
        <v>53</v>
      </c>
      <c r="FK16" s="147">
        <v>54</v>
      </c>
      <c r="FL16" s="147">
        <v>55</v>
      </c>
      <c r="FO16" s="147">
        <v>56</v>
      </c>
      <c r="FP16" s="147">
        <v>57</v>
      </c>
      <c r="FQ16" s="147">
        <v>58</v>
      </c>
      <c r="FR16" s="147">
        <v>59</v>
      </c>
      <c r="FS16" s="147">
        <v>60</v>
      </c>
      <c r="FT16" s="147"/>
      <c r="FU16" s="147"/>
      <c r="FV16" s="147">
        <v>61</v>
      </c>
      <c r="FW16" s="147">
        <v>62</v>
      </c>
      <c r="FX16" s="147">
        <v>63</v>
      </c>
      <c r="FY16" s="147">
        <v>64</v>
      </c>
      <c r="FZ16" s="147">
        <v>65</v>
      </c>
    </row>
    <row r="17" spans="1:182" x14ac:dyDescent="0.25">
      <c r="A17" s="146" t="s">
        <v>239</v>
      </c>
      <c r="B17" s="148"/>
      <c r="C17" s="148"/>
      <c r="D17" s="148"/>
      <c r="E17" s="148"/>
      <c r="F17" s="148"/>
      <c r="G17" s="148"/>
      <c r="H17" s="148"/>
      <c r="I17" s="148"/>
      <c r="J17" s="149">
        <f>J16/55</f>
        <v>1.8181818181818181E-2</v>
      </c>
      <c r="K17" s="149">
        <f t="shared" ref="K17:BV17" si="0">K16/55</f>
        <v>3.6363636363636362E-2</v>
      </c>
      <c r="L17" s="149">
        <f t="shared" si="0"/>
        <v>5.4545454545454543E-2</v>
      </c>
      <c r="M17" s="149">
        <f t="shared" si="0"/>
        <v>7.2727272727272724E-2</v>
      </c>
      <c r="N17" s="149">
        <f t="shared" si="0"/>
        <v>9.0909090909090912E-2</v>
      </c>
      <c r="O17" s="149"/>
      <c r="P17" s="149"/>
      <c r="Q17" s="149">
        <f t="shared" si="0"/>
        <v>0.10909090909090909</v>
      </c>
      <c r="R17" s="149">
        <f t="shared" si="0"/>
        <v>0.12727272727272726</v>
      </c>
      <c r="S17" s="149">
        <f t="shared" si="0"/>
        <v>0.14545454545454545</v>
      </c>
      <c r="T17" s="149">
        <f t="shared" si="0"/>
        <v>0.16363636363636364</v>
      </c>
      <c r="U17" s="149">
        <f t="shared" si="0"/>
        <v>0.18181818181818182</v>
      </c>
      <c r="V17" s="149"/>
      <c r="W17" s="149"/>
      <c r="X17" s="149">
        <f t="shared" si="0"/>
        <v>0.2</v>
      </c>
      <c r="Y17" s="149">
        <f t="shared" si="0"/>
        <v>0.21818181818181817</v>
      </c>
      <c r="Z17" s="149">
        <f t="shared" si="0"/>
        <v>0.23636363636363636</v>
      </c>
      <c r="AA17" s="149">
        <f t="shared" si="0"/>
        <v>0.25454545454545452</v>
      </c>
      <c r="AB17" s="149">
        <f t="shared" si="0"/>
        <v>0.27272727272727271</v>
      </c>
      <c r="AC17" s="149"/>
      <c r="AD17" s="149"/>
      <c r="AE17" s="149">
        <f t="shared" si="0"/>
        <v>0.29090909090909089</v>
      </c>
      <c r="AF17" s="149">
        <f t="shared" si="0"/>
        <v>0.30909090909090908</v>
      </c>
      <c r="AG17" s="149">
        <f t="shared" si="0"/>
        <v>0.32727272727272727</v>
      </c>
      <c r="AH17" s="149">
        <f t="shared" si="0"/>
        <v>0.34545454545454546</v>
      </c>
      <c r="AI17" s="149">
        <f t="shared" si="0"/>
        <v>0.36363636363636365</v>
      </c>
      <c r="AJ17" s="149"/>
      <c r="AK17" s="149"/>
      <c r="AL17" s="149">
        <f t="shared" si="0"/>
        <v>0.38181818181818183</v>
      </c>
      <c r="AM17" s="149">
        <f t="shared" si="0"/>
        <v>0.4</v>
      </c>
      <c r="AN17" s="149">
        <f t="shared" si="0"/>
        <v>0.41818181818181815</v>
      </c>
      <c r="AO17" s="149">
        <f t="shared" si="0"/>
        <v>0.43636363636363634</v>
      </c>
      <c r="AP17" s="149">
        <f t="shared" si="0"/>
        <v>0.45454545454545453</v>
      </c>
      <c r="AQ17" s="149"/>
      <c r="AR17" s="149"/>
      <c r="AS17" s="149">
        <f t="shared" si="0"/>
        <v>0.47272727272727272</v>
      </c>
      <c r="AT17" s="149">
        <f t="shared" si="0"/>
        <v>0.49090909090909091</v>
      </c>
      <c r="AU17" s="149">
        <f t="shared" si="0"/>
        <v>0.50909090909090904</v>
      </c>
      <c r="AV17" s="149">
        <f t="shared" si="0"/>
        <v>0.52727272727272723</v>
      </c>
      <c r="AW17" s="149">
        <f t="shared" si="0"/>
        <v>0.54545454545454541</v>
      </c>
      <c r="AX17" s="149"/>
      <c r="AY17" s="149"/>
      <c r="AZ17" s="149">
        <f t="shared" si="0"/>
        <v>0.5636363636363636</v>
      </c>
      <c r="BA17" s="149">
        <f t="shared" si="0"/>
        <v>0.58181818181818179</v>
      </c>
      <c r="BB17" s="149">
        <f t="shared" si="0"/>
        <v>0.6</v>
      </c>
      <c r="BC17" s="149">
        <f t="shared" si="0"/>
        <v>0.61818181818181817</v>
      </c>
      <c r="BD17" s="149">
        <f t="shared" si="0"/>
        <v>0.63636363636363635</v>
      </c>
      <c r="BE17" s="149"/>
      <c r="BF17" s="149"/>
      <c r="BG17" s="149">
        <f t="shared" si="0"/>
        <v>0.65454545454545454</v>
      </c>
      <c r="BH17" s="149">
        <f t="shared" si="0"/>
        <v>0.67272727272727273</v>
      </c>
      <c r="BI17" s="149">
        <f t="shared" si="0"/>
        <v>0.69090909090909092</v>
      </c>
      <c r="BJ17" s="149">
        <f t="shared" si="0"/>
        <v>0.70909090909090911</v>
      </c>
      <c r="BK17" s="149">
        <f t="shared" si="0"/>
        <v>0.72727272727272729</v>
      </c>
      <c r="BL17" s="149"/>
      <c r="BM17" s="149"/>
      <c r="BN17" s="149">
        <f t="shared" si="0"/>
        <v>0.74545454545454548</v>
      </c>
      <c r="BO17" s="149">
        <f t="shared" si="0"/>
        <v>0.76363636363636367</v>
      </c>
      <c r="BP17" s="149">
        <f t="shared" si="0"/>
        <v>0.78181818181818186</v>
      </c>
      <c r="BQ17" s="149">
        <f t="shared" si="0"/>
        <v>0.8</v>
      </c>
      <c r="BR17" s="149">
        <f t="shared" si="0"/>
        <v>0.81818181818181823</v>
      </c>
      <c r="BS17" s="149"/>
      <c r="BT17" s="149"/>
      <c r="BU17" s="149">
        <f t="shared" si="0"/>
        <v>0.83636363636363631</v>
      </c>
      <c r="BV17" s="149">
        <f t="shared" si="0"/>
        <v>0.8545454545454545</v>
      </c>
      <c r="BW17" s="149">
        <f t="shared" ref="BW17:CF17" si="1">BW16/55</f>
        <v>0.87272727272727268</v>
      </c>
      <c r="BX17" s="149">
        <f t="shared" si="1"/>
        <v>0.89090909090909087</v>
      </c>
      <c r="BY17" s="149">
        <f t="shared" si="1"/>
        <v>0.90909090909090906</v>
      </c>
      <c r="BZ17" s="149"/>
      <c r="CA17" s="149"/>
      <c r="CB17" s="149">
        <f t="shared" si="1"/>
        <v>0.92727272727272725</v>
      </c>
      <c r="CC17" s="149">
        <f t="shared" si="1"/>
        <v>0.94545454545454544</v>
      </c>
      <c r="CD17" s="149">
        <f t="shared" si="1"/>
        <v>0.96363636363636362</v>
      </c>
      <c r="CE17" s="149">
        <f t="shared" si="1"/>
        <v>0.98181818181818181</v>
      </c>
      <c r="CF17" s="149">
        <f t="shared" si="1"/>
        <v>1</v>
      </c>
      <c r="CP17" s="149">
        <f t="shared" ref="CP17:CS17" si="2">CP16/65</f>
        <v>1.5384615384615385E-2</v>
      </c>
      <c r="CQ17" s="149">
        <f t="shared" si="2"/>
        <v>3.0769230769230771E-2</v>
      </c>
      <c r="CR17" s="149">
        <f t="shared" si="2"/>
        <v>4.6153846153846156E-2</v>
      </c>
      <c r="CS17" s="149">
        <f t="shared" si="2"/>
        <v>6.1538461538461542E-2</v>
      </c>
      <c r="CT17" s="149">
        <f>CT16/65</f>
        <v>7.6923076923076927E-2</v>
      </c>
      <c r="CU17" s="149"/>
      <c r="CV17" s="149"/>
      <c r="CW17" s="149">
        <f t="shared" ref="CW17:CZ17" si="3">CW16/65</f>
        <v>9.2307692307692313E-2</v>
      </c>
      <c r="CX17" s="149">
        <f t="shared" si="3"/>
        <v>0.1076923076923077</v>
      </c>
      <c r="CY17" s="149">
        <f t="shared" si="3"/>
        <v>0.12307692307692308</v>
      </c>
      <c r="CZ17" s="149">
        <f t="shared" si="3"/>
        <v>0.13846153846153847</v>
      </c>
      <c r="DA17" s="149">
        <f>DA16/65</f>
        <v>0.15384615384615385</v>
      </c>
      <c r="DB17" s="149"/>
      <c r="DC17" s="149"/>
      <c r="DD17" s="149">
        <f t="shared" ref="DD17:DG17" si="4">DD16/65</f>
        <v>0.16923076923076924</v>
      </c>
      <c r="DE17" s="149">
        <f t="shared" si="4"/>
        <v>0.18461538461538463</v>
      </c>
      <c r="DF17" s="149">
        <f t="shared" si="4"/>
        <v>0.2</v>
      </c>
      <c r="DG17" s="149">
        <f t="shared" si="4"/>
        <v>0.2153846153846154</v>
      </c>
      <c r="DH17" s="149">
        <f>DH16/65</f>
        <v>0.23076923076923078</v>
      </c>
      <c r="DI17" s="149"/>
      <c r="DJ17" s="149"/>
      <c r="DK17" s="149">
        <f t="shared" ref="DK17:DN17" si="5">DK16/65</f>
        <v>0.24615384615384617</v>
      </c>
      <c r="DL17" s="149">
        <f t="shared" si="5"/>
        <v>0.26153846153846155</v>
      </c>
      <c r="DM17" s="149">
        <f t="shared" si="5"/>
        <v>0.27692307692307694</v>
      </c>
      <c r="DN17" s="149">
        <f t="shared" si="5"/>
        <v>0.29230769230769232</v>
      </c>
      <c r="DO17" s="149">
        <f>DO16/65</f>
        <v>0.30769230769230771</v>
      </c>
      <c r="DP17" s="149"/>
      <c r="DQ17" s="149"/>
      <c r="DR17" s="149">
        <f t="shared" ref="DR17:DU17" si="6">DR16/65</f>
        <v>0.32307692307692309</v>
      </c>
      <c r="DS17" s="149">
        <f t="shared" si="6"/>
        <v>0.33846153846153848</v>
      </c>
      <c r="DT17" s="149">
        <f t="shared" si="6"/>
        <v>0.35384615384615387</v>
      </c>
      <c r="DU17" s="149">
        <f t="shared" si="6"/>
        <v>0.36923076923076925</v>
      </c>
      <c r="DV17" s="149">
        <f>DV16/65</f>
        <v>0.38461538461538464</v>
      </c>
      <c r="DW17" s="149"/>
      <c r="DX17" s="149"/>
      <c r="DY17" s="149">
        <f t="shared" ref="DY17:EB17" si="7">DY16/65</f>
        <v>0.4</v>
      </c>
      <c r="DZ17" s="149">
        <f t="shared" si="7"/>
        <v>0.41538461538461541</v>
      </c>
      <c r="EA17" s="149">
        <f t="shared" si="7"/>
        <v>0.43076923076923079</v>
      </c>
      <c r="EB17" s="149">
        <f t="shared" si="7"/>
        <v>0.44615384615384618</v>
      </c>
      <c r="EC17" s="149">
        <f>EC16/65</f>
        <v>0.46153846153846156</v>
      </c>
      <c r="ED17" s="149"/>
      <c r="EE17" s="149"/>
      <c r="EF17" s="149">
        <f t="shared" ref="EF17:EI17" si="8">EF16/65</f>
        <v>0.47692307692307695</v>
      </c>
      <c r="EG17" s="149">
        <f t="shared" si="8"/>
        <v>0.49230769230769234</v>
      </c>
      <c r="EH17" s="149">
        <f t="shared" si="8"/>
        <v>0.50769230769230766</v>
      </c>
      <c r="EI17" s="149">
        <f t="shared" si="8"/>
        <v>0.52307692307692311</v>
      </c>
      <c r="EJ17" s="149">
        <f>EJ16/65</f>
        <v>0.53846153846153844</v>
      </c>
      <c r="EK17" s="149"/>
      <c r="EL17" s="149"/>
      <c r="EM17" s="149">
        <f t="shared" ref="EM17:EP17" si="9">EM16/65</f>
        <v>0.55384615384615388</v>
      </c>
      <c r="EN17" s="149">
        <f t="shared" si="9"/>
        <v>0.56923076923076921</v>
      </c>
      <c r="EO17" s="149">
        <f t="shared" si="9"/>
        <v>0.58461538461538465</v>
      </c>
      <c r="EP17" s="149">
        <f t="shared" si="9"/>
        <v>0.6</v>
      </c>
      <c r="EQ17" s="149">
        <f>EQ16/65</f>
        <v>0.61538461538461542</v>
      </c>
      <c r="ER17" s="149"/>
      <c r="ES17" s="149"/>
      <c r="ET17" s="149">
        <f t="shared" ref="ET17:EW17" si="10">ET16/65</f>
        <v>0.63076923076923075</v>
      </c>
      <c r="EU17" s="149">
        <f t="shared" si="10"/>
        <v>0.64615384615384619</v>
      </c>
      <c r="EV17" s="149">
        <f t="shared" si="10"/>
        <v>0.66153846153846152</v>
      </c>
      <c r="EW17" s="149">
        <f t="shared" si="10"/>
        <v>0.67692307692307696</v>
      </c>
      <c r="EX17" s="149">
        <f>EX16/65</f>
        <v>0.69230769230769229</v>
      </c>
      <c r="EY17" s="149"/>
      <c r="EZ17" s="149"/>
      <c r="FA17" s="149">
        <f t="shared" ref="FA17:FD17" si="11">FA16/65</f>
        <v>0.70769230769230773</v>
      </c>
      <c r="FB17" s="149">
        <f t="shared" si="11"/>
        <v>0.72307692307692306</v>
      </c>
      <c r="FC17" s="149">
        <f t="shared" si="11"/>
        <v>0.7384615384615385</v>
      </c>
      <c r="FD17" s="149">
        <f t="shared" si="11"/>
        <v>0.75384615384615383</v>
      </c>
      <c r="FE17" s="149">
        <f>FE16/65</f>
        <v>0.76923076923076927</v>
      </c>
      <c r="FF17" s="149"/>
      <c r="FG17" s="149"/>
      <c r="FH17" s="149">
        <f t="shared" ref="FH17:FK17" si="12">FH16/65</f>
        <v>0.7846153846153846</v>
      </c>
      <c r="FI17" s="149">
        <f t="shared" si="12"/>
        <v>0.8</v>
      </c>
      <c r="FJ17" s="149">
        <f t="shared" si="12"/>
        <v>0.81538461538461537</v>
      </c>
      <c r="FK17" s="149">
        <f t="shared" si="12"/>
        <v>0.83076923076923082</v>
      </c>
      <c r="FL17" s="149">
        <f>FL16/65</f>
        <v>0.84615384615384615</v>
      </c>
      <c r="FO17" s="149">
        <f t="shared" ref="FO17:FR17" si="13">FO16/65</f>
        <v>0.86153846153846159</v>
      </c>
      <c r="FP17" s="149">
        <f t="shared" si="13"/>
        <v>0.87692307692307692</v>
      </c>
      <c r="FQ17" s="149">
        <f t="shared" si="13"/>
        <v>0.89230769230769236</v>
      </c>
      <c r="FR17" s="149">
        <f t="shared" si="13"/>
        <v>0.90769230769230769</v>
      </c>
      <c r="FS17" s="149">
        <f>FS16/65</f>
        <v>0.92307692307692313</v>
      </c>
      <c r="FT17" s="149"/>
      <c r="FU17" s="149"/>
      <c r="FV17" s="149">
        <f t="shared" ref="FV17:FY17" si="14">FV16/65</f>
        <v>0.93846153846153846</v>
      </c>
      <c r="FW17" s="149">
        <f t="shared" si="14"/>
        <v>0.9538461538461539</v>
      </c>
      <c r="FX17" s="149">
        <f t="shared" si="14"/>
        <v>0.96923076923076923</v>
      </c>
      <c r="FY17" s="149">
        <f t="shared" si="14"/>
        <v>0.98461538461538467</v>
      </c>
      <c r="FZ17" s="149">
        <f>FZ16/65</f>
        <v>1</v>
      </c>
    </row>
    <row r="18" spans="1:182" x14ac:dyDescent="0.25"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1:182" x14ac:dyDescent="0.25">
      <c r="A19" s="159" t="s">
        <v>246</v>
      </c>
      <c r="F19" t="s">
        <v>253</v>
      </c>
      <c r="T19" t="s">
        <v>254</v>
      </c>
      <c r="AH19" t="s">
        <v>253</v>
      </c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S19" t="s">
        <v>253</v>
      </c>
      <c r="DG19" t="s">
        <v>254</v>
      </c>
      <c r="DU19" t="s">
        <v>253</v>
      </c>
      <c r="EI19" t="s">
        <v>254</v>
      </c>
      <c r="EW19" t="s">
        <v>253</v>
      </c>
      <c r="FK19" t="s">
        <v>254</v>
      </c>
    </row>
    <row r="20" spans="1:182" x14ac:dyDescent="0.25">
      <c r="A20" s="159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</row>
    <row r="21" spans="1:182" x14ac:dyDescent="0.25">
      <c r="A21" s="159"/>
      <c r="AV21" t="s">
        <v>254</v>
      </c>
      <c r="BJ21" t="s">
        <v>253</v>
      </c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</row>
    <row r="22" spans="1:182" x14ac:dyDescent="0.25">
      <c r="A22" s="159"/>
      <c r="CI22" s="160"/>
      <c r="CJ22" s="160"/>
      <c r="CK22" s="160"/>
      <c r="CL22" s="160"/>
      <c r="CM22" s="160"/>
    </row>
    <row r="23" spans="1:182" x14ac:dyDescent="0.25">
      <c r="A23" s="159"/>
      <c r="BX23" t="s">
        <v>254</v>
      </c>
      <c r="CI23" s="178"/>
      <c r="CJ23" s="178"/>
      <c r="CK23" s="178"/>
      <c r="CL23" s="178"/>
      <c r="CM23" s="178"/>
    </row>
    <row r="24" spans="1:182" x14ac:dyDescent="0.25">
      <c r="A24" s="159"/>
    </row>
  </sheetData>
  <mergeCells count="14">
    <mergeCell ref="BU11:BV11"/>
    <mergeCell ref="CI11:CJ11"/>
    <mergeCell ref="D4:G4"/>
    <mergeCell ref="J5:N5"/>
    <mergeCell ref="Q6:AB6"/>
    <mergeCell ref="AE7:AP7"/>
    <mergeCell ref="AS8:BD8"/>
    <mergeCell ref="BG9:BR9"/>
    <mergeCell ref="BU10:CF10"/>
    <mergeCell ref="D11:E11"/>
    <mergeCell ref="Q11:R11"/>
    <mergeCell ref="AE11:AF11"/>
    <mergeCell ref="AS11:AT11"/>
    <mergeCell ref="BG11:BH11"/>
  </mergeCells>
  <phoneticPr fontId="4" type="noConversion"/>
  <conditionalFormatting sqref="A17:XFD17">
    <cfRule type="colorScale" priority="2">
      <colorScale>
        <cfvo type="min"/>
        <cfvo type="max"/>
        <color theme="8" tint="0.79998168889431442"/>
        <color rgb="FF7FF9D9"/>
      </colorScale>
    </cfRule>
  </conditionalFormatting>
  <conditionalFormatting sqref="A16:XFD16">
    <cfRule type="colorScale" priority="1">
      <colorScale>
        <cfvo type="min"/>
        <cfvo type="max"/>
        <color rgb="FFFCFCFF"/>
        <color theme="8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117C-9105-46B2-9B35-33D27905B51C}">
  <dimension ref="B2:X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3.28515625" customWidth="1"/>
    <col min="2" max="2" width="26.42578125" customWidth="1"/>
    <col min="3" max="3" width="17.5703125" bestFit="1" customWidth="1"/>
    <col min="4" max="5" width="12.7109375" style="21" customWidth="1"/>
    <col min="6" max="15" width="3.7109375" style="23" customWidth="1"/>
    <col min="16" max="17" width="11.7109375" style="23" customWidth="1"/>
    <col min="18" max="18" width="11.7109375" customWidth="1"/>
    <col min="19" max="19" width="11.7109375" style="21" customWidth="1"/>
    <col min="20" max="20" width="11.7109375" style="22" customWidth="1"/>
    <col min="21" max="23" width="11.7109375" customWidth="1"/>
    <col min="24" max="24" width="54.85546875" customWidth="1"/>
  </cols>
  <sheetData>
    <row r="2" spans="2:24" ht="21" x14ac:dyDescent="0.35">
      <c r="B2" s="1" t="s">
        <v>94</v>
      </c>
      <c r="C2" s="1" t="s">
        <v>293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S2"/>
      <c r="T2"/>
    </row>
    <row r="3" spans="2:24" s="38" customFormat="1" ht="15" customHeight="1" x14ac:dyDescent="0.2">
      <c r="B3" s="39"/>
      <c r="C3" s="39"/>
      <c r="D3" s="39"/>
      <c r="E3" s="39"/>
      <c r="R3" s="39"/>
      <c r="S3" s="39"/>
      <c r="T3" s="39"/>
    </row>
    <row r="4" spans="2:24" x14ac:dyDescent="0.25">
      <c r="F4" s="86" t="s">
        <v>95</v>
      </c>
      <c r="Q4" s="86" t="s">
        <v>96</v>
      </c>
    </row>
    <row r="5" spans="2:24" x14ac:dyDescent="0.25">
      <c r="F5" s="86" t="s">
        <v>97</v>
      </c>
      <c r="G5" s="86"/>
      <c r="H5" s="86"/>
      <c r="I5" s="86"/>
      <c r="J5" s="86"/>
      <c r="K5" s="86"/>
      <c r="L5" s="86"/>
      <c r="M5" s="86"/>
      <c r="N5" s="86"/>
      <c r="O5" s="86"/>
      <c r="Q5" s="86" t="s">
        <v>98</v>
      </c>
    </row>
    <row r="6" spans="2:24" s="19" customFormat="1" ht="75" x14ac:dyDescent="0.25">
      <c r="B6" s="19" t="s">
        <v>71</v>
      </c>
      <c r="C6" s="19" t="s">
        <v>99</v>
      </c>
      <c r="D6" s="20" t="s">
        <v>100</v>
      </c>
      <c r="E6" s="87" t="s">
        <v>101</v>
      </c>
      <c r="F6" s="88" t="s">
        <v>102</v>
      </c>
      <c r="G6" s="88" t="s">
        <v>103</v>
      </c>
      <c r="H6" s="88" t="s">
        <v>104</v>
      </c>
      <c r="I6" s="88" t="s">
        <v>105</v>
      </c>
      <c r="J6" s="88" t="s">
        <v>106</v>
      </c>
      <c r="K6" s="88" t="s">
        <v>107</v>
      </c>
      <c r="L6" s="88" t="s">
        <v>108</v>
      </c>
      <c r="M6" s="88" t="s">
        <v>109</v>
      </c>
      <c r="N6" s="88" t="s">
        <v>110</v>
      </c>
      <c r="O6" s="88" t="s">
        <v>111</v>
      </c>
      <c r="P6" s="89" t="s">
        <v>112</v>
      </c>
      <c r="Q6" s="89" t="s">
        <v>113</v>
      </c>
      <c r="R6" s="90" t="s">
        <v>114</v>
      </c>
      <c r="S6" s="90" t="s">
        <v>115</v>
      </c>
      <c r="T6" s="91" t="s">
        <v>116</v>
      </c>
      <c r="U6" s="90" t="s">
        <v>117</v>
      </c>
      <c r="V6" s="90" t="s">
        <v>118</v>
      </c>
      <c r="W6" s="92" t="s">
        <v>119</v>
      </c>
      <c r="X6" s="19" t="s">
        <v>120</v>
      </c>
    </row>
    <row r="7" spans="2:24" x14ac:dyDescent="0.25">
      <c r="B7" s="93" t="s">
        <v>269</v>
      </c>
      <c r="C7" s="93" t="s">
        <v>121</v>
      </c>
      <c r="D7" s="94">
        <v>0.8</v>
      </c>
      <c r="E7" s="95">
        <f>TeamCapacity5[[#This Row],[Estimated % of Time Dedicated to this Team]]*80</f>
        <v>64</v>
      </c>
      <c r="F7" s="96">
        <v>8</v>
      </c>
      <c r="G7" s="96">
        <v>8</v>
      </c>
      <c r="H7" s="96">
        <v>8</v>
      </c>
      <c r="I7" s="96">
        <v>8</v>
      </c>
      <c r="J7" s="96">
        <v>8</v>
      </c>
      <c r="K7" s="96">
        <v>8</v>
      </c>
      <c r="L7" s="96">
        <v>8</v>
      </c>
      <c r="M7" s="96">
        <v>8</v>
      </c>
      <c r="N7" s="96">
        <v>8</v>
      </c>
      <c r="O7" s="96">
        <v>8</v>
      </c>
      <c r="P7" s="97">
        <f t="shared" ref="P7:P14" si="0">SUM(F7:O7)</f>
        <v>80</v>
      </c>
      <c r="Q7" s="98"/>
      <c r="R7" s="8">
        <f>(IF(NOT(ISBLANK(TeamCapacity5[[#This Row],[Time Off (Override)]])),TeamCapacity5[[#This Row],[Estimated Dedicated Hours
(Calculated)]]-TeamCapacity5[[#This Row],[Time Off (Override)]],TeamCapacity5[[#This Row],[Hours Available (Calculated by Day Availability)]]))</f>
        <v>80</v>
      </c>
      <c r="S7" s="21">
        <v>0.3</v>
      </c>
      <c r="T7" s="22">
        <v>0.12</v>
      </c>
      <c r="U7" s="8">
        <f>MAX(0,(TeamCapacity5[[#This Row],[Max Possible Capacity (Calculated)]]-(TeamCapacity5[[#This Row],[Max Possible Capacity (Calculated)]]*TeamCapacity5[[#This Row],[% Time for Training, QA, and Support]])-(TeamCapacity5[[#This Row],[Max Possible Capacity (Calculated)]]*TeamCapacity5[[#This Row],[Estimated Hours Dedicated to Team Meetings]])))</f>
        <v>46.4</v>
      </c>
      <c r="V7" s="8">
        <f>TeamCapacity5[[#This Row],[Available Hours (Calculated)]]/8</f>
        <v>5.8</v>
      </c>
      <c r="W7">
        <v>5</v>
      </c>
    </row>
    <row r="8" spans="2:24" x14ac:dyDescent="0.25">
      <c r="B8" s="99" t="s">
        <v>271</v>
      </c>
      <c r="C8" s="99" t="s">
        <v>121</v>
      </c>
      <c r="D8" s="100">
        <v>1</v>
      </c>
      <c r="E8" s="95">
        <f>TeamCapacity5[[#This Row],[Estimated % of Time Dedicated to this Team]]*80</f>
        <v>80</v>
      </c>
      <c r="F8" s="96">
        <v>8</v>
      </c>
      <c r="G8" s="96">
        <v>8</v>
      </c>
      <c r="H8" s="96">
        <v>8</v>
      </c>
      <c r="I8" s="96">
        <v>8</v>
      </c>
      <c r="J8" s="96">
        <v>8</v>
      </c>
      <c r="K8" s="96">
        <v>8</v>
      </c>
      <c r="L8" s="96">
        <v>8</v>
      </c>
      <c r="M8" s="96">
        <v>8</v>
      </c>
      <c r="N8" s="96">
        <v>8</v>
      </c>
      <c r="O8" s="96">
        <v>8</v>
      </c>
      <c r="P8" s="97">
        <f t="shared" si="0"/>
        <v>80</v>
      </c>
      <c r="Q8" s="98"/>
      <c r="R8" s="8">
        <f>(IF(NOT(ISBLANK(TeamCapacity5[[#This Row],[Time Off (Override)]])),TeamCapacity5[[#This Row],[Estimated Dedicated Hours
(Calculated)]]-TeamCapacity5[[#This Row],[Time Off (Override)]],TeamCapacity5[[#This Row],[Hours Available (Calculated by Day Availability)]]))</f>
        <v>80</v>
      </c>
      <c r="S8" s="21">
        <v>0.8</v>
      </c>
      <c r="T8" s="22">
        <v>0.12</v>
      </c>
      <c r="U8" s="8">
        <f>MAX(0,(TeamCapacity5[[#This Row],[Max Possible Capacity (Calculated)]]-(TeamCapacity5[[#This Row],[Max Possible Capacity (Calculated)]]*TeamCapacity5[[#This Row],[% Time for Training, QA, and Support]])-(TeamCapacity5[[#This Row],[Max Possible Capacity (Calculated)]]*TeamCapacity5[[#This Row],[Estimated Hours Dedicated to Team Meetings]])))</f>
        <v>6.4</v>
      </c>
      <c r="V8" s="8">
        <f>TeamCapacity5[[#This Row],[Available Hours (Calculated)]]/8</f>
        <v>0.8</v>
      </c>
      <c r="W8">
        <v>2</v>
      </c>
    </row>
    <row r="9" spans="2:24" x14ac:dyDescent="0.25">
      <c r="B9" s="99" t="s">
        <v>270</v>
      </c>
      <c r="C9" s="99" t="s">
        <v>122</v>
      </c>
      <c r="D9" s="100">
        <v>1</v>
      </c>
      <c r="E9" s="95">
        <f>TeamCapacity5[[#This Row],[Estimated % of Time Dedicated to this Team]]*80</f>
        <v>80</v>
      </c>
      <c r="F9" s="96">
        <v>8</v>
      </c>
      <c r="G9" s="96">
        <v>8</v>
      </c>
      <c r="H9" s="96">
        <v>8</v>
      </c>
      <c r="I9" s="96">
        <v>8</v>
      </c>
      <c r="J9" s="96">
        <v>8</v>
      </c>
      <c r="K9" s="96">
        <v>8</v>
      </c>
      <c r="L9" s="96">
        <v>8</v>
      </c>
      <c r="M9" s="96">
        <v>8</v>
      </c>
      <c r="N9" s="96">
        <v>8</v>
      </c>
      <c r="O9" s="96">
        <v>8</v>
      </c>
      <c r="P9" s="97">
        <f t="shared" si="0"/>
        <v>80</v>
      </c>
      <c r="Q9" s="98"/>
      <c r="R9" s="8">
        <f>(IF(NOT(ISBLANK(TeamCapacity5[[#This Row],[Time Off (Override)]])),TeamCapacity5[[#This Row],[Estimated Dedicated Hours
(Calculated)]]-TeamCapacity5[[#This Row],[Time Off (Override)]],TeamCapacity5[[#This Row],[Hours Available (Calculated by Day Availability)]]))</f>
        <v>80</v>
      </c>
      <c r="S9" s="21">
        <v>0.2</v>
      </c>
      <c r="T9" s="22">
        <v>0.12</v>
      </c>
      <c r="U9" s="8">
        <f>MAX(0,(TeamCapacity5[[#This Row],[Max Possible Capacity (Calculated)]]-(TeamCapacity5[[#This Row],[Max Possible Capacity (Calculated)]]*TeamCapacity5[[#This Row],[% Time for Training, QA, and Support]])-(TeamCapacity5[[#This Row],[Max Possible Capacity (Calculated)]]*TeamCapacity5[[#This Row],[Estimated Hours Dedicated to Team Meetings]])))</f>
        <v>54.4</v>
      </c>
      <c r="V9" s="8">
        <f>TeamCapacity5[[#This Row],[Available Hours (Calculated)]]/8</f>
        <v>6.8</v>
      </c>
      <c r="W9">
        <v>6</v>
      </c>
    </row>
    <row r="10" spans="2:24" x14ac:dyDescent="0.25">
      <c r="B10" s="99" t="s">
        <v>272</v>
      </c>
      <c r="C10" s="99" t="s">
        <v>122</v>
      </c>
      <c r="D10" s="100">
        <v>0.8</v>
      </c>
      <c r="E10" s="95">
        <f>TeamCapacity5[[#This Row],[Estimated % of Time Dedicated to this Team]]*80</f>
        <v>64</v>
      </c>
      <c r="F10" s="96">
        <v>8</v>
      </c>
      <c r="G10" s="96">
        <v>8</v>
      </c>
      <c r="H10" s="96">
        <v>8</v>
      </c>
      <c r="I10" s="96">
        <v>8</v>
      </c>
      <c r="J10" s="96">
        <v>8</v>
      </c>
      <c r="K10" s="96">
        <v>8</v>
      </c>
      <c r="L10" s="96">
        <v>8</v>
      </c>
      <c r="M10" s="96">
        <v>8</v>
      </c>
      <c r="N10" s="96">
        <v>8</v>
      </c>
      <c r="O10" s="96">
        <v>8</v>
      </c>
      <c r="P10" s="97">
        <f t="shared" si="0"/>
        <v>80</v>
      </c>
      <c r="Q10" s="98"/>
      <c r="R10" s="8">
        <f>(IF(NOT(ISBLANK(TeamCapacity5[[#This Row],[Time Off (Override)]])),TeamCapacity5[[#This Row],[Estimated Dedicated Hours
(Calculated)]]-TeamCapacity5[[#This Row],[Time Off (Override)]],TeamCapacity5[[#This Row],[Hours Available (Calculated by Day Availability)]]))</f>
        <v>80</v>
      </c>
      <c r="S10" s="21">
        <v>0.2</v>
      </c>
      <c r="T10" s="22">
        <v>0.12</v>
      </c>
      <c r="U10" s="8">
        <f>MAX(0,(TeamCapacity5[[#This Row],[Max Possible Capacity (Calculated)]]-(TeamCapacity5[[#This Row],[Max Possible Capacity (Calculated)]]*TeamCapacity5[[#This Row],[% Time for Training, QA, and Support]])-(TeamCapacity5[[#This Row],[Max Possible Capacity (Calculated)]]*TeamCapacity5[[#This Row],[Estimated Hours Dedicated to Team Meetings]])))</f>
        <v>54.4</v>
      </c>
      <c r="V10" s="8">
        <f>TeamCapacity5[[#This Row],[Available Hours (Calculated)]]/8</f>
        <v>6.8</v>
      </c>
      <c r="W10">
        <v>6</v>
      </c>
    </row>
    <row r="11" spans="2:24" x14ac:dyDescent="0.25">
      <c r="B11" s="99" t="s">
        <v>273</v>
      </c>
      <c r="C11" s="99" t="s">
        <v>122</v>
      </c>
      <c r="D11" s="100">
        <v>0.85</v>
      </c>
      <c r="E11" s="95">
        <f>TeamCapacity5[[#This Row],[Estimated % of Time Dedicated to this Team]]*80</f>
        <v>68</v>
      </c>
      <c r="F11" s="96">
        <v>8</v>
      </c>
      <c r="G11" s="96">
        <v>8</v>
      </c>
      <c r="H11" s="96">
        <v>8</v>
      </c>
      <c r="I11" s="96">
        <v>8</v>
      </c>
      <c r="J11" s="96">
        <v>8</v>
      </c>
      <c r="K11" s="96">
        <v>8</v>
      </c>
      <c r="L11" s="96">
        <v>8</v>
      </c>
      <c r="M11" s="96">
        <v>8</v>
      </c>
      <c r="N11" s="96">
        <v>8</v>
      </c>
      <c r="O11" s="96">
        <v>8</v>
      </c>
      <c r="P11" s="97">
        <f t="shared" si="0"/>
        <v>80</v>
      </c>
      <c r="Q11" s="98"/>
      <c r="R11" s="8">
        <f>(IF(NOT(ISBLANK(TeamCapacity5[[#This Row],[Time Off (Override)]])),TeamCapacity5[[#This Row],[Estimated Dedicated Hours
(Calculated)]]-TeamCapacity5[[#This Row],[Time Off (Override)]],TeamCapacity5[[#This Row],[Hours Available (Calculated by Day Availability)]]))</f>
        <v>80</v>
      </c>
      <c r="S11" s="21">
        <v>0.2</v>
      </c>
      <c r="T11" s="22">
        <v>0.12</v>
      </c>
      <c r="U11" s="8">
        <f>MAX(0,(TeamCapacity5[[#This Row],[Max Possible Capacity (Calculated)]]-(TeamCapacity5[[#This Row],[Max Possible Capacity (Calculated)]]*TeamCapacity5[[#This Row],[% Time for Training, QA, and Support]])-(TeamCapacity5[[#This Row],[Max Possible Capacity (Calculated)]]*TeamCapacity5[[#This Row],[Estimated Hours Dedicated to Team Meetings]])))</f>
        <v>54.4</v>
      </c>
      <c r="V11" s="8">
        <f>TeamCapacity5[[#This Row],[Available Hours (Calculated)]]/8</f>
        <v>6.8</v>
      </c>
      <c r="W11">
        <v>6</v>
      </c>
    </row>
    <row r="12" spans="2:24" x14ac:dyDescent="0.25">
      <c r="B12" s="99" t="s">
        <v>274</v>
      </c>
      <c r="C12" s="99" t="s">
        <v>122</v>
      </c>
      <c r="D12" s="100">
        <v>1</v>
      </c>
      <c r="E12" s="95">
        <f>TeamCapacity5[[#This Row],[Estimated % of Time Dedicated to this Team]]*80</f>
        <v>80</v>
      </c>
      <c r="F12" s="96">
        <v>8</v>
      </c>
      <c r="G12" s="96">
        <v>8</v>
      </c>
      <c r="H12" s="96">
        <v>8</v>
      </c>
      <c r="I12" s="96">
        <v>8</v>
      </c>
      <c r="J12" s="96">
        <v>8</v>
      </c>
      <c r="K12" s="96">
        <v>8</v>
      </c>
      <c r="L12" s="96">
        <v>8</v>
      </c>
      <c r="M12" s="96">
        <v>8</v>
      </c>
      <c r="N12" s="96">
        <v>8</v>
      </c>
      <c r="O12" s="96">
        <v>8</v>
      </c>
      <c r="P12" s="97">
        <f t="shared" si="0"/>
        <v>80</v>
      </c>
      <c r="Q12" s="98"/>
      <c r="R12" s="8">
        <f>(IF(NOT(ISBLANK(TeamCapacity5[[#This Row],[Time Off (Override)]])),TeamCapacity5[[#This Row],[Estimated Dedicated Hours
(Calculated)]]-TeamCapacity5[[#This Row],[Time Off (Override)]],TeamCapacity5[[#This Row],[Hours Available (Calculated by Day Availability)]]))</f>
        <v>80</v>
      </c>
      <c r="S12" s="21">
        <v>0.25</v>
      </c>
      <c r="T12" s="22">
        <v>0.12</v>
      </c>
      <c r="U12" s="8">
        <f>MAX(0,(TeamCapacity5[[#This Row],[Max Possible Capacity (Calculated)]]-(TeamCapacity5[[#This Row],[Max Possible Capacity (Calculated)]]*TeamCapacity5[[#This Row],[% Time for Training, QA, and Support]])-(TeamCapacity5[[#This Row],[Max Possible Capacity (Calculated)]]*TeamCapacity5[[#This Row],[Estimated Hours Dedicated to Team Meetings]])))</f>
        <v>50.4</v>
      </c>
      <c r="V12" s="8">
        <f>TeamCapacity5[[#This Row],[Available Hours (Calculated)]]/8</f>
        <v>6.3</v>
      </c>
      <c r="W12">
        <v>6</v>
      </c>
    </row>
    <row r="13" spans="2:24" x14ac:dyDescent="0.25">
      <c r="B13" s="101" t="s">
        <v>275</v>
      </c>
      <c r="C13" t="s">
        <v>123</v>
      </c>
      <c r="D13" s="100">
        <v>1</v>
      </c>
      <c r="E13" s="95">
        <f>TeamCapacity5[[#This Row],[Estimated % of Time Dedicated to this Team]]*80</f>
        <v>80</v>
      </c>
      <c r="F13" s="96">
        <v>8</v>
      </c>
      <c r="G13" s="96">
        <v>8</v>
      </c>
      <c r="H13" s="96">
        <v>8</v>
      </c>
      <c r="I13" s="96">
        <v>8</v>
      </c>
      <c r="J13" s="96">
        <v>8</v>
      </c>
      <c r="K13" s="96">
        <v>8</v>
      </c>
      <c r="L13" s="96">
        <v>8</v>
      </c>
      <c r="M13" s="96">
        <v>8</v>
      </c>
      <c r="N13" s="96">
        <v>8</v>
      </c>
      <c r="O13" s="96">
        <v>8</v>
      </c>
      <c r="P13" s="97">
        <f t="shared" si="0"/>
        <v>80</v>
      </c>
      <c r="Q13" s="98"/>
      <c r="R13" s="8">
        <f>(IF(NOT(ISBLANK(TeamCapacity5[[#This Row],[Time Off (Override)]])),TeamCapacity5[[#This Row],[Estimated Dedicated Hours
(Calculated)]]-TeamCapacity5[[#This Row],[Time Off (Override)]],TeamCapacity5[[#This Row],[Hours Available (Calculated by Day Availability)]]))</f>
        <v>80</v>
      </c>
      <c r="S13" s="21">
        <v>0.5</v>
      </c>
      <c r="T13" s="22">
        <v>0.12</v>
      </c>
      <c r="U13" s="8">
        <f>MAX(0,(TeamCapacity5[[#This Row],[Max Possible Capacity (Calculated)]]-(TeamCapacity5[[#This Row],[Max Possible Capacity (Calculated)]]*TeamCapacity5[[#This Row],[% Time for Training, QA, and Support]])-(TeamCapacity5[[#This Row],[Max Possible Capacity (Calculated)]]*TeamCapacity5[[#This Row],[Estimated Hours Dedicated to Team Meetings]])))</f>
        <v>30.4</v>
      </c>
      <c r="V13" s="8">
        <f>TeamCapacity5[[#This Row],[Available Hours (Calculated)]]/8</f>
        <v>3.8</v>
      </c>
      <c r="W13">
        <v>4</v>
      </c>
    </row>
    <row r="14" spans="2:24" ht="15.75" thickBot="1" x14ac:dyDescent="0.3">
      <c r="B14" s="99" t="s">
        <v>276</v>
      </c>
      <c r="C14" t="s">
        <v>123</v>
      </c>
      <c r="D14" s="129">
        <v>1</v>
      </c>
      <c r="E14" s="95">
        <f>TeamCapacity5[[#This Row],[Estimated % of Time Dedicated to this Team]]*80</f>
        <v>80</v>
      </c>
      <c r="F14" s="96">
        <v>8</v>
      </c>
      <c r="G14" s="96">
        <v>8</v>
      </c>
      <c r="H14" s="96">
        <v>8</v>
      </c>
      <c r="I14" s="96">
        <v>8</v>
      </c>
      <c r="J14" s="96">
        <v>8</v>
      </c>
      <c r="K14" s="96">
        <v>8</v>
      </c>
      <c r="L14" s="96">
        <v>8</v>
      </c>
      <c r="M14" s="96">
        <v>8</v>
      </c>
      <c r="N14" s="96">
        <v>8</v>
      </c>
      <c r="O14" s="96">
        <v>8</v>
      </c>
      <c r="P14" s="97">
        <f t="shared" si="0"/>
        <v>80</v>
      </c>
      <c r="Q14" s="98"/>
      <c r="R14" s="8">
        <f>(IF(NOT(ISBLANK(TeamCapacity5[[#This Row],[Time Off (Override)]])),TeamCapacity5[[#This Row],[Estimated Dedicated Hours
(Calculated)]]-TeamCapacity5[[#This Row],[Time Off (Override)]],TeamCapacity5[[#This Row],[Hours Available (Calculated by Day Availability)]]))</f>
        <v>80</v>
      </c>
      <c r="S14" s="21">
        <v>0.25</v>
      </c>
      <c r="T14" s="22">
        <v>0.12</v>
      </c>
      <c r="U14" s="8">
        <f>MAX(0,(TeamCapacity5[[#This Row],[Max Possible Capacity (Calculated)]]-(TeamCapacity5[[#This Row],[Max Possible Capacity (Calculated)]]*TeamCapacity5[[#This Row],[% Time for Training, QA, and Support]])-(TeamCapacity5[[#This Row],[Max Possible Capacity (Calculated)]]*TeamCapacity5[[#This Row],[Estimated Hours Dedicated to Team Meetings]])))</f>
        <v>50.4</v>
      </c>
      <c r="V14" s="8">
        <f>TeamCapacity5[[#This Row],[Available Hours (Calculated)]]/8</f>
        <v>6.3</v>
      </c>
      <c r="W14">
        <v>5</v>
      </c>
    </row>
    <row r="15" spans="2:24" ht="19.5" thickTop="1" x14ac:dyDescent="0.3">
      <c r="C15" s="102"/>
      <c r="E15" s="23">
        <f>SUM(TeamCapacity5[Estimated Dedicated Hours
(Calculated)])</f>
        <v>596</v>
      </c>
      <c r="F15" s="23">
        <f>SUBTOTAL(109,TeamCapacity5[M 01])</f>
        <v>64</v>
      </c>
      <c r="G15" s="23">
        <f>SUBTOTAL(109,TeamCapacity5[Tu 02])</f>
        <v>64</v>
      </c>
      <c r="H15" s="23">
        <f>SUBTOTAL(109,TeamCapacity5[W 03])</f>
        <v>64</v>
      </c>
      <c r="I15" s="23">
        <f>SUBTOTAL(109,TeamCapacity5[Th 04])</f>
        <v>64</v>
      </c>
      <c r="J15" s="23">
        <f>SUBTOTAL(109,TeamCapacity5[F 05])</f>
        <v>64</v>
      </c>
      <c r="K15" s="23">
        <f>SUBTOTAL(109,TeamCapacity5[M 06])</f>
        <v>64</v>
      </c>
      <c r="L15" s="23">
        <f>SUBTOTAL(109,TeamCapacity5[Tu 07])</f>
        <v>64</v>
      </c>
      <c r="M15" s="23">
        <f>SUBTOTAL(109,TeamCapacity5[W 08])</f>
        <v>64</v>
      </c>
      <c r="N15" s="23">
        <f>SUBTOTAL(109,TeamCapacity5[Th 09])</f>
        <v>64</v>
      </c>
      <c r="O15" s="23">
        <f>SUBTOTAL(109,TeamCapacity5[F 10])</f>
        <v>64</v>
      </c>
      <c r="P15" s="23">
        <f>SUM(TeamCapacity5[Hours Available (Calculated by Day Availability)])</f>
        <v>640</v>
      </c>
      <c r="Q15" s="23">
        <f>SUM(TeamCapacity5[Time Off (Override)])</f>
        <v>0</v>
      </c>
      <c r="R15">
        <f>SUM(TeamCapacity5[Max Possible Capacity (Calculated)])</f>
        <v>640</v>
      </c>
      <c r="S15" s="21">
        <f>AVERAGE(TeamCapacity5[% Time for Training, QA, and Support])</f>
        <v>0.33750000000000002</v>
      </c>
      <c r="T15" s="21">
        <f>AVERAGE(TeamCapacity5[Estimated Hours Dedicated to Team Meetings])</f>
        <v>0.12</v>
      </c>
      <c r="U15">
        <f>SUM(TeamCapacity5[Available Hours (Calculated)])</f>
        <v>347.19999999999993</v>
      </c>
      <c r="V15" s="103">
        <f>SUM(TeamCapacity5[Estimation = hours/8 (Calculated)])</f>
        <v>43.399999999999991</v>
      </c>
      <c r="W15" s="24">
        <f>SUM(TeamCapacity5[Planned Story Points])</f>
        <v>40</v>
      </c>
    </row>
    <row r="16" spans="2:24" x14ac:dyDescent="0.25">
      <c r="E16" s="21" t="s">
        <v>250</v>
      </c>
      <c r="F16">
        <v>10</v>
      </c>
      <c r="G16">
        <v>11</v>
      </c>
      <c r="H16">
        <v>12</v>
      </c>
      <c r="I16">
        <v>13</v>
      </c>
      <c r="J16">
        <v>14</v>
      </c>
      <c r="K16">
        <v>17</v>
      </c>
      <c r="L16">
        <v>18</v>
      </c>
      <c r="M16">
        <v>19</v>
      </c>
      <c r="N16">
        <v>20</v>
      </c>
      <c r="O16">
        <v>21</v>
      </c>
    </row>
    <row r="18" spans="2:5" ht="15.75" thickBot="1" x14ac:dyDescent="0.3">
      <c r="B18" s="104" t="s">
        <v>124</v>
      </c>
      <c r="C18" s="104" t="s">
        <v>125</v>
      </c>
      <c r="D18" s="105" t="s">
        <v>126</v>
      </c>
      <c r="E18" s="106" t="s">
        <v>127</v>
      </c>
    </row>
    <row r="19" spans="2:5" x14ac:dyDescent="0.25">
      <c r="B19" s="107" t="s">
        <v>128</v>
      </c>
      <c r="C19" s="107"/>
      <c r="D19" s="108"/>
      <c r="E19" s="109">
        <f>TeamCapacity5[[#Totals],[Estimated Dedicated Hours
(Calculated)]]</f>
        <v>596</v>
      </c>
    </row>
    <row r="20" spans="2:5" x14ac:dyDescent="0.25">
      <c r="B20" s="110" t="s">
        <v>129</v>
      </c>
      <c r="C20" s="110"/>
      <c r="D20" s="111"/>
      <c r="E20" s="112">
        <f>TeamCapacity5[[#Totals],[Max Possible Capacity (Calculated)]]</f>
        <v>640</v>
      </c>
    </row>
    <row r="21" spans="2:5" x14ac:dyDescent="0.25">
      <c r="B21" s="113" t="s">
        <v>130</v>
      </c>
      <c r="C21" s="113"/>
      <c r="D21" s="114"/>
      <c r="E21" s="115">
        <f>TeamCapacity5[[#Totals],[Available Hours (Calculated)]]</f>
        <v>347.19999999999993</v>
      </c>
    </row>
    <row r="22" spans="2:5" x14ac:dyDescent="0.25">
      <c r="B22" s="110" t="s">
        <v>131</v>
      </c>
      <c r="C22" s="110"/>
      <c r="D22" s="111"/>
      <c r="E22" s="112">
        <f>TeamCapacity5[[#Totals],[Estimation = hours/8 (Calculated)]]</f>
        <v>43.399999999999991</v>
      </c>
    </row>
    <row r="23" spans="2:5" x14ac:dyDescent="0.25">
      <c r="B23" s="113" t="s">
        <v>132</v>
      </c>
      <c r="C23" s="113"/>
      <c r="D23" s="114"/>
      <c r="E23" s="115">
        <f>TeamCapacity5[[#Totals],[Planned Story Points]]</f>
        <v>40</v>
      </c>
    </row>
    <row r="24" spans="2:5" ht="15.75" thickBot="1" x14ac:dyDescent="0.3">
      <c r="B24" s="116" t="s">
        <v>133</v>
      </c>
      <c r="C24" s="116"/>
      <c r="D24" s="117"/>
      <c r="E24" s="112"/>
    </row>
    <row r="25" spans="2:5" ht="15.75" thickTop="1" x14ac:dyDescent="0.25">
      <c r="B25" s="118" t="s">
        <v>134</v>
      </c>
      <c r="C25" s="118"/>
      <c r="D25" s="119"/>
      <c r="E25" s="120">
        <f>E23-E24</f>
        <v>40</v>
      </c>
    </row>
  </sheetData>
  <conditionalFormatting sqref="F15:O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7:O13">
    <cfRule type="cellIs" dxfId="154" priority="3" operator="notEqual">
      <formula>8</formula>
    </cfRule>
    <cfRule type="cellIs" dxfId="153" priority="4" operator="notEqual">
      <formula>8</formula>
    </cfRule>
  </conditionalFormatting>
  <conditionalFormatting sqref="F14:O14">
    <cfRule type="cellIs" dxfId="152" priority="1" operator="notEqual">
      <formula>8</formula>
    </cfRule>
    <cfRule type="cellIs" dxfId="151" priority="2" operator="notEqual">
      <formula>8</formula>
    </cfRule>
  </conditionalFormatting>
  <pageMargins left="0.7" right="0.7" top="0.75" bottom="0.75" header="0.3" footer="0.3"/>
  <pageSetup orientation="portrait" horizontalDpi="360" verticalDpi="360" r:id="rId1"/>
  <legacy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B715-A785-4F72-99CE-91619BE29F5C}">
  <dimension ref="B2:X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3.28515625" customWidth="1"/>
    <col min="2" max="2" width="26.42578125" customWidth="1"/>
    <col min="3" max="3" width="17.5703125" bestFit="1" customWidth="1"/>
    <col min="4" max="5" width="12.7109375" style="21" customWidth="1"/>
    <col min="6" max="15" width="3.7109375" style="23" customWidth="1"/>
    <col min="16" max="17" width="11.7109375" style="23" customWidth="1"/>
    <col min="18" max="18" width="11.7109375" customWidth="1"/>
    <col min="19" max="19" width="11.7109375" style="21" customWidth="1"/>
    <col min="20" max="20" width="11.7109375" style="22" customWidth="1"/>
    <col min="21" max="23" width="11.7109375" customWidth="1"/>
    <col min="24" max="24" width="54.85546875" customWidth="1"/>
  </cols>
  <sheetData>
    <row r="2" spans="2:24" ht="21" x14ac:dyDescent="0.35">
      <c r="B2" s="1" t="s">
        <v>94</v>
      </c>
      <c r="C2" s="1" t="s">
        <v>294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S2"/>
      <c r="T2"/>
    </row>
    <row r="3" spans="2:24" s="38" customFormat="1" ht="15" customHeight="1" x14ac:dyDescent="0.2">
      <c r="B3" s="39"/>
      <c r="C3" s="39"/>
      <c r="D3" s="39"/>
      <c r="E3" s="39"/>
      <c r="R3" s="39"/>
      <c r="S3" s="39"/>
      <c r="T3" s="39"/>
    </row>
    <row r="4" spans="2:24" x14ac:dyDescent="0.25">
      <c r="F4" s="86" t="s">
        <v>95</v>
      </c>
      <c r="Q4" s="86" t="s">
        <v>96</v>
      </c>
    </row>
    <row r="5" spans="2:24" x14ac:dyDescent="0.25">
      <c r="F5" s="86" t="s">
        <v>97</v>
      </c>
      <c r="G5" s="86"/>
      <c r="H5" s="86"/>
      <c r="I5" s="86"/>
      <c r="J5" s="86"/>
      <c r="K5" s="86"/>
      <c r="L5" s="86"/>
      <c r="M5" s="86"/>
      <c r="N5" s="86"/>
      <c r="O5" s="86"/>
      <c r="Q5" s="86" t="s">
        <v>98</v>
      </c>
    </row>
    <row r="6" spans="2:24" s="19" customFormat="1" ht="75" x14ac:dyDescent="0.25">
      <c r="B6" s="19" t="s">
        <v>71</v>
      </c>
      <c r="C6" s="19" t="s">
        <v>99</v>
      </c>
      <c r="D6" s="20" t="s">
        <v>100</v>
      </c>
      <c r="E6" s="87" t="s">
        <v>101</v>
      </c>
      <c r="F6" s="88" t="s">
        <v>102</v>
      </c>
      <c r="G6" s="88" t="s">
        <v>103</v>
      </c>
      <c r="H6" s="88" t="s">
        <v>104</v>
      </c>
      <c r="I6" s="88" t="s">
        <v>105</v>
      </c>
      <c r="J6" s="88" t="s">
        <v>106</v>
      </c>
      <c r="K6" s="88" t="s">
        <v>107</v>
      </c>
      <c r="L6" s="88" t="s">
        <v>108</v>
      </c>
      <c r="M6" s="88" t="s">
        <v>109</v>
      </c>
      <c r="N6" s="88" t="s">
        <v>110</v>
      </c>
      <c r="O6" s="88" t="s">
        <v>111</v>
      </c>
      <c r="P6" s="89" t="s">
        <v>112</v>
      </c>
      <c r="Q6" s="89" t="s">
        <v>113</v>
      </c>
      <c r="R6" s="90" t="s">
        <v>114</v>
      </c>
      <c r="S6" s="90" t="s">
        <v>115</v>
      </c>
      <c r="T6" s="91" t="s">
        <v>116</v>
      </c>
      <c r="U6" s="90" t="s">
        <v>117</v>
      </c>
      <c r="V6" s="90" t="s">
        <v>118</v>
      </c>
      <c r="W6" s="92" t="s">
        <v>119</v>
      </c>
      <c r="X6" s="19" t="s">
        <v>120</v>
      </c>
    </row>
    <row r="7" spans="2:24" x14ac:dyDescent="0.25">
      <c r="B7" s="93" t="s">
        <v>269</v>
      </c>
      <c r="C7" s="93" t="s">
        <v>121</v>
      </c>
      <c r="D7" s="94">
        <v>0.8</v>
      </c>
      <c r="E7" s="95">
        <f>TeamCapacity6[[#This Row],[Estimated % of Time Dedicated to this Team]]*80</f>
        <v>64</v>
      </c>
      <c r="F7" s="96">
        <v>8</v>
      </c>
      <c r="G7" s="96">
        <v>8</v>
      </c>
      <c r="H7" s="96">
        <v>8</v>
      </c>
      <c r="I7" s="96">
        <v>8</v>
      </c>
      <c r="J7" s="96">
        <v>8</v>
      </c>
      <c r="K7" s="96">
        <v>8</v>
      </c>
      <c r="L7" s="96">
        <v>8</v>
      </c>
      <c r="M7" s="96">
        <v>8</v>
      </c>
      <c r="N7" s="96">
        <v>8</v>
      </c>
      <c r="O7" s="96">
        <v>8</v>
      </c>
      <c r="P7" s="97">
        <f t="shared" ref="P7:P14" si="0">SUM(F7:O7)</f>
        <v>80</v>
      </c>
      <c r="Q7" s="98"/>
      <c r="R7" s="8">
        <f>(IF(NOT(ISBLANK(TeamCapacity6[[#This Row],[Time Off (Override)]])),TeamCapacity6[[#This Row],[Estimated Dedicated Hours
(Calculated)]]-TeamCapacity6[[#This Row],[Time Off (Override)]],TeamCapacity6[[#This Row],[Hours Available (Calculated by Day Availability)]]))</f>
        <v>80</v>
      </c>
      <c r="S7" s="21">
        <v>0.3</v>
      </c>
      <c r="T7" s="22">
        <v>0.12</v>
      </c>
      <c r="U7" s="8">
        <f>MAX(0,(TeamCapacity6[[#This Row],[Max Possible Capacity (Calculated)]]-(TeamCapacity6[[#This Row],[Max Possible Capacity (Calculated)]]*TeamCapacity6[[#This Row],[% Time for Training, QA, and Support]])-(TeamCapacity6[[#This Row],[Max Possible Capacity (Calculated)]]*TeamCapacity6[[#This Row],[Estimated Hours Dedicated to Team Meetings]])))</f>
        <v>46.4</v>
      </c>
      <c r="V7" s="8">
        <f>TeamCapacity6[[#This Row],[Available Hours (Calculated)]]/8</f>
        <v>5.8</v>
      </c>
      <c r="W7">
        <v>5</v>
      </c>
    </row>
    <row r="8" spans="2:24" x14ac:dyDescent="0.25">
      <c r="B8" s="99" t="s">
        <v>271</v>
      </c>
      <c r="C8" s="99" t="s">
        <v>121</v>
      </c>
      <c r="D8" s="100">
        <v>1</v>
      </c>
      <c r="E8" s="95">
        <f>TeamCapacity6[[#This Row],[Estimated % of Time Dedicated to this Team]]*80</f>
        <v>80</v>
      </c>
      <c r="F8" s="96">
        <v>8</v>
      </c>
      <c r="G8" s="96">
        <v>8</v>
      </c>
      <c r="H8" s="96">
        <v>8</v>
      </c>
      <c r="I8" s="96">
        <v>8</v>
      </c>
      <c r="J8" s="96">
        <v>8</v>
      </c>
      <c r="K8" s="96">
        <v>8</v>
      </c>
      <c r="L8" s="96">
        <v>8</v>
      </c>
      <c r="M8" s="96">
        <v>8</v>
      </c>
      <c r="N8" s="96">
        <v>8</v>
      </c>
      <c r="O8" s="96">
        <v>8</v>
      </c>
      <c r="P8" s="97">
        <f t="shared" si="0"/>
        <v>80</v>
      </c>
      <c r="Q8" s="98"/>
      <c r="R8" s="8">
        <f>(IF(NOT(ISBLANK(TeamCapacity6[[#This Row],[Time Off (Override)]])),TeamCapacity6[[#This Row],[Estimated Dedicated Hours
(Calculated)]]-TeamCapacity6[[#This Row],[Time Off (Override)]],TeamCapacity6[[#This Row],[Hours Available (Calculated by Day Availability)]]))</f>
        <v>80</v>
      </c>
      <c r="S8" s="21">
        <v>0.8</v>
      </c>
      <c r="T8" s="22">
        <v>0.12</v>
      </c>
      <c r="U8" s="8">
        <f>MAX(0,(TeamCapacity6[[#This Row],[Max Possible Capacity (Calculated)]]-(TeamCapacity6[[#This Row],[Max Possible Capacity (Calculated)]]*TeamCapacity6[[#This Row],[% Time for Training, QA, and Support]])-(TeamCapacity6[[#This Row],[Max Possible Capacity (Calculated)]]*TeamCapacity6[[#This Row],[Estimated Hours Dedicated to Team Meetings]])))</f>
        <v>6.4</v>
      </c>
      <c r="V8" s="8">
        <f>TeamCapacity6[[#This Row],[Available Hours (Calculated)]]/8</f>
        <v>0.8</v>
      </c>
      <c r="W8">
        <v>2</v>
      </c>
    </row>
    <row r="9" spans="2:24" x14ac:dyDescent="0.25">
      <c r="B9" s="99" t="s">
        <v>270</v>
      </c>
      <c r="C9" s="99" t="s">
        <v>122</v>
      </c>
      <c r="D9" s="100">
        <v>1</v>
      </c>
      <c r="E9" s="95">
        <f>TeamCapacity6[[#This Row],[Estimated % of Time Dedicated to this Team]]*80</f>
        <v>80</v>
      </c>
      <c r="F9" s="96">
        <v>8</v>
      </c>
      <c r="G9" s="96">
        <v>8</v>
      </c>
      <c r="H9" s="96">
        <v>8</v>
      </c>
      <c r="I9" s="96">
        <v>8</v>
      </c>
      <c r="J9" s="96">
        <v>8</v>
      </c>
      <c r="K9" s="96">
        <v>8</v>
      </c>
      <c r="L9" s="96">
        <v>8</v>
      </c>
      <c r="M9" s="96">
        <v>8</v>
      </c>
      <c r="N9" s="96">
        <v>8</v>
      </c>
      <c r="O9" s="96">
        <v>8</v>
      </c>
      <c r="P9" s="97">
        <f t="shared" si="0"/>
        <v>80</v>
      </c>
      <c r="Q9" s="98"/>
      <c r="R9" s="8">
        <f>(IF(NOT(ISBLANK(TeamCapacity6[[#This Row],[Time Off (Override)]])),TeamCapacity6[[#This Row],[Estimated Dedicated Hours
(Calculated)]]-TeamCapacity6[[#This Row],[Time Off (Override)]],TeamCapacity6[[#This Row],[Hours Available (Calculated by Day Availability)]]))</f>
        <v>80</v>
      </c>
      <c r="S9" s="21">
        <v>0.2</v>
      </c>
      <c r="T9" s="22">
        <v>0.12</v>
      </c>
      <c r="U9" s="8">
        <f>MAX(0,(TeamCapacity6[[#This Row],[Max Possible Capacity (Calculated)]]-(TeamCapacity6[[#This Row],[Max Possible Capacity (Calculated)]]*TeamCapacity6[[#This Row],[% Time for Training, QA, and Support]])-(TeamCapacity6[[#This Row],[Max Possible Capacity (Calculated)]]*TeamCapacity6[[#This Row],[Estimated Hours Dedicated to Team Meetings]])))</f>
        <v>54.4</v>
      </c>
      <c r="V9" s="8">
        <f>TeamCapacity6[[#This Row],[Available Hours (Calculated)]]/8</f>
        <v>6.8</v>
      </c>
      <c r="W9">
        <v>6</v>
      </c>
    </row>
    <row r="10" spans="2:24" x14ac:dyDescent="0.25">
      <c r="B10" s="99" t="s">
        <v>272</v>
      </c>
      <c r="C10" s="99" t="s">
        <v>122</v>
      </c>
      <c r="D10" s="100">
        <v>0.8</v>
      </c>
      <c r="E10" s="95">
        <f>TeamCapacity6[[#This Row],[Estimated % of Time Dedicated to this Team]]*80</f>
        <v>64</v>
      </c>
      <c r="F10" s="96">
        <v>8</v>
      </c>
      <c r="G10" s="96">
        <v>8</v>
      </c>
      <c r="H10" s="96">
        <v>8</v>
      </c>
      <c r="I10" s="96">
        <v>8</v>
      </c>
      <c r="J10" s="96">
        <v>8</v>
      </c>
      <c r="K10" s="96">
        <v>8</v>
      </c>
      <c r="L10" s="96">
        <v>8</v>
      </c>
      <c r="M10" s="96">
        <v>8</v>
      </c>
      <c r="N10" s="96">
        <v>8</v>
      </c>
      <c r="O10" s="96">
        <v>8</v>
      </c>
      <c r="P10" s="97">
        <f t="shared" si="0"/>
        <v>80</v>
      </c>
      <c r="Q10" s="98"/>
      <c r="R10" s="8">
        <f>(IF(NOT(ISBLANK(TeamCapacity6[[#This Row],[Time Off (Override)]])),TeamCapacity6[[#This Row],[Estimated Dedicated Hours
(Calculated)]]-TeamCapacity6[[#This Row],[Time Off (Override)]],TeamCapacity6[[#This Row],[Hours Available (Calculated by Day Availability)]]))</f>
        <v>80</v>
      </c>
      <c r="S10" s="21">
        <v>0.2</v>
      </c>
      <c r="T10" s="22">
        <v>0.12</v>
      </c>
      <c r="U10" s="8">
        <f>MAX(0,(TeamCapacity6[[#This Row],[Max Possible Capacity (Calculated)]]-(TeamCapacity6[[#This Row],[Max Possible Capacity (Calculated)]]*TeamCapacity6[[#This Row],[% Time for Training, QA, and Support]])-(TeamCapacity6[[#This Row],[Max Possible Capacity (Calculated)]]*TeamCapacity6[[#This Row],[Estimated Hours Dedicated to Team Meetings]])))</f>
        <v>54.4</v>
      </c>
      <c r="V10" s="8">
        <f>TeamCapacity6[[#This Row],[Available Hours (Calculated)]]/8</f>
        <v>6.8</v>
      </c>
      <c r="W10">
        <v>6</v>
      </c>
    </row>
    <row r="11" spans="2:24" x14ac:dyDescent="0.25">
      <c r="B11" s="99" t="s">
        <v>273</v>
      </c>
      <c r="C11" s="99" t="s">
        <v>122</v>
      </c>
      <c r="D11" s="100">
        <v>0.85</v>
      </c>
      <c r="E11" s="95">
        <f>TeamCapacity6[[#This Row],[Estimated % of Time Dedicated to this Team]]*80</f>
        <v>68</v>
      </c>
      <c r="F11" s="96">
        <v>8</v>
      </c>
      <c r="G11" s="96">
        <v>8</v>
      </c>
      <c r="H11" s="96">
        <v>8</v>
      </c>
      <c r="I11" s="96">
        <v>8</v>
      </c>
      <c r="J11" s="96">
        <v>8</v>
      </c>
      <c r="K11" s="96">
        <v>8</v>
      </c>
      <c r="L11" s="96">
        <v>8</v>
      </c>
      <c r="M11" s="96">
        <v>8</v>
      </c>
      <c r="N11" s="96">
        <v>8</v>
      </c>
      <c r="O11" s="96">
        <v>8</v>
      </c>
      <c r="P11" s="97">
        <f t="shared" si="0"/>
        <v>80</v>
      </c>
      <c r="Q11" s="98"/>
      <c r="R11" s="8">
        <f>(IF(NOT(ISBLANK(TeamCapacity6[[#This Row],[Time Off (Override)]])),TeamCapacity6[[#This Row],[Estimated Dedicated Hours
(Calculated)]]-TeamCapacity6[[#This Row],[Time Off (Override)]],TeamCapacity6[[#This Row],[Hours Available (Calculated by Day Availability)]]))</f>
        <v>80</v>
      </c>
      <c r="S11" s="21">
        <v>0.2</v>
      </c>
      <c r="T11" s="22">
        <v>0.12</v>
      </c>
      <c r="U11" s="8">
        <f>MAX(0,(TeamCapacity6[[#This Row],[Max Possible Capacity (Calculated)]]-(TeamCapacity6[[#This Row],[Max Possible Capacity (Calculated)]]*TeamCapacity6[[#This Row],[% Time for Training, QA, and Support]])-(TeamCapacity6[[#This Row],[Max Possible Capacity (Calculated)]]*TeamCapacity6[[#This Row],[Estimated Hours Dedicated to Team Meetings]])))</f>
        <v>54.4</v>
      </c>
      <c r="V11" s="8">
        <f>TeamCapacity6[[#This Row],[Available Hours (Calculated)]]/8</f>
        <v>6.8</v>
      </c>
      <c r="W11">
        <v>6</v>
      </c>
    </row>
    <row r="12" spans="2:24" x14ac:dyDescent="0.25">
      <c r="B12" s="99" t="s">
        <v>274</v>
      </c>
      <c r="C12" s="99" t="s">
        <v>122</v>
      </c>
      <c r="D12" s="100">
        <v>1</v>
      </c>
      <c r="E12" s="95">
        <f>TeamCapacity6[[#This Row],[Estimated % of Time Dedicated to this Team]]*80</f>
        <v>80</v>
      </c>
      <c r="F12" s="96">
        <v>8</v>
      </c>
      <c r="G12" s="96">
        <v>8</v>
      </c>
      <c r="H12" s="96">
        <v>8</v>
      </c>
      <c r="I12" s="96">
        <v>8</v>
      </c>
      <c r="J12" s="96">
        <v>8</v>
      </c>
      <c r="K12" s="96">
        <v>8</v>
      </c>
      <c r="L12" s="96">
        <v>8</v>
      </c>
      <c r="M12" s="96">
        <v>8</v>
      </c>
      <c r="N12" s="96">
        <v>8</v>
      </c>
      <c r="O12" s="96">
        <v>8</v>
      </c>
      <c r="P12" s="97">
        <f t="shared" si="0"/>
        <v>80</v>
      </c>
      <c r="Q12" s="98"/>
      <c r="R12" s="8">
        <f>(IF(NOT(ISBLANK(TeamCapacity6[[#This Row],[Time Off (Override)]])),TeamCapacity6[[#This Row],[Estimated Dedicated Hours
(Calculated)]]-TeamCapacity6[[#This Row],[Time Off (Override)]],TeamCapacity6[[#This Row],[Hours Available (Calculated by Day Availability)]]))</f>
        <v>80</v>
      </c>
      <c r="S12" s="21">
        <v>0.25</v>
      </c>
      <c r="T12" s="22">
        <v>0.12</v>
      </c>
      <c r="U12" s="8">
        <f>MAX(0,(TeamCapacity6[[#This Row],[Max Possible Capacity (Calculated)]]-(TeamCapacity6[[#This Row],[Max Possible Capacity (Calculated)]]*TeamCapacity6[[#This Row],[% Time for Training, QA, and Support]])-(TeamCapacity6[[#This Row],[Max Possible Capacity (Calculated)]]*TeamCapacity6[[#This Row],[Estimated Hours Dedicated to Team Meetings]])))</f>
        <v>50.4</v>
      </c>
      <c r="V12" s="8">
        <f>TeamCapacity6[[#This Row],[Available Hours (Calculated)]]/8</f>
        <v>6.3</v>
      </c>
      <c r="W12">
        <v>6</v>
      </c>
    </row>
    <row r="13" spans="2:24" x14ac:dyDescent="0.25">
      <c r="B13" s="101" t="s">
        <v>275</v>
      </c>
      <c r="C13" t="s">
        <v>123</v>
      </c>
      <c r="D13" s="100">
        <v>1</v>
      </c>
      <c r="E13" s="95">
        <f>TeamCapacity6[[#This Row],[Estimated % of Time Dedicated to this Team]]*80</f>
        <v>80</v>
      </c>
      <c r="F13" s="96">
        <v>8</v>
      </c>
      <c r="G13" s="96">
        <v>8</v>
      </c>
      <c r="H13" s="96">
        <v>8</v>
      </c>
      <c r="I13" s="96">
        <v>8</v>
      </c>
      <c r="J13" s="96">
        <v>8</v>
      </c>
      <c r="K13" s="96">
        <v>8</v>
      </c>
      <c r="L13" s="96">
        <v>8</v>
      </c>
      <c r="M13" s="96">
        <v>8</v>
      </c>
      <c r="N13" s="96">
        <v>8</v>
      </c>
      <c r="O13" s="96">
        <v>8</v>
      </c>
      <c r="P13" s="97">
        <f t="shared" si="0"/>
        <v>80</v>
      </c>
      <c r="Q13" s="98"/>
      <c r="R13" s="8">
        <f>(IF(NOT(ISBLANK(TeamCapacity6[[#This Row],[Time Off (Override)]])),TeamCapacity6[[#This Row],[Estimated Dedicated Hours
(Calculated)]]-TeamCapacity6[[#This Row],[Time Off (Override)]],TeamCapacity6[[#This Row],[Hours Available (Calculated by Day Availability)]]))</f>
        <v>80</v>
      </c>
      <c r="S13" s="21">
        <v>0.5</v>
      </c>
      <c r="T13" s="22">
        <v>0.12</v>
      </c>
      <c r="U13" s="8">
        <f>MAX(0,(TeamCapacity6[[#This Row],[Max Possible Capacity (Calculated)]]-(TeamCapacity6[[#This Row],[Max Possible Capacity (Calculated)]]*TeamCapacity6[[#This Row],[% Time for Training, QA, and Support]])-(TeamCapacity6[[#This Row],[Max Possible Capacity (Calculated)]]*TeamCapacity6[[#This Row],[Estimated Hours Dedicated to Team Meetings]])))</f>
        <v>30.4</v>
      </c>
      <c r="V13" s="8">
        <f>TeamCapacity6[[#This Row],[Available Hours (Calculated)]]/8</f>
        <v>3.8</v>
      </c>
      <c r="W13">
        <v>4</v>
      </c>
    </row>
    <row r="14" spans="2:24" ht="15.75" thickBot="1" x14ac:dyDescent="0.3">
      <c r="B14" s="99" t="s">
        <v>276</v>
      </c>
      <c r="C14" t="s">
        <v>123</v>
      </c>
      <c r="D14" s="129">
        <v>1</v>
      </c>
      <c r="E14" s="95">
        <f>TeamCapacity6[[#This Row],[Estimated % of Time Dedicated to this Team]]*80</f>
        <v>80</v>
      </c>
      <c r="F14" s="96">
        <v>8</v>
      </c>
      <c r="G14" s="96">
        <v>8</v>
      </c>
      <c r="H14" s="96">
        <v>8</v>
      </c>
      <c r="I14" s="96">
        <v>8</v>
      </c>
      <c r="J14" s="96">
        <v>8</v>
      </c>
      <c r="K14" s="96">
        <v>8</v>
      </c>
      <c r="L14" s="96">
        <v>8</v>
      </c>
      <c r="M14" s="96">
        <v>8</v>
      </c>
      <c r="N14" s="96">
        <v>8</v>
      </c>
      <c r="O14" s="96">
        <v>8</v>
      </c>
      <c r="P14" s="97">
        <f t="shared" si="0"/>
        <v>80</v>
      </c>
      <c r="Q14" s="98"/>
      <c r="R14" s="8">
        <f>(IF(NOT(ISBLANK(TeamCapacity6[[#This Row],[Time Off (Override)]])),TeamCapacity6[[#This Row],[Estimated Dedicated Hours
(Calculated)]]-TeamCapacity6[[#This Row],[Time Off (Override)]],TeamCapacity6[[#This Row],[Hours Available (Calculated by Day Availability)]]))</f>
        <v>80</v>
      </c>
      <c r="S14" s="21">
        <v>0.25</v>
      </c>
      <c r="T14" s="22">
        <v>0.12</v>
      </c>
      <c r="U14" s="8">
        <f>MAX(0,(TeamCapacity6[[#This Row],[Max Possible Capacity (Calculated)]]-(TeamCapacity6[[#This Row],[Max Possible Capacity (Calculated)]]*TeamCapacity6[[#This Row],[% Time for Training, QA, and Support]])-(TeamCapacity6[[#This Row],[Max Possible Capacity (Calculated)]]*TeamCapacity6[[#This Row],[Estimated Hours Dedicated to Team Meetings]])))</f>
        <v>50.4</v>
      </c>
      <c r="V14" s="8">
        <f>TeamCapacity6[[#This Row],[Available Hours (Calculated)]]/8</f>
        <v>6.3</v>
      </c>
      <c r="W14">
        <v>5</v>
      </c>
    </row>
    <row r="15" spans="2:24" ht="19.5" thickTop="1" x14ac:dyDescent="0.3">
      <c r="C15" s="102"/>
      <c r="E15" s="23">
        <f>SUM(TeamCapacity6[Estimated Dedicated Hours
(Calculated)])</f>
        <v>596</v>
      </c>
      <c r="F15" s="23">
        <f>SUBTOTAL(109,TeamCapacity6[M 01])</f>
        <v>64</v>
      </c>
      <c r="G15" s="23">
        <f>SUBTOTAL(109,TeamCapacity6[Tu 02])</f>
        <v>64</v>
      </c>
      <c r="H15" s="23">
        <f>SUBTOTAL(109,TeamCapacity6[W 03])</f>
        <v>64</v>
      </c>
      <c r="I15" s="23">
        <f>SUBTOTAL(109,TeamCapacity6[Th 04])</f>
        <v>64</v>
      </c>
      <c r="J15" s="23">
        <f>SUBTOTAL(109,TeamCapacity6[F 05])</f>
        <v>64</v>
      </c>
      <c r="K15" s="23">
        <f>SUBTOTAL(109,TeamCapacity6[M 06])</f>
        <v>64</v>
      </c>
      <c r="L15" s="23">
        <f>SUBTOTAL(109,TeamCapacity6[Tu 07])</f>
        <v>64</v>
      </c>
      <c r="M15" s="23">
        <f>SUBTOTAL(109,TeamCapacity6[W 08])</f>
        <v>64</v>
      </c>
      <c r="N15" s="23">
        <f>SUBTOTAL(109,TeamCapacity6[Th 09])</f>
        <v>64</v>
      </c>
      <c r="O15" s="23">
        <f>SUBTOTAL(109,TeamCapacity6[F 10])</f>
        <v>64</v>
      </c>
      <c r="P15" s="23">
        <f>SUM(TeamCapacity6[Hours Available (Calculated by Day Availability)])</f>
        <v>640</v>
      </c>
      <c r="Q15" s="23">
        <f>SUM(TeamCapacity6[Time Off (Override)])</f>
        <v>0</v>
      </c>
      <c r="R15">
        <f>SUM(TeamCapacity6[Max Possible Capacity (Calculated)])</f>
        <v>640</v>
      </c>
      <c r="S15" s="21">
        <f>AVERAGE(TeamCapacity6[% Time for Training, QA, and Support])</f>
        <v>0.33750000000000002</v>
      </c>
      <c r="T15" s="21">
        <f>AVERAGE(TeamCapacity6[Estimated Hours Dedicated to Team Meetings])</f>
        <v>0.12</v>
      </c>
      <c r="U15">
        <f>SUM(TeamCapacity6[Available Hours (Calculated)])</f>
        <v>347.19999999999993</v>
      </c>
      <c r="V15" s="103">
        <f>SUM(TeamCapacity6[Estimation = hours/8 (Calculated)])</f>
        <v>43.399999999999991</v>
      </c>
      <c r="W15" s="24">
        <f>SUM(TeamCapacity6[Planned Story Points])</f>
        <v>40</v>
      </c>
    </row>
    <row r="16" spans="2:24" x14ac:dyDescent="0.25">
      <c r="E16" s="21" t="s">
        <v>250</v>
      </c>
      <c r="F16">
        <v>10</v>
      </c>
      <c r="G16">
        <v>11</v>
      </c>
      <c r="H16">
        <v>12</v>
      </c>
      <c r="I16">
        <v>13</v>
      </c>
      <c r="J16">
        <v>14</v>
      </c>
      <c r="K16">
        <v>17</v>
      </c>
      <c r="L16">
        <v>18</v>
      </c>
      <c r="M16">
        <v>19</v>
      </c>
      <c r="N16">
        <v>20</v>
      </c>
      <c r="O16">
        <v>21</v>
      </c>
    </row>
    <row r="18" spans="2:5" ht="15.75" thickBot="1" x14ac:dyDescent="0.3">
      <c r="B18" s="104" t="s">
        <v>124</v>
      </c>
      <c r="C18" s="104" t="s">
        <v>125</v>
      </c>
      <c r="D18" s="105" t="s">
        <v>126</v>
      </c>
      <c r="E18" s="106" t="s">
        <v>127</v>
      </c>
    </row>
    <row r="19" spans="2:5" x14ac:dyDescent="0.25">
      <c r="B19" s="107" t="s">
        <v>128</v>
      </c>
      <c r="C19" s="107"/>
      <c r="D19" s="108"/>
      <c r="E19" s="109">
        <f>TeamCapacity6[[#Totals],[Estimated Dedicated Hours
(Calculated)]]</f>
        <v>596</v>
      </c>
    </row>
    <row r="20" spans="2:5" x14ac:dyDescent="0.25">
      <c r="B20" s="110" t="s">
        <v>129</v>
      </c>
      <c r="C20" s="110"/>
      <c r="D20" s="111"/>
      <c r="E20" s="112">
        <f>TeamCapacity6[[#Totals],[Max Possible Capacity (Calculated)]]</f>
        <v>640</v>
      </c>
    </row>
    <row r="21" spans="2:5" x14ac:dyDescent="0.25">
      <c r="B21" s="113" t="s">
        <v>130</v>
      </c>
      <c r="C21" s="113"/>
      <c r="D21" s="114"/>
      <c r="E21" s="115">
        <f>TeamCapacity6[[#Totals],[Available Hours (Calculated)]]</f>
        <v>347.19999999999993</v>
      </c>
    </row>
    <row r="22" spans="2:5" x14ac:dyDescent="0.25">
      <c r="B22" s="110" t="s">
        <v>131</v>
      </c>
      <c r="C22" s="110"/>
      <c r="D22" s="111"/>
      <c r="E22" s="112">
        <f>TeamCapacity6[[#Totals],[Estimation = hours/8 (Calculated)]]</f>
        <v>43.399999999999991</v>
      </c>
    </row>
    <row r="23" spans="2:5" x14ac:dyDescent="0.25">
      <c r="B23" s="113" t="s">
        <v>132</v>
      </c>
      <c r="C23" s="113"/>
      <c r="D23" s="114"/>
      <c r="E23" s="115">
        <f>TeamCapacity6[[#Totals],[Planned Story Points]]</f>
        <v>40</v>
      </c>
    </row>
    <row r="24" spans="2:5" ht="15.75" thickBot="1" x14ac:dyDescent="0.3">
      <c r="B24" s="116" t="s">
        <v>133</v>
      </c>
      <c r="C24" s="116"/>
      <c r="D24" s="117"/>
      <c r="E24" s="112"/>
    </row>
    <row r="25" spans="2:5" ht="15.75" thickTop="1" x14ac:dyDescent="0.25">
      <c r="B25" s="118" t="s">
        <v>134</v>
      </c>
      <c r="C25" s="118"/>
      <c r="D25" s="119"/>
      <c r="E25" s="120">
        <f>E23-E24</f>
        <v>40</v>
      </c>
    </row>
  </sheetData>
  <conditionalFormatting sqref="F15:O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7:O13">
    <cfRule type="cellIs" dxfId="109" priority="3" operator="notEqual">
      <formula>8</formula>
    </cfRule>
    <cfRule type="cellIs" dxfId="108" priority="4" operator="notEqual">
      <formula>8</formula>
    </cfRule>
  </conditionalFormatting>
  <conditionalFormatting sqref="F14:O14">
    <cfRule type="cellIs" dxfId="107" priority="1" operator="notEqual">
      <formula>8</formula>
    </cfRule>
    <cfRule type="cellIs" dxfId="106" priority="2" operator="notEqual">
      <formula>8</formula>
    </cfRule>
  </conditionalFormatting>
  <pageMargins left="0.7" right="0.7" top="0.75" bottom="0.75" header="0.3" footer="0.3"/>
  <pageSetup orientation="portrait" horizontalDpi="360" verticalDpi="360" r:id="rId1"/>
  <legacy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9F02-595A-48B9-90DF-5EF0DDCE66CE}">
  <dimension ref="B2:Q28"/>
  <sheetViews>
    <sheetView zoomScaleNormal="100" workbookViewId="0">
      <selection activeCell="B2" sqref="B2"/>
    </sheetView>
  </sheetViews>
  <sheetFormatPr defaultRowHeight="15" x14ac:dyDescent="0.25"/>
  <cols>
    <col min="1" max="1" width="3.28515625" customWidth="1"/>
    <col min="2" max="2" width="35" customWidth="1"/>
    <col min="3" max="3" width="17.5703125" bestFit="1" customWidth="1"/>
    <col min="4" max="17" width="11.7109375" customWidth="1"/>
  </cols>
  <sheetData>
    <row r="2" spans="2:9" ht="21" x14ac:dyDescent="0.35">
      <c r="B2" s="1" t="s">
        <v>135</v>
      </c>
    </row>
    <row r="3" spans="2:9" x14ac:dyDescent="0.25">
      <c r="B3" s="39" t="s">
        <v>136</v>
      </c>
    </row>
    <row r="11" spans="2:9" ht="45" x14ac:dyDescent="0.25">
      <c r="B11" s="19" t="s">
        <v>137</v>
      </c>
      <c r="C11" s="19" t="s">
        <v>138</v>
      </c>
      <c r="D11" s="19" t="s">
        <v>139</v>
      </c>
      <c r="E11" s="19" t="s">
        <v>140</v>
      </c>
      <c r="F11" s="19" t="s">
        <v>141</v>
      </c>
      <c r="G11" s="19" t="s">
        <v>142</v>
      </c>
      <c r="H11" s="19" t="s">
        <v>143</v>
      </c>
      <c r="I11" s="19" t="s">
        <v>144</v>
      </c>
    </row>
    <row r="12" spans="2:9" x14ac:dyDescent="0.25">
      <c r="B12" t="s">
        <v>277</v>
      </c>
      <c r="C12" t="s">
        <v>145</v>
      </c>
      <c r="D12">
        <v>37</v>
      </c>
      <c r="E12" s="23">
        <f>Table527[[#Totals],[S50 Max]]</f>
        <v>43.399999999999991</v>
      </c>
      <c r="F12" s="23">
        <f>Table527[[#Totals],[S50 Plan]]</f>
        <v>40</v>
      </c>
      <c r="G12">
        <f>MAX(Table4[[#This Row],[Planned Capacity (SPs)]]-Table4[[#This Row],[Load (Final Planned Work)]],0)</f>
        <v>3.3999999999999915</v>
      </c>
      <c r="H12" s="121"/>
      <c r="I12" s="121"/>
    </row>
    <row r="13" spans="2:9" x14ac:dyDescent="0.25">
      <c r="B13" t="s">
        <v>290</v>
      </c>
      <c r="C13" t="s">
        <v>145</v>
      </c>
      <c r="D13">
        <v>37</v>
      </c>
      <c r="E13" s="23">
        <f>Table527[[#Totals],[S51 Max]]</f>
        <v>43.399999999999991</v>
      </c>
      <c r="F13" s="23">
        <f>Table527[[#Totals],[S51 Plan]]</f>
        <v>40</v>
      </c>
      <c r="G13">
        <f>MAX(Table4[[#This Row],[Planned Capacity (SPs)]]-Table4[[#This Row],[Load (Final Planned Work)]],0)</f>
        <v>3.3999999999999915</v>
      </c>
      <c r="H13" s="121"/>
      <c r="I13" s="121"/>
    </row>
    <row r="14" spans="2:9" x14ac:dyDescent="0.25">
      <c r="B14" t="s">
        <v>291</v>
      </c>
      <c r="C14" t="s">
        <v>145</v>
      </c>
      <c r="D14">
        <v>37</v>
      </c>
      <c r="E14" s="23">
        <f>Table527[[#Totals],[S52 Max]]</f>
        <v>43.399999999999991</v>
      </c>
      <c r="F14" s="23">
        <f>Table527[[#Totals],[S52 Plan]]</f>
        <v>40</v>
      </c>
      <c r="G14">
        <f>MAX(Table4[[#This Row],[Planned Capacity (SPs)]]-Table4[[#This Row],[Load (Final Planned Work)]],0)</f>
        <v>3.3999999999999915</v>
      </c>
      <c r="H14" s="121"/>
      <c r="I14" s="121"/>
    </row>
    <row r="15" spans="2:9" x14ac:dyDescent="0.25">
      <c r="B15" t="s">
        <v>292</v>
      </c>
      <c r="C15" t="s">
        <v>145</v>
      </c>
      <c r="D15">
        <v>37</v>
      </c>
      <c r="E15" s="23">
        <f>Table527[[#Totals],[S53 Max]]</f>
        <v>43.399999999999991</v>
      </c>
      <c r="F15" s="23">
        <f>Table527[[#Totals],[S53 Plan]]</f>
        <v>40</v>
      </c>
      <c r="G15">
        <f>MAX(Table4[[#This Row],[Planned Capacity (SPs)]]-Table4[[#This Row],[Load (Final Planned Work)]],0)</f>
        <v>3.3999999999999915</v>
      </c>
      <c r="H15" s="121"/>
      <c r="I15" s="121"/>
    </row>
    <row r="16" spans="2:9" x14ac:dyDescent="0.25">
      <c r="B16" t="s">
        <v>293</v>
      </c>
      <c r="C16" t="s">
        <v>145</v>
      </c>
      <c r="D16">
        <v>37</v>
      </c>
      <c r="E16" s="23">
        <f>Table527[[#Totals],[S54 Max]]</f>
        <v>43.399999999999991</v>
      </c>
      <c r="F16" s="23">
        <f>Table527[[#Totals],[S54 Plan]]</f>
        <v>40</v>
      </c>
      <c r="G16">
        <f>MAX(Table4[[#This Row],[Planned Capacity (SPs)]]-Table4[[#This Row],[Load (Final Planned Work)]],0)</f>
        <v>3.3999999999999915</v>
      </c>
      <c r="H16" s="121"/>
      <c r="I16" s="121"/>
    </row>
    <row r="17" spans="2:17" x14ac:dyDescent="0.25">
      <c r="B17" t="s">
        <v>294</v>
      </c>
      <c r="C17" t="s">
        <v>145</v>
      </c>
      <c r="D17">
        <v>37</v>
      </c>
      <c r="E17" s="23">
        <f>Table527[[#Totals],[S55 Max]]</f>
        <v>43.399999999999991</v>
      </c>
      <c r="F17" s="23">
        <f>Table527[[#Totals],[S55 Plan]]</f>
        <v>40</v>
      </c>
      <c r="G17">
        <f>MAX(Table4[[#This Row],[Planned Capacity (SPs)]]-Table4[[#This Row],[Load (Final Planned Work)]],0)</f>
        <v>3.3999999999999915</v>
      </c>
      <c r="H17" s="121"/>
      <c r="I17" s="121"/>
    </row>
    <row r="19" spans="2:17" x14ac:dyDescent="0.25">
      <c r="B19" t="s">
        <v>71</v>
      </c>
      <c r="C19" t="s">
        <v>99</v>
      </c>
      <c r="D19" t="s">
        <v>278</v>
      </c>
      <c r="E19" t="s">
        <v>279</v>
      </c>
      <c r="F19" t="s">
        <v>280</v>
      </c>
      <c r="G19" t="s">
        <v>281</v>
      </c>
      <c r="H19" t="s">
        <v>282</v>
      </c>
      <c r="I19" t="s">
        <v>283</v>
      </c>
      <c r="J19" t="s">
        <v>284</v>
      </c>
      <c r="K19" t="s">
        <v>285</v>
      </c>
      <c r="L19" t="s">
        <v>286</v>
      </c>
      <c r="M19" t="s">
        <v>287</v>
      </c>
      <c r="N19" t="s">
        <v>288</v>
      </c>
      <c r="O19" t="s">
        <v>289</v>
      </c>
      <c r="P19" t="s">
        <v>146</v>
      </c>
      <c r="Q19" t="s">
        <v>147</v>
      </c>
    </row>
    <row r="20" spans="2:17" x14ac:dyDescent="0.25">
      <c r="B20" s="176" t="s">
        <v>269</v>
      </c>
      <c r="C20" t="s">
        <v>121</v>
      </c>
      <c r="D20" s="122">
        <f>VLOOKUP(Table527[[#This Row],[Name]],TeamCapacity1[[Name]:[Planned Story Points]],21, FALSE)</f>
        <v>5.8</v>
      </c>
      <c r="E20" s="122">
        <f>VLOOKUP(Table527[[#This Row],[Name]],TeamCapacity1[[Name]:[Planned Story Points]],22, FALSE)</f>
        <v>5</v>
      </c>
      <c r="F20" s="122">
        <f>VLOOKUP(Table527[[#This Row],[Name]],TeamCapacity2[[Name]:[Planned Story Points]],21, FALSE)</f>
        <v>5.8</v>
      </c>
      <c r="G20" s="122">
        <f>VLOOKUP(Table527[[#This Row],[Name]],TeamCapacity2[[Name]:[Planned Story Points]],22, FALSE)</f>
        <v>5</v>
      </c>
      <c r="H20" s="122">
        <f>VLOOKUP(Table527[[#This Row],[Name]],TeamCapacity3[[Name]:[Planned Story Points]],21, FALSE)</f>
        <v>5.8</v>
      </c>
      <c r="I20" s="122">
        <f>VLOOKUP(Table527[[#This Row],[Name]],TeamCapacity3[[Name]:[Planned Story Points]],22, FALSE)</f>
        <v>5</v>
      </c>
      <c r="J20" s="122">
        <f>VLOOKUP(Table527[[#This Row],[Name]],TeamCapacity4[[Name]:[Planned Story Points]],21, FALSE)</f>
        <v>5.8</v>
      </c>
      <c r="K20" s="122">
        <f>VLOOKUP(Table527[[#This Row],[Name]],TeamCapacity4[[Name]:[Planned Story Points]],22, FALSE)</f>
        <v>5</v>
      </c>
      <c r="L20" s="122">
        <f>VLOOKUP(Table527[[#This Row],[Name]],TeamCapacity5[[Name]:[Planned Story Points]],21, FALSE)</f>
        <v>5.8</v>
      </c>
      <c r="M20" s="122">
        <f>VLOOKUP(Table527[[#This Row],[Name]],TeamCapacity5[[Name]:[Planned Story Points]],22, FALSE)</f>
        <v>5</v>
      </c>
      <c r="N20" s="122">
        <f>VLOOKUP(Table527[[#This Row],[Name]],TeamCapacity6[[Name]:[Planned Story Points]],21, FALSE)</f>
        <v>5.8</v>
      </c>
      <c r="O20" s="122">
        <f>VLOOKUP(Table527[[#This Row],[Name]],TeamCapacity6[[Name]:[Planned Story Points]],22, FALSE)</f>
        <v>5</v>
      </c>
      <c r="P20" s="123">
        <f>SUM(D20,F20,H20,J20,L20,N20)</f>
        <v>34.799999999999997</v>
      </c>
      <c r="Q20" s="122">
        <f>SUM(E20,G20,I20,K20,M20,O20)</f>
        <v>30</v>
      </c>
    </row>
    <row r="21" spans="2:17" x14ac:dyDescent="0.25">
      <c r="B21" s="176" t="s">
        <v>271</v>
      </c>
      <c r="C21" t="s">
        <v>121</v>
      </c>
      <c r="D21" s="122">
        <f>VLOOKUP(Table527[[#This Row],[Name]],TeamCapacity1[[Name]:[Planned Story Points]],21, FALSE)</f>
        <v>0.8</v>
      </c>
      <c r="E21" s="122">
        <f>VLOOKUP(Table527[[#This Row],[Name]],TeamCapacity1[[Name]:[Planned Story Points]],22, FALSE)</f>
        <v>2</v>
      </c>
      <c r="F21" s="122">
        <f>VLOOKUP(Table527[[#This Row],[Name]],TeamCapacity2[[Name]:[Planned Story Points]],21, FALSE)</f>
        <v>0.8</v>
      </c>
      <c r="G21" s="122">
        <f>VLOOKUP(Table527[[#This Row],[Name]],TeamCapacity2[[Name]:[Planned Story Points]],22, FALSE)</f>
        <v>2</v>
      </c>
      <c r="H21" s="122">
        <f>VLOOKUP(Table527[[#This Row],[Name]],TeamCapacity3[[Name]:[Planned Story Points]],21, FALSE)</f>
        <v>0.8</v>
      </c>
      <c r="I21" s="122">
        <f>VLOOKUP(Table527[[#This Row],[Name]],TeamCapacity3[[Name]:[Planned Story Points]],22, FALSE)</f>
        <v>2</v>
      </c>
      <c r="J21" s="122">
        <f>VLOOKUP(Table527[[#This Row],[Name]],TeamCapacity4[[Name]:[Planned Story Points]],21, FALSE)</f>
        <v>0.8</v>
      </c>
      <c r="K21" s="122">
        <f>VLOOKUP(Table527[[#This Row],[Name]],TeamCapacity4[[Name]:[Planned Story Points]],22, FALSE)</f>
        <v>2</v>
      </c>
      <c r="L21" s="122">
        <f>VLOOKUP(Table527[[#This Row],[Name]],TeamCapacity5[[Name]:[Planned Story Points]],21, FALSE)</f>
        <v>0.8</v>
      </c>
      <c r="M21" s="122">
        <f>VLOOKUP(Table527[[#This Row],[Name]],TeamCapacity5[[Name]:[Planned Story Points]],22, FALSE)</f>
        <v>2</v>
      </c>
      <c r="N21" s="122">
        <f>VLOOKUP(Table527[[#This Row],[Name]],TeamCapacity6[[Name]:[Planned Story Points]],21, FALSE)</f>
        <v>0.8</v>
      </c>
      <c r="O21" s="122">
        <f>VLOOKUP(Table527[[#This Row],[Name]],TeamCapacity6[[Name]:[Planned Story Points]],22, FALSE)</f>
        <v>2</v>
      </c>
      <c r="P21" s="123">
        <f t="shared" ref="P21:Q26" si="0">SUM(D21,F21,H21,J21,L21,N21)</f>
        <v>4.8</v>
      </c>
      <c r="Q21" s="122">
        <f t="shared" si="0"/>
        <v>12</v>
      </c>
    </row>
    <row r="22" spans="2:17" x14ac:dyDescent="0.25">
      <c r="B22" s="176" t="s">
        <v>270</v>
      </c>
      <c r="C22" t="s">
        <v>122</v>
      </c>
      <c r="D22" s="122">
        <f>VLOOKUP(Table527[[#This Row],[Name]],TeamCapacity1[[Name]:[Planned Story Points]],21, FALSE)</f>
        <v>6.8</v>
      </c>
      <c r="E22" s="122">
        <f>VLOOKUP(Table527[[#This Row],[Name]],TeamCapacity1[[Name]:[Planned Story Points]],22, FALSE)</f>
        <v>6</v>
      </c>
      <c r="F22" s="122">
        <f>VLOOKUP(Table527[[#This Row],[Name]],TeamCapacity2[[Name]:[Planned Story Points]],21, FALSE)</f>
        <v>6.8</v>
      </c>
      <c r="G22" s="122">
        <f>VLOOKUP(Table527[[#This Row],[Name]],TeamCapacity2[[Name]:[Planned Story Points]],22, FALSE)</f>
        <v>6</v>
      </c>
      <c r="H22" s="122">
        <f>VLOOKUP(Table527[[#This Row],[Name]],TeamCapacity3[[Name]:[Planned Story Points]],21, FALSE)</f>
        <v>6.8</v>
      </c>
      <c r="I22" s="122">
        <f>VLOOKUP(Table527[[#This Row],[Name]],TeamCapacity3[[Name]:[Planned Story Points]],22, FALSE)</f>
        <v>6</v>
      </c>
      <c r="J22" s="122">
        <f>VLOOKUP(Table527[[#This Row],[Name]],TeamCapacity4[[Name]:[Planned Story Points]],21, FALSE)</f>
        <v>6.8</v>
      </c>
      <c r="K22" s="122">
        <f>VLOOKUP(Table527[[#This Row],[Name]],TeamCapacity4[[Name]:[Planned Story Points]],22, FALSE)</f>
        <v>6</v>
      </c>
      <c r="L22" s="122">
        <f>VLOOKUP(Table527[[#This Row],[Name]],TeamCapacity5[[Name]:[Planned Story Points]],21, FALSE)</f>
        <v>6.8</v>
      </c>
      <c r="M22" s="122">
        <f>VLOOKUP(Table527[[#This Row],[Name]],TeamCapacity5[[Name]:[Planned Story Points]],22, FALSE)</f>
        <v>6</v>
      </c>
      <c r="N22" s="122">
        <f>VLOOKUP(Table527[[#This Row],[Name]],TeamCapacity6[[Name]:[Planned Story Points]],21, FALSE)</f>
        <v>6.8</v>
      </c>
      <c r="O22" s="122">
        <f>VLOOKUP(Table527[[#This Row],[Name]],TeamCapacity6[[Name]:[Planned Story Points]],22, FALSE)</f>
        <v>6</v>
      </c>
      <c r="P22" s="123">
        <f t="shared" si="0"/>
        <v>40.799999999999997</v>
      </c>
      <c r="Q22" s="122">
        <f t="shared" si="0"/>
        <v>36</v>
      </c>
    </row>
    <row r="23" spans="2:17" x14ac:dyDescent="0.25">
      <c r="B23" s="176" t="s">
        <v>272</v>
      </c>
      <c r="C23" t="s">
        <v>122</v>
      </c>
      <c r="D23" s="122">
        <f>VLOOKUP(Table527[[#This Row],[Name]],TeamCapacity1[[Name]:[Planned Story Points]],21, FALSE)</f>
        <v>6.8</v>
      </c>
      <c r="E23" s="122">
        <f>VLOOKUP(Table527[[#This Row],[Name]],TeamCapacity1[[Name]:[Planned Story Points]],22, FALSE)</f>
        <v>6</v>
      </c>
      <c r="F23" s="122">
        <f>VLOOKUP(Table527[[#This Row],[Name]],TeamCapacity2[[Name]:[Planned Story Points]],21, FALSE)</f>
        <v>6.8</v>
      </c>
      <c r="G23" s="122">
        <f>VLOOKUP(Table527[[#This Row],[Name]],TeamCapacity2[[Name]:[Planned Story Points]],22, FALSE)</f>
        <v>6</v>
      </c>
      <c r="H23" s="122">
        <f>VLOOKUP(Table527[[#This Row],[Name]],TeamCapacity3[[Name]:[Planned Story Points]],21, FALSE)</f>
        <v>6.8</v>
      </c>
      <c r="I23" s="122">
        <f>VLOOKUP(Table527[[#This Row],[Name]],TeamCapacity3[[Name]:[Planned Story Points]],22, FALSE)</f>
        <v>6</v>
      </c>
      <c r="J23" s="122">
        <f>VLOOKUP(Table527[[#This Row],[Name]],TeamCapacity4[[Name]:[Planned Story Points]],21, FALSE)</f>
        <v>6.8</v>
      </c>
      <c r="K23" s="122">
        <f>VLOOKUP(Table527[[#This Row],[Name]],TeamCapacity4[[Name]:[Planned Story Points]],22, FALSE)</f>
        <v>6</v>
      </c>
      <c r="L23" s="122">
        <f>VLOOKUP(Table527[[#This Row],[Name]],TeamCapacity5[[Name]:[Planned Story Points]],21, FALSE)</f>
        <v>6.8</v>
      </c>
      <c r="M23" s="122">
        <f>VLOOKUP(Table527[[#This Row],[Name]],TeamCapacity5[[Name]:[Planned Story Points]],22, FALSE)</f>
        <v>6</v>
      </c>
      <c r="N23" s="122">
        <f>VLOOKUP(Table527[[#This Row],[Name]],TeamCapacity6[[Name]:[Planned Story Points]],21, FALSE)</f>
        <v>6.8</v>
      </c>
      <c r="O23" s="122">
        <f>VLOOKUP(Table527[[#This Row],[Name]],TeamCapacity6[[Name]:[Planned Story Points]],22, FALSE)</f>
        <v>6</v>
      </c>
      <c r="P23" s="123">
        <f t="shared" si="0"/>
        <v>40.799999999999997</v>
      </c>
      <c r="Q23" s="122">
        <f t="shared" si="0"/>
        <v>36</v>
      </c>
    </row>
    <row r="24" spans="2:17" x14ac:dyDescent="0.25">
      <c r="B24" s="176" t="s">
        <v>273</v>
      </c>
      <c r="C24" t="s">
        <v>122</v>
      </c>
      <c r="D24" s="122">
        <f>VLOOKUP(Table527[[#This Row],[Name]],TeamCapacity1[[Name]:[Planned Story Points]],21, FALSE)</f>
        <v>6.8</v>
      </c>
      <c r="E24" s="122">
        <f>VLOOKUP(Table527[[#This Row],[Name]],TeamCapacity1[[Name]:[Planned Story Points]],22, FALSE)</f>
        <v>6</v>
      </c>
      <c r="F24" s="122">
        <f>VLOOKUP(Table527[[#This Row],[Name]],TeamCapacity2[[Name]:[Planned Story Points]],21, FALSE)</f>
        <v>6.8</v>
      </c>
      <c r="G24" s="122">
        <f>VLOOKUP(Table527[[#This Row],[Name]],TeamCapacity2[[Name]:[Planned Story Points]],22, FALSE)</f>
        <v>6</v>
      </c>
      <c r="H24" s="122">
        <f>VLOOKUP(Table527[[#This Row],[Name]],TeamCapacity3[[Name]:[Planned Story Points]],21, FALSE)</f>
        <v>6.8</v>
      </c>
      <c r="I24" s="122">
        <f>VLOOKUP(Table527[[#This Row],[Name]],TeamCapacity3[[Name]:[Planned Story Points]],22, FALSE)</f>
        <v>6</v>
      </c>
      <c r="J24" s="122">
        <f>VLOOKUP(Table527[[#This Row],[Name]],TeamCapacity4[[Name]:[Planned Story Points]],21, FALSE)</f>
        <v>6.8</v>
      </c>
      <c r="K24" s="122">
        <f>VLOOKUP(Table527[[#This Row],[Name]],TeamCapacity4[[Name]:[Planned Story Points]],22, FALSE)</f>
        <v>6</v>
      </c>
      <c r="L24" s="122">
        <f>VLOOKUP(Table527[[#This Row],[Name]],TeamCapacity5[[Name]:[Planned Story Points]],21, FALSE)</f>
        <v>6.8</v>
      </c>
      <c r="M24" s="122">
        <f>VLOOKUP(Table527[[#This Row],[Name]],TeamCapacity5[[Name]:[Planned Story Points]],22, FALSE)</f>
        <v>6</v>
      </c>
      <c r="N24" s="122">
        <f>VLOOKUP(Table527[[#This Row],[Name]],TeamCapacity6[[Name]:[Planned Story Points]],21, FALSE)</f>
        <v>6.8</v>
      </c>
      <c r="O24" s="122">
        <f>VLOOKUP(Table527[[#This Row],[Name]],TeamCapacity6[[Name]:[Planned Story Points]],22, FALSE)</f>
        <v>6</v>
      </c>
      <c r="P24" s="123">
        <f t="shared" si="0"/>
        <v>40.799999999999997</v>
      </c>
      <c r="Q24" s="122">
        <f t="shared" si="0"/>
        <v>36</v>
      </c>
    </row>
    <row r="25" spans="2:17" x14ac:dyDescent="0.25">
      <c r="B25" s="176" t="s">
        <v>274</v>
      </c>
      <c r="C25" t="s">
        <v>122</v>
      </c>
      <c r="D25" s="122">
        <f>VLOOKUP(Table527[[#This Row],[Name]],TeamCapacity1[[Name]:[Planned Story Points]],21, FALSE)</f>
        <v>6.3</v>
      </c>
      <c r="E25" s="122">
        <f>VLOOKUP(Table527[[#This Row],[Name]],TeamCapacity1[[Name]:[Planned Story Points]],22, FALSE)</f>
        <v>6</v>
      </c>
      <c r="F25" s="122">
        <f>VLOOKUP(Table527[[#This Row],[Name]],TeamCapacity2[[Name]:[Planned Story Points]],21, FALSE)</f>
        <v>6.3</v>
      </c>
      <c r="G25" s="122">
        <f>VLOOKUP(Table527[[#This Row],[Name]],TeamCapacity2[[Name]:[Planned Story Points]],22, FALSE)</f>
        <v>6</v>
      </c>
      <c r="H25" s="122">
        <f>VLOOKUP(Table527[[#This Row],[Name]],TeamCapacity3[[Name]:[Planned Story Points]],21, FALSE)</f>
        <v>6.3</v>
      </c>
      <c r="I25" s="122">
        <f>VLOOKUP(Table527[[#This Row],[Name]],TeamCapacity3[[Name]:[Planned Story Points]],22, FALSE)</f>
        <v>6</v>
      </c>
      <c r="J25" s="122">
        <f>VLOOKUP(Table527[[#This Row],[Name]],TeamCapacity4[[Name]:[Planned Story Points]],21, FALSE)</f>
        <v>6.3</v>
      </c>
      <c r="K25" s="122">
        <f>VLOOKUP(Table527[[#This Row],[Name]],TeamCapacity4[[Name]:[Planned Story Points]],22, FALSE)</f>
        <v>6</v>
      </c>
      <c r="L25" s="122">
        <f>VLOOKUP(Table527[[#This Row],[Name]],TeamCapacity5[[Name]:[Planned Story Points]],21, FALSE)</f>
        <v>6.3</v>
      </c>
      <c r="M25" s="122">
        <f>VLOOKUP(Table527[[#This Row],[Name]],TeamCapacity5[[Name]:[Planned Story Points]],22, FALSE)</f>
        <v>6</v>
      </c>
      <c r="N25" s="122">
        <f>VLOOKUP(Table527[[#This Row],[Name]],TeamCapacity6[[Name]:[Planned Story Points]],21, FALSE)</f>
        <v>6.3</v>
      </c>
      <c r="O25" s="122">
        <f>VLOOKUP(Table527[[#This Row],[Name]],TeamCapacity6[[Name]:[Planned Story Points]],22, FALSE)</f>
        <v>6</v>
      </c>
      <c r="P25" s="123">
        <f t="shared" si="0"/>
        <v>37.799999999999997</v>
      </c>
      <c r="Q25" s="122">
        <f t="shared" si="0"/>
        <v>36</v>
      </c>
    </row>
    <row r="26" spans="2:17" x14ac:dyDescent="0.25">
      <c r="B26" s="150" t="s">
        <v>275</v>
      </c>
      <c r="C26" t="s">
        <v>122</v>
      </c>
      <c r="D26" s="122">
        <f>VLOOKUP(Table527[[#This Row],[Name]],TeamCapacity1[[Name]:[Planned Story Points]],21, FALSE)</f>
        <v>3.8</v>
      </c>
      <c r="E26" s="122">
        <f>VLOOKUP(Table527[[#This Row],[Name]],TeamCapacity1[[Name]:[Planned Story Points]],22, FALSE)</f>
        <v>4</v>
      </c>
      <c r="F26" s="122">
        <f>VLOOKUP(Table527[[#This Row],[Name]],TeamCapacity2[[Name]:[Planned Story Points]],21, FALSE)</f>
        <v>3.8</v>
      </c>
      <c r="G26" s="122">
        <f>VLOOKUP(Table527[[#This Row],[Name]],TeamCapacity2[[Name]:[Planned Story Points]],22, FALSE)</f>
        <v>4</v>
      </c>
      <c r="H26" s="122">
        <f>VLOOKUP(Table527[[#This Row],[Name]],TeamCapacity3[[Name]:[Planned Story Points]],21, FALSE)</f>
        <v>3.8</v>
      </c>
      <c r="I26" s="122">
        <f>VLOOKUP(Table527[[#This Row],[Name]],TeamCapacity3[[Name]:[Planned Story Points]],22, FALSE)</f>
        <v>4</v>
      </c>
      <c r="J26" s="122">
        <f>VLOOKUP(Table527[[#This Row],[Name]],TeamCapacity4[[Name]:[Planned Story Points]],21, FALSE)</f>
        <v>3.8</v>
      </c>
      <c r="K26" s="122">
        <f>VLOOKUP(Table527[[#This Row],[Name]],TeamCapacity4[[Name]:[Planned Story Points]],22, FALSE)</f>
        <v>4</v>
      </c>
      <c r="L26" s="122">
        <f>VLOOKUP(Table527[[#This Row],[Name]],TeamCapacity5[[Name]:[Planned Story Points]],21, FALSE)</f>
        <v>3.8</v>
      </c>
      <c r="M26" s="122">
        <f>VLOOKUP(Table527[[#This Row],[Name]],TeamCapacity5[[Name]:[Planned Story Points]],22, FALSE)</f>
        <v>4</v>
      </c>
      <c r="N26" s="122">
        <f>VLOOKUP(Table527[[#This Row],[Name]],TeamCapacity6[[Name]:[Planned Story Points]],21, FALSE)</f>
        <v>3.8</v>
      </c>
      <c r="O26" s="122">
        <f>VLOOKUP(Table527[[#This Row],[Name]],TeamCapacity6[[Name]:[Planned Story Points]],22, FALSE)</f>
        <v>4</v>
      </c>
      <c r="P26" s="123">
        <f t="shared" si="0"/>
        <v>22.8</v>
      </c>
      <c r="Q26" s="122">
        <f t="shared" si="0"/>
        <v>24</v>
      </c>
    </row>
    <row r="27" spans="2:17" x14ac:dyDescent="0.25">
      <c r="B27" s="150" t="s">
        <v>276</v>
      </c>
      <c r="C27" t="s">
        <v>122</v>
      </c>
      <c r="D27" s="122">
        <f>VLOOKUP(Table527[[#This Row],[Name]],TeamCapacity1[[Name]:[Planned Story Points]],21, FALSE)</f>
        <v>6.3</v>
      </c>
      <c r="E27" s="122">
        <f>VLOOKUP(Table527[[#This Row],[Name]],TeamCapacity1[[Name]:[Planned Story Points]],22, FALSE)</f>
        <v>5</v>
      </c>
      <c r="F27" s="122">
        <f>VLOOKUP(Table527[[#This Row],[Name]],TeamCapacity2[[Name]:[Planned Story Points]],21, FALSE)</f>
        <v>6.3</v>
      </c>
      <c r="G27" s="122">
        <f>VLOOKUP(Table527[[#This Row],[Name]],TeamCapacity2[[Name]:[Planned Story Points]],22, FALSE)</f>
        <v>5</v>
      </c>
      <c r="H27" s="122">
        <f>VLOOKUP(Table527[[#This Row],[Name]],TeamCapacity3[[Name]:[Planned Story Points]],21, FALSE)</f>
        <v>6.3</v>
      </c>
      <c r="I27" s="122">
        <f>VLOOKUP(Table527[[#This Row],[Name]],TeamCapacity3[[Name]:[Planned Story Points]],22, FALSE)</f>
        <v>5</v>
      </c>
      <c r="J27" s="122">
        <f>VLOOKUP(Table527[[#This Row],[Name]],TeamCapacity4[[Name]:[Planned Story Points]],21, FALSE)</f>
        <v>6.3</v>
      </c>
      <c r="K27" s="122">
        <f>VLOOKUP(Table527[[#This Row],[Name]],TeamCapacity4[[Name]:[Planned Story Points]],22, FALSE)</f>
        <v>5</v>
      </c>
      <c r="L27" s="122">
        <f>VLOOKUP(Table527[[#This Row],[Name]],TeamCapacity5[[Name]:[Planned Story Points]],21, FALSE)</f>
        <v>6.3</v>
      </c>
      <c r="M27" s="122">
        <f>VLOOKUP(Table527[[#This Row],[Name]],TeamCapacity5[[Name]:[Planned Story Points]],22, FALSE)</f>
        <v>5</v>
      </c>
      <c r="N27" s="122">
        <f>VLOOKUP(Table527[[#This Row],[Name]],TeamCapacity6[[Name]:[Planned Story Points]],21, FALSE)</f>
        <v>6.3</v>
      </c>
      <c r="O27" s="122">
        <f>VLOOKUP(Table527[[#This Row],[Name]],TeamCapacity6[[Name]:[Planned Story Points]],22, FALSE)</f>
        <v>5</v>
      </c>
      <c r="P27" s="123">
        <f>SUM(D27,F27,H27,J27,L27,N27)</f>
        <v>37.799999999999997</v>
      </c>
      <c r="Q27" s="122">
        <f>SUM(E27,G27,I27,K27,M27,O27)</f>
        <v>30</v>
      </c>
    </row>
    <row r="28" spans="2:17" x14ac:dyDescent="0.25">
      <c r="B28" t="s">
        <v>148</v>
      </c>
      <c r="D28" s="122">
        <f>SUM(Table527[S50 Max])</f>
        <v>43.399999999999991</v>
      </c>
      <c r="E28" s="122">
        <f>SUM(Table527[S50 Plan])</f>
        <v>40</v>
      </c>
      <c r="F28" s="122">
        <f>SUM(Table527[S51 Max])</f>
        <v>43.399999999999991</v>
      </c>
      <c r="G28" s="122">
        <f>SUM(Table527[S51 Plan])</f>
        <v>40</v>
      </c>
      <c r="H28" s="122">
        <f>SUM(Table527[S52 Max])</f>
        <v>43.399999999999991</v>
      </c>
      <c r="I28" s="122">
        <f>SUM(Table527[S52 Plan])</f>
        <v>40</v>
      </c>
      <c r="J28" s="122">
        <f>SUM(Table527[S53 Max])</f>
        <v>43.399999999999991</v>
      </c>
      <c r="K28" s="122">
        <f>SUM(Table527[S53 Plan])</f>
        <v>40</v>
      </c>
      <c r="L28" s="122">
        <f>SUM(Table527[S54 Max])</f>
        <v>43.399999999999991</v>
      </c>
      <c r="M28" s="122">
        <f>SUM(Table527[S54 Plan])</f>
        <v>40</v>
      </c>
      <c r="N28" s="122">
        <f>SUM(Table527[S55 Max])</f>
        <v>43.399999999999991</v>
      </c>
      <c r="O28" s="122">
        <f>SUM(Table527[S55 Plan])</f>
        <v>40</v>
      </c>
      <c r="P28" s="123">
        <f>SUBTOTAL(109,Table527[Total Max])</f>
        <v>260.40000000000003</v>
      </c>
      <c r="Q28" s="122">
        <f>SUM(Table527[Total Plan])</f>
        <v>240</v>
      </c>
    </row>
  </sheetData>
  <phoneticPr fontId="4" type="noConversion"/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E112-9898-476D-9A13-181A8B9D6294}">
  <dimension ref="B2:Z60"/>
  <sheetViews>
    <sheetView zoomScale="90" zoomScaleNormal="90" workbookViewId="0"/>
  </sheetViews>
  <sheetFormatPr defaultRowHeight="15" x14ac:dyDescent="0.25"/>
  <cols>
    <col min="1" max="1" width="3.28515625" customWidth="1"/>
    <col min="2" max="2" width="19.140625" bestFit="1" customWidth="1"/>
    <col min="3" max="3" width="3.28515625" customWidth="1"/>
    <col min="4" max="4" width="13.140625" customWidth="1"/>
    <col min="5" max="5" width="36" customWidth="1"/>
    <col min="6" max="6" width="6.5703125" bestFit="1" customWidth="1"/>
    <col min="7" max="7" width="3.28515625" customWidth="1"/>
    <col min="8" max="8" width="13.140625" customWidth="1"/>
    <col min="9" max="9" width="36" customWidth="1"/>
    <col min="10" max="10" width="6.5703125" bestFit="1" customWidth="1"/>
    <col min="11" max="11" width="3.28515625" customWidth="1"/>
    <col min="12" max="12" width="13.140625" customWidth="1"/>
    <col min="13" max="13" width="36" customWidth="1"/>
    <col min="14" max="14" width="6.5703125" bestFit="1" customWidth="1"/>
    <col min="15" max="15" width="3.28515625" customWidth="1"/>
    <col min="16" max="16" width="13.140625" customWidth="1"/>
    <col min="17" max="17" width="36" customWidth="1"/>
    <col min="18" max="18" width="6.5703125" bestFit="1" customWidth="1"/>
    <col min="19" max="19" width="3.28515625" customWidth="1"/>
    <col min="20" max="20" width="13.140625" customWidth="1"/>
    <col min="21" max="21" width="36" customWidth="1"/>
    <col min="22" max="22" width="6.5703125" bestFit="1" customWidth="1"/>
    <col min="23" max="23" width="3.28515625" customWidth="1"/>
    <col min="24" max="24" width="13.140625" customWidth="1"/>
    <col min="25" max="25" width="36" customWidth="1"/>
    <col min="26" max="26" width="6.5703125" bestFit="1" customWidth="1"/>
    <col min="27" max="27" width="3.28515625" customWidth="1"/>
  </cols>
  <sheetData>
    <row r="2" spans="2:26" ht="21" x14ac:dyDescent="0.35">
      <c r="C2" s="1"/>
      <c r="D2" s="1" t="s">
        <v>149</v>
      </c>
      <c r="E2" s="1"/>
      <c r="F2" s="1"/>
    </row>
    <row r="3" spans="2:26" s="38" customFormat="1" ht="12.75" x14ac:dyDescent="0.2">
      <c r="D3" s="39" t="s">
        <v>150</v>
      </c>
      <c r="E3" s="39"/>
      <c r="F3" s="39"/>
      <c r="G3" s="39"/>
    </row>
    <row r="4" spans="2:26" ht="15" customHeight="1" x14ac:dyDescent="0.35">
      <c r="C4" s="1"/>
      <c r="E4" s="1"/>
      <c r="F4" s="1"/>
    </row>
    <row r="5" spans="2:26" ht="21.75" thickBot="1" x14ac:dyDescent="0.4">
      <c r="C5" s="1"/>
      <c r="D5" s="35">
        <v>1</v>
      </c>
      <c r="E5" s="48"/>
      <c r="F5" s="34"/>
      <c r="H5" s="35">
        <v>2</v>
      </c>
      <c r="I5" s="48"/>
      <c r="J5" s="34"/>
      <c r="L5" s="35">
        <v>3</v>
      </c>
      <c r="M5" s="48"/>
      <c r="N5" s="34"/>
      <c r="P5" s="35">
        <v>4</v>
      </c>
      <c r="Q5" s="48"/>
      <c r="R5" s="34"/>
      <c r="T5" s="35">
        <v>5</v>
      </c>
      <c r="U5" s="48"/>
      <c r="V5" s="34"/>
      <c r="X5" s="35">
        <v>6</v>
      </c>
      <c r="Y5" s="48"/>
      <c r="Z5" s="34"/>
    </row>
    <row r="7" spans="2:26" ht="15.75" thickBot="1" x14ac:dyDescent="0.3">
      <c r="B7" s="6" t="s">
        <v>70</v>
      </c>
      <c r="D7" s="30" t="s">
        <v>151</v>
      </c>
      <c r="E7" s="31" t="s">
        <v>277</v>
      </c>
      <c r="F7" s="31"/>
      <c r="H7" s="30" t="s">
        <v>151</v>
      </c>
      <c r="I7" s="31" t="s">
        <v>290</v>
      </c>
      <c r="J7" s="31"/>
      <c r="L7" s="30" t="s">
        <v>151</v>
      </c>
      <c r="M7" s="31" t="s">
        <v>291</v>
      </c>
      <c r="N7" s="31"/>
      <c r="P7" s="30" t="s">
        <v>151</v>
      </c>
      <c r="Q7" s="31" t="s">
        <v>292</v>
      </c>
      <c r="R7" s="31"/>
      <c r="T7" s="30" t="s">
        <v>151</v>
      </c>
      <c r="U7" s="31" t="s">
        <v>293</v>
      </c>
      <c r="V7" s="31"/>
      <c r="X7" s="30" t="s">
        <v>151</v>
      </c>
      <c r="Y7" s="31" t="s">
        <v>294</v>
      </c>
      <c r="Z7" s="31"/>
    </row>
    <row r="8" spans="2:26" x14ac:dyDescent="0.25">
      <c r="B8" s="16" t="s">
        <v>73</v>
      </c>
      <c r="D8" s="30" t="s">
        <v>143</v>
      </c>
      <c r="E8" s="37">
        <v>44935</v>
      </c>
      <c r="F8" s="37"/>
      <c r="H8" s="30" t="s">
        <v>143</v>
      </c>
      <c r="I8" s="37">
        <v>44942</v>
      </c>
      <c r="J8" s="37"/>
      <c r="L8" s="30" t="s">
        <v>143</v>
      </c>
      <c r="M8" s="37">
        <v>44956</v>
      </c>
      <c r="N8" s="37"/>
      <c r="P8" s="30" t="s">
        <v>143</v>
      </c>
      <c r="Q8" s="37">
        <v>44970</v>
      </c>
      <c r="R8" s="37"/>
      <c r="T8" s="30" t="s">
        <v>143</v>
      </c>
      <c r="U8" s="37">
        <v>44984</v>
      </c>
      <c r="V8" s="37"/>
      <c r="X8" s="30" t="s">
        <v>143</v>
      </c>
      <c r="Y8" s="37">
        <v>44998</v>
      </c>
      <c r="Z8" s="37"/>
    </row>
    <row r="9" spans="2:26" x14ac:dyDescent="0.25">
      <c r="B9" s="25" t="s">
        <v>73</v>
      </c>
      <c r="D9" s="30" t="s">
        <v>144</v>
      </c>
      <c r="E9" s="37">
        <v>44939</v>
      </c>
      <c r="F9" s="37"/>
      <c r="H9" s="30" t="s">
        <v>144</v>
      </c>
      <c r="I9" s="37">
        <v>44953</v>
      </c>
      <c r="J9" s="37"/>
      <c r="L9" s="30" t="s">
        <v>144</v>
      </c>
      <c r="M9" s="37">
        <v>44967</v>
      </c>
      <c r="N9" s="37"/>
      <c r="P9" s="30" t="s">
        <v>144</v>
      </c>
      <c r="Q9" s="37">
        <v>44981</v>
      </c>
      <c r="R9" s="37"/>
      <c r="T9" s="30" t="s">
        <v>144</v>
      </c>
      <c r="U9" s="37">
        <v>44995</v>
      </c>
      <c r="V9" s="37"/>
      <c r="X9" s="30" t="s">
        <v>144</v>
      </c>
      <c r="Y9" s="37">
        <v>45009</v>
      </c>
      <c r="Z9" s="37"/>
    </row>
    <row r="10" spans="2:26" x14ac:dyDescent="0.25">
      <c r="B10" s="10" t="s">
        <v>73</v>
      </c>
      <c r="D10" s="30" t="s">
        <v>127</v>
      </c>
      <c r="E10" s="33" t="e">
        <f>#REF!</f>
        <v>#REF!</v>
      </c>
      <c r="F10" s="33"/>
      <c r="H10" s="30" t="s">
        <v>127</v>
      </c>
      <c r="I10" s="33" t="e">
        <f>#REF!</f>
        <v>#REF!</v>
      </c>
      <c r="J10" s="33"/>
      <c r="L10" s="30" t="s">
        <v>127</v>
      </c>
      <c r="M10" s="33" t="e">
        <f>#REF!</f>
        <v>#REF!</v>
      </c>
      <c r="N10" s="33"/>
      <c r="P10" s="30" t="s">
        <v>127</v>
      </c>
      <c r="Q10" s="33" t="e">
        <f>#REF!</f>
        <v>#REF!</v>
      </c>
      <c r="R10" s="33"/>
      <c r="T10" s="30" t="s">
        <v>127</v>
      </c>
      <c r="U10" s="33" t="e">
        <f>#REF!</f>
        <v>#REF!</v>
      </c>
      <c r="V10" s="33"/>
      <c r="X10" s="30" t="s">
        <v>127</v>
      </c>
      <c r="Y10" s="33">
        <f>TeamCapacity1[[#Totals],[Planned Story Points]]</f>
        <v>40</v>
      </c>
      <c r="Z10" s="33"/>
    </row>
    <row r="11" spans="2:26" x14ac:dyDescent="0.25">
      <c r="B11" s="11" t="s">
        <v>73</v>
      </c>
      <c r="D11" s="30" t="s">
        <v>93</v>
      </c>
      <c r="E11" s="33" t="e">
        <f>SUM(F21:F60)</f>
        <v>#N/A</v>
      </c>
      <c r="F11" s="33"/>
      <c r="H11" s="30" t="s">
        <v>93</v>
      </c>
      <c r="I11" s="33" t="e">
        <f>SUM(J21:J60)</f>
        <v>#N/A</v>
      </c>
      <c r="J11" s="33"/>
      <c r="L11" s="30" t="s">
        <v>93</v>
      </c>
      <c r="M11" s="33" t="e">
        <f>SUM(N21:N60)</f>
        <v>#N/A</v>
      </c>
      <c r="N11" s="33"/>
      <c r="P11" s="30" t="s">
        <v>93</v>
      </c>
      <c r="Q11" s="33" t="e">
        <f>SUM(R21:R60)</f>
        <v>#N/A</v>
      </c>
      <c r="R11" s="33"/>
      <c r="T11" s="30" t="s">
        <v>93</v>
      </c>
      <c r="U11" s="33" t="e">
        <f>SUM(V21:V60)</f>
        <v>#N/A</v>
      </c>
      <c r="V11" s="33"/>
      <c r="X11" s="30" t="s">
        <v>93</v>
      </c>
      <c r="Y11" s="33" t="e">
        <f>SUM(Z21:Z60)</f>
        <v>#N/A</v>
      </c>
      <c r="Z11" s="33"/>
    </row>
    <row r="12" spans="2:26" x14ac:dyDescent="0.25">
      <c r="B12" s="7" t="s">
        <v>73</v>
      </c>
      <c r="D12" s="30" t="s">
        <v>152</v>
      </c>
      <c r="E12" s="33"/>
      <c r="F12" s="33"/>
      <c r="H12" s="30" t="s">
        <v>152</v>
      </c>
      <c r="I12" s="33"/>
      <c r="J12" s="33"/>
      <c r="L12" s="30" t="s">
        <v>152</v>
      </c>
      <c r="M12" s="33"/>
      <c r="N12" s="33"/>
      <c r="P12" s="30" t="s">
        <v>152</v>
      </c>
      <c r="Q12" s="33"/>
      <c r="R12" s="33"/>
      <c r="T12" s="30" t="s">
        <v>152</v>
      </c>
      <c r="U12" s="33"/>
      <c r="V12" s="33"/>
      <c r="X12" s="30" t="s">
        <v>152</v>
      </c>
      <c r="Y12" s="33"/>
      <c r="Z12" s="33"/>
    </row>
    <row r="13" spans="2:26" x14ac:dyDescent="0.25">
      <c r="B13" s="9" t="s">
        <v>73</v>
      </c>
      <c r="D13" s="30"/>
      <c r="E13" s="33"/>
      <c r="F13" s="33"/>
      <c r="H13" s="30"/>
      <c r="I13" s="33"/>
      <c r="J13" s="33"/>
      <c r="L13" s="30"/>
      <c r="M13" s="33"/>
      <c r="N13" s="33"/>
      <c r="P13" s="30"/>
      <c r="Q13" s="33"/>
      <c r="R13" s="33"/>
      <c r="T13" s="30"/>
      <c r="U13" s="33"/>
      <c r="V13" s="33"/>
      <c r="X13" s="30"/>
      <c r="Y13" s="33"/>
      <c r="Z13" s="33"/>
    </row>
    <row r="14" spans="2:26" x14ac:dyDescent="0.25">
      <c r="B14" s="17" t="s">
        <v>73</v>
      </c>
      <c r="D14" s="30"/>
      <c r="E14" s="33"/>
      <c r="F14" s="33"/>
      <c r="H14" s="30"/>
      <c r="I14" s="33"/>
      <c r="J14" s="33"/>
      <c r="L14" s="30"/>
      <c r="M14" s="33"/>
      <c r="N14" s="33"/>
      <c r="P14" s="30"/>
      <c r="Q14" s="33"/>
      <c r="R14" s="33"/>
      <c r="T14" s="30"/>
      <c r="U14" s="33"/>
      <c r="V14" s="33"/>
      <c r="X14" s="30"/>
      <c r="Y14" s="33"/>
      <c r="Z14" s="33"/>
    </row>
    <row r="15" spans="2:26" ht="15" customHeight="1" x14ac:dyDescent="0.25">
      <c r="B15" s="15" t="s">
        <v>73</v>
      </c>
      <c r="D15" s="30"/>
      <c r="E15" s="33"/>
      <c r="F15" s="33"/>
      <c r="H15" s="30"/>
      <c r="I15" s="33"/>
      <c r="J15" s="33"/>
      <c r="L15" s="30"/>
      <c r="M15" s="33"/>
      <c r="N15" s="33"/>
      <c r="P15" s="30"/>
      <c r="Q15" s="33"/>
      <c r="R15" s="33"/>
      <c r="T15" s="30"/>
      <c r="U15" s="33"/>
      <c r="V15" s="33"/>
      <c r="X15" s="30"/>
      <c r="Y15" s="33"/>
      <c r="Z15" s="33"/>
    </row>
    <row r="16" spans="2:26" ht="15" customHeight="1" x14ac:dyDescent="0.25">
      <c r="B16" s="13" t="s">
        <v>73</v>
      </c>
      <c r="D16" s="30"/>
      <c r="E16" s="33"/>
      <c r="F16" s="33"/>
      <c r="H16" s="30"/>
      <c r="I16" s="33"/>
      <c r="J16" s="33"/>
      <c r="L16" s="30"/>
      <c r="M16" s="33"/>
      <c r="N16" s="33"/>
      <c r="P16" s="30"/>
      <c r="Q16" s="33"/>
      <c r="R16" s="33"/>
      <c r="T16" s="30"/>
      <c r="U16" s="33"/>
      <c r="V16" s="33"/>
      <c r="X16" s="30"/>
      <c r="Y16" s="33"/>
      <c r="Z16" s="33"/>
    </row>
    <row r="17" spans="2:26" ht="15" customHeight="1" x14ac:dyDescent="0.25">
      <c r="B17" s="12" t="s">
        <v>73</v>
      </c>
      <c r="D17" s="30"/>
      <c r="E17" s="33"/>
      <c r="F17" s="33"/>
      <c r="H17" s="30"/>
      <c r="I17" s="33"/>
      <c r="J17" s="33"/>
      <c r="L17" s="30"/>
      <c r="M17" s="33"/>
      <c r="N17" s="33"/>
      <c r="P17" s="30"/>
      <c r="Q17" s="33"/>
      <c r="R17" s="33"/>
      <c r="T17" s="30"/>
      <c r="U17" s="33"/>
      <c r="V17" s="33"/>
      <c r="X17" s="30"/>
      <c r="Y17" s="33"/>
      <c r="Z17" s="33"/>
    </row>
    <row r="18" spans="2:26" ht="15" customHeight="1" x14ac:dyDescent="0.25">
      <c r="B18" s="14" t="s">
        <v>73</v>
      </c>
      <c r="D18" s="30"/>
      <c r="E18" s="33"/>
      <c r="F18" s="33"/>
      <c r="H18" s="30"/>
      <c r="I18" s="33"/>
      <c r="J18" s="33"/>
      <c r="L18" s="30"/>
      <c r="M18" s="33"/>
      <c r="N18" s="33"/>
      <c r="P18" s="30"/>
      <c r="Q18" s="33"/>
      <c r="R18" s="33"/>
      <c r="T18" s="30"/>
      <c r="U18" s="33"/>
      <c r="V18" s="33"/>
      <c r="X18" s="30"/>
      <c r="Y18" s="33"/>
      <c r="Z18" s="33"/>
    </row>
    <row r="19" spans="2:26" ht="15" customHeight="1" x14ac:dyDescent="0.25"/>
    <row r="20" spans="2:26" ht="15" customHeight="1" x14ac:dyDescent="0.25">
      <c r="D20" s="36" t="s">
        <v>153</v>
      </c>
      <c r="E20" s="36" t="s">
        <v>154</v>
      </c>
      <c r="F20" s="36" t="s">
        <v>91</v>
      </c>
      <c r="H20" s="36" t="s">
        <v>153</v>
      </c>
      <c r="I20" s="36" t="s">
        <v>154</v>
      </c>
      <c r="J20" s="36" t="s">
        <v>91</v>
      </c>
      <c r="L20" s="36" t="s">
        <v>153</v>
      </c>
      <c r="M20" s="36" t="s">
        <v>154</v>
      </c>
      <c r="N20" s="36" t="s">
        <v>91</v>
      </c>
      <c r="P20" s="36" t="s">
        <v>153</v>
      </c>
      <c r="Q20" s="36" t="s">
        <v>154</v>
      </c>
      <c r="R20" s="36" t="s">
        <v>91</v>
      </c>
      <c r="T20" s="36" t="s">
        <v>153</v>
      </c>
      <c r="U20" s="36" t="s">
        <v>154</v>
      </c>
      <c r="V20" s="36" t="s">
        <v>91</v>
      </c>
      <c r="X20" s="36" t="s">
        <v>153</v>
      </c>
      <c r="Y20" s="36" t="s">
        <v>154</v>
      </c>
      <c r="Z20" s="36" t="s">
        <v>91</v>
      </c>
    </row>
    <row r="21" spans="2:26" ht="15" customHeight="1" x14ac:dyDescent="0.25">
      <c r="B21" s="27" t="s">
        <v>155</v>
      </c>
      <c r="D21" s="32"/>
      <c r="E21" s="140" t="e">
        <f>VLOOKUP(D21,'3. PI Issue Backlog'!D67:I132,2,FALSE)</f>
        <v>#N/A</v>
      </c>
      <c r="F21" s="32" t="e">
        <f>VLOOKUP(D21,'3. PI Issue Backlog'!D67:I132,5,FALSE)</f>
        <v>#N/A</v>
      </c>
      <c r="H21" s="32"/>
      <c r="I21" s="140" t="e">
        <f>VLOOKUP(H21,'3. PI Issue Backlog'!D67:I132,2,FALSE)</f>
        <v>#N/A</v>
      </c>
      <c r="J21" s="32" t="e">
        <f>VLOOKUP(H21,'3. PI Issue Backlog'!D67:I132,5,FALSE)</f>
        <v>#N/A</v>
      </c>
      <c r="L21" s="32"/>
      <c r="M21" s="140" t="e">
        <f>VLOOKUP(L21,'3. PI Issue Backlog'!$D$67:$I$132,2,FALSE)</f>
        <v>#N/A</v>
      </c>
      <c r="N21" s="32" t="e">
        <f>VLOOKUP(L21,'3. PI Issue Backlog'!$D$67:$I$132,5,FALSE)</f>
        <v>#N/A</v>
      </c>
      <c r="P21" s="32"/>
      <c r="Q21" s="140" t="e">
        <f>VLOOKUP(P21,'3. PI Issue Backlog'!$D$67:$I$132,2,FALSE)</f>
        <v>#N/A</v>
      </c>
      <c r="R21" s="32" t="e">
        <f>VLOOKUP(P21,'3. PI Issue Backlog'!$D$67:$I$132,5,FALSE)</f>
        <v>#N/A</v>
      </c>
      <c r="T21" s="32"/>
      <c r="U21" s="140" t="e">
        <f>VLOOKUP(T21,'3. PI Issue Backlog'!$D$67:$I$132,2,FALSE)</f>
        <v>#N/A</v>
      </c>
      <c r="V21" s="32" t="e">
        <f>VLOOKUP(T21,'3. PI Issue Backlog'!$D$67:$I$132,5,FALSE)</f>
        <v>#N/A</v>
      </c>
      <c r="X21" s="32"/>
      <c r="Y21" s="140" t="e">
        <f>VLOOKUP(X21,'3. PI Issue Backlog'!$D$67:$I$132,2,FALSE)</f>
        <v>#N/A</v>
      </c>
      <c r="Z21" s="32" t="e">
        <f>VLOOKUP(X21,'3. PI Issue Backlog'!$D$67:$I$132,5,FALSE)</f>
        <v>#N/A</v>
      </c>
    </row>
    <row r="22" spans="2:26" ht="15" customHeight="1" x14ac:dyDescent="0.25">
      <c r="B22" s="27"/>
      <c r="D22" s="32"/>
      <c r="E22" s="140" t="e">
        <f>VLOOKUP(D22,'3. PI Issue Backlog'!D68:I133,2,FALSE)</f>
        <v>#N/A</v>
      </c>
      <c r="F22" s="32" t="e">
        <f>VLOOKUP(D22,'3. PI Issue Backlog'!D68:I133,5,FALSE)</f>
        <v>#N/A</v>
      </c>
      <c r="H22" s="32"/>
      <c r="I22" s="140" t="e">
        <f>VLOOKUP(H22,'3. PI Issue Backlog'!D68:I133,2,FALSE)</f>
        <v>#N/A</v>
      </c>
      <c r="J22" s="32" t="e">
        <f>VLOOKUP(H22,'3. PI Issue Backlog'!D68:I133,5,FALSE)</f>
        <v>#N/A</v>
      </c>
      <c r="L22" s="32"/>
      <c r="M22" s="140" t="e">
        <f>VLOOKUP(L22,'3. PI Issue Backlog'!$D$67:$I$132,2,FALSE)</f>
        <v>#N/A</v>
      </c>
      <c r="N22" s="32" t="e">
        <f>VLOOKUP(L22,'3. PI Issue Backlog'!$D$67:$I$132,5,FALSE)</f>
        <v>#N/A</v>
      </c>
      <c r="P22" s="32"/>
      <c r="Q22" s="140" t="e">
        <f>VLOOKUP(P22,'3. PI Issue Backlog'!$D$67:$I$132,2,FALSE)</f>
        <v>#N/A</v>
      </c>
      <c r="R22" s="32" t="e">
        <f>VLOOKUP(P22,'3. PI Issue Backlog'!$D$67:$I$132,5,FALSE)</f>
        <v>#N/A</v>
      </c>
      <c r="T22" s="32"/>
      <c r="U22" s="140" t="e">
        <f>VLOOKUP(T22,'3. PI Issue Backlog'!$D$67:$I$132,2,FALSE)</f>
        <v>#N/A</v>
      </c>
      <c r="V22" s="32" t="e">
        <f>VLOOKUP(T22,'3. PI Issue Backlog'!$D$67:$I$132,5,FALSE)</f>
        <v>#N/A</v>
      </c>
      <c r="X22" s="32"/>
      <c r="Y22" s="140" t="e">
        <f>VLOOKUP(X22,'3. PI Issue Backlog'!$D$67:$I$132,2,FALSE)</f>
        <v>#N/A</v>
      </c>
      <c r="Z22" s="32" t="e">
        <f>VLOOKUP(X22,'3. PI Issue Backlog'!$D$67:$I$132,5,FALSE)</f>
        <v>#N/A</v>
      </c>
    </row>
    <row r="23" spans="2:26" ht="15" customHeight="1" x14ac:dyDescent="0.25">
      <c r="B23" s="27"/>
      <c r="D23" s="32"/>
      <c r="E23" s="140" t="e">
        <f>VLOOKUP(D23,'3. PI Issue Backlog'!D69:I134,2,FALSE)</f>
        <v>#N/A</v>
      </c>
      <c r="F23" s="32" t="e">
        <f>VLOOKUP(D23,'3. PI Issue Backlog'!D69:I134,5,FALSE)</f>
        <v>#N/A</v>
      </c>
      <c r="H23" s="32"/>
      <c r="I23" s="140" t="e">
        <f>VLOOKUP(H23,'3. PI Issue Backlog'!D69:I134,2,FALSE)</f>
        <v>#N/A</v>
      </c>
      <c r="J23" s="32" t="e">
        <f>VLOOKUP(H23,'3. PI Issue Backlog'!D69:I134,5,FALSE)</f>
        <v>#N/A</v>
      </c>
      <c r="L23" s="32"/>
      <c r="M23" s="140" t="e">
        <f>VLOOKUP(L23,'3. PI Issue Backlog'!$D$67:$I$132,2,FALSE)</f>
        <v>#N/A</v>
      </c>
      <c r="N23" s="32" t="e">
        <f>VLOOKUP(L23,'3. PI Issue Backlog'!$D$67:$I$132,5,FALSE)</f>
        <v>#N/A</v>
      </c>
      <c r="P23" s="32"/>
      <c r="Q23" s="140" t="e">
        <f>VLOOKUP(P23,'3. PI Issue Backlog'!$D$67:$I$132,2,FALSE)</f>
        <v>#N/A</v>
      </c>
      <c r="R23" s="32" t="e">
        <f>VLOOKUP(P23,'3. PI Issue Backlog'!$D$67:$I$132,5,FALSE)</f>
        <v>#N/A</v>
      </c>
      <c r="T23" s="32"/>
      <c r="U23" s="140" t="e">
        <f>VLOOKUP(T23,'3. PI Issue Backlog'!$D$67:$I$132,2,FALSE)</f>
        <v>#N/A</v>
      </c>
      <c r="V23" s="32" t="e">
        <f>VLOOKUP(T23,'3. PI Issue Backlog'!$D$67:$I$132,5,FALSE)</f>
        <v>#N/A</v>
      </c>
      <c r="X23" s="32"/>
      <c r="Y23" s="140" t="e">
        <f>VLOOKUP(X23,'3. PI Issue Backlog'!$D$67:$I$132,2,FALSE)</f>
        <v>#N/A</v>
      </c>
      <c r="Z23" s="32" t="e">
        <f>VLOOKUP(X23,'3. PI Issue Backlog'!$D$67:$I$132,5,FALSE)</f>
        <v>#N/A</v>
      </c>
    </row>
    <row r="24" spans="2:26" ht="15" customHeight="1" x14ac:dyDescent="0.25">
      <c r="B24" s="27"/>
      <c r="D24" s="32"/>
      <c r="E24" s="140" t="e">
        <f>VLOOKUP(D24,'3. PI Issue Backlog'!D70:I135,2,FALSE)</f>
        <v>#N/A</v>
      </c>
      <c r="F24" s="32" t="e">
        <f>VLOOKUP(D24,'3. PI Issue Backlog'!D70:I135,5,FALSE)</f>
        <v>#N/A</v>
      </c>
      <c r="H24" s="32"/>
      <c r="I24" s="140" t="e">
        <f>VLOOKUP(H24,'3. PI Issue Backlog'!D70:I135,2,FALSE)</f>
        <v>#N/A</v>
      </c>
      <c r="J24" s="32" t="e">
        <f>VLOOKUP(H24,'3. PI Issue Backlog'!D70:I135,5,FALSE)</f>
        <v>#N/A</v>
      </c>
      <c r="L24" s="32"/>
      <c r="M24" s="140" t="e">
        <f>VLOOKUP(L24,'3. PI Issue Backlog'!$D$67:$I$132,2,FALSE)</f>
        <v>#N/A</v>
      </c>
      <c r="N24" s="32" t="e">
        <f>VLOOKUP(L24,'3. PI Issue Backlog'!$D$67:$I$132,5,FALSE)</f>
        <v>#N/A</v>
      </c>
      <c r="P24" s="32"/>
      <c r="Q24" s="140" t="e">
        <f>VLOOKUP(P24,'3. PI Issue Backlog'!$D$67:$I$132,2,FALSE)</f>
        <v>#N/A</v>
      </c>
      <c r="R24" s="32" t="e">
        <f>VLOOKUP(P24,'3. PI Issue Backlog'!$D$67:$I$132,5,FALSE)</f>
        <v>#N/A</v>
      </c>
      <c r="T24" s="32"/>
      <c r="U24" s="140" t="e">
        <f>VLOOKUP(T24,'3. PI Issue Backlog'!$D$67:$I$132,2,FALSE)</f>
        <v>#N/A</v>
      </c>
      <c r="V24" s="32" t="e">
        <f>VLOOKUP(T24,'3. PI Issue Backlog'!$D$67:$I$132,5,FALSE)</f>
        <v>#N/A</v>
      </c>
      <c r="X24" s="32"/>
      <c r="Y24" s="140" t="e">
        <f>VLOOKUP(X24,'3. PI Issue Backlog'!$D$67:$I$132,2,FALSE)</f>
        <v>#N/A</v>
      </c>
      <c r="Z24" s="32" t="e">
        <f>VLOOKUP(X24,'3. PI Issue Backlog'!$D$67:$I$132,5,FALSE)</f>
        <v>#N/A</v>
      </c>
    </row>
    <row r="25" spans="2:26" ht="15" customHeight="1" x14ac:dyDescent="0.25">
      <c r="B25" s="27"/>
      <c r="D25" s="32"/>
      <c r="E25" s="140" t="e">
        <f>VLOOKUP(D25,'3. PI Issue Backlog'!D71:I136,2,FALSE)</f>
        <v>#N/A</v>
      </c>
      <c r="F25" s="32" t="e">
        <f>VLOOKUP(D25,'3. PI Issue Backlog'!D71:I136,5,FALSE)</f>
        <v>#N/A</v>
      </c>
      <c r="H25" s="32"/>
      <c r="I25" s="140" t="e">
        <f>VLOOKUP(H25,'3. PI Issue Backlog'!D71:I136,2,FALSE)</f>
        <v>#N/A</v>
      </c>
      <c r="J25" s="32" t="e">
        <f>VLOOKUP(H25,'3. PI Issue Backlog'!D71:I136,5,FALSE)</f>
        <v>#N/A</v>
      </c>
      <c r="L25" s="32"/>
      <c r="M25" s="140" t="e">
        <f>VLOOKUP(L25,'3. PI Issue Backlog'!$D$67:$I$132,2,FALSE)</f>
        <v>#N/A</v>
      </c>
      <c r="N25" s="32" t="e">
        <f>VLOOKUP(L25,'3. PI Issue Backlog'!$D$67:$I$132,5,FALSE)</f>
        <v>#N/A</v>
      </c>
      <c r="P25" s="32"/>
      <c r="Q25" s="140" t="e">
        <f>VLOOKUP(P25,'3. PI Issue Backlog'!$D$67:$I$132,2,FALSE)</f>
        <v>#N/A</v>
      </c>
      <c r="R25" s="32" t="e">
        <f>VLOOKUP(P25,'3. PI Issue Backlog'!$D$67:$I$132,5,FALSE)</f>
        <v>#N/A</v>
      </c>
      <c r="T25" s="32"/>
      <c r="U25" s="140" t="e">
        <f>VLOOKUP(T25,'3. PI Issue Backlog'!$D$67:$I$132,2,FALSE)</f>
        <v>#N/A</v>
      </c>
      <c r="V25" s="32" t="e">
        <f>VLOOKUP(T25,'3. PI Issue Backlog'!$D$67:$I$132,5,FALSE)</f>
        <v>#N/A</v>
      </c>
      <c r="X25" s="32"/>
      <c r="Y25" s="140" t="e">
        <f>VLOOKUP(X25,'3. PI Issue Backlog'!$D$67:$I$132,2,FALSE)</f>
        <v>#N/A</v>
      </c>
      <c r="Z25" s="32" t="e">
        <f>VLOOKUP(X25,'3. PI Issue Backlog'!$D$67:$I$132,5,FALSE)</f>
        <v>#N/A</v>
      </c>
    </row>
    <row r="26" spans="2:26" ht="15" customHeight="1" x14ac:dyDescent="0.25">
      <c r="B26" s="27"/>
      <c r="D26" s="32"/>
      <c r="E26" s="140" t="e">
        <f>VLOOKUP(D26,'3. PI Issue Backlog'!D72:I137,2,FALSE)</f>
        <v>#N/A</v>
      </c>
      <c r="F26" s="32" t="e">
        <f>VLOOKUP(D26,'3. PI Issue Backlog'!D72:I137,5,FALSE)</f>
        <v>#N/A</v>
      </c>
      <c r="H26" s="32"/>
      <c r="I26" s="140" t="e">
        <f>VLOOKUP(H26,'3. PI Issue Backlog'!D72:I137,2,FALSE)</f>
        <v>#N/A</v>
      </c>
      <c r="J26" s="32" t="e">
        <f>VLOOKUP(H26,'3. PI Issue Backlog'!D72:I137,5,FALSE)</f>
        <v>#N/A</v>
      </c>
      <c r="L26" s="32"/>
      <c r="M26" s="140" t="e">
        <f>VLOOKUP(L26,'3. PI Issue Backlog'!$D$67:$I$132,2,FALSE)</f>
        <v>#N/A</v>
      </c>
      <c r="N26" s="32" t="e">
        <f>VLOOKUP(L26,'3. PI Issue Backlog'!$D$67:$I$132,5,FALSE)</f>
        <v>#N/A</v>
      </c>
      <c r="P26" s="32"/>
      <c r="Q26" s="140" t="e">
        <f>VLOOKUP(P26,'3. PI Issue Backlog'!$D$67:$I$132,2,FALSE)</f>
        <v>#N/A</v>
      </c>
      <c r="R26" s="32" t="e">
        <f>VLOOKUP(P26,'3. PI Issue Backlog'!$D$67:$I$132,5,FALSE)</f>
        <v>#N/A</v>
      </c>
      <c r="T26" s="32"/>
      <c r="U26" s="140" t="e">
        <f>VLOOKUP(T26,'3. PI Issue Backlog'!$D$67:$I$132,2,FALSE)</f>
        <v>#N/A</v>
      </c>
      <c r="V26" s="32" t="e">
        <f>VLOOKUP(T26,'3. PI Issue Backlog'!$D$67:$I$132,5,FALSE)</f>
        <v>#N/A</v>
      </c>
      <c r="X26" s="32"/>
      <c r="Y26" s="140" t="e">
        <f>VLOOKUP(X26,'3. PI Issue Backlog'!$D$67:$I$132,2,FALSE)</f>
        <v>#N/A</v>
      </c>
      <c r="Z26" s="32" t="e">
        <f>VLOOKUP(X26,'3. PI Issue Backlog'!$D$67:$I$132,5,FALSE)</f>
        <v>#N/A</v>
      </c>
    </row>
    <row r="27" spans="2:26" ht="15" customHeight="1" x14ac:dyDescent="0.25">
      <c r="B27" s="27"/>
      <c r="D27" s="32"/>
      <c r="E27" s="140" t="e">
        <f>VLOOKUP(D27,'3. PI Issue Backlog'!D73:I138,2,FALSE)</f>
        <v>#N/A</v>
      </c>
      <c r="F27" s="32" t="e">
        <f>VLOOKUP(D27,'3. PI Issue Backlog'!D73:I138,5,FALSE)</f>
        <v>#N/A</v>
      </c>
      <c r="H27" s="32"/>
      <c r="I27" s="140" t="e">
        <f>VLOOKUP(H27,'3. PI Issue Backlog'!D73:I138,2,FALSE)</f>
        <v>#N/A</v>
      </c>
      <c r="J27" s="32" t="e">
        <f>VLOOKUP(H27,'3. PI Issue Backlog'!D73:I138,5,FALSE)</f>
        <v>#N/A</v>
      </c>
      <c r="L27" s="32"/>
      <c r="M27" s="140" t="e">
        <f>VLOOKUP(L27,'3. PI Issue Backlog'!$D$67:$I$132,2,FALSE)</f>
        <v>#N/A</v>
      </c>
      <c r="N27" s="32" t="e">
        <f>VLOOKUP(L27,'3. PI Issue Backlog'!$D$67:$I$132,5,FALSE)</f>
        <v>#N/A</v>
      </c>
      <c r="P27" s="32"/>
      <c r="Q27" s="140" t="e">
        <f>VLOOKUP(P27,'3. PI Issue Backlog'!$D$67:$I$132,2,FALSE)</f>
        <v>#N/A</v>
      </c>
      <c r="R27" s="32" t="e">
        <f>VLOOKUP(P27,'3. PI Issue Backlog'!$D$67:$I$132,5,FALSE)</f>
        <v>#N/A</v>
      </c>
      <c r="T27" s="32"/>
      <c r="U27" s="140" t="e">
        <f>VLOOKUP(T27,'3. PI Issue Backlog'!$D$67:$I$132,2,FALSE)</f>
        <v>#N/A</v>
      </c>
      <c r="V27" s="32" t="e">
        <f>VLOOKUP(T27,'3. PI Issue Backlog'!$D$67:$I$132,5,FALSE)</f>
        <v>#N/A</v>
      </c>
      <c r="X27" s="32"/>
      <c r="Y27" s="140"/>
      <c r="Z27" s="32"/>
    </row>
    <row r="28" spans="2:26" ht="15" customHeight="1" x14ac:dyDescent="0.25">
      <c r="B28" s="27"/>
      <c r="D28" s="32"/>
      <c r="E28" s="140" t="e">
        <f>VLOOKUP(D28,'3. PI Issue Backlog'!D74:I139,2,FALSE)</f>
        <v>#N/A</v>
      </c>
      <c r="F28" s="32" t="e">
        <f>VLOOKUP(D28,'3. PI Issue Backlog'!D74:I139,5,FALSE)</f>
        <v>#N/A</v>
      </c>
      <c r="H28" s="32"/>
      <c r="I28" s="140" t="e">
        <f>VLOOKUP(H28,'3. PI Issue Backlog'!D74:I139,2,FALSE)</f>
        <v>#N/A</v>
      </c>
      <c r="J28" s="32" t="e">
        <f>VLOOKUP(H28,'3. PI Issue Backlog'!D74:I139,5,FALSE)</f>
        <v>#N/A</v>
      </c>
      <c r="L28" s="32"/>
      <c r="M28" s="140" t="e">
        <f>VLOOKUP(L28,'3. PI Issue Backlog'!$D$67:$I$132,2,FALSE)</f>
        <v>#N/A</v>
      </c>
      <c r="N28" s="32" t="e">
        <f>VLOOKUP(L28,'3. PI Issue Backlog'!$D$67:$I$132,5,FALSE)</f>
        <v>#N/A</v>
      </c>
      <c r="P28" s="32"/>
      <c r="Q28" s="140" t="e">
        <f>VLOOKUP(P28,'3. PI Issue Backlog'!$D$67:$I$132,2,FALSE)</f>
        <v>#N/A</v>
      </c>
      <c r="R28" s="32" t="e">
        <f>VLOOKUP(P28,'3. PI Issue Backlog'!$D$67:$I$132,5,FALSE)</f>
        <v>#N/A</v>
      </c>
      <c r="T28" s="32"/>
      <c r="U28" s="140" t="e">
        <f>VLOOKUP(T28,'3. PI Issue Backlog'!$D$67:$I$132,2,FALSE)</f>
        <v>#N/A</v>
      </c>
      <c r="V28" s="32" t="e">
        <f>VLOOKUP(T28,'3. PI Issue Backlog'!$D$67:$I$132,5,FALSE)</f>
        <v>#N/A</v>
      </c>
      <c r="X28" s="32"/>
      <c r="Y28" s="140"/>
      <c r="Z28" s="32"/>
    </row>
    <row r="29" spans="2:26" ht="15" customHeight="1" x14ac:dyDescent="0.25">
      <c r="B29" s="27"/>
      <c r="D29" s="32"/>
      <c r="E29" s="140" t="e">
        <f>VLOOKUP(D29,'3. PI Issue Backlog'!D75:I140,2,FALSE)</f>
        <v>#N/A</v>
      </c>
      <c r="F29" s="32" t="e">
        <f>VLOOKUP(D29,'3. PI Issue Backlog'!D75:I140,5,FALSE)</f>
        <v>#N/A</v>
      </c>
      <c r="H29" s="32"/>
      <c r="I29" s="140" t="e">
        <f>VLOOKUP(H29,'3. PI Issue Backlog'!D75:I140,2,FALSE)</f>
        <v>#N/A</v>
      </c>
      <c r="J29" s="32" t="e">
        <f>VLOOKUP(H29,'3. PI Issue Backlog'!D75:I140,5,FALSE)</f>
        <v>#N/A</v>
      </c>
      <c r="L29" s="32"/>
      <c r="M29" s="140" t="e">
        <f>VLOOKUP(L29,'3. PI Issue Backlog'!$D$67:$I$132,2,FALSE)</f>
        <v>#N/A</v>
      </c>
      <c r="N29" s="32" t="e">
        <f>VLOOKUP(L29,'3. PI Issue Backlog'!$D$67:$I$132,5,FALSE)</f>
        <v>#N/A</v>
      </c>
      <c r="P29" s="32"/>
      <c r="Q29" s="140" t="e">
        <f>VLOOKUP(P29,'3. PI Issue Backlog'!$D$67:$I$132,2,FALSE)</f>
        <v>#N/A</v>
      </c>
      <c r="R29" s="32" t="e">
        <f>VLOOKUP(P29,'3. PI Issue Backlog'!$D$67:$I$132,5,FALSE)</f>
        <v>#N/A</v>
      </c>
      <c r="T29" s="32"/>
      <c r="U29" s="140" t="e">
        <f>VLOOKUP(T29,'3. PI Issue Backlog'!$D$67:$I$132,2,FALSE)</f>
        <v>#N/A</v>
      </c>
      <c r="V29" s="32" t="e">
        <f>VLOOKUP(T29,'3. PI Issue Backlog'!$D$67:$I$132,5,FALSE)</f>
        <v>#N/A</v>
      </c>
      <c r="X29" s="32"/>
      <c r="Y29" s="140"/>
      <c r="Z29" s="32"/>
    </row>
    <row r="30" spans="2:26" ht="15" customHeight="1" x14ac:dyDescent="0.25">
      <c r="B30" s="27"/>
      <c r="D30" s="32"/>
      <c r="E30" s="140" t="e">
        <f>VLOOKUP(D30,'3. PI Issue Backlog'!D76:I141,2,FALSE)</f>
        <v>#N/A</v>
      </c>
      <c r="F30" s="32" t="e">
        <f>VLOOKUP(D30,'3. PI Issue Backlog'!D76:I141,5,FALSE)</f>
        <v>#N/A</v>
      </c>
      <c r="H30" s="32"/>
      <c r="I30" s="140" t="e">
        <f>VLOOKUP(H30,'3. PI Issue Backlog'!D76:I141,2,FALSE)</f>
        <v>#N/A</v>
      </c>
      <c r="J30" s="32" t="e">
        <f>VLOOKUP(H30,'3. PI Issue Backlog'!D76:I141,5,FALSE)</f>
        <v>#N/A</v>
      </c>
      <c r="L30" s="32"/>
      <c r="M30" s="140" t="e">
        <f>VLOOKUP(L30,'3. PI Issue Backlog'!$D$67:$I$132,2,FALSE)</f>
        <v>#N/A</v>
      </c>
      <c r="N30" s="32" t="e">
        <f>VLOOKUP(L30,'3. PI Issue Backlog'!$D$67:$I$132,5,FALSE)</f>
        <v>#N/A</v>
      </c>
      <c r="P30" s="32"/>
      <c r="Q30" s="140" t="e">
        <f>VLOOKUP(P30,'3. PI Issue Backlog'!$D$67:$I$132,2,FALSE)</f>
        <v>#N/A</v>
      </c>
      <c r="R30" s="32" t="e">
        <f>VLOOKUP(P30,'3. PI Issue Backlog'!$D$67:$I$132,5,FALSE)</f>
        <v>#N/A</v>
      </c>
      <c r="T30" s="32"/>
      <c r="U30" s="140" t="e">
        <f>VLOOKUP(T30,'3. PI Issue Backlog'!$D$67:$I$132,2,FALSE)</f>
        <v>#N/A</v>
      </c>
      <c r="V30" s="32" t="e">
        <f>VLOOKUP(T30,'3. PI Issue Backlog'!$D$67:$I$132,5,FALSE)</f>
        <v>#N/A</v>
      </c>
      <c r="X30" s="32"/>
      <c r="Y30" s="140"/>
      <c r="Z30" s="32"/>
    </row>
    <row r="31" spans="2:26" ht="15" customHeight="1" x14ac:dyDescent="0.25">
      <c r="B31" s="27"/>
      <c r="D31" s="32"/>
      <c r="E31" s="140" t="e">
        <f>VLOOKUP(D31,'3. PI Issue Backlog'!D77:I142,2,FALSE)</f>
        <v>#N/A</v>
      </c>
      <c r="F31" s="32" t="e">
        <f>VLOOKUP(D31,'3. PI Issue Backlog'!D77:I142,5,FALSE)</f>
        <v>#N/A</v>
      </c>
      <c r="H31" s="32"/>
      <c r="I31" s="140" t="e">
        <f>VLOOKUP(H31,'3. PI Issue Backlog'!D77:I142,2,FALSE)</f>
        <v>#N/A</v>
      </c>
      <c r="J31" s="32" t="e">
        <f>VLOOKUP(H31,'3. PI Issue Backlog'!D77:I142,5,FALSE)</f>
        <v>#N/A</v>
      </c>
      <c r="L31" s="32"/>
      <c r="M31" s="140" t="e">
        <f>VLOOKUP(L31,'3. PI Issue Backlog'!$D$67:$I$132,2,FALSE)</f>
        <v>#N/A</v>
      </c>
      <c r="N31" s="32" t="e">
        <f>VLOOKUP(L31,'3. PI Issue Backlog'!$D$67:$I$132,5,FALSE)</f>
        <v>#N/A</v>
      </c>
      <c r="P31" s="32"/>
      <c r="Q31" s="140" t="e">
        <f>VLOOKUP(P31,'3. PI Issue Backlog'!$D$67:$I$132,2,FALSE)</f>
        <v>#N/A</v>
      </c>
      <c r="R31" s="32" t="e">
        <f>VLOOKUP(P31,'3. PI Issue Backlog'!$D$67:$I$132,5,FALSE)</f>
        <v>#N/A</v>
      </c>
      <c r="T31" s="32"/>
      <c r="U31" s="140" t="e">
        <f>VLOOKUP(T31,'3. PI Issue Backlog'!$D$67:$I$132,2,FALSE)</f>
        <v>#N/A</v>
      </c>
      <c r="V31" s="32" t="e">
        <f>VLOOKUP(T31,'3. PI Issue Backlog'!$D$67:$I$132,5,FALSE)</f>
        <v>#N/A</v>
      </c>
      <c r="X31" s="32"/>
      <c r="Y31" s="140"/>
      <c r="Z31" s="32"/>
    </row>
    <row r="32" spans="2:26" ht="15" customHeight="1" x14ac:dyDescent="0.25">
      <c r="B32" s="27"/>
      <c r="D32" s="32"/>
      <c r="E32" s="140" t="e">
        <f>VLOOKUP(D32,'3. PI Issue Backlog'!D78:I143,2,FALSE)</f>
        <v>#N/A</v>
      </c>
      <c r="F32" s="32" t="e">
        <f>VLOOKUP(D32,'3. PI Issue Backlog'!D78:I143,5,FALSE)</f>
        <v>#N/A</v>
      </c>
      <c r="H32" s="32"/>
      <c r="I32" s="140" t="e">
        <f>VLOOKUP(H32,'3. PI Issue Backlog'!D78:I143,2,FALSE)</f>
        <v>#N/A</v>
      </c>
      <c r="J32" s="32" t="e">
        <f>VLOOKUP(H32,'3. PI Issue Backlog'!D78:I143,5,FALSE)</f>
        <v>#N/A</v>
      </c>
      <c r="L32" s="32"/>
      <c r="M32" s="140"/>
      <c r="N32" s="32"/>
      <c r="P32" s="32"/>
      <c r="Q32" s="140"/>
      <c r="R32" s="32"/>
      <c r="T32" s="32"/>
      <c r="U32" s="140"/>
      <c r="V32" s="32"/>
      <c r="X32" s="32"/>
      <c r="Y32" s="140"/>
      <c r="Z32" s="32"/>
    </row>
    <row r="33" spans="2:26" ht="15" customHeight="1" x14ac:dyDescent="0.25">
      <c r="B33" s="27"/>
      <c r="D33" s="32"/>
      <c r="E33" s="140"/>
      <c r="F33" s="32"/>
      <c r="H33" s="32"/>
      <c r="I33" s="140" t="e">
        <f>VLOOKUP(H33,'3. PI Issue Backlog'!D79:I144,2,FALSE)</f>
        <v>#N/A</v>
      </c>
      <c r="J33" s="32" t="e">
        <f>VLOOKUP(H33,'3. PI Issue Backlog'!D79:I144,5,FALSE)</f>
        <v>#N/A</v>
      </c>
      <c r="L33" s="32"/>
      <c r="M33" s="140"/>
      <c r="N33" s="32"/>
      <c r="P33" s="32"/>
      <c r="Q33" s="140"/>
      <c r="R33" s="32"/>
      <c r="T33" s="32"/>
      <c r="U33" s="140"/>
      <c r="V33" s="32"/>
      <c r="X33" s="32"/>
      <c r="Y33" s="140"/>
      <c r="Z33" s="32"/>
    </row>
    <row r="34" spans="2:26" ht="15" customHeight="1" x14ac:dyDescent="0.25">
      <c r="B34" s="27"/>
      <c r="D34" s="32"/>
      <c r="E34" s="140"/>
      <c r="F34" s="32"/>
      <c r="H34" s="32"/>
      <c r="I34" s="140" t="e">
        <f>VLOOKUP(H34,'3. PI Issue Backlog'!D80:I145,2,FALSE)</f>
        <v>#N/A</v>
      </c>
      <c r="J34" s="32" t="e">
        <f>VLOOKUP(H34,'3. PI Issue Backlog'!D80:I145,5,FALSE)</f>
        <v>#N/A</v>
      </c>
      <c r="L34" s="32"/>
      <c r="M34" s="140"/>
      <c r="N34" s="32"/>
      <c r="P34" s="32"/>
      <c r="Q34" s="140"/>
      <c r="R34" s="32"/>
      <c r="T34" s="32"/>
      <c r="U34" s="140"/>
      <c r="V34" s="32"/>
      <c r="X34" s="32"/>
      <c r="Y34" s="140"/>
      <c r="Z34" s="32"/>
    </row>
    <row r="35" spans="2:26" ht="15" customHeight="1" x14ac:dyDescent="0.25">
      <c r="B35" s="27"/>
      <c r="D35" s="32"/>
      <c r="E35" s="140"/>
      <c r="F35" s="32"/>
      <c r="H35" s="32"/>
      <c r="I35" s="140" t="e">
        <f>VLOOKUP(H35,'3. PI Issue Backlog'!D81:I146,2,FALSE)</f>
        <v>#N/A</v>
      </c>
      <c r="J35" s="32" t="e">
        <f>VLOOKUP(H35,'3. PI Issue Backlog'!D81:I146,5,FALSE)</f>
        <v>#N/A</v>
      </c>
      <c r="L35" s="32"/>
      <c r="M35" s="140"/>
      <c r="N35" s="32"/>
      <c r="P35" s="32"/>
      <c r="Q35" s="140"/>
      <c r="R35" s="32"/>
      <c r="T35" s="32"/>
      <c r="U35" s="140"/>
      <c r="V35" s="32"/>
      <c r="X35" s="32"/>
      <c r="Y35" s="140"/>
      <c r="Z35" s="32"/>
    </row>
    <row r="36" spans="2:26" ht="15" customHeight="1" x14ac:dyDescent="0.25">
      <c r="B36" s="27"/>
      <c r="D36" s="32"/>
      <c r="E36" s="140"/>
      <c r="F36" s="32"/>
      <c r="H36" s="32"/>
      <c r="I36" s="140"/>
      <c r="J36" s="32"/>
      <c r="L36" s="32"/>
      <c r="M36" s="140"/>
      <c r="N36" s="32"/>
      <c r="P36" s="32"/>
      <c r="Q36" s="140"/>
      <c r="R36" s="32"/>
      <c r="T36" s="32"/>
      <c r="U36" s="140"/>
      <c r="V36" s="32"/>
      <c r="X36" s="32"/>
      <c r="Y36" s="140"/>
      <c r="Z36" s="32"/>
    </row>
    <row r="37" spans="2:26" ht="15" customHeight="1" x14ac:dyDescent="0.25">
      <c r="B37" s="27"/>
      <c r="D37" s="32"/>
      <c r="E37" s="140"/>
      <c r="F37" s="32"/>
      <c r="H37" s="32"/>
      <c r="I37" s="140"/>
      <c r="J37" s="32"/>
      <c r="L37" s="32"/>
      <c r="M37" s="140"/>
      <c r="N37" s="32"/>
      <c r="P37" s="32"/>
      <c r="Q37" s="140"/>
      <c r="R37" s="32"/>
      <c r="T37" s="32"/>
      <c r="U37" s="140"/>
      <c r="V37" s="32"/>
      <c r="X37" s="32"/>
      <c r="Y37" s="140"/>
      <c r="Z37" s="32"/>
    </row>
    <row r="38" spans="2:26" ht="15" customHeight="1" x14ac:dyDescent="0.25">
      <c r="B38" s="27"/>
      <c r="D38" s="32"/>
      <c r="E38" s="140"/>
      <c r="F38" s="32"/>
      <c r="H38" s="32"/>
      <c r="I38" s="140"/>
      <c r="J38" s="32"/>
      <c r="L38" s="32"/>
      <c r="M38" s="140"/>
      <c r="N38" s="32"/>
      <c r="P38" s="32"/>
      <c r="Q38" s="140"/>
      <c r="R38" s="32"/>
      <c r="T38" s="32"/>
      <c r="U38" s="140"/>
      <c r="V38" s="32"/>
      <c r="X38" s="32"/>
      <c r="Y38" s="140"/>
      <c r="Z38" s="32"/>
    </row>
    <row r="39" spans="2:26" ht="15.75" x14ac:dyDescent="0.25">
      <c r="B39" s="27"/>
      <c r="D39" s="32"/>
      <c r="E39" s="140"/>
      <c r="F39" s="32"/>
      <c r="H39" s="32"/>
      <c r="I39" s="140"/>
      <c r="J39" s="32"/>
      <c r="L39" s="32"/>
      <c r="M39" s="140"/>
      <c r="N39" s="32"/>
      <c r="P39" s="32"/>
      <c r="Q39" s="140"/>
      <c r="R39" s="32"/>
      <c r="T39" s="32"/>
      <c r="U39" s="140"/>
      <c r="V39" s="32"/>
      <c r="X39" s="32"/>
      <c r="Y39" s="140"/>
      <c r="Z39" s="32"/>
    </row>
    <row r="40" spans="2:26" ht="15.75" x14ac:dyDescent="0.25">
      <c r="B40" s="27"/>
      <c r="D40" s="32"/>
      <c r="E40" s="140"/>
      <c r="F40" s="32"/>
      <c r="H40" s="32"/>
      <c r="I40" s="140"/>
      <c r="J40" s="32"/>
      <c r="L40" s="32"/>
      <c r="M40" s="140"/>
      <c r="N40" s="32"/>
      <c r="P40" s="32"/>
      <c r="Q40" s="140"/>
      <c r="R40" s="32"/>
      <c r="T40" s="32"/>
      <c r="U40" s="140"/>
      <c r="V40" s="32"/>
      <c r="X40" s="32"/>
      <c r="Y40" s="140"/>
      <c r="Z40" s="32"/>
    </row>
    <row r="41" spans="2:26" ht="15.75" x14ac:dyDescent="0.25">
      <c r="B41" s="27"/>
      <c r="D41" s="32"/>
      <c r="E41" s="140"/>
      <c r="F41" s="32"/>
      <c r="H41" s="32"/>
      <c r="I41" s="140"/>
      <c r="J41" s="32"/>
      <c r="L41" s="32"/>
      <c r="M41" s="140"/>
      <c r="N41" s="32"/>
      <c r="P41" s="32"/>
      <c r="Q41" s="140"/>
      <c r="R41" s="32"/>
      <c r="T41" s="32"/>
      <c r="U41" s="140"/>
      <c r="V41" s="32"/>
      <c r="X41" s="32"/>
      <c r="Y41" s="140"/>
      <c r="Z41" s="32"/>
    </row>
    <row r="42" spans="2:26" ht="15.75" x14ac:dyDescent="0.25">
      <c r="B42" s="27"/>
      <c r="D42" s="32"/>
      <c r="E42" s="140"/>
      <c r="F42" s="32"/>
      <c r="H42" s="32"/>
      <c r="I42" s="140"/>
      <c r="J42" s="32"/>
      <c r="L42" s="32"/>
      <c r="M42" s="140"/>
      <c r="N42" s="32"/>
      <c r="P42" s="32"/>
      <c r="Q42" s="140"/>
      <c r="R42" s="32"/>
      <c r="T42" s="32"/>
      <c r="U42" s="140"/>
      <c r="V42" s="32"/>
      <c r="X42" s="32"/>
      <c r="Y42" s="140"/>
      <c r="Z42" s="32"/>
    </row>
    <row r="43" spans="2:26" ht="15.75" x14ac:dyDescent="0.25">
      <c r="B43" s="27"/>
      <c r="D43" s="32"/>
      <c r="E43" s="140"/>
      <c r="F43" s="32"/>
      <c r="H43" s="32"/>
      <c r="I43" s="140"/>
      <c r="J43" s="32"/>
      <c r="L43" s="32"/>
      <c r="M43" s="140"/>
      <c r="N43" s="32"/>
      <c r="P43" s="32"/>
      <c r="Q43" s="140"/>
      <c r="R43" s="32"/>
      <c r="T43" s="32"/>
      <c r="U43" s="140"/>
      <c r="V43" s="32"/>
      <c r="X43" s="32"/>
      <c r="Y43" s="140"/>
      <c r="Z43" s="32"/>
    </row>
    <row r="44" spans="2:26" ht="15.75" x14ac:dyDescent="0.25">
      <c r="B44" s="27"/>
      <c r="D44" s="32"/>
      <c r="E44" s="140"/>
      <c r="F44" s="32"/>
      <c r="H44" s="32"/>
      <c r="I44" s="140"/>
      <c r="J44" s="32"/>
      <c r="L44" s="32"/>
      <c r="M44" s="140"/>
      <c r="N44" s="32"/>
      <c r="P44" s="32"/>
      <c r="Q44" s="140"/>
      <c r="R44" s="32"/>
      <c r="T44" s="32"/>
      <c r="U44" s="140"/>
      <c r="V44" s="32"/>
      <c r="X44" s="32"/>
      <c r="Y44" s="140"/>
      <c r="Z44" s="32"/>
    </row>
    <row r="45" spans="2:26" x14ac:dyDescent="0.25">
      <c r="D45" s="32"/>
      <c r="E45" s="140"/>
      <c r="F45" s="32"/>
      <c r="H45" s="32"/>
      <c r="I45" s="140"/>
      <c r="J45" s="32"/>
      <c r="L45" s="32"/>
      <c r="M45" s="140"/>
      <c r="N45" s="32"/>
      <c r="P45" s="32"/>
      <c r="Q45" s="140"/>
      <c r="R45" s="32"/>
      <c r="T45" s="32"/>
      <c r="U45" s="140"/>
      <c r="V45" s="32"/>
      <c r="X45" s="32"/>
      <c r="Y45" s="140"/>
      <c r="Z45" s="32"/>
    </row>
    <row r="46" spans="2:26" x14ac:dyDescent="0.25">
      <c r="B46" s="28" t="s">
        <v>156</v>
      </c>
      <c r="D46" s="32"/>
      <c r="E46" s="140"/>
      <c r="F46" s="32"/>
      <c r="H46" s="32"/>
      <c r="I46" s="140"/>
      <c r="J46" s="32"/>
      <c r="L46" s="32"/>
      <c r="M46" s="140"/>
      <c r="N46" s="32"/>
      <c r="P46" s="32"/>
      <c r="Q46" s="140"/>
      <c r="R46" s="32"/>
      <c r="T46" s="32"/>
      <c r="U46" s="140"/>
      <c r="V46" s="32"/>
      <c r="X46" s="32"/>
      <c r="Y46" s="140"/>
      <c r="Z46" s="32"/>
    </row>
    <row r="47" spans="2:26" x14ac:dyDescent="0.25">
      <c r="B47" s="28"/>
      <c r="D47" s="32"/>
      <c r="E47" s="140"/>
      <c r="F47" s="32"/>
      <c r="H47" s="32"/>
      <c r="I47" s="140"/>
      <c r="J47" s="32"/>
      <c r="L47" s="32"/>
      <c r="M47" s="140"/>
      <c r="N47" s="32"/>
      <c r="P47" s="32"/>
      <c r="Q47" s="140"/>
      <c r="R47" s="32"/>
      <c r="T47" s="32"/>
      <c r="U47" s="140"/>
      <c r="V47" s="32"/>
      <c r="X47" s="32"/>
      <c r="Y47" s="140"/>
      <c r="Z47" s="32"/>
    </row>
    <row r="48" spans="2:26" x14ac:dyDescent="0.25">
      <c r="B48" s="28"/>
      <c r="D48" s="32"/>
      <c r="E48" s="140"/>
      <c r="F48" s="32"/>
      <c r="H48" s="32"/>
      <c r="I48" s="140"/>
      <c r="J48" s="32"/>
      <c r="L48" s="32"/>
      <c r="M48" s="140"/>
      <c r="N48" s="32"/>
      <c r="P48" s="32"/>
      <c r="Q48" s="140"/>
      <c r="R48" s="32"/>
      <c r="T48" s="32"/>
      <c r="U48" s="140"/>
      <c r="V48" s="32"/>
      <c r="X48" s="32"/>
      <c r="Y48" s="140"/>
      <c r="Z48" s="32"/>
    </row>
    <row r="49" spans="2:26" x14ac:dyDescent="0.25">
      <c r="B49" s="26"/>
      <c r="D49" s="32"/>
      <c r="E49" s="140"/>
      <c r="F49" s="32"/>
      <c r="H49" s="32"/>
      <c r="I49" s="140"/>
      <c r="J49" s="32"/>
      <c r="L49" s="32"/>
      <c r="M49" s="140"/>
      <c r="N49" s="32"/>
      <c r="P49" s="32"/>
      <c r="Q49" s="140"/>
      <c r="R49" s="32"/>
      <c r="T49" s="32"/>
      <c r="U49" s="140"/>
      <c r="V49" s="32"/>
      <c r="X49" s="32"/>
      <c r="Y49" s="140"/>
      <c r="Z49" s="32"/>
    </row>
    <row r="50" spans="2:26" x14ac:dyDescent="0.25">
      <c r="B50" s="28" t="s">
        <v>157</v>
      </c>
      <c r="D50" s="32"/>
      <c r="E50" s="140"/>
      <c r="F50" s="32"/>
      <c r="H50" s="32"/>
      <c r="I50" s="140"/>
      <c r="J50" s="32"/>
      <c r="L50" s="32"/>
      <c r="M50" s="140"/>
      <c r="N50" s="32"/>
      <c r="P50" s="32"/>
      <c r="Q50" s="140"/>
      <c r="R50" s="32"/>
      <c r="T50" s="32"/>
      <c r="U50" s="140"/>
      <c r="V50" s="32"/>
      <c r="X50" s="32"/>
      <c r="Y50" s="140"/>
      <c r="Z50" s="32"/>
    </row>
    <row r="51" spans="2:26" x14ac:dyDescent="0.25">
      <c r="B51" s="28"/>
      <c r="D51" s="32"/>
      <c r="E51" s="140"/>
      <c r="F51" s="32"/>
      <c r="H51" s="32"/>
      <c r="I51" s="140"/>
      <c r="J51" s="32"/>
      <c r="L51" s="32"/>
      <c r="M51" s="140"/>
      <c r="N51" s="32"/>
      <c r="P51" s="32"/>
      <c r="Q51" s="140"/>
      <c r="R51" s="32"/>
      <c r="T51" s="32"/>
      <c r="U51" s="140"/>
      <c r="V51" s="32"/>
      <c r="X51" s="32"/>
      <c r="Y51" s="140"/>
      <c r="Z51" s="32"/>
    </row>
    <row r="52" spans="2:26" ht="15" customHeight="1" x14ac:dyDescent="0.25">
      <c r="B52" s="28"/>
      <c r="D52" s="32"/>
      <c r="E52" s="140"/>
      <c r="F52" s="32"/>
      <c r="H52" s="32"/>
      <c r="I52" s="140"/>
      <c r="J52" s="32"/>
      <c r="L52" s="32"/>
      <c r="M52" s="140"/>
      <c r="N52" s="32"/>
      <c r="P52" s="32"/>
      <c r="Q52" s="140"/>
      <c r="R52" s="32"/>
      <c r="T52" s="32"/>
      <c r="U52" s="140"/>
      <c r="V52" s="32"/>
      <c r="X52" s="32"/>
      <c r="Y52" s="140"/>
      <c r="Z52" s="32"/>
    </row>
    <row r="53" spans="2:26" x14ac:dyDescent="0.25">
      <c r="B53" s="26"/>
      <c r="D53" s="32"/>
      <c r="E53" s="140"/>
      <c r="F53" s="32"/>
      <c r="H53" s="32"/>
      <c r="I53" s="140"/>
      <c r="J53" s="32"/>
      <c r="L53" s="32"/>
      <c r="M53" s="140"/>
      <c r="N53" s="32"/>
      <c r="P53" s="32"/>
      <c r="Q53" s="140"/>
      <c r="R53" s="32"/>
      <c r="T53" s="32"/>
      <c r="U53" s="140"/>
      <c r="V53" s="32"/>
      <c r="X53" s="32"/>
      <c r="Y53" s="140"/>
      <c r="Z53" s="32"/>
    </row>
    <row r="54" spans="2:26" x14ac:dyDescent="0.25">
      <c r="B54" s="28" t="s">
        <v>158</v>
      </c>
      <c r="D54" s="32"/>
      <c r="E54" s="140"/>
      <c r="F54" s="32"/>
      <c r="H54" s="32"/>
      <c r="I54" s="140"/>
      <c r="J54" s="32"/>
      <c r="L54" s="32"/>
      <c r="M54" s="140"/>
      <c r="N54" s="32"/>
      <c r="P54" s="32"/>
      <c r="Q54" s="140"/>
      <c r="R54" s="32"/>
      <c r="T54" s="32"/>
      <c r="U54" s="140"/>
      <c r="V54" s="32"/>
      <c r="X54" s="32"/>
      <c r="Y54" s="140"/>
      <c r="Z54" s="32"/>
    </row>
    <row r="55" spans="2:26" x14ac:dyDescent="0.25">
      <c r="B55" s="28"/>
      <c r="D55" s="32"/>
      <c r="E55" s="140"/>
      <c r="F55" s="32"/>
      <c r="H55" s="32"/>
      <c r="I55" s="140"/>
      <c r="J55" s="32"/>
      <c r="L55" s="32"/>
      <c r="M55" s="140"/>
      <c r="N55" s="32"/>
      <c r="P55" s="32"/>
      <c r="Q55" s="140"/>
      <c r="R55" s="32"/>
      <c r="T55" s="32"/>
      <c r="U55" s="140"/>
      <c r="V55" s="32"/>
      <c r="X55" s="32"/>
      <c r="Y55" s="140"/>
      <c r="Z55" s="32"/>
    </row>
    <row r="56" spans="2:26" x14ac:dyDescent="0.25">
      <c r="B56" s="28"/>
      <c r="D56" s="32"/>
      <c r="E56" s="140"/>
      <c r="F56" s="32"/>
      <c r="H56" s="32"/>
      <c r="I56" s="140"/>
      <c r="J56" s="32"/>
      <c r="L56" s="32"/>
      <c r="M56" s="140"/>
      <c r="N56" s="32"/>
      <c r="P56" s="32"/>
      <c r="Q56" s="140"/>
      <c r="R56" s="32"/>
      <c r="T56" s="32"/>
      <c r="U56" s="140"/>
      <c r="V56" s="32"/>
      <c r="X56" s="32"/>
      <c r="Y56" s="140"/>
      <c r="Z56" s="32"/>
    </row>
    <row r="57" spans="2:26" x14ac:dyDescent="0.25">
      <c r="B57" s="26"/>
      <c r="D57" s="32"/>
      <c r="E57" s="140"/>
      <c r="F57" s="32"/>
      <c r="H57" s="32"/>
      <c r="I57" s="140"/>
      <c r="J57" s="32"/>
      <c r="L57" s="32"/>
      <c r="M57" s="140"/>
      <c r="N57" s="32"/>
      <c r="P57" s="32"/>
      <c r="Q57" s="140"/>
      <c r="R57" s="32"/>
      <c r="T57" s="32"/>
      <c r="U57" s="140"/>
      <c r="V57" s="32"/>
      <c r="X57" s="32"/>
      <c r="Y57" s="140"/>
      <c r="Z57" s="32"/>
    </row>
    <row r="58" spans="2:26" x14ac:dyDescent="0.25">
      <c r="B58" s="29" t="s">
        <v>159</v>
      </c>
      <c r="D58" s="32"/>
      <c r="E58" s="140"/>
      <c r="F58" s="32"/>
      <c r="H58" s="32"/>
      <c r="I58" s="140"/>
      <c r="J58" s="32"/>
      <c r="L58" s="32"/>
      <c r="M58" s="140"/>
      <c r="N58" s="32"/>
      <c r="P58" s="32"/>
      <c r="Q58" s="140"/>
      <c r="R58" s="32"/>
      <c r="T58" s="32"/>
      <c r="U58" s="140"/>
      <c r="V58" s="32"/>
      <c r="X58" s="32"/>
      <c r="Y58" s="140"/>
      <c r="Z58" s="32"/>
    </row>
    <row r="59" spans="2:26" x14ac:dyDescent="0.25">
      <c r="B59" s="29"/>
      <c r="D59" s="32"/>
      <c r="E59" s="140"/>
      <c r="F59" s="32"/>
      <c r="H59" s="32"/>
      <c r="I59" s="140"/>
      <c r="J59" s="32"/>
      <c r="L59" s="32"/>
      <c r="M59" s="140"/>
      <c r="N59" s="32"/>
      <c r="P59" s="32"/>
      <c r="Q59" s="140"/>
      <c r="R59" s="32"/>
      <c r="T59" s="32"/>
      <c r="U59" s="140"/>
      <c r="V59" s="32"/>
      <c r="X59" s="32"/>
      <c r="Y59" s="140"/>
      <c r="Z59" s="32"/>
    </row>
    <row r="60" spans="2:26" x14ac:dyDescent="0.25">
      <c r="B60" s="29"/>
      <c r="D60" s="32"/>
      <c r="E60" s="140"/>
      <c r="F60" s="32"/>
      <c r="H60" s="32"/>
      <c r="I60" s="140"/>
      <c r="J60" s="32"/>
      <c r="L60" s="32"/>
      <c r="M60" s="140"/>
      <c r="N60" s="32"/>
      <c r="P60" s="32"/>
      <c r="Q60" s="140"/>
      <c r="R60" s="32"/>
      <c r="T60" s="32"/>
      <c r="U60" s="140"/>
      <c r="V60" s="32"/>
      <c r="X60" s="32"/>
      <c r="Y60" s="140"/>
      <c r="Z60" s="32"/>
    </row>
  </sheetData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688E-A082-48B9-B77A-28C1E86C6226}">
  <dimension ref="A2:M17"/>
  <sheetViews>
    <sheetView workbookViewId="0"/>
  </sheetViews>
  <sheetFormatPr defaultRowHeight="15" x14ac:dyDescent="0.25"/>
  <cols>
    <col min="1" max="1" width="3.28515625" customWidth="1"/>
    <col min="2" max="2" width="64.85546875" customWidth="1"/>
    <col min="3" max="8" width="15.85546875" customWidth="1"/>
    <col min="9" max="9" width="3.28515625" customWidth="1"/>
    <col min="10" max="13" width="15.85546875" customWidth="1"/>
  </cols>
  <sheetData>
    <row r="2" spans="1:13" ht="21" x14ac:dyDescent="0.35">
      <c r="A2" s="1"/>
      <c r="B2" s="1" t="s">
        <v>160</v>
      </c>
      <c r="C2" s="1"/>
    </row>
    <row r="3" spans="1:13" x14ac:dyDescent="0.25">
      <c r="A3" s="38"/>
      <c r="B3" s="39" t="s">
        <v>161</v>
      </c>
      <c r="C3" s="39"/>
      <c r="D3" s="39"/>
    </row>
    <row r="5" spans="1:13" x14ac:dyDescent="0.25">
      <c r="B5" t="s">
        <v>162</v>
      </c>
    </row>
    <row r="6" spans="1:13" x14ac:dyDescent="0.25">
      <c r="B6" t="s">
        <v>163</v>
      </c>
    </row>
    <row r="7" spans="1:13" x14ac:dyDescent="0.25">
      <c r="B7" t="s">
        <v>164</v>
      </c>
    </row>
    <row r="8" spans="1:13" x14ac:dyDescent="0.25">
      <c r="B8" t="s">
        <v>165</v>
      </c>
    </row>
    <row r="10" spans="1:13" x14ac:dyDescent="0.25">
      <c r="B10" t="s">
        <v>166</v>
      </c>
    </row>
    <row r="11" spans="1:13" x14ac:dyDescent="0.25">
      <c r="J11" s="191" t="s">
        <v>167</v>
      </c>
      <c r="K11" s="191"/>
      <c r="L11" s="191"/>
      <c r="M11" s="191"/>
    </row>
    <row r="12" spans="1:13" x14ac:dyDescent="0.25">
      <c r="B12" t="s">
        <v>168</v>
      </c>
      <c r="C12" t="s">
        <v>169</v>
      </c>
      <c r="D12" t="s">
        <v>170</v>
      </c>
      <c r="E12" t="s">
        <v>171</v>
      </c>
      <c r="F12" t="s">
        <v>172</v>
      </c>
      <c r="G12" t="s">
        <v>173</v>
      </c>
      <c r="H12" t="s">
        <v>174</v>
      </c>
      <c r="J12" s="46" t="s">
        <v>175</v>
      </c>
      <c r="K12" s="47" t="s">
        <v>170</v>
      </c>
      <c r="L12" s="47" t="s">
        <v>171</v>
      </c>
      <c r="M12" s="45" t="s">
        <v>172</v>
      </c>
    </row>
    <row r="13" spans="1:13" x14ac:dyDescent="0.25">
      <c r="B13" t="s">
        <v>176</v>
      </c>
      <c r="C13">
        <v>1</v>
      </c>
      <c r="D13">
        <v>3</v>
      </c>
      <c r="E13">
        <v>3</v>
      </c>
      <c r="F13" t="s">
        <v>177</v>
      </c>
      <c r="G13" t="s">
        <v>178</v>
      </c>
      <c r="H13" t="s">
        <v>179</v>
      </c>
      <c r="J13" s="44">
        <v>1</v>
      </c>
      <c r="K13" s="44">
        <v>1</v>
      </c>
      <c r="L13" s="44">
        <v>1</v>
      </c>
      <c r="M13" s="44" t="s">
        <v>180</v>
      </c>
    </row>
    <row r="14" spans="1:13" x14ac:dyDescent="0.25">
      <c r="J14" s="2">
        <v>2</v>
      </c>
      <c r="K14" s="2">
        <v>2</v>
      </c>
      <c r="L14" s="2">
        <v>2</v>
      </c>
      <c r="M14" s="2" t="s">
        <v>177</v>
      </c>
    </row>
    <row r="15" spans="1:13" x14ac:dyDescent="0.25">
      <c r="J15" s="2">
        <v>3</v>
      </c>
      <c r="K15" s="2">
        <v>3</v>
      </c>
      <c r="L15" s="2">
        <v>3</v>
      </c>
      <c r="M15" s="2" t="s">
        <v>181</v>
      </c>
    </row>
    <row r="16" spans="1:13" x14ac:dyDescent="0.25">
      <c r="J16" s="2">
        <v>4</v>
      </c>
      <c r="K16" s="2">
        <v>4</v>
      </c>
      <c r="L16" s="2">
        <v>4</v>
      </c>
      <c r="M16" s="2" t="s">
        <v>182</v>
      </c>
    </row>
    <row r="17" spans="10:13" x14ac:dyDescent="0.25">
      <c r="J17" s="2">
        <v>5</v>
      </c>
      <c r="K17" s="2">
        <v>5</v>
      </c>
      <c r="L17" s="2">
        <v>5</v>
      </c>
      <c r="M17" s="2"/>
    </row>
  </sheetData>
  <mergeCells count="1">
    <mergeCell ref="J11:M11"/>
  </mergeCells>
  <dataValidations count="4">
    <dataValidation type="list" allowBlank="1" showInputMessage="1" showErrorMessage="1" sqref="C13:C34" xr:uid="{BCC5C5C2-7CCC-4CC5-B0A7-3881231734B9}">
      <formula1>$J$13:$J$17</formula1>
    </dataValidation>
    <dataValidation type="list" allowBlank="1" showInputMessage="1" showErrorMessage="1" sqref="D13:D34" xr:uid="{3B59EB35-F524-40A0-B662-F9127D43E625}">
      <formula1>$K$13:$K$17</formula1>
    </dataValidation>
    <dataValidation type="list" allowBlank="1" showInputMessage="1" showErrorMessage="1" sqref="E13:E34" xr:uid="{7F8EF257-BCFD-4FEB-97D2-301BFD586B1C}">
      <formula1>$L$13:$L$17</formula1>
    </dataValidation>
    <dataValidation type="list" allowBlank="1" showInputMessage="1" showErrorMessage="1" sqref="F13:F34" xr:uid="{794C4340-2FE0-405C-8E35-CA5BE4A8A4CD}">
      <formula1>$M$13:$M$16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255A-4D1E-484A-83AB-E40521C739A5}">
  <dimension ref="B2:K14"/>
  <sheetViews>
    <sheetView workbookViewId="0">
      <selection activeCell="G19" sqref="G19"/>
    </sheetView>
  </sheetViews>
  <sheetFormatPr defaultRowHeight="15" x14ac:dyDescent="0.25"/>
  <cols>
    <col min="1" max="1" width="3.28515625" customWidth="1"/>
    <col min="2" max="2" width="32.5703125" customWidth="1"/>
    <col min="3" max="8" width="28.7109375" style="19" customWidth="1"/>
    <col min="11" max="11" width="29.140625" customWidth="1"/>
  </cols>
  <sheetData>
    <row r="2" spans="2:11" ht="21" x14ac:dyDescent="0.35">
      <c r="B2" s="1" t="s">
        <v>183</v>
      </c>
      <c r="G2" s="49" t="s">
        <v>184</v>
      </c>
      <c r="H2" s="50" t="str">
        <f>VLOOKUP(ROUNDUP(((Table10[[#Totals],[I don’t understand (0)]])+(Table10[[#Totals],[No Confidence (1)]])+(Table10[[#Totals],[Little Confidence (2)]])+(Table10[[#Totals],[Good Confidence (3)]])+(Table10[[#Totals],[High Confidence (4)]])+(Table10[[#Totals],[Very High Confidence (5)]]))/COUNTA(Table10[[I don’t understand (0)]:[Very High Confidence (5)]]),0),Table11[#All],2,FALSE)</f>
        <v>High Confidence</v>
      </c>
    </row>
    <row r="3" spans="2:11" x14ac:dyDescent="0.25">
      <c r="B3" s="39" t="s">
        <v>185</v>
      </c>
    </row>
    <row r="5" spans="2:11" x14ac:dyDescent="0.25">
      <c r="B5" s="26" t="s">
        <v>186</v>
      </c>
      <c r="C5" s="42" t="s">
        <v>187</v>
      </c>
      <c r="D5" s="42" t="s">
        <v>188</v>
      </c>
      <c r="E5" s="42" t="s">
        <v>189</v>
      </c>
      <c r="F5" s="42" t="s">
        <v>190</v>
      </c>
      <c r="G5" s="42" t="s">
        <v>191</v>
      </c>
      <c r="H5" s="42" t="s">
        <v>192</v>
      </c>
      <c r="J5" s="2" t="s">
        <v>193</v>
      </c>
      <c r="K5" s="2" t="s">
        <v>194</v>
      </c>
    </row>
    <row r="6" spans="2:11" ht="18.75" x14ac:dyDescent="0.25">
      <c r="B6" s="93" t="s">
        <v>269</v>
      </c>
      <c r="C6" s="43"/>
      <c r="D6" s="43"/>
      <c r="E6" s="43"/>
      <c r="F6" s="43"/>
      <c r="G6" s="43" t="s">
        <v>195</v>
      </c>
      <c r="H6" s="43"/>
      <c r="J6" s="2">
        <v>0</v>
      </c>
      <c r="K6" s="42" t="s">
        <v>196</v>
      </c>
    </row>
    <row r="7" spans="2:11" ht="18.75" x14ac:dyDescent="0.25">
      <c r="B7" s="99" t="s">
        <v>271</v>
      </c>
      <c r="C7" s="43"/>
      <c r="D7" s="43"/>
      <c r="E7" s="43"/>
      <c r="F7" s="43"/>
      <c r="G7" s="43" t="s">
        <v>195</v>
      </c>
      <c r="H7" s="43"/>
      <c r="J7" s="2">
        <v>1</v>
      </c>
      <c r="K7" s="42" t="s">
        <v>197</v>
      </c>
    </row>
    <row r="8" spans="2:11" ht="18.75" x14ac:dyDescent="0.25">
      <c r="B8" s="99" t="s">
        <v>270</v>
      </c>
      <c r="C8" s="43"/>
      <c r="D8" s="43"/>
      <c r="E8" s="43"/>
      <c r="F8" s="43"/>
      <c r="G8" s="43" t="s">
        <v>195</v>
      </c>
      <c r="H8" s="43"/>
      <c r="J8" s="2">
        <v>2</v>
      </c>
      <c r="K8" s="42" t="s">
        <v>198</v>
      </c>
    </row>
    <row r="9" spans="2:11" ht="18.75" x14ac:dyDescent="0.25">
      <c r="B9" s="99" t="s">
        <v>272</v>
      </c>
      <c r="C9" s="43"/>
      <c r="D9" s="43"/>
      <c r="E9" s="43"/>
      <c r="F9" s="43"/>
      <c r="G9" s="43" t="s">
        <v>195</v>
      </c>
      <c r="H9" s="43"/>
      <c r="J9" s="2">
        <v>3</v>
      </c>
      <c r="K9" s="42" t="s">
        <v>199</v>
      </c>
    </row>
    <row r="10" spans="2:11" ht="18.75" x14ac:dyDescent="0.25">
      <c r="B10" s="99" t="s">
        <v>273</v>
      </c>
      <c r="C10" s="43"/>
      <c r="D10" s="43"/>
      <c r="E10" s="43"/>
      <c r="F10" s="43"/>
      <c r="G10" s="43" t="s">
        <v>195</v>
      </c>
      <c r="H10" s="43"/>
      <c r="J10" s="2">
        <v>4</v>
      </c>
      <c r="K10" s="42" t="s">
        <v>200</v>
      </c>
    </row>
    <row r="11" spans="2:11" ht="18.75" x14ac:dyDescent="0.25">
      <c r="B11" s="99" t="s">
        <v>274</v>
      </c>
      <c r="C11" s="43"/>
      <c r="D11" s="43"/>
      <c r="E11" s="43"/>
      <c r="F11" s="43"/>
      <c r="G11" s="43" t="s">
        <v>195</v>
      </c>
      <c r="H11" s="43"/>
      <c r="J11" s="2">
        <v>5</v>
      </c>
      <c r="K11" s="42" t="s">
        <v>201</v>
      </c>
    </row>
    <row r="12" spans="2:11" ht="18.75" x14ac:dyDescent="0.25">
      <c r="B12" s="101" t="s">
        <v>275</v>
      </c>
      <c r="C12" s="43"/>
      <c r="D12" s="43"/>
      <c r="E12" s="43"/>
      <c r="F12" s="43"/>
      <c r="G12" s="43" t="s">
        <v>195</v>
      </c>
      <c r="H12" s="43"/>
    </row>
    <row r="13" spans="2:11" ht="18.75" x14ac:dyDescent="0.25">
      <c r="B13" s="99" t="s">
        <v>276</v>
      </c>
      <c r="C13" s="43"/>
      <c r="D13" s="43"/>
      <c r="E13" s="43"/>
      <c r="F13" s="43"/>
      <c r="G13" s="43" t="s">
        <v>195</v>
      </c>
      <c r="H13" s="43"/>
    </row>
    <row r="14" spans="2:11" ht="18.75" x14ac:dyDescent="0.25">
      <c r="B14" s="26" t="s">
        <v>202</v>
      </c>
      <c r="C14" s="43">
        <f>COUNTA(Table10[I don’t understand (0)])*0</f>
        <v>0</v>
      </c>
      <c r="D14" s="43">
        <f>COUNTA(Table10[No Confidence (1)])*1</f>
        <v>0</v>
      </c>
      <c r="E14" s="43">
        <f>COUNTA(Table10[Little Confidence (2)])*2</f>
        <v>0</v>
      </c>
      <c r="F14" s="43">
        <f>COUNTA(Table10[Good Confidence (3)])*3</f>
        <v>0</v>
      </c>
      <c r="G14" s="43">
        <f>COUNTA(Table10[High Confidence (4)])*4</f>
        <v>32</v>
      </c>
      <c r="H14" s="43">
        <f>COUNTA(Table10[Very High Confidence (5)])*5</f>
        <v>0</v>
      </c>
    </row>
  </sheetData>
  <phoneticPr fontId="4" type="noConversion"/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A6CA-20AF-4730-AB65-F32FC50BE75B}">
  <dimension ref="B2:S17"/>
  <sheetViews>
    <sheetView workbookViewId="0"/>
  </sheetViews>
  <sheetFormatPr defaultRowHeight="15" x14ac:dyDescent="0.25"/>
  <cols>
    <col min="1" max="1" width="3.28515625" customWidth="1"/>
    <col min="2" max="2" width="44.85546875" bestFit="1" customWidth="1"/>
    <col min="3" max="12" width="5.140625" customWidth="1"/>
    <col min="16" max="17" width="19.42578125" customWidth="1"/>
    <col min="18" max="18" width="3.42578125" customWidth="1"/>
    <col min="19" max="19" width="60.5703125" customWidth="1"/>
  </cols>
  <sheetData>
    <row r="2" spans="2:19" ht="64.5" x14ac:dyDescent="0.25">
      <c r="B2" s="62" t="s">
        <v>203</v>
      </c>
      <c r="C2" s="189" t="s">
        <v>204</v>
      </c>
      <c r="D2" s="189"/>
      <c r="E2" s="189"/>
      <c r="F2" s="189"/>
      <c r="G2" s="189"/>
      <c r="H2" s="189"/>
      <c r="I2" s="189"/>
      <c r="J2" s="189"/>
      <c r="K2" s="189"/>
      <c r="L2" s="189"/>
      <c r="M2" s="63" t="s">
        <v>205</v>
      </c>
      <c r="N2" s="63" t="s">
        <v>206</v>
      </c>
      <c r="O2" s="64" t="s">
        <v>207</v>
      </c>
      <c r="P2" s="64" t="s">
        <v>208</v>
      </c>
      <c r="Q2" s="64" t="s">
        <v>261</v>
      </c>
      <c r="S2" s="65" t="s">
        <v>69</v>
      </c>
    </row>
    <row r="3" spans="2:19" x14ac:dyDescent="0.25">
      <c r="B3" s="66" t="s">
        <v>209</v>
      </c>
      <c r="C3" s="67" t="s">
        <v>49</v>
      </c>
      <c r="D3" s="67" t="s">
        <v>210</v>
      </c>
      <c r="E3" s="67" t="s">
        <v>211</v>
      </c>
      <c r="F3" s="67" t="s">
        <v>212</v>
      </c>
      <c r="G3" s="67" t="s">
        <v>213</v>
      </c>
      <c r="H3" s="67" t="s">
        <v>49</v>
      </c>
      <c r="I3" s="67" t="s">
        <v>210</v>
      </c>
      <c r="J3" s="67" t="s">
        <v>211</v>
      </c>
      <c r="K3" s="67" t="s">
        <v>212</v>
      </c>
      <c r="L3" s="67" t="s">
        <v>213</v>
      </c>
      <c r="M3" s="68"/>
      <c r="N3" s="68"/>
      <c r="O3" s="69"/>
      <c r="P3" s="69"/>
      <c r="Q3" s="69"/>
    </row>
    <row r="4" spans="2:19" x14ac:dyDescent="0.25">
      <c r="B4" s="70" t="s">
        <v>149</v>
      </c>
      <c r="C4" s="71"/>
      <c r="D4" s="72"/>
      <c r="E4" s="72"/>
      <c r="F4" s="72"/>
      <c r="G4" s="72"/>
      <c r="H4" s="72"/>
      <c r="I4" s="72"/>
      <c r="J4" s="72"/>
      <c r="K4" s="72"/>
      <c r="L4" s="72">
        <v>60</v>
      </c>
      <c r="M4" s="73">
        <f>SUM(C4:L4)</f>
        <v>60</v>
      </c>
      <c r="N4" s="73"/>
      <c r="O4" s="74">
        <f>SUM(M4:N4)/60</f>
        <v>1</v>
      </c>
      <c r="P4" s="74" t="s">
        <v>214</v>
      </c>
      <c r="Q4" s="74" t="s">
        <v>215</v>
      </c>
    </row>
    <row r="5" spans="2:19" x14ac:dyDescent="0.25">
      <c r="B5" s="70" t="s">
        <v>216</v>
      </c>
      <c r="C5" s="72"/>
      <c r="D5" s="72">
        <v>30</v>
      </c>
      <c r="E5" s="72"/>
      <c r="F5" s="72">
        <v>60</v>
      </c>
      <c r="G5" s="72"/>
      <c r="H5" s="72"/>
      <c r="I5" s="72">
        <v>30</v>
      </c>
      <c r="J5" s="72"/>
      <c r="K5" s="72">
        <v>60</v>
      </c>
      <c r="L5" s="72"/>
      <c r="M5" s="73">
        <f>SUM(C5:L5)</f>
        <v>180</v>
      </c>
      <c r="N5" s="73"/>
      <c r="O5" s="74">
        <f t="shared" ref="O5:O9" si="0">SUM(M5:N5)/60</f>
        <v>3</v>
      </c>
      <c r="P5" s="74" t="s">
        <v>214</v>
      </c>
      <c r="Q5" s="74" t="s">
        <v>215</v>
      </c>
    </row>
    <row r="6" spans="2:19" x14ac:dyDescent="0.25">
      <c r="B6" s="70" t="s">
        <v>217</v>
      </c>
      <c r="C6" s="72">
        <v>30</v>
      </c>
      <c r="D6" s="72"/>
      <c r="E6" s="72"/>
      <c r="F6" s="72">
        <v>60</v>
      </c>
      <c r="G6" s="71"/>
      <c r="H6" s="72">
        <v>30</v>
      </c>
      <c r="I6" s="72"/>
      <c r="J6" s="71"/>
      <c r="K6" s="72">
        <v>60</v>
      </c>
      <c r="L6" s="72"/>
      <c r="M6" s="73">
        <f t="shared" ref="M6:M9" si="1">SUM(C6:L6)</f>
        <v>180</v>
      </c>
      <c r="N6" s="73"/>
      <c r="O6" s="74">
        <f t="shared" si="0"/>
        <v>3</v>
      </c>
      <c r="P6" s="74" t="s">
        <v>214</v>
      </c>
      <c r="Q6" s="74" t="s">
        <v>215</v>
      </c>
    </row>
    <row r="7" spans="2:19" x14ac:dyDescent="0.25">
      <c r="B7" s="70" t="s">
        <v>218</v>
      </c>
      <c r="C7" s="72"/>
      <c r="D7" s="72"/>
      <c r="E7" s="72"/>
      <c r="F7" s="72"/>
      <c r="G7" s="72"/>
      <c r="H7" s="72"/>
      <c r="I7" s="72"/>
      <c r="J7" s="72"/>
      <c r="K7" s="72"/>
      <c r="L7" s="71">
        <v>60</v>
      </c>
      <c r="M7" s="73">
        <f t="shared" si="1"/>
        <v>60</v>
      </c>
      <c r="N7" s="73"/>
      <c r="O7" s="74">
        <f t="shared" si="0"/>
        <v>1</v>
      </c>
      <c r="P7" s="74" t="s">
        <v>214</v>
      </c>
      <c r="Q7" s="74" t="s">
        <v>215</v>
      </c>
    </row>
    <row r="8" spans="2:19" x14ac:dyDescent="0.25">
      <c r="B8" s="70" t="s">
        <v>219</v>
      </c>
      <c r="C8" s="72">
        <v>30</v>
      </c>
      <c r="D8" s="72"/>
      <c r="E8" s="72"/>
      <c r="F8" s="72"/>
      <c r="G8" s="72"/>
      <c r="H8" s="72"/>
      <c r="I8" s="72"/>
      <c r="J8" s="72"/>
      <c r="K8" s="72"/>
      <c r="L8" s="71"/>
      <c r="M8" s="73">
        <f t="shared" si="1"/>
        <v>30</v>
      </c>
      <c r="N8" s="73"/>
      <c r="O8" s="74">
        <f t="shared" si="0"/>
        <v>0.5</v>
      </c>
      <c r="P8" s="74" t="s">
        <v>214</v>
      </c>
      <c r="Q8" s="74" t="s">
        <v>215</v>
      </c>
    </row>
    <row r="9" spans="2:19" x14ac:dyDescent="0.25">
      <c r="B9" s="70" t="s">
        <v>220</v>
      </c>
      <c r="C9" s="72"/>
      <c r="D9" s="72"/>
      <c r="E9" s="72">
        <v>30</v>
      </c>
      <c r="F9" s="72"/>
      <c r="G9" s="72"/>
      <c r="H9" s="72"/>
      <c r="I9" s="72"/>
      <c r="J9" s="72">
        <v>30</v>
      </c>
      <c r="K9" s="72"/>
      <c r="L9" s="71"/>
      <c r="M9" s="73">
        <f t="shared" si="1"/>
        <v>60</v>
      </c>
      <c r="N9" s="73"/>
      <c r="O9" s="74">
        <f t="shared" si="0"/>
        <v>1</v>
      </c>
      <c r="P9" s="74" t="s">
        <v>214</v>
      </c>
      <c r="Q9" s="74" t="s">
        <v>221</v>
      </c>
    </row>
    <row r="10" spans="2:19" ht="45" x14ac:dyDescent="0.25">
      <c r="B10" s="75" t="s">
        <v>222</v>
      </c>
      <c r="C10" s="67" t="s">
        <v>49</v>
      </c>
      <c r="D10" s="67" t="s">
        <v>210</v>
      </c>
      <c r="E10" s="67" t="s">
        <v>211</v>
      </c>
      <c r="F10" s="67" t="s">
        <v>212</v>
      </c>
      <c r="G10" s="67" t="s">
        <v>213</v>
      </c>
      <c r="H10" s="67" t="s">
        <v>49</v>
      </c>
      <c r="I10" s="67" t="s">
        <v>210</v>
      </c>
      <c r="J10" s="67" t="s">
        <v>211</v>
      </c>
      <c r="K10" s="67" t="s">
        <v>212</v>
      </c>
      <c r="L10" s="67" t="s">
        <v>213</v>
      </c>
      <c r="M10" s="68"/>
      <c r="N10" s="68"/>
      <c r="O10" s="69"/>
      <c r="P10" s="69"/>
      <c r="Q10" s="69"/>
    </row>
    <row r="11" spans="2:19" x14ac:dyDescent="0.25">
      <c r="B11" s="70" t="s">
        <v>223</v>
      </c>
      <c r="C11" s="71">
        <v>30</v>
      </c>
      <c r="D11" s="71"/>
      <c r="E11" s="72"/>
      <c r="F11" s="72"/>
      <c r="G11" s="72"/>
      <c r="H11" s="71"/>
      <c r="I11" s="72"/>
      <c r="J11" s="72"/>
      <c r="K11" s="72"/>
      <c r="L11" s="72"/>
      <c r="M11" s="73"/>
      <c r="N11" s="73">
        <f>SUM(C11:L11)</f>
        <v>30</v>
      </c>
      <c r="O11" s="74">
        <f>SUM(M11:N11)/60</f>
        <v>0.5</v>
      </c>
      <c r="P11" s="74" t="s">
        <v>224</v>
      </c>
      <c r="Q11" s="74" t="s">
        <v>225</v>
      </c>
    </row>
    <row r="12" spans="2:19" x14ac:dyDescent="0.25">
      <c r="B12" s="70" t="s">
        <v>226</v>
      </c>
      <c r="C12" s="72"/>
      <c r="D12" s="72"/>
      <c r="E12" s="72"/>
      <c r="F12" s="72">
        <v>180</v>
      </c>
      <c r="G12" s="71"/>
      <c r="H12" s="72"/>
      <c r="I12" s="72"/>
      <c r="J12" s="72"/>
      <c r="K12" s="72"/>
      <c r="L12" s="71"/>
      <c r="M12" s="73"/>
      <c r="N12" s="73">
        <f t="shared" ref="N12:N15" si="2">SUM(C12:L12)</f>
        <v>180</v>
      </c>
      <c r="O12" s="74">
        <f t="shared" ref="O12:O15" si="3">SUM(M12:N12)/60</f>
        <v>3</v>
      </c>
      <c r="P12" s="74" t="s">
        <v>224</v>
      </c>
      <c r="Q12" s="74" t="s">
        <v>225</v>
      </c>
    </row>
    <row r="13" spans="2:19" x14ac:dyDescent="0.25">
      <c r="B13" s="70" t="s">
        <v>227</v>
      </c>
      <c r="C13" s="72">
        <v>120</v>
      </c>
      <c r="D13" s="72">
        <v>120</v>
      </c>
      <c r="E13" s="72">
        <v>120</v>
      </c>
      <c r="F13" s="72">
        <v>120</v>
      </c>
      <c r="G13" s="72">
        <v>120</v>
      </c>
      <c r="H13" s="72">
        <v>120</v>
      </c>
      <c r="I13" s="72">
        <v>120</v>
      </c>
      <c r="J13" s="72">
        <v>120</v>
      </c>
      <c r="K13" s="72">
        <v>120</v>
      </c>
      <c r="L13" s="72">
        <v>120</v>
      </c>
      <c r="M13" s="73"/>
      <c r="N13" s="73">
        <f t="shared" si="2"/>
        <v>1200</v>
      </c>
      <c r="O13" s="74">
        <f t="shared" si="3"/>
        <v>20</v>
      </c>
      <c r="P13" s="74" t="s">
        <v>228</v>
      </c>
      <c r="Q13" s="74" t="s">
        <v>227</v>
      </c>
      <c r="S13" t="s">
        <v>229</v>
      </c>
    </row>
    <row r="14" spans="2:19" x14ac:dyDescent="0.25">
      <c r="B14" s="70" t="s">
        <v>230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3"/>
      <c r="N14" s="73"/>
      <c r="O14" s="74"/>
      <c r="P14" s="74" t="s">
        <v>231</v>
      </c>
      <c r="Q14" s="74" t="s">
        <v>221</v>
      </c>
    </row>
    <row r="15" spans="2:19" ht="30.75" thickBot="1" x14ac:dyDescent="0.3">
      <c r="B15" s="70" t="s">
        <v>232</v>
      </c>
      <c r="C15" s="71">
        <v>30</v>
      </c>
      <c r="D15" s="71">
        <v>30</v>
      </c>
      <c r="E15" s="71">
        <v>30</v>
      </c>
      <c r="F15" s="71">
        <v>30</v>
      </c>
      <c r="G15" s="71">
        <v>30</v>
      </c>
      <c r="H15" s="71">
        <v>30</v>
      </c>
      <c r="I15" s="71">
        <v>30</v>
      </c>
      <c r="J15" s="71">
        <v>30</v>
      </c>
      <c r="K15" s="71">
        <v>30</v>
      </c>
      <c r="L15" s="71">
        <v>30</v>
      </c>
      <c r="M15" s="73"/>
      <c r="N15" s="73">
        <f t="shared" si="2"/>
        <v>300</v>
      </c>
      <c r="O15" s="74">
        <f t="shared" si="3"/>
        <v>5</v>
      </c>
      <c r="P15" s="74" t="s">
        <v>233</v>
      </c>
      <c r="Q15" s="74" t="s">
        <v>234</v>
      </c>
    </row>
    <row r="16" spans="2:19" ht="15" customHeight="1" thickTop="1" x14ac:dyDescent="0.25">
      <c r="B16" s="76" t="s">
        <v>235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8">
        <f>SUM(M4:M15)</f>
        <v>570</v>
      </c>
      <c r="N16" s="78">
        <f>SUM(N4:N15)</f>
        <v>1710</v>
      </c>
      <c r="O16" s="79">
        <f>SUM(O4:O15)</f>
        <v>38</v>
      </c>
      <c r="P16" s="80"/>
      <c r="Q16" s="80"/>
    </row>
    <row r="17" spans="2:17" x14ac:dyDescent="0.25">
      <c r="B17" s="81" t="s">
        <v>236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3">
        <f>M16/4800</f>
        <v>0.11874999999999999</v>
      </c>
      <c r="N17" s="83">
        <f>N16/4800</f>
        <v>0.35625000000000001</v>
      </c>
      <c r="O17" s="84">
        <f>O16/80</f>
        <v>0.47499999999999998</v>
      </c>
      <c r="P17" s="85"/>
      <c r="Q17" s="85"/>
    </row>
  </sheetData>
  <mergeCells count="1">
    <mergeCell ref="C2:L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F653-4B2D-4365-9FB3-CFA1666E2B79}">
  <sheetPr>
    <pageSetUpPr fitToPage="1"/>
  </sheetPr>
  <dimension ref="B2:S42"/>
  <sheetViews>
    <sheetView zoomScaleNormal="100" workbookViewId="0"/>
  </sheetViews>
  <sheetFormatPr defaultRowHeight="15" x14ac:dyDescent="0.25"/>
  <cols>
    <col min="1" max="1" width="3.28515625" customWidth="1"/>
    <col min="2" max="2" width="5.7109375" style="2" customWidth="1"/>
    <col min="3" max="3" width="62.5703125" customWidth="1"/>
    <col min="4" max="6" width="12.85546875" customWidth="1"/>
    <col min="7" max="8" width="6.140625" customWidth="1"/>
    <col min="9" max="9" width="8.42578125" bestFit="1" customWidth="1"/>
    <col min="10" max="10" width="11" style="2" customWidth="1"/>
    <col min="11" max="11" width="12.85546875" customWidth="1"/>
    <col min="12" max="12" width="13.28515625" customWidth="1"/>
    <col min="13" max="14" width="9.7109375" customWidth="1"/>
    <col min="15" max="18" width="21.42578125" customWidth="1"/>
    <col min="19" max="20" width="18.42578125" customWidth="1"/>
    <col min="21" max="21" width="10.5703125" bestFit="1" customWidth="1"/>
  </cols>
  <sheetData>
    <row r="2" spans="2:19" ht="21" x14ac:dyDescent="0.35">
      <c r="B2" s="1" t="s">
        <v>27</v>
      </c>
      <c r="C2" s="1"/>
      <c r="E2" s="1" t="s">
        <v>262</v>
      </c>
      <c r="F2" s="1"/>
      <c r="G2" s="1"/>
      <c r="H2" s="1">
        <v>150</v>
      </c>
      <c r="I2" s="1"/>
      <c r="J2" s="53"/>
      <c r="K2" s="1" t="s">
        <v>28</v>
      </c>
      <c r="L2" s="1"/>
      <c r="M2" s="1"/>
      <c r="N2" s="1"/>
      <c r="O2" s="1"/>
      <c r="P2" s="1"/>
      <c r="Q2" s="1"/>
      <c r="R2" s="1"/>
      <c r="S2" s="1"/>
    </row>
    <row r="3" spans="2:19" s="38" customFormat="1" ht="12.75" x14ac:dyDescent="0.2">
      <c r="B3" s="41" t="s">
        <v>29</v>
      </c>
      <c r="C3" s="39"/>
      <c r="E3" s="41"/>
      <c r="F3" s="41"/>
      <c r="G3" s="41"/>
      <c r="H3" s="143"/>
      <c r="I3" s="41"/>
      <c r="J3" s="52"/>
      <c r="K3" s="190" t="s">
        <v>30</v>
      </c>
      <c r="L3" s="190"/>
      <c r="M3" s="190"/>
      <c r="N3" s="190"/>
      <c r="O3" s="190"/>
      <c r="P3" s="190"/>
      <c r="Q3" s="190"/>
      <c r="R3" s="190"/>
    </row>
    <row r="4" spans="2:19" x14ac:dyDescent="0.25">
      <c r="B4" s="40"/>
      <c r="C4" s="40"/>
      <c r="D4" s="4"/>
      <c r="E4" s="4"/>
      <c r="F4" s="4"/>
      <c r="G4" s="4"/>
      <c r="H4" s="4"/>
      <c r="I4" s="4"/>
      <c r="K4" s="4"/>
      <c r="L4" s="4"/>
      <c r="M4" s="4"/>
      <c r="N4" s="4"/>
      <c r="O4" s="4"/>
      <c r="P4" s="4"/>
      <c r="Q4" s="4"/>
      <c r="R4" s="4"/>
      <c r="S4" s="4"/>
    </row>
    <row r="5" spans="2:19" ht="30" x14ac:dyDescent="0.25">
      <c r="B5" s="19" t="s">
        <v>31</v>
      </c>
      <c r="C5" s="125" t="s">
        <v>32</v>
      </c>
      <c r="D5" s="125" t="s">
        <v>33</v>
      </c>
      <c r="E5" s="125" t="s">
        <v>34</v>
      </c>
      <c r="F5" s="125" t="s">
        <v>35</v>
      </c>
      <c r="G5" s="125" t="s">
        <v>36</v>
      </c>
      <c r="H5" s="125" t="s">
        <v>237</v>
      </c>
      <c r="I5" s="125" t="s">
        <v>37</v>
      </c>
      <c r="J5" s="126" t="s">
        <v>38</v>
      </c>
      <c r="K5" s="19" t="s">
        <v>39</v>
      </c>
      <c r="L5" s="19" t="s">
        <v>40</v>
      </c>
      <c r="M5" s="19" t="s">
        <v>41</v>
      </c>
      <c r="N5" s="19" t="s">
        <v>42</v>
      </c>
      <c r="O5" s="19" t="s">
        <v>43</v>
      </c>
      <c r="P5" s="19" t="s">
        <v>44</v>
      </c>
      <c r="Q5" s="19" t="s">
        <v>45</v>
      </c>
      <c r="R5" s="19" t="s">
        <v>46</v>
      </c>
    </row>
    <row r="6" spans="2:19" x14ac:dyDescent="0.25">
      <c r="B6" s="141">
        <v>1</v>
      </c>
      <c r="C6" s="51" t="s">
        <v>263</v>
      </c>
      <c r="D6" s="2" t="s">
        <v>47</v>
      </c>
      <c r="E6" s="2" t="s">
        <v>48</v>
      </c>
      <c r="F6" s="2" t="s">
        <v>49</v>
      </c>
      <c r="G6">
        <v>20</v>
      </c>
      <c r="H6">
        <v>23</v>
      </c>
      <c r="I6" s="168">
        <f>Table5[[#This Row],[Est Pts]]/$H$2</f>
        <v>0.13333333333333333</v>
      </c>
      <c r="J6" s="54" t="s">
        <v>50</v>
      </c>
      <c r="L6" t="str">
        <f>IFERROR(VLOOKUP(Table5[[#This Row],[Feature(s)]],Table1[[Feature Key]:[Committed?]],3,FALSE),"")</f>
        <v/>
      </c>
      <c r="M6" s="128" t="str">
        <f>IF(LEFT(Table5[[#This Row],[Feature(s)]],6)="ITAPPS",HYPERLINK("https://projects.cdk.com/browse/"&amp;Table5[[#This Row],[Feature(s)]],"Feature"),"")</f>
        <v/>
      </c>
      <c r="N6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6" s="150"/>
      <c r="P6" s="150"/>
      <c r="Q6" s="150"/>
      <c r="R6" s="150"/>
    </row>
    <row r="7" spans="2:19" x14ac:dyDescent="0.25">
      <c r="B7" s="141">
        <v>2</v>
      </c>
      <c r="C7" s="51" t="s">
        <v>264</v>
      </c>
      <c r="D7" s="2" t="s">
        <v>48</v>
      </c>
      <c r="E7" s="2" t="s">
        <v>47</v>
      </c>
      <c r="F7" s="2" t="s">
        <v>49</v>
      </c>
      <c r="G7">
        <v>20</v>
      </c>
      <c r="H7">
        <v>20</v>
      </c>
      <c r="I7" s="168">
        <f>Table5[[#This Row],[Est Pts]]/$H$2</f>
        <v>0.13333333333333333</v>
      </c>
      <c r="J7" s="54" t="s">
        <v>53</v>
      </c>
      <c r="L7" t="str">
        <f>IFERROR(VLOOKUP(Table5[[#This Row],[Feature(s)]],Table1[[Feature Key]:[Committed?]],3,FALSE),"")</f>
        <v/>
      </c>
      <c r="M7" s="128" t="str">
        <f>IF(LEFT(Table5[[#This Row],[Feature(s)]],6)="ITAPPS",HYPERLINK("https://projects.cdk.com/browse/"&amp;Table5[[#This Row],[Feature(s)]],"Feature"),"")</f>
        <v/>
      </c>
      <c r="N7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7" s="150"/>
      <c r="P7" s="150"/>
      <c r="Q7" s="150"/>
      <c r="R7" s="150"/>
    </row>
    <row r="8" spans="2:19" x14ac:dyDescent="0.25">
      <c r="B8" s="141">
        <v>3</v>
      </c>
      <c r="C8" s="51" t="s">
        <v>265</v>
      </c>
      <c r="D8" s="2" t="s">
        <v>48</v>
      </c>
      <c r="E8" s="2" t="s">
        <v>47</v>
      </c>
      <c r="F8" s="2" t="s">
        <v>52</v>
      </c>
      <c r="G8">
        <v>40</v>
      </c>
      <c r="H8">
        <v>40</v>
      </c>
      <c r="I8" s="168">
        <f>Table5[[#This Row],[Est Pts]]/$H$2</f>
        <v>0.26666666666666666</v>
      </c>
      <c r="J8" s="54" t="s">
        <v>55</v>
      </c>
      <c r="L8" t="str">
        <f>IFERROR(VLOOKUP(Table5[[#This Row],[Feature(s)]],Table1[[Feature Key]:[Committed?]],3,FALSE),"")</f>
        <v/>
      </c>
      <c r="M8" s="128" t="str">
        <f>IF(LEFT(Table5[[#This Row],[Feature(s)]],6)="ITAPPS",HYPERLINK("https://projects.cdk.com/browse/"&amp;Table5[[#This Row],[Feature(s)]],"Feature"),"")</f>
        <v/>
      </c>
      <c r="N8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8" s="150"/>
      <c r="P8" s="150"/>
      <c r="Q8" s="150"/>
      <c r="R8" s="150"/>
    </row>
    <row r="9" spans="2:19" x14ac:dyDescent="0.25">
      <c r="B9" s="141">
        <v>4</v>
      </c>
      <c r="C9" s="51" t="s">
        <v>266</v>
      </c>
      <c r="D9" s="2" t="s">
        <v>54</v>
      </c>
      <c r="E9" s="2" t="s">
        <v>54</v>
      </c>
      <c r="F9" s="2" t="s">
        <v>49</v>
      </c>
      <c r="G9">
        <v>21</v>
      </c>
      <c r="H9">
        <v>21</v>
      </c>
      <c r="I9" s="168">
        <f>Table5[[#This Row],[Est Pts]]/$H$2</f>
        <v>0.14000000000000001</v>
      </c>
      <c r="J9" s="54" t="s">
        <v>56</v>
      </c>
      <c r="L9" t="str">
        <f>IFERROR(VLOOKUP(Table5[[#This Row],[Feature(s)]],Table1[[Feature Key]:[Committed?]],3,FALSE),"")</f>
        <v/>
      </c>
      <c r="M9" s="127" t="str">
        <f>IF(LEFT(Table5[[#This Row],[Feature(s)]],6)="ITAPPS",HYPERLINK("https://projects.cdk.com/browse/"&amp;Table5[[#This Row],[Feature(s)]],"Feature"),"")</f>
        <v/>
      </c>
      <c r="N9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9" s="150"/>
      <c r="P9" s="150"/>
      <c r="Q9" s="150"/>
      <c r="R9" s="150"/>
    </row>
    <row r="10" spans="2:19" x14ac:dyDescent="0.25">
      <c r="B10" s="141">
        <v>5</v>
      </c>
      <c r="C10" s="51" t="s">
        <v>267</v>
      </c>
      <c r="D10" s="2" t="s">
        <v>54</v>
      </c>
      <c r="E10" s="2" t="s">
        <v>48</v>
      </c>
      <c r="F10" s="2" t="s">
        <v>51</v>
      </c>
      <c r="G10">
        <v>10</v>
      </c>
      <c r="H10">
        <v>10</v>
      </c>
      <c r="I10" s="168">
        <f>Table5[[#This Row],[Est Pts]]/$H$2</f>
        <v>6.6666666666666666E-2</v>
      </c>
      <c r="J10" s="54" t="s">
        <v>57</v>
      </c>
      <c r="L10" t="str">
        <f>IFERROR(VLOOKUP(Table5[[#This Row],[Feature(s)]],Table1[[Feature Key]:[Committed?]],3,FALSE),"")</f>
        <v/>
      </c>
      <c r="M10" s="128" t="str">
        <f>IF(LEFT(Table5[[#This Row],[Feature(s)]],6)="ITAPPS",HYPERLINK("https://projects.cdk.com/browse/"&amp;Table5[[#This Row],[Feature(s)]],"Feature"),"")</f>
        <v/>
      </c>
      <c r="N10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0" s="150"/>
      <c r="P10" s="150"/>
      <c r="Q10" s="150"/>
      <c r="R10" s="150"/>
    </row>
    <row r="11" spans="2:19" x14ac:dyDescent="0.25">
      <c r="B11" s="141">
        <v>6</v>
      </c>
      <c r="C11" s="51"/>
      <c r="D11" s="2"/>
      <c r="E11" s="2"/>
      <c r="F11" s="2"/>
      <c r="I11" s="168"/>
      <c r="J11" s="54"/>
      <c r="L11" t="str">
        <f>IFERROR(VLOOKUP(Table5[[#This Row],[Feature(s)]],Table1[[Feature Key]:[Committed?]],3,FALSE),"")</f>
        <v/>
      </c>
      <c r="M11" s="128" t="str">
        <f>IF(LEFT(Table5[[#This Row],[Feature(s)]],6)="ITAPPS",HYPERLINK("https://projects.cdk.com/browse/"&amp;Table5[[#This Row],[Feature(s)]],"Feature"),"")</f>
        <v/>
      </c>
      <c r="N11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1" s="150"/>
      <c r="P11" s="150"/>
      <c r="Q11" s="150"/>
      <c r="R11" s="150"/>
    </row>
    <row r="12" spans="2:19" x14ac:dyDescent="0.25">
      <c r="B12" s="141">
        <v>7</v>
      </c>
      <c r="C12" s="51"/>
      <c r="D12" s="2"/>
      <c r="E12" s="2"/>
      <c r="F12" s="2"/>
      <c r="I12" s="168"/>
      <c r="J12" s="54"/>
      <c r="L12" t="str">
        <f>IFERROR(VLOOKUP(Table5[[#This Row],[Feature(s)]],Table1[[Feature Key]:[Committed?]],3,FALSE),"")</f>
        <v/>
      </c>
      <c r="M12" s="128" t="str">
        <f>IF(LEFT(Table5[[#This Row],[Feature(s)]],6)="ITAPPS",HYPERLINK("https://projects.cdk.com/browse/"&amp;Table5[[#This Row],[Feature(s)]],"Feature"),"")</f>
        <v/>
      </c>
      <c r="N12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2" s="150"/>
      <c r="P12" s="150"/>
      <c r="Q12" s="150"/>
      <c r="R12" s="150"/>
    </row>
    <row r="13" spans="2:19" x14ac:dyDescent="0.25">
      <c r="B13" s="141">
        <v>8</v>
      </c>
      <c r="D13" s="2"/>
      <c r="E13" s="2"/>
      <c r="F13" s="2"/>
      <c r="I13" s="168"/>
      <c r="J13" s="54"/>
      <c r="L13" t="str">
        <f>IFERROR(VLOOKUP(Table5[[#This Row],[Feature(s)]],Table1[[Feature Key]:[Committed?]],3,FALSE),"")</f>
        <v/>
      </c>
      <c r="M13" s="131" t="str">
        <f>IF(LEFT(Table5[[#This Row],[Feature(s)]],6)="ITAPPS",HYPERLINK("https://projects.cdk.com/browse/"&amp;Table5[[#This Row],[Feature(s)]],"Feature"),"")</f>
        <v/>
      </c>
      <c r="N13" s="131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3" s="150"/>
      <c r="P13" s="150"/>
      <c r="Q13" s="150"/>
      <c r="R13" s="150"/>
    </row>
    <row r="14" spans="2:19" x14ac:dyDescent="0.25">
      <c r="B14" s="141">
        <v>9</v>
      </c>
      <c r="C14" s="144"/>
      <c r="D14" s="2"/>
      <c r="E14" s="2"/>
      <c r="F14" s="2"/>
      <c r="I14" s="168"/>
      <c r="J14" s="54"/>
      <c r="L14" t="str">
        <f>IFERROR(VLOOKUP(Table5[[#This Row],[Feature(s)]],Table1[[Feature Key]:[Committed?]],3,FALSE),"")</f>
        <v/>
      </c>
      <c r="M14" s="131" t="str">
        <f>IF(LEFT(Table5[[#This Row],[Feature(s)]],6)="ITAPPS",HYPERLINK("https://projects.cdk.com/browse/"&amp;Table5[[#This Row],[Feature(s)]],"Feature"),"")</f>
        <v/>
      </c>
      <c r="N14" s="131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4" s="150"/>
      <c r="P14" s="150"/>
      <c r="Q14" s="150"/>
      <c r="R14" s="150"/>
    </row>
    <row r="15" spans="2:19" x14ac:dyDescent="0.25">
      <c r="B15" s="141">
        <v>10</v>
      </c>
      <c r="C15" s="51"/>
      <c r="D15" s="165"/>
      <c r="E15" s="165"/>
      <c r="F15" s="165"/>
      <c r="G15" s="166"/>
      <c r="I15" s="168"/>
      <c r="J15" s="167"/>
      <c r="L15" t="str">
        <f>IFERROR(VLOOKUP(Table5[[#This Row],[Feature(s)]],Table1[[Feature Key]:[Committed?]],3,FALSE),"")</f>
        <v/>
      </c>
      <c r="M15" s="128" t="str">
        <f>IF(LEFT(Table5[[#This Row],[Feature(s)]],6)="ITAPPS",HYPERLINK("https://projects.cdk.com/browse/"&amp;Table5[[#This Row],[Feature(s)]],"Feature"),"")</f>
        <v/>
      </c>
      <c r="N15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5" s="150"/>
      <c r="P15" s="150"/>
      <c r="Q15" s="150"/>
      <c r="R15" s="150"/>
    </row>
    <row r="16" spans="2:19" x14ac:dyDescent="0.25">
      <c r="B16" s="141">
        <v>11</v>
      </c>
      <c r="C16" s="51"/>
      <c r="D16" s="2"/>
      <c r="E16" s="2"/>
      <c r="F16" s="2"/>
      <c r="I16" s="168"/>
      <c r="J16" s="54"/>
      <c r="L16" t="str">
        <f>IFERROR(VLOOKUP(Table5[[#This Row],[Feature(s)]],Table1[[Feature Key]:[Committed?]],3,FALSE),"")</f>
        <v/>
      </c>
      <c r="M16" s="128" t="str">
        <f>IF(LEFT(Table5[[#This Row],[Feature(s)]],6)="ITAPPS",HYPERLINK("https://projects.cdk.com/browse/"&amp;Table5[[#This Row],[Feature(s)]],"Feature"),"")</f>
        <v/>
      </c>
      <c r="N16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6" s="150"/>
      <c r="P16" s="150"/>
      <c r="Q16" s="150"/>
      <c r="R16" s="150"/>
    </row>
    <row r="17" spans="2:18" x14ac:dyDescent="0.25">
      <c r="B17" s="141">
        <v>12</v>
      </c>
      <c r="D17" s="2"/>
      <c r="E17" s="2"/>
      <c r="F17" s="2"/>
      <c r="I17" s="168"/>
      <c r="J17" s="54"/>
      <c r="L17" t="str">
        <f>IFERROR(VLOOKUP(Table5[[#This Row],[Feature(s)]],Table1[[Feature Key]:[Committed?]],3,FALSE),"")</f>
        <v/>
      </c>
      <c r="M17" s="128" t="str">
        <f>IF(LEFT(Table5[[#This Row],[Feature(s)]],6)="ITAPPS",HYPERLINK("https://projects.cdk.com/browse/"&amp;Table5[[#This Row],[Feature(s)]],"Feature"),"")</f>
        <v/>
      </c>
      <c r="N17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7" s="150"/>
      <c r="P17" s="150"/>
      <c r="Q17" s="150"/>
      <c r="R17" s="150"/>
    </row>
    <row r="18" spans="2:18" x14ac:dyDescent="0.25">
      <c r="B18" s="141">
        <v>13</v>
      </c>
      <c r="D18" s="2"/>
      <c r="E18" s="2"/>
      <c r="F18" s="2"/>
      <c r="I18" s="168"/>
      <c r="J18" s="54"/>
      <c r="L18" t="str">
        <f>IFERROR(VLOOKUP(Table5[[#This Row],[Feature(s)]],Table1[[Feature Key]:[Committed?]],3,FALSE),"")</f>
        <v/>
      </c>
      <c r="M18" s="128" t="str">
        <f>IF(LEFT(Table5[[#This Row],[Feature(s)]],6)="ITAPPS",HYPERLINK("https://projects.cdk.com/browse/"&amp;Table5[[#This Row],[Feature(s)]],"Feature"),"")</f>
        <v/>
      </c>
      <c r="N18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8" s="150"/>
      <c r="P18" s="150"/>
      <c r="Q18" s="150"/>
      <c r="R18" s="150"/>
    </row>
    <row r="19" spans="2:18" x14ac:dyDescent="0.25">
      <c r="B19" s="141">
        <v>14</v>
      </c>
      <c r="C19" s="51"/>
      <c r="D19" s="2"/>
      <c r="E19" s="2"/>
      <c r="F19" s="2"/>
      <c r="I19" s="168"/>
      <c r="J19" s="54"/>
      <c r="L19" t="str">
        <f>IFERROR(VLOOKUP(Table5[[#This Row],[Feature(s)]],Table1[[Feature Key]:[Committed?]],3,FALSE),"")</f>
        <v/>
      </c>
      <c r="M19" s="128" t="str">
        <f>IF(LEFT(Table5[[#This Row],[Feature(s)]],6)="ITAPPS",HYPERLINK("https://projects.cdk.com/browse/"&amp;Table5[[#This Row],[Feature(s)]],"Feature"),"")</f>
        <v/>
      </c>
      <c r="N19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19" s="150"/>
      <c r="P19" s="150"/>
      <c r="Q19" s="150"/>
      <c r="R19" s="164"/>
    </row>
    <row r="20" spans="2:18" x14ac:dyDescent="0.25">
      <c r="B20" s="141">
        <v>15</v>
      </c>
      <c r="D20" s="2"/>
      <c r="E20" s="2"/>
      <c r="F20" s="2"/>
      <c r="I20" s="168"/>
      <c r="J20" s="54"/>
      <c r="L20" t="str">
        <f>IFERROR(VLOOKUP(Table5[[#This Row],[Feature(s)]],Table1[[Feature Key]:[Committed?]],3,FALSE),"")</f>
        <v/>
      </c>
      <c r="M20" s="131" t="str">
        <f>IF(LEFT(Table5[[#This Row],[Feature(s)]],6)="ITAPPS",HYPERLINK("https://projects.cdk.com/browse/"&amp;Table5[[#This Row],[Feature(s)]],"Feature"),"")</f>
        <v/>
      </c>
      <c r="N20" s="131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0" s="150"/>
      <c r="P20" s="150"/>
      <c r="Q20" s="150"/>
      <c r="R20" s="138"/>
    </row>
    <row r="21" spans="2:18" x14ac:dyDescent="0.25">
      <c r="B21" s="141">
        <v>16</v>
      </c>
      <c r="D21" s="165"/>
      <c r="E21" s="165"/>
      <c r="F21" s="165"/>
      <c r="G21" s="166"/>
      <c r="I21" s="168"/>
      <c r="J21" s="167"/>
      <c r="L21" t="str">
        <f>IFERROR(VLOOKUP(Table5[[#This Row],[Feature(s)]],Table1[[Feature Key]:[Committed?]],3,FALSE),"")</f>
        <v/>
      </c>
      <c r="M21" s="128" t="str">
        <f>IF(LEFT(Table5[[#This Row],[Feature(s)]],6)="ITAPPS",HYPERLINK("https://projects.cdk.com/browse/"&amp;Table5[[#This Row],[Feature(s)]],"Feature"),"")</f>
        <v/>
      </c>
      <c r="N21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1" s="150"/>
      <c r="P21" s="150"/>
      <c r="Q21" s="150"/>
      <c r="R21" s="150"/>
    </row>
    <row r="22" spans="2:18" x14ac:dyDescent="0.25">
      <c r="B22" s="141">
        <v>17</v>
      </c>
      <c r="D22" s="2"/>
      <c r="E22" s="2"/>
      <c r="F22" s="2"/>
      <c r="I22" s="168"/>
      <c r="J22" s="54"/>
      <c r="L22" t="str">
        <f>IFERROR(VLOOKUP(Table5[[#This Row],[Feature(s)]],Table1[[Feature Key]:[Committed?]],3,FALSE),"")</f>
        <v/>
      </c>
      <c r="M22" s="128" t="str">
        <f>IF(LEFT(Table5[[#This Row],[Feature(s)]],6)="ITAPPS",HYPERLINK("https://projects.cdk.com/browse/"&amp;Table5[[#This Row],[Feature(s)]],"Feature"),"")</f>
        <v/>
      </c>
      <c r="N22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2" s="150"/>
      <c r="P22" s="150"/>
      <c r="Q22" s="150"/>
      <c r="R22" s="150"/>
    </row>
    <row r="23" spans="2:18" x14ac:dyDescent="0.25">
      <c r="B23" s="141">
        <v>18</v>
      </c>
      <c r="D23" s="2"/>
      <c r="E23" s="2"/>
      <c r="F23" s="2"/>
      <c r="I23" s="168"/>
      <c r="J23" s="54"/>
      <c r="L23" t="str">
        <f>IFERROR(VLOOKUP(Table5[[#This Row],[Feature(s)]],Table1[[Feature Key]:[Committed?]],3,FALSE),"")</f>
        <v/>
      </c>
      <c r="M23" s="128" t="str">
        <f>IF(LEFT(Table5[[#This Row],[Feature(s)]],6)="ITAPPS",HYPERLINK("https://projects.cdk.com/browse/"&amp;Table5[[#This Row],[Feature(s)]],"Feature"),"")</f>
        <v/>
      </c>
      <c r="N23" s="128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3" s="150"/>
      <c r="P23" s="150"/>
      <c r="Q23" s="150"/>
      <c r="R23" s="150"/>
    </row>
    <row r="24" spans="2:18" x14ac:dyDescent="0.25">
      <c r="B24" s="141">
        <v>19</v>
      </c>
      <c r="D24" s="2"/>
      <c r="E24" s="2"/>
      <c r="F24" s="2"/>
      <c r="I24" s="168"/>
      <c r="J24" s="54"/>
      <c r="L24" t="str">
        <f>IFERROR(VLOOKUP(Table5[[#This Row],[Feature(s)]],Table1[[Feature Key]:[Committed?]],3,FALSE),"")</f>
        <v/>
      </c>
      <c r="M24" s="127" t="str">
        <f>IF(LEFT(Table5[[#This Row],[Feature(s)]],6)="ITAPPS",HYPERLINK("https://projects.cdk.com/browse/"&amp;Table5[[#This Row],[Feature(s)]],"Feature"),"")</f>
        <v/>
      </c>
      <c r="N24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4" s="150"/>
      <c r="P24" s="150"/>
      <c r="Q24" s="150"/>
      <c r="R24" s="150"/>
    </row>
    <row r="25" spans="2:18" x14ac:dyDescent="0.25">
      <c r="B25" s="141">
        <v>20</v>
      </c>
      <c r="D25" s="2"/>
      <c r="E25" s="2"/>
      <c r="F25" s="2"/>
      <c r="I25" s="168"/>
      <c r="J25" s="54"/>
      <c r="L25" t="str">
        <f>IFERROR(VLOOKUP(Table5[[#This Row],[Feature(s)]],Table1[[Feature Key]:[Committed?]],3,FALSE),"")</f>
        <v/>
      </c>
      <c r="M25" s="127" t="str">
        <f>IF(LEFT(Table5[[#This Row],[Feature(s)]],6)="ITAPPS",HYPERLINK("https://projects.cdk.com/browse/"&amp;Table5[[#This Row],[Feature(s)]],"Feature"),"")</f>
        <v/>
      </c>
      <c r="N25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5" s="150"/>
      <c r="P25" s="150"/>
      <c r="Q25" s="150"/>
      <c r="R25" s="150"/>
    </row>
    <row r="26" spans="2:18" x14ac:dyDescent="0.25">
      <c r="B26" s="141">
        <v>21</v>
      </c>
      <c r="C26" s="135"/>
      <c r="D26" s="2"/>
      <c r="E26" s="2"/>
      <c r="F26" s="2"/>
      <c r="I26" s="168"/>
      <c r="J26" s="54"/>
      <c r="L26" t="str">
        <f>IFERROR(VLOOKUP(Table5[[#This Row],[Feature(s)]],Table1[[Feature Key]:[Committed?]],3,FALSE),"")</f>
        <v/>
      </c>
      <c r="M26" s="131" t="str">
        <f>IF(LEFT(Table5[[#This Row],[Feature(s)]],6)="ITAPPS",HYPERLINK("https://projects.cdk.com/browse/"&amp;Table5[[#This Row],[Feature(s)]],"Feature"),"")</f>
        <v/>
      </c>
      <c r="N26" s="131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6" s="150"/>
      <c r="P26" s="150"/>
      <c r="Q26" s="150"/>
      <c r="R26" s="150"/>
    </row>
    <row r="27" spans="2:18" x14ac:dyDescent="0.25">
      <c r="B27" s="141">
        <v>22</v>
      </c>
      <c r="D27" s="165"/>
      <c r="E27" s="165"/>
      <c r="F27" s="165"/>
      <c r="G27" s="166"/>
      <c r="I27" s="168"/>
      <c r="J27" s="167"/>
      <c r="L27" t="str">
        <f>IFERROR(VLOOKUP(Table5[[#This Row],[Feature(s)]],Table1[[Feature Key]:[Committed?]],3,FALSE),"")</f>
        <v/>
      </c>
      <c r="M27" s="127" t="str">
        <f>IF(LEFT(Table5[[#This Row],[Feature(s)]],6)="ITAPPS",HYPERLINK("https://projects.cdk.com/browse/"&amp;Table5[[#This Row],[Feature(s)]],"Feature"),"")</f>
        <v/>
      </c>
      <c r="N27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7" s="150"/>
      <c r="P27" s="150"/>
      <c r="Q27" s="150"/>
      <c r="R27" s="150"/>
    </row>
    <row r="28" spans="2:18" x14ac:dyDescent="0.25">
      <c r="B28" s="141">
        <v>23</v>
      </c>
      <c r="D28" s="165"/>
      <c r="E28" s="165"/>
      <c r="F28" s="165"/>
      <c r="G28" s="166"/>
      <c r="I28" s="168"/>
      <c r="J28" s="167"/>
      <c r="L28" t="str">
        <f>IFERROR(VLOOKUP(Table5[[#This Row],[Feature(s)]],Table1[[Feature Key]:[Committed?]],3,FALSE),"")</f>
        <v/>
      </c>
      <c r="M28" s="127" t="str">
        <f>IF(LEFT(Table5[[#This Row],[Feature(s)]],6)="ITAPPS",HYPERLINK("https://projects.cdk.com/browse/"&amp;Table5[[#This Row],[Feature(s)]],"Feature"),"")</f>
        <v/>
      </c>
      <c r="N28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8" s="150"/>
      <c r="P28" s="150"/>
      <c r="Q28" s="150"/>
      <c r="R28" s="150"/>
    </row>
    <row r="29" spans="2:18" x14ac:dyDescent="0.25">
      <c r="B29" s="141">
        <v>24</v>
      </c>
      <c r="D29" s="2"/>
      <c r="E29" s="2"/>
      <c r="F29" s="2"/>
      <c r="I29" s="168"/>
      <c r="J29" s="54"/>
      <c r="L29" t="str">
        <f>IFERROR(VLOOKUP(Table5[[#This Row],[Feature(s)]],Table1[[Feature Key]:[Committed?]],3,FALSE),"")</f>
        <v/>
      </c>
      <c r="M29" s="127" t="str">
        <f>IF(LEFT(Table5[[#This Row],[Feature(s)]],6)="ITAPPS",HYPERLINK("https://projects.cdk.com/browse/"&amp;Table5[[#This Row],[Feature(s)]],"Feature"),"")</f>
        <v/>
      </c>
      <c r="N29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29" s="150"/>
      <c r="P29" s="150"/>
      <c r="Q29" s="150"/>
      <c r="R29" s="150"/>
    </row>
    <row r="30" spans="2:18" x14ac:dyDescent="0.25">
      <c r="B30" s="141">
        <v>25</v>
      </c>
      <c r="D30" s="2"/>
      <c r="E30" s="2"/>
      <c r="F30" s="2"/>
      <c r="I30" s="168"/>
      <c r="J30" s="54"/>
      <c r="L30" t="str">
        <f>IFERROR(VLOOKUP(Table5[[#This Row],[Feature(s)]],Table1[[Feature Key]:[Committed?]],3,FALSE),"")</f>
        <v/>
      </c>
      <c r="M30" s="127" t="str">
        <f>IF(LEFT(Table5[[#This Row],[Feature(s)]],6)="ITAPPS",HYPERLINK("https://projects.cdk.com/browse/"&amp;Table5[[#This Row],[Feature(s)]],"Feature"),"")</f>
        <v/>
      </c>
      <c r="N30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30" s="150"/>
      <c r="P30" s="150"/>
      <c r="Q30" s="150"/>
      <c r="R30" s="150"/>
    </row>
    <row r="31" spans="2:18" x14ac:dyDescent="0.25">
      <c r="B31" s="141">
        <v>26</v>
      </c>
      <c r="D31" s="2"/>
      <c r="E31" s="2"/>
      <c r="F31" s="2"/>
      <c r="I31" s="168"/>
      <c r="J31" s="54"/>
      <c r="L31" t="str">
        <f>IFERROR(VLOOKUP(Table5[[#This Row],[Feature(s)]],Table1[[Feature Key]:[Committed?]],3,FALSE),"")</f>
        <v/>
      </c>
      <c r="M31" s="127" t="str">
        <f>IF(LEFT(Table5[[#This Row],[Feature(s)]],6)="ITAPPS",HYPERLINK("https://projects.cdk.com/browse/"&amp;Table5[[#This Row],[Feature(s)]],"Feature"),"")</f>
        <v/>
      </c>
      <c r="N31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31" s="150"/>
      <c r="P31" s="150"/>
      <c r="Q31" s="150"/>
      <c r="R31" s="150"/>
    </row>
    <row r="32" spans="2:18" x14ac:dyDescent="0.25">
      <c r="B32" s="141">
        <v>27</v>
      </c>
      <c r="D32" s="2"/>
      <c r="E32" s="2"/>
      <c r="F32" s="2"/>
      <c r="I32" s="168"/>
      <c r="J32" s="54"/>
      <c r="L32" t="str">
        <f>IFERROR(VLOOKUP(Table5[[#This Row],[Feature(s)]],Table1[[Feature Key]:[Committed?]],3,FALSE),"")</f>
        <v/>
      </c>
      <c r="M32" s="127" t="str">
        <f>IF(LEFT(Table5[[#This Row],[Feature(s)]],6)="ITAPPS",HYPERLINK("https://projects.cdk.com/browse/"&amp;Table5[[#This Row],[Feature(s)]],"Feature"),"")</f>
        <v/>
      </c>
      <c r="N32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32" s="150"/>
      <c r="P32" s="150"/>
      <c r="Q32" s="150"/>
      <c r="R32" s="150"/>
    </row>
    <row r="33" spans="2:18" x14ac:dyDescent="0.25">
      <c r="B33" s="141">
        <v>28</v>
      </c>
      <c r="D33" s="2"/>
      <c r="E33" s="2"/>
      <c r="F33" s="2"/>
      <c r="I33" s="168"/>
      <c r="J33" s="54"/>
      <c r="L33" t="str">
        <f>IFERROR(VLOOKUP(Table5[[#This Row],[Feature(s)]],Table1[[Feature Key]:[Committed?]],3,FALSE),"")</f>
        <v/>
      </c>
      <c r="M33" s="127" t="str">
        <f>IF(LEFT(Table5[[#This Row],[Feature(s)]],6)="ITAPPS",HYPERLINK("https://projects.cdk.com/browse/"&amp;Table5[[#This Row],[Feature(s)]],"Feature"),"")</f>
        <v/>
      </c>
      <c r="N33" s="127" t="str">
        <f>IF(LEFT(Table5[[#This Row],[Feature(s)]],6)="ITAPPS",HYPERLINK("https://projects.cdk.com/issues/?jql=issueFunction%20in%20issuesInEpics(%22key%20%3D%20"&amp;Table5[[#This Row],[Feature(s)]]&amp;"%22)","Stories"),"")</f>
        <v/>
      </c>
      <c r="O33" s="150"/>
      <c r="P33" s="150"/>
      <c r="Q33" s="150"/>
      <c r="R33" s="150"/>
    </row>
    <row r="34" spans="2:18" x14ac:dyDescent="0.25">
      <c r="B34" s="142">
        <v>29</v>
      </c>
      <c r="C34" s="135"/>
      <c r="D34" s="2"/>
      <c r="E34" s="2"/>
      <c r="F34" s="2"/>
      <c r="I34" s="168"/>
      <c r="J34" s="54"/>
      <c r="L34" t="str">
        <f>IFERROR(VLOOKUP(Table5[[#This Row],[Feature(s)]],Table1[[Feature Key]:[Committed?]],3,FALSE),"")</f>
        <v/>
      </c>
      <c r="M34" s="131" t="str">
        <f>IF(LEFT(Table5[[#This Row],[Feature(s)]],6)="ITAPPS",HYPERLINK("https://projects.cdk.com/browse/"&amp;Table5[[#This Row],[Feature(s)]],"Feature"),"")</f>
        <v/>
      </c>
      <c r="N34" s="131" t="str">
        <f>IF(LEFT(Table5[[#This Row],[Feature(s)]],6)="ITAPPS",HYPERLINK("https://projects.cdk.com/issues/?jql=issueFunction%20in%20issuesInEpics(%22key%20%3D%20"&amp;Table5[[#This Row],[Feature(s)]]&amp;"%22)","Stories"),"")</f>
        <v/>
      </c>
      <c r="O34" s="150"/>
      <c r="P34" s="150"/>
      <c r="Q34" s="150"/>
      <c r="R34" s="150"/>
    </row>
    <row r="35" spans="2:18" x14ac:dyDescent="0.25">
      <c r="B35"/>
      <c r="D35" s="2"/>
      <c r="E35" s="2"/>
      <c r="F35" s="2"/>
      <c r="I35" s="133"/>
      <c r="J35" s="134"/>
      <c r="M35" s="2"/>
      <c r="N35" s="132"/>
    </row>
    <row r="36" spans="2:18" x14ac:dyDescent="0.25">
      <c r="B36"/>
      <c r="D36" s="2"/>
      <c r="E36" s="2"/>
      <c r="F36" s="2"/>
      <c r="I36" s="133"/>
      <c r="J36" s="134"/>
      <c r="M36" s="2"/>
      <c r="N36" s="132"/>
    </row>
    <row r="37" spans="2:18" x14ac:dyDescent="0.25">
      <c r="B37" s="4" t="s">
        <v>58</v>
      </c>
      <c r="C37" t="s">
        <v>59</v>
      </c>
    </row>
    <row r="38" spans="2:18" x14ac:dyDescent="0.25">
      <c r="B38" s="2" t="s">
        <v>50</v>
      </c>
      <c r="C38">
        <f>SUMIF(Table5[PI],B38,Table5[Real Pts])</f>
        <v>23</v>
      </c>
    </row>
    <row r="39" spans="2:18" x14ac:dyDescent="0.25">
      <c r="B39" s="2" t="s">
        <v>53</v>
      </c>
      <c r="C39">
        <f>SUMIF(Table5[PI],B39,Table5[Real Pts])</f>
        <v>20</v>
      </c>
    </row>
    <row r="40" spans="2:18" x14ac:dyDescent="0.25">
      <c r="B40" s="2" t="s">
        <v>55</v>
      </c>
      <c r="C40">
        <f>SUMIF(Table5[PI],B40,Table5[Real Pts])</f>
        <v>40</v>
      </c>
    </row>
    <row r="41" spans="2:18" x14ac:dyDescent="0.25">
      <c r="B41" s="2" t="s">
        <v>56</v>
      </c>
      <c r="C41">
        <f>SUMIF(Table5[PI],B41,Table5[Real Pts])</f>
        <v>21</v>
      </c>
    </row>
    <row r="42" spans="2:18" x14ac:dyDescent="0.25">
      <c r="B42" s="2" t="s">
        <v>57</v>
      </c>
      <c r="C42">
        <f>SUMIF(Table5[PI],B42,Table5[Real Pts])</f>
        <v>10</v>
      </c>
    </row>
  </sheetData>
  <mergeCells count="1">
    <mergeCell ref="K3:R3"/>
  </mergeCells>
  <phoneticPr fontId="4" type="noConversion"/>
  <conditionalFormatting sqref="C38:C42">
    <cfRule type="dataBar" priority="8">
      <dataBar>
        <cfvo type="num" val="0"/>
        <cfvo type="num" val="180"/>
        <color rgb="FF638EC6"/>
      </dataBar>
      <extLst>
        <ext xmlns:x14="http://schemas.microsoft.com/office/spreadsheetml/2009/9/main" uri="{B025F937-C7B1-47D3-B67F-A62EFF666E3E}">
          <x14:id>{EE065E8A-F291-42DD-9F39-010101B7FAC7}</x14:id>
        </ext>
      </extLst>
    </cfRule>
  </conditionalFormatting>
  <conditionalFormatting sqref="J16:J20 J22:J26 J29:J34 J6:J14">
    <cfRule type="containsText" dxfId="396" priority="4" operator="containsText" text="Q4">
      <formula>NOT(ISERROR(SEARCH("Q4",J6)))</formula>
    </cfRule>
    <cfRule type="containsText" dxfId="395" priority="5" operator="containsText" text="Q3">
      <formula>NOT(ISERROR(SEARCH("Q3",J6)))</formula>
    </cfRule>
    <cfRule type="containsText" dxfId="394" priority="6" operator="containsText" text="Q2">
      <formula>NOT(ISERROR(SEARCH("Q2",J6)))</formula>
    </cfRule>
    <cfRule type="containsText" dxfId="393" priority="7" operator="containsText" text="Q1">
      <formula>NOT(ISERROR(SEARCH("Q1",J6)))</formula>
    </cfRule>
  </conditionalFormatting>
  <conditionalFormatting sqref="E16:E20 E22:E26 E29:E34 E6:E14">
    <cfRule type="containsText" dxfId="392" priority="11" operator="containsText" text="High">
      <formula>NOT(ISERROR(SEARCH("High",E6)))</formula>
    </cfRule>
    <cfRule type="containsText" dxfId="391" priority="12" operator="containsText" text="Medium">
      <formula>NOT(ISERROR(SEARCH("Medium",E6)))</formula>
    </cfRule>
    <cfRule type="containsText" dxfId="390" priority="13" operator="containsText" text="Low">
      <formula>NOT(ISERROR(SEARCH("Low",E6)))</formula>
    </cfRule>
  </conditionalFormatting>
  <conditionalFormatting sqref="F16:F20 F22:F26 F29:F34 F6:F14">
    <cfRule type="cellIs" dxfId="389" priority="16" operator="equal">
      <formula>"XXL"</formula>
    </cfRule>
    <cfRule type="cellIs" dxfId="388" priority="17" operator="equal">
      <formula>"XL"</formula>
    </cfRule>
    <cfRule type="cellIs" dxfId="387" priority="18" operator="equal">
      <formula>"L"</formula>
    </cfRule>
    <cfRule type="containsText" dxfId="386" priority="19" operator="containsText" text="M">
      <formula>NOT(ISERROR(SEARCH("M",F6)))</formula>
    </cfRule>
    <cfRule type="containsText" dxfId="385" priority="20" operator="containsText" text="S">
      <formula>NOT(ISERROR(SEARCH("S",F6)))</formula>
    </cfRule>
  </conditionalFormatting>
  <conditionalFormatting sqref="D16:D20 D22:D26 D29:D34 D5:D14">
    <cfRule type="containsText" dxfId="384" priority="23" operator="containsText" text="Low">
      <formula>NOT(ISERROR(SEARCH("Low",D5)))</formula>
    </cfRule>
    <cfRule type="containsText" dxfId="383" priority="24" operator="containsText" text="Medium">
      <formula>NOT(ISERROR(SEARCH("Medium",D5)))</formula>
    </cfRule>
    <cfRule type="containsText" dxfId="382" priority="25" operator="containsText" text="High">
      <formula>NOT(ISERROR(SEARCH("High",D5)))</formula>
    </cfRule>
  </conditionalFormatting>
  <pageMargins left="0.25" right="0.25" top="0.75" bottom="0.75" header="0.3" footer="0.3"/>
  <pageSetup fitToHeight="0" orientation="landscape" horizontalDpi="360" verticalDpi="36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065E8A-F291-42DD-9F39-010101B7FAC7}">
            <x14:dataBar minLength="0" maxLength="100" border="1" negativeBarBorderColorSameAsPositive="0">
              <x14:cfvo type="num">
                <xm:f>0</xm:f>
              </x14:cfvo>
              <x14:cfvo type="num">
                <xm:f>180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C38:C42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863A-1163-4BF5-8A6B-46F295C6B3D5}">
  <dimension ref="B2:M31"/>
  <sheetViews>
    <sheetView workbookViewId="0"/>
  </sheetViews>
  <sheetFormatPr defaultRowHeight="15" x14ac:dyDescent="0.25"/>
  <cols>
    <col min="1" max="1" width="3.28515625" customWidth="1"/>
    <col min="2" max="2" width="4.85546875" customWidth="1"/>
    <col min="3" max="3" width="15.85546875" customWidth="1"/>
    <col min="4" max="4" width="8.42578125" bestFit="1" customWidth="1"/>
    <col min="5" max="5" width="8.42578125" customWidth="1"/>
    <col min="6" max="6" width="15.85546875" customWidth="1"/>
    <col min="7" max="7" width="80.5703125" customWidth="1"/>
    <col min="8" max="8" width="15.42578125" bestFit="1" customWidth="1"/>
    <col min="9" max="9" width="7" customWidth="1"/>
    <col min="10" max="10" width="62.140625" bestFit="1" customWidth="1"/>
    <col min="11" max="11" width="3.28515625" customWidth="1"/>
    <col min="12" max="13" width="10.5703125" bestFit="1" customWidth="1"/>
  </cols>
  <sheetData>
    <row r="2" spans="2:13" ht="21" x14ac:dyDescent="0.35">
      <c r="B2" s="1" t="s">
        <v>60</v>
      </c>
    </row>
    <row r="3" spans="2:13" s="38" customFormat="1" ht="12.75" x14ac:dyDescent="0.2">
      <c r="B3" s="39" t="s">
        <v>61</v>
      </c>
      <c r="C3" s="39"/>
      <c r="D3" s="39"/>
      <c r="E3" s="39"/>
      <c r="F3" s="39"/>
      <c r="G3" s="39"/>
      <c r="H3" s="39"/>
      <c r="I3" s="39"/>
    </row>
    <row r="5" spans="2:13" ht="30.75" thickBot="1" x14ac:dyDescent="0.3">
      <c r="B5" s="3" t="s">
        <v>31</v>
      </c>
      <c r="C5" s="4" t="s">
        <v>62</v>
      </c>
      <c r="D5" s="4" t="s">
        <v>63</v>
      </c>
      <c r="E5" s="4" t="s">
        <v>64</v>
      </c>
      <c r="F5" s="4" t="s">
        <v>65</v>
      </c>
      <c r="G5" s="4" t="s">
        <v>66</v>
      </c>
      <c r="H5" s="4" t="s">
        <v>67</v>
      </c>
      <c r="I5" s="42" t="s">
        <v>68</v>
      </c>
      <c r="J5" s="4" t="s">
        <v>69</v>
      </c>
      <c r="L5" s="6" t="s">
        <v>70</v>
      </c>
      <c r="M5" s="6" t="s">
        <v>71</v>
      </c>
    </row>
    <row r="6" spans="2:13" x14ac:dyDescent="0.25">
      <c r="B6">
        <v>1</v>
      </c>
      <c r="C6" t="s">
        <v>268</v>
      </c>
      <c r="D6" s="18" t="str">
        <f>IF(NOT(ISBLANK(Table1[[#This Row],[Feature Key]])),HYPERLINK("https://projects.cdk.com/browse/"&amp;Table1[[#This Row],[Feature Key]],"Link"),"")</f>
        <v>Link</v>
      </c>
      <c r="E6" s="18" t="str">
        <f>IF(LEFT(Table1[[#This Row],[Feature Key]],6)="ITAPPS",HYPERLINK("https://projects.cdk.com/issues/?jql=issueFunction%20in%20issuesInEpics(%22key%20%3D%20"&amp;Table1[[#This Row],[Feature Key]]&amp;"%22)","Stories"),"")</f>
        <v>Stories</v>
      </c>
      <c r="F6" t="s">
        <v>72</v>
      </c>
      <c r="G6" s="9" t="s">
        <v>263</v>
      </c>
      <c r="I6" s="2">
        <v>1</v>
      </c>
      <c r="L6" s="16" t="s">
        <v>73</v>
      </c>
      <c r="M6" t="s">
        <v>74</v>
      </c>
    </row>
    <row r="7" spans="2:13" x14ac:dyDescent="0.25">
      <c r="D7" s="18" t="str">
        <f>IF(NOT(ISBLANK(Table1[[#This Row],[Feature Key]])),HYPERLINK("https://projects.cdk.com/browse/"&amp;Table1[[#This Row],[Feature Key]],"Link"),"")</f>
        <v/>
      </c>
      <c r="E7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7" s="150"/>
      <c r="G7" s="169"/>
      <c r="H7" s="150"/>
      <c r="I7" s="170"/>
      <c r="J7" s="169"/>
      <c r="L7" s="25" t="s">
        <v>73</v>
      </c>
      <c r="M7" t="s">
        <v>75</v>
      </c>
    </row>
    <row r="8" spans="2:13" x14ac:dyDescent="0.25">
      <c r="D8" s="18" t="str">
        <f>IF(NOT(ISBLANK(Table1[[#This Row],[Feature Key]])),HYPERLINK("https://projects.cdk.com/browse/"&amp;Table1[[#This Row],[Feature Key]],"Link"),"")</f>
        <v/>
      </c>
      <c r="E8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8" s="150"/>
      <c r="G8" s="171"/>
      <c r="H8" s="150"/>
      <c r="I8" s="170"/>
      <c r="J8" s="150"/>
      <c r="L8" s="10" t="s">
        <v>73</v>
      </c>
      <c r="M8" t="s">
        <v>76</v>
      </c>
    </row>
    <row r="9" spans="2:13" x14ac:dyDescent="0.25">
      <c r="D9" s="18" t="str">
        <f>IF(NOT(ISBLANK(Table1[[#This Row],[Feature Key]])),HYPERLINK("https://projects.cdk.com/browse/"&amp;Table1[[#This Row],[Feature Key]],"Link"),"")</f>
        <v/>
      </c>
      <c r="E9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9" s="150"/>
      <c r="G9" s="172"/>
      <c r="H9" s="150"/>
      <c r="I9" s="170"/>
      <c r="J9" s="150"/>
      <c r="L9" s="11" t="s">
        <v>73</v>
      </c>
      <c r="M9" t="s">
        <v>77</v>
      </c>
    </row>
    <row r="10" spans="2:13" x14ac:dyDescent="0.25">
      <c r="D10" s="18" t="str">
        <f>IF(NOT(ISBLANK(Table1[[#This Row],[Feature Key]])),HYPERLINK("https://projects.cdk.com/browse/"&amp;Table1[[#This Row],[Feature Key]],"Link"),"")</f>
        <v/>
      </c>
      <c r="E10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0" s="150"/>
      <c r="G10" s="173"/>
      <c r="H10" s="150"/>
      <c r="I10" s="170"/>
      <c r="J10" s="150"/>
      <c r="L10" s="7" t="s">
        <v>73</v>
      </c>
      <c r="M10" t="s">
        <v>78</v>
      </c>
    </row>
    <row r="11" spans="2:13" x14ac:dyDescent="0.25">
      <c r="D11" s="18" t="str">
        <f>IF(NOT(ISBLANK(Table1[[#This Row],[Feature Key]])),HYPERLINK("https://projects.cdk.com/browse/"&amp;Table1[[#This Row],[Feature Key]],"Link"),"")</f>
        <v/>
      </c>
      <c r="E11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1" s="150"/>
      <c r="G11" s="174"/>
      <c r="H11" s="150"/>
      <c r="I11" s="170"/>
      <c r="J11" s="150"/>
      <c r="L11" s="9" t="s">
        <v>73</v>
      </c>
      <c r="M11" t="s">
        <v>79</v>
      </c>
    </row>
    <row r="12" spans="2:13" x14ac:dyDescent="0.25">
      <c r="D12" s="18" t="str">
        <f>IF(NOT(ISBLANK(Table1[[#This Row],[Feature Key]])),HYPERLINK("https://projects.cdk.com/browse/"&amp;Table1[[#This Row],[Feature Key]],"Link"),"")</f>
        <v/>
      </c>
      <c r="E12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2" s="150"/>
      <c r="G12" s="175"/>
      <c r="H12" s="150"/>
      <c r="I12" s="170"/>
      <c r="J12" s="150"/>
      <c r="L12" s="17" t="s">
        <v>73</v>
      </c>
      <c r="M12" t="s">
        <v>80</v>
      </c>
    </row>
    <row r="13" spans="2:13" x14ac:dyDescent="0.25">
      <c r="D13" s="18" t="str">
        <f>IF(NOT(ISBLANK(Table1[[#This Row],[Feature Key]])),HYPERLINK("https://projects.cdk.com/browse/"&amp;Table1[[#This Row],[Feature Key]],"Link"),"")</f>
        <v/>
      </c>
      <c r="E13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3" s="150"/>
      <c r="G13" s="155"/>
      <c r="H13" s="150"/>
      <c r="I13" s="170"/>
      <c r="J13" s="150"/>
      <c r="L13" s="15" t="s">
        <v>73</v>
      </c>
      <c r="M13" t="s">
        <v>81</v>
      </c>
    </row>
    <row r="14" spans="2:13" x14ac:dyDescent="0.25">
      <c r="D14" s="18" t="str">
        <f>IF(NOT(ISBLANK(Table1[[#This Row],[Feature Key]])),HYPERLINK("https://projects.cdk.com/browse/"&amp;Table1[[#This Row],[Feature Key]],"Link"),"")</f>
        <v/>
      </c>
      <c r="E14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4" s="150"/>
      <c r="G14" s="155"/>
      <c r="H14" s="150"/>
      <c r="I14" s="170"/>
      <c r="J14" s="150"/>
      <c r="L14" s="13" t="s">
        <v>73</v>
      </c>
      <c r="M14" t="s">
        <v>82</v>
      </c>
    </row>
    <row r="15" spans="2:13" x14ac:dyDescent="0.25">
      <c r="D15" s="18" t="str">
        <f>IF(NOT(ISBLANK(Table1[[#This Row],[Feature Key]])),HYPERLINK("https://projects.cdk.com/browse/"&amp;Table1[[#This Row],[Feature Key]],"Link"),"")</f>
        <v/>
      </c>
      <c r="E15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5" s="150"/>
      <c r="G15" s="155"/>
      <c r="H15" s="150"/>
      <c r="I15" s="170"/>
      <c r="J15" s="150"/>
      <c r="L15" s="12" t="s">
        <v>73</v>
      </c>
      <c r="M15" t="s">
        <v>83</v>
      </c>
    </row>
    <row r="16" spans="2:13" x14ac:dyDescent="0.25">
      <c r="D16" s="18" t="str">
        <f>IF(NOT(ISBLANK(Table1[[#This Row],[Feature Key]])),HYPERLINK("https://projects.cdk.com/browse/"&amp;Table1[[#This Row],[Feature Key]],"Link"),"")</f>
        <v/>
      </c>
      <c r="E16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6" s="150"/>
      <c r="G16" s="150"/>
      <c r="H16" s="150"/>
      <c r="I16" s="170"/>
      <c r="J16" s="150"/>
      <c r="L16" s="14" t="s">
        <v>73</v>
      </c>
      <c r="M16" t="s">
        <v>84</v>
      </c>
    </row>
    <row r="17" spans="4:10" x14ac:dyDescent="0.25">
      <c r="D17" s="18" t="str">
        <f>IF(NOT(ISBLANK(Table1[[#This Row],[Feature Key]])),HYPERLINK("https://projects.cdk.com/browse/"&amp;Table1[[#This Row],[Feature Key]],"Link"),"")</f>
        <v/>
      </c>
      <c r="E17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7" s="150"/>
      <c r="G17" s="150"/>
      <c r="H17" s="150"/>
      <c r="I17" s="170"/>
      <c r="J17" s="150"/>
    </row>
    <row r="18" spans="4:10" x14ac:dyDescent="0.25">
      <c r="D18" s="18" t="str">
        <f>IF(NOT(ISBLANK(Table1[[#This Row],[Feature Key]])),HYPERLINK("https://projects.cdk.com/browse/"&amp;Table1[[#This Row],[Feature Key]],"Link"),"")</f>
        <v/>
      </c>
      <c r="E18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8" s="150"/>
      <c r="G18" s="150"/>
      <c r="H18" s="150"/>
      <c r="I18" s="170"/>
      <c r="J18" s="150"/>
    </row>
    <row r="19" spans="4:10" x14ac:dyDescent="0.25">
      <c r="D19" s="18" t="str">
        <f>IF(NOT(ISBLANK(Table1[[#This Row],[Feature Key]])),HYPERLINK("https://projects.cdk.com/browse/"&amp;Table1[[#This Row],[Feature Key]],"Link"),"")</f>
        <v/>
      </c>
      <c r="E19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19" s="150"/>
      <c r="G19" s="150"/>
      <c r="H19" s="150"/>
      <c r="I19" s="170"/>
      <c r="J19" s="150"/>
    </row>
    <row r="20" spans="4:10" x14ac:dyDescent="0.25">
      <c r="D20" s="18" t="str">
        <f>IF(NOT(ISBLANK(Table1[[#This Row],[Feature Key]])),HYPERLINK("https://projects.cdk.com/browse/"&amp;Table1[[#This Row],[Feature Key]],"Link"),"")</f>
        <v/>
      </c>
      <c r="E20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20" s="150"/>
      <c r="G20" s="150"/>
      <c r="H20" s="150"/>
      <c r="I20" s="170"/>
      <c r="J20" s="150"/>
    </row>
    <row r="21" spans="4:10" x14ac:dyDescent="0.25">
      <c r="D21" s="18" t="str">
        <f>IF(NOT(ISBLANK(Table1[[#This Row],[Feature Key]])),HYPERLINK("https://projects.cdk.com/browse/"&amp;Table1[[#This Row],[Feature Key]],"Link"),"")</f>
        <v/>
      </c>
      <c r="E21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21" s="150"/>
      <c r="G21" s="150"/>
      <c r="H21" s="150"/>
      <c r="I21" s="170"/>
      <c r="J21" s="150"/>
    </row>
    <row r="22" spans="4:10" x14ac:dyDescent="0.25">
      <c r="D22" s="18" t="str">
        <f>IF(NOT(ISBLANK(Table1[[#This Row],[Feature Key]])),HYPERLINK("https://projects.cdk.com/browse/"&amp;Table1[[#This Row],[Feature Key]],"Link"),"")</f>
        <v/>
      </c>
      <c r="E22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22" s="150"/>
      <c r="G22" s="150"/>
      <c r="H22" s="150"/>
      <c r="I22" s="170"/>
      <c r="J22" s="150"/>
    </row>
    <row r="23" spans="4:10" x14ac:dyDescent="0.25">
      <c r="D23" s="18" t="str">
        <f>IF(NOT(ISBLANK(Table1[[#This Row],[Feature Key]])),HYPERLINK("https://projects.cdk.com/browse/"&amp;Table1[[#This Row],[Feature Key]],"Link"),"")</f>
        <v/>
      </c>
      <c r="E23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23" s="150"/>
      <c r="G23" s="150"/>
      <c r="H23" s="150"/>
      <c r="I23" s="170"/>
      <c r="J23" s="150"/>
    </row>
    <row r="24" spans="4:10" x14ac:dyDescent="0.25">
      <c r="D24" s="18" t="str">
        <f>IF(NOT(ISBLANK(Table1[[#This Row],[Feature Key]])),HYPERLINK("https://projects.cdk.com/browse/"&amp;Table1[[#This Row],[Feature Key]],"Link"),"")</f>
        <v/>
      </c>
      <c r="E24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24" s="150"/>
      <c r="G24" s="150"/>
      <c r="H24" s="150"/>
      <c r="I24" s="170"/>
      <c r="J24" s="150"/>
    </row>
    <row r="25" spans="4:10" x14ac:dyDescent="0.25">
      <c r="D25" s="18" t="str">
        <f>IF(NOT(ISBLANK(Table1[[#This Row],[Feature Key]])),HYPERLINK("https://projects.cdk.com/browse/"&amp;Table1[[#This Row],[Feature Key]],"Link"),"")</f>
        <v/>
      </c>
      <c r="E25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25" s="150"/>
      <c r="G25" s="150"/>
      <c r="H25" s="150"/>
      <c r="I25" s="170"/>
      <c r="J25" s="150"/>
    </row>
    <row r="26" spans="4:10" x14ac:dyDescent="0.25">
      <c r="D26" s="18" t="str">
        <f>IF(NOT(ISBLANK(Table1[[#This Row],[Feature Key]])),HYPERLINK("https://projects.cdk.com/browse/"&amp;Table1[[#This Row],[Feature Key]],"Link"),"")</f>
        <v/>
      </c>
      <c r="E26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F26" s="150"/>
      <c r="G26" s="150"/>
      <c r="H26" s="150"/>
      <c r="I26" s="170"/>
      <c r="J26" s="150"/>
    </row>
    <row r="27" spans="4:10" x14ac:dyDescent="0.25">
      <c r="D27" s="18" t="str">
        <f>IF(NOT(ISBLANK(Table1[[#This Row],[Feature Key]])),HYPERLINK("https://projects.cdk.com/browse/"&amp;Table1[[#This Row],[Feature Key]],"Link"),"")</f>
        <v/>
      </c>
      <c r="E27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I27" s="2"/>
    </row>
    <row r="28" spans="4:10" x14ac:dyDescent="0.25">
      <c r="D28" s="18" t="str">
        <f>IF(NOT(ISBLANK(Table1[[#This Row],[Feature Key]])),HYPERLINK("https://projects.cdk.com/browse/"&amp;Table1[[#This Row],[Feature Key]],"Link"),"")</f>
        <v/>
      </c>
      <c r="E28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I28" s="2"/>
    </row>
    <row r="29" spans="4:10" x14ac:dyDescent="0.25">
      <c r="D29" s="18" t="str">
        <f>IF(NOT(ISBLANK(Table1[[#This Row],[Feature Key]])),HYPERLINK("https://projects.cdk.com/browse/"&amp;Table1[[#This Row],[Feature Key]],"Link"),"")</f>
        <v/>
      </c>
      <c r="E29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I29" s="2"/>
    </row>
    <row r="30" spans="4:10" x14ac:dyDescent="0.25">
      <c r="D30" s="18" t="str">
        <f>IF(NOT(ISBLANK(Table1[[#This Row],[Feature Key]])),HYPERLINK("https://projects.cdk.com/browse/"&amp;Table1[[#This Row],[Feature Key]],"Link"),"")</f>
        <v/>
      </c>
      <c r="E30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I30" s="2"/>
    </row>
    <row r="31" spans="4:10" x14ac:dyDescent="0.25">
      <c r="D31" s="18" t="str">
        <f>IF(NOT(ISBLANK(Table1[[#This Row],[Feature Key]])),HYPERLINK("https://projects.cdk.com/browse/"&amp;Table1[[#This Row],[Feature Key]],"Link"),"")</f>
        <v/>
      </c>
      <c r="E31" s="18" t="str">
        <f>IF(LEFT(Table1[[#This Row],[Feature Key]],6)="ITAPPS",HYPERLINK("https://projects.cdk.com/issues/?jql=issueFunction%20in%20issuesInEpics(%22key%20%3D%20"&amp;Table1[[#This Row],[Feature Key]]&amp;"%22)","Stories"),"")</f>
        <v/>
      </c>
      <c r="I31" s="2"/>
    </row>
  </sheetData>
  <phoneticPr fontId="4" type="noConversion"/>
  <conditionalFormatting sqref="F6:F31">
    <cfRule type="containsText" dxfId="354" priority="1" stopIfTrue="1" operator="containsText" text="Uncommitted">
      <formula>NOT(ISERROR(SEARCH("Uncommitted",F6)))</formula>
    </cfRule>
    <cfRule type="containsText" dxfId="353" priority="2" stopIfTrue="1" operator="containsText" text="Committed">
      <formula>NOT(ISERROR(SEARCH("Committed",F6)))</formula>
    </cfRule>
  </conditionalFormatting>
  <pageMargins left="0.7" right="0.7" top="0.75" bottom="0.75" header="0.3" footer="0.3"/>
  <pageSetup orientation="portrait" horizontalDpi="360" verticalDpi="360"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1E98-5C92-4794-868B-0C14E3A7F1F3}">
  <dimension ref="B2:O160"/>
  <sheetViews>
    <sheetView tabSelected="1" workbookViewId="0"/>
  </sheetViews>
  <sheetFormatPr defaultRowHeight="15" x14ac:dyDescent="0.25"/>
  <cols>
    <col min="1" max="1" width="3.28515625" customWidth="1"/>
    <col min="2" max="2" width="4.85546875" customWidth="1"/>
    <col min="3" max="3" width="12.42578125" bestFit="1" customWidth="1"/>
    <col min="4" max="4" width="15.85546875" customWidth="1"/>
    <col min="5" max="5" width="46.85546875" customWidth="1"/>
    <col min="6" max="6" width="11.85546875" bestFit="1" customWidth="1"/>
    <col min="7" max="7" width="9.85546875" bestFit="1" customWidth="1"/>
    <col min="8" max="8" width="8.85546875" bestFit="1" customWidth="1"/>
    <col min="9" max="9" width="13.85546875" bestFit="1" customWidth="1"/>
    <col min="10" max="10" width="11.7109375" bestFit="1" customWidth="1"/>
    <col min="11" max="11" width="47.28515625" customWidth="1"/>
    <col min="12" max="12" width="29" bestFit="1" customWidth="1"/>
    <col min="13" max="13" width="18.85546875" customWidth="1"/>
    <col min="14" max="15" width="10.5703125" bestFit="1" customWidth="1"/>
  </cols>
  <sheetData>
    <row r="2" spans="2:15" ht="21" x14ac:dyDescent="0.35">
      <c r="B2" s="1" t="s">
        <v>85</v>
      </c>
      <c r="C2" s="1"/>
    </row>
    <row r="3" spans="2:15" s="38" customFormat="1" ht="12.75" x14ac:dyDescent="0.2">
      <c r="B3" s="39" t="s">
        <v>86</v>
      </c>
      <c r="C3" s="39"/>
      <c r="D3" s="39"/>
      <c r="E3" s="39"/>
      <c r="F3" s="39"/>
      <c r="G3" s="39"/>
    </row>
    <row r="5" spans="2:15" ht="15.75" thickBot="1" x14ac:dyDescent="0.3">
      <c r="B5" s="3" t="s">
        <v>31</v>
      </c>
      <c r="C5" s="3" t="s">
        <v>87</v>
      </c>
      <c r="D5" s="4" t="s">
        <v>88</v>
      </c>
      <c r="E5" s="4" t="s">
        <v>89</v>
      </c>
      <c r="F5" s="4" t="s">
        <v>90</v>
      </c>
      <c r="G5" s="4" t="s">
        <v>33</v>
      </c>
      <c r="H5" s="4" t="s">
        <v>91</v>
      </c>
      <c r="I5" s="4" t="s">
        <v>62</v>
      </c>
      <c r="J5" s="4" t="s">
        <v>92</v>
      </c>
      <c r="K5" s="4" t="s">
        <v>66</v>
      </c>
      <c r="L5" s="4" t="s">
        <v>69</v>
      </c>
      <c r="N5" s="6" t="s">
        <v>70</v>
      </c>
      <c r="O5" s="6" t="s">
        <v>71</v>
      </c>
    </row>
    <row r="6" spans="2:15" x14ac:dyDescent="0.25">
      <c r="B6">
        <v>3</v>
      </c>
      <c r="D6" s="139"/>
      <c r="F6" s="5" t="str">
        <f>IF(NOT(ISBLANK(Table113[[#This Row],[Issue Key]])),HYPERLINK("https://projects.cdk.com/browse/"&amp;Table113[[#This Row],[Issue Key]],"Link"),"")</f>
        <v/>
      </c>
      <c r="J6" s="5" t="str">
        <f>IF(NOT(ISBLANK(Table113[[#This Row],[Feature Key]])),HYPERLINK("https://projects.cdk.com/browse/"&amp;Table113[[#This Row],[Feature Key]],"Link"),"")</f>
        <v/>
      </c>
      <c r="K6" s="130" t="str">
        <f>IFERROR(VLOOKUP(Table113[[#This Row],[Feature Key]],Table1[[Feature Key]:[Feature Summary]],5,FALSE),"")</f>
        <v/>
      </c>
      <c r="N6" s="16" t="s">
        <v>73</v>
      </c>
      <c r="O6" t="s">
        <v>74</v>
      </c>
    </row>
    <row r="7" spans="2:15" x14ac:dyDescent="0.25">
      <c r="B7">
        <v>4</v>
      </c>
      <c r="D7" s="139"/>
      <c r="F7" s="5" t="str">
        <f>IF(NOT(ISBLANK(Table113[[#This Row],[Issue Key]])),HYPERLINK("https://projects.cdk.com/browse/"&amp;Table113[[#This Row],[Issue Key]],"Link"),"")</f>
        <v/>
      </c>
      <c r="J7" s="18" t="str">
        <f>IF(NOT(ISBLANK(Table113[[#This Row],[Feature Key]])),HYPERLINK("https://projects.cdk.com/browse/"&amp;Table113[[#This Row],[Feature Key]],"Link"),"")</f>
        <v/>
      </c>
      <c r="K7" s="130" t="str">
        <f>IFERROR(VLOOKUP(Table113[[#This Row],[Feature Key]],Table1[[Feature Key]:[Feature Summary]],5,FALSE),"")</f>
        <v/>
      </c>
      <c r="N7" s="25" t="s">
        <v>73</v>
      </c>
      <c r="O7" t="s">
        <v>75</v>
      </c>
    </row>
    <row r="8" spans="2:15" x14ac:dyDescent="0.25">
      <c r="B8">
        <v>5</v>
      </c>
      <c r="D8" s="139"/>
      <c r="F8" s="5" t="str">
        <f>IF(NOT(ISBLANK(Table113[[#This Row],[Issue Key]])),HYPERLINK("https://projects.cdk.com/browse/"&amp;Table113[[#This Row],[Issue Key]],"Link"),"")</f>
        <v/>
      </c>
      <c r="J8" s="18" t="str">
        <f>IF(NOT(ISBLANK(Table113[[#This Row],[Feature Key]])),HYPERLINK("https://projects.cdk.com/browse/"&amp;Table113[[#This Row],[Feature Key]],"Link"),"")</f>
        <v/>
      </c>
      <c r="K8" s="130" t="str">
        <f>IFERROR(VLOOKUP(Table113[[#This Row],[Feature Key]],Table1[[Feature Key]:[Feature Summary]],5,FALSE),"")</f>
        <v/>
      </c>
      <c r="N8" s="10" t="s">
        <v>73</v>
      </c>
      <c r="O8" t="s">
        <v>76</v>
      </c>
    </row>
    <row r="9" spans="2:15" x14ac:dyDescent="0.25">
      <c r="B9">
        <v>6</v>
      </c>
      <c r="D9" s="139"/>
      <c r="F9" s="5" t="str">
        <f>IF(NOT(ISBLANK(Table113[[#This Row],[Issue Key]])),HYPERLINK("https://projects.cdk.com/browse/"&amp;Table113[[#This Row],[Issue Key]],"Link"),"")</f>
        <v/>
      </c>
      <c r="J9" s="18" t="str">
        <f>IF(NOT(ISBLANK(Table113[[#This Row],[Feature Key]])),HYPERLINK("https://projects.cdk.com/browse/"&amp;Table113[[#This Row],[Feature Key]],"Link"),"")</f>
        <v/>
      </c>
      <c r="K9" s="130" t="str">
        <f>IFERROR(VLOOKUP(Table113[[#This Row],[Feature Key]],Table1[[Feature Key]:[Feature Summary]],5,FALSE),"")</f>
        <v/>
      </c>
      <c r="N9" s="11" t="s">
        <v>73</v>
      </c>
      <c r="O9" t="s">
        <v>77</v>
      </c>
    </row>
    <row r="10" spans="2:15" x14ac:dyDescent="0.25">
      <c r="B10">
        <v>7</v>
      </c>
      <c r="D10" s="139"/>
      <c r="F10" s="5" t="str">
        <f>IF(NOT(ISBLANK(Table113[[#This Row],[Issue Key]])),HYPERLINK("https://projects.cdk.com/browse/"&amp;Table113[[#This Row],[Issue Key]],"Link"),"")</f>
        <v/>
      </c>
      <c r="J10" s="18" t="str">
        <f>IF(NOT(ISBLANK(Table113[[#This Row],[Feature Key]])),HYPERLINK("https://projects.cdk.com/browse/"&amp;Table113[[#This Row],[Feature Key]],"Link"),"")</f>
        <v/>
      </c>
      <c r="K10" s="130" t="str">
        <f>IFERROR(VLOOKUP(Table113[[#This Row],[Feature Key]],Table1[[Feature Key]:[Feature Summary]],5,FALSE),"")</f>
        <v/>
      </c>
      <c r="N10" s="7" t="s">
        <v>73</v>
      </c>
      <c r="O10" t="s">
        <v>78</v>
      </c>
    </row>
    <row r="11" spans="2:15" x14ac:dyDescent="0.25">
      <c r="B11">
        <v>8</v>
      </c>
      <c r="D11" s="139"/>
      <c r="F11" s="5" t="str">
        <f>IF(NOT(ISBLANK(Table113[[#This Row],[Issue Key]])),HYPERLINK("https://projects.cdk.com/browse/"&amp;Table113[[#This Row],[Issue Key]],"Link"),"")</f>
        <v/>
      </c>
      <c r="J11" s="18" t="str">
        <f>IF(NOT(ISBLANK(Table113[[#This Row],[Feature Key]])),HYPERLINK("https://projects.cdk.com/browse/"&amp;Table113[[#This Row],[Feature Key]],"Link"),"")</f>
        <v/>
      </c>
      <c r="K11" s="130" t="str">
        <f>IFERROR(VLOOKUP(Table113[[#This Row],[Feature Key]],Table1[[Feature Key]:[Feature Summary]],5,FALSE),"")</f>
        <v/>
      </c>
      <c r="N11" s="9" t="s">
        <v>73</v>
      </c>
      <c r="O11" t="s">
        <v>79</v>
      </c>
    </row>
    <row r="12" spans="2:15" x14ac:dyDescent="0.25">
      <c r="B12">
        <v>9</v>
      </c>
      <c r="D12" s="139"/>
      <c r="F12" s="5" t="str">
        <f>IF(NOT(ISBLANK(Table113[[#This Row],[Issue Key]])),HYPERLINK("https://projects.cdk.com/browse/"&amp;Table113[[#This Row],[Issue Key]],"Link"),"")</f>
        <v/>
      </c>
      <c r="J12" s="18" t="str">
        <f>IF(NOT(ISBLANK(Table113[[#This Row],[Feature Key]])),HYPERLINK("https://projects.cdk.com/browse/"&amp;Table113[[#This Row],[Feature Key]],"Link"),"")</f>
        <v/>
      </c>
      <c r="K12" s="130" t="str">
        <f>IFERROR(VLOOKUP(Table113[[#This Row],[Feature Key]],Table1[[Feature Key]:[Feature Summary]],5,FALSE),"")</f>
        <v/>
      </c>
      <c r="N12" s="17" t="s">
        <v>73</v>
      </c>
      <c r="O12" t="s">
        <v>80</v>
      </c>
    </row>
    <row r="13" spans="2:15" x14ac:dyDescent="0.25">
      <c r="B13">
        <v>10</v>
      </c>
      <c r="D13" s="139"/>
      <c r="F13" s="5" t="str">
        <f>IF(NOT(ISBLANK(Table113[[#This Row],[Issue Key]])),HYPERLINK("https://projects.cdk.com/browse/"&amp;Table113[[#This Row],[Issue Key]],"Link"),"")</f>
        <v/>
      </c>
      <c r="J13" s="18" t="str">
        <f>IF(NOT(ISBLANK(Table113[[#This Row],[Feature Key]])),HYPERLINK("https://projects.cdk.com/browse/"&amp;Table113[[#This Row],[Feature Key]],"Link"),"")</f>
        <v/>
      </c>
      <c r="K13" s="130" t="str">
        <f>IFERROR(VLOOKUP(Table113[[#This Row],[Feature Key]],Table1[[Feature Key]:[Feature Summary]],5,FALSE),"")</f>
        <v/>
      </c>
      <c r="N13" s="15" t="s">
        <v>73</v>
      </c>
      <c r="O13" t="s">
        <v>81</v>
      </c>
    </row>
    <row r="14" spans="2:15" x14ac:dyDescent="0.25">
      <c r="B14">
        <v>11</v>
      </c>
      <c r="D14" s="139"/>
      <c r="F14" s="5" t="str">
        <f>IF(NOT(ISBLANK(Table113[[#This Row],[Issue Key]])),HYPERLINK("https://projects.cdk.com/browse/"&amp;Table113[[#This Row],[Issue Key]],"Link"),"")</f>
        <v/>
      </c>
      <c r="J14" s="18" t="str">
        <f>IF(NOT(ISBLANK(Table113[[#This Row],[Feature Key]])),HYPERLINK("https://projects.cdk.com/browse/"&amp;Table113[[#This Row],[Feature Key]],"Link"),"")</f>
        <v/>
      </c>
      <c r="K14" s="130" t="str">
        <f>IFERROR(VLOOKUP(Table113[[#This Row],[Feature Key]],Table1[[Feature Key]:[Feature Summary]],5,FALSE),"")</f>
        <v/>
      </c>
      <c r="N14" s="13" t="s">
        <v>73</v>
      </c>
      <c r="O14" t="s">
        <v>82</v>
      </c>
    </row>
    <row r="15" spans="2:15" x14ac:dyDescent="0.25">
      <c r="B15">
        <v>12</v>
      </c>
      <c r="D15" s="139"/>
      <c r="F15" s="5" t="str">
        <f>IF(NOT(ISBLANK(Table113[[#This Row],[Issue Key]])),HYPERLINK("https://projects.cdk.com/browse/"&amp;Table113[[#This Row],[Issue Key]],"Link"),"")</f>
        <v/>
      </c>
      <c r="J15" s="18" t="str">
        <f>IF(NOT(ISBLANK(Table113[[#This Row],[Feature Key]])),HYPERLINK("https://projects.cdk.com/browse/"&amp;Table113[[#This Row],[Feature Key]],"Link"),"")</f>
        <v/>
      </c>
      <c r="K15" s="130" t="str">
        <f>IFERROR(VLOOKUP(Table113[[#This Row],[Feature Key]],Table1[[Feature Key]:[Feature Summary]],5,FALSE),"")</f>
        <v/>
      </c>
      <c r="N15" s="12" t="s">
        <v>73</v>
      </c>
      <c r="O15" t="s">
        <v>83</v>
      </c>
    </row>
    <row r="16" spans="2:15" x14ac:dyDescent="0.25">
      <c r="B16">
        <v>13</v>
      </c>
      <c r="D16" s="139"/>
      <c r="F16" s="5" t="str">
        <f>IF(NOT(ISBLANK(Table113[[#This Row],[Issue Key]])),HYPERLINK("https://projects.cdk.com/browse/"&amp;Table113[[#This Row],[Issue Key]],"Link"),"")</f>
        <v/>
      </c>
      <c r="J16" s="18" t="str">
        <f>IF(NOT(ISBLANK(Table113[[#This Row],[Feature Key]])),HYPERLINK("https://projects.cdk.com/browse/"&amp;Table113[[#This Row],[Feature Key]],"Link"),"")</f>
        <v/>
      </c>
      <c r="K16" s="130" t="str">
        <f>IFERROR(VLOOKUP(Table113[[#This Row],[Feature Key]],Table1[[Feature Key]:[Feature Summary]],5,FALSE),"")</f>
        <v/>
      </c>
      <c r="N16" s="14" t="s">
        <v>73</v>
      </c>
      <c r="O16" t="s">
        <v>84</v>
      </c>
    </row>
    <row r="17" spans="2:11" x14ac:dyDescent="0.25">
      <c r="B17">
        <v>14</v>
      </c>
      <c r="D17" s="139"/>
      <c r="F17" s="5" t="str">
        <f>IF(NOT(ISBLANK(Table113[[#This Row],[Issue Key]])),HYPERLINK("https://projects.cdk.com/browse/"&amp;Table113[[#This Row],[Issue Key]],"Link"),"")</f>
        <v/>
      </c>
      <c r="J17" s="18" t="str">
        <f>IF(NOT(ISBLANK(Table113[[#This Row],[Feature Key]])),HYPERLINK("https://projects.cdk.com/browse/"&amp;Table113[[#This Row],[Feature Key]],"Link"),"")</f>
        <v/>
      </c>
      <c r="K17" s="130" t="str">
        <f>IFERROR(VLOOKUP(Table113[[#This Row],[Feature Key]],Table1[[Feature Key]:[Feature Summary]],5,FALSE),"")</f>
        <v/>
      </c>
    </row>
    <row r="18" spans="2:11" x14ac:dyDescent="0.25">
      <c r="B18">
        <v>15</v>
      </c>
      <c r="D18" s="139"/>
      <c r="F18" s="5" t="str">
        <f>IF(NOT(ISBLANK(Table113[[#This Row],[Issue Key]])),HYPERLINK("https://projects.cdk.com/browse/"&amp;Table113[[#This Row],[Issue Key]],"Link"),"")</f>
        <v/>
      </c>
      <c r="J18" s="18" t="str">
        <f>IF(NOT(ISBLANK(Table113[[#This Row],[Feature Key]])),HYPERLINK("https://projects.cdk.com/browse/"&amp;Table113[[#This Row],[Feature Key]],"Link"),"")</f>
        <v/>
      </c>
      <c r="K18" s="130" t="str">
        <f>IFERROR(VLOOKUP(Table113[[#This Row],[Feature Key]],Table1[[Feature Key]:[Feature Summary]],5,FALSE),"")</f>
        <v/>
      </c>
    </row>
    <row r="19" spans="2:11" x14ac:dyDescent="0.25">
      <c r="B19">
        <v>16</v>
      </c>
      <c r="D19" s="139"/>
      <c r="F19" s="5" t="str">
        <f>IF(NOT(ISBLANK(Table113[[#This Row],[Issue Key]])),HYPERLINK("https://projects.cdk.com/browse/"&amp;Table113[[#This Row],[Issue Key]],"Link"),"")</f>
        <v/>
      </c>
      <c r="J19" s="18" t="str">
        <f>IF(NOT(ISBLANK(Table113[[#This Row],[Feature Key]])),HYPERLINK("https://projects.cdk.com/browse/"&amp;Table113[[#This Row],[Feature Key]],"Link"),"")</f>
        <v/>
      </c>
      <c r="K19" s="130" t="str">
        <f>IFERROR(VLOOKUP(Table113[[#This Row],[Feature Key]],Table1[[Feature Key]:[Feature Summary]],5,FALSE),"")</f>
        <v/>
      </c>
    </row>
    <row r="20" spans="2:11" x14ac:dyDescent="0.25">
      <c r="B20">
        <v>17</v>
      </c>
      <c r="D20" s="139"/>
      <c r="F20" s="5" t="str">
        <f>IF(NOT(ISBLANK(Table113[[#This Row],[Issue Key]])),HYPERLINK("https://projects.cdk.com/browse/"&amp;Table113[[#This Row],[Issue Key]],"Link"),"")</f>
        <v/>
      </c>
      <c r="J20" s="18" t="str">
        <f>IF(NOT(ISBLANK(Table113[[#This Row],[Feature Key]])),HYPERLINK("https://projects.cdk.com/browse/"&amp;Table113[[#This Row],[Feature Key]],"Link"),"")</f>
        <v/>
      </c>
      <c r="K20" s="130" t="str">
        <f>IFERROR(VLOOKUP(Table113[[#This Row],[Feature Key]],Table1[[Feature Key]:[Feature Summary]],5,FALSE),"")</f>
        <v/>
      </c>
    </row>
    <row r="21" spans="2:11" x14ac:dyDescent="0.25">
      <c r="B21">
        <v>18</v>
      </c>
      <c r="D21" s="139"/>
      <c r="F21" s="5" t="str">
        <f>IF(NOT(ISBLANK(Table113[[#This Row],[Issue Key]])),HYPERLINK("https://projects.cdk.com/browse/"&amp;Table113[[#This Row],[Issue Key]],"Link"),"")</f>
        <v/>
      </c>
      <c r="J21" s="18" t="str">
        <f>IF(NOT(ISBLANK(Table113[[#This Row],[Feature Key]])),HYPERLINK("https://projects.cdk.com/browse/"&amp;Table113[[#This Row],[Feature Key]],"Link"),"")</f>
        <v/>
      </c>
      <c r="K21" s="130" t="str">
        <f>IFERROR(VLOOKUP(Table113[[#This Row],[Feature Key]],Table1[[Feature Key]:[Feature Summary]],5,FALSE),"")</f>
        <v/>
      </c>
    </row>
    <row r="22" spans="2:11" x14ac:dyDescent="0.25">
      <c r="B22">
        <v>19</v>
      </c>
      <c r="D22" s="139"/>
      <c r="F22" s="5" t="str">
        <f>IF(NOT(ISBLANK(Table113[[#This Row],[Issue Key]])),HYPERLINK("https://projects.cdk.com/browse/"&amp;Table113[[#This Row],[Issue Key]],"Link"),"")</f>
        <v/>
      </c>
      <c r="J22" s="18" t="str">
        <f>IF(NOT(ISBLANK(Table113[[#This Row],[Feature Key]])),HYPERLINK("https://projects.cdk.com/browse/"&amp;Table113[[#This Row],[Feature Key]],"Link"),"")</f>
        <v/>
      </c>
      <c r="K22" s="130" t="str">
        <f>IFERROR(VLOOKUP(Table113[[#This Row],[Feature Key]],Table1[[Feature Key]:[Feature Summary]],5,FALSE),"")</f>
        <v/>
      </c>
    </row>
    <row r="23" spans="2:11" x14ac:dyDescent="0.25">
      <c r="B23">
        <v>20</v>
      </c>
      <c r="D23" s="139"/>
      <c r="E23" s="136"/>
      <c r="F23" s="18" t="str">
        <f>IF(NOT(ISBLANK(Table113[[#This Row],[Issue Key]])),HYPERLINK("https://projects.cdk.com/browse/"&amp;Table113[[#This Row],[Issue Key]],"Link"),"")</f>
        <v/>
      </c>
      <c r="J23" s="18" t="str">
        <f>IF(NOT(ISBLANK(Table113[[#This Row],[Feature Key]])),HYPERLINK("https://projects.cdk.com/browse/"&amp;Table113[[#This Row],[Feature Key]],"Link"),"")</f>
        <v/>
      </c>
      <c r="K23" s="130" t="str">
        <f>IFERROR(VLOOKUP(Table113[[#This Row],[Feature Key]],Table1[[Feature Key]:[Feature Summary]],5,FALSE),"")</f>
        <v/>
      </c>
    </row>
    <row r="24" spans="2:11" x14ac:dyDescent="0.25">
      <c r="B24">
        <v>21</v>
      </c>
      <c r="D24" s="139"/>
      <c r="E24" s="136"/>
      <c r="F24" s="18" t="str">
        <f>IF(NOT(ISBLANK(Table113[[#This Row],[Issue Key]])),HYPERLINK("https://projects.cdk.com/browse/"&amp;Table113[[#This Row],[Issue Key]],"Link"),"")</f>
        <v/>
      </c>
      <c r="J24" s="18" t="str">
        <f>IF(NOT(ISBLANK(Table113[[#This Row],[Feature Key]])),HYPERLINK("https://projects.cdk.com/browse/"&amp;Table113[[#This Row],[Feature Key]],"Link"),"")</f>
        <v/>
      </c>
      <c r="K24" s="130" t="str">
        <f>IFERROR(VLOOKUP(Table113[[#This Row],[Feature Key]],Table1[[Feature Key]:[Feature Summary]],5,FALSE),"")</f>
        <v/>
      </c>
    </row>
    <row r="25" spans="2:11" x14ac:dyDescent="0.25">
      <c r="B25">
        <v>22</v>
      </c>
      <c r="D25" s="139"/>
      <c r="E25" s="137"/>
      <c r="F25" s="18" t="str">
        <f>IF(NOT(ISBLANK(Table113[[#This Row],[Issue Key]])),HYPERLINK("https://projects.cdk.com/browse/"&amp;Table113[[#This Row],[Issue Key]],"Link"),"")</f>
        <v/>
      </c>
      <c r="J25" s="18" t="str">
        <f>IF(NOT(ISBLANK(Table113[[#This Row],[Feature Key]])),HYPERLINK("https://projects.cdk.com/browse/"&amp;Table113[[#This Row],[Feature Key]],"Link"),"")</f>
        <v/>
      </c>
      <c r="K25" s="130" t="str">
        <f>IFERROR(VLOOKUP(Table113[[#This Row],[Feature Key]],Table1[[Feature Key]:[Feature Summary]],5,FALSE),"")</f>
        <v/>
      </c>
    </row>
    <row r="26" spans="2:11" x14ac:dyDescent="0.25">
      <c r="B26">
        <v>23</v>
      </c>
      <c r="D26" s="139"/>
      <c r="F26" s="5" t="str">
        <f>IF(NOT(ISBLANK(Table113[[#This Row],[Issue Key]])),HYPERLINK("https://projects.cdk.com/browse/"&amp;Table113[[#This Row],[Issue Key]],"Link"),"")</f>
        <v/>
      </c>
      <c r="J26" s="18" t="str">
        <f>IF(NOT(ISBLANK(Table113[[#This Row],[Feature Key]])),HYPERLINK("https://projects.cdk.com/browse/"&amp;Table113[[#This Row],[Feature Key]],"Link"),"")</f>
        <v/>
      </c>
      <c r="K26" s="130" t="str">
        <f>IFERROR(VLOOKUP(Table113[[#This Row],[Feature Key]],Table1[[Feature Key]:[Feature Summary]],5,FALSE),"")</f>
        <v/>
      </c>
    </row>
    <row r="27" spans="2:11" x14ac:dyDescent="0.25">
      <c r="B27">
        <v>24</v>
      </c>
      <c r="D27" s="139"/>
      <c r="F27" s="5" t="str">
        <f>IF(NOT(ISBLANK(Table113[[#This Row],[Issue Key]])),HYPERLINK("https://projects.cdk.com/browse/"&amp;Table113[[#This Row],[Issue Key]],"Link"),"")</f>
        <v/>
      </c>
      <c r="J27" s="18" t="str">
        <f>IF(NOT(ISBLANK(Table113[[#This Row],[Feature Key]])),HYPERLINK("https://projects.cdk.com/browse/"&amp;Table113[[#This Row],[Feature Key]],"Link"),"")</f>
        <v/>
      </c>
      <c r="K27" s="130" t="str">
        <f>IFERROR(VLOOKUP(Table113[[#This Row],[Feature Key]],Table1[[Feature Key]:[Feature Summary]],5,FALSE),"")</f>
        <v/>
      </c>
    </row>
    <row r="28" spans="2:11" x14ac:dyDescent="0.25">
      <c r="B28">
        <v>25</v>
      </c>
      <c r="D28" s="139"/>
      <c r="F28" s="5" t="str">
        <f>IF(NOT(ISBLANK(Table113[[#This Row],[Issue Key]])),HYPERLINK("https://projects.cdk.com/browse/"&amp;Table113[[#This Row],[Issue Key]],"Link"),"")</f>
        <v/>
      </c>
      <c r="J28" s="18" t="str">
        <f>IF(NOT(ISBLANK(Table113[[#This Row],[Feature Key]])),HYPERLINK("https://projects.cdk.com/browse/"&amp;Table113[[#This Row],[Feature Key]],"Link"),"")</f>
        <v/>
      </c>
      <c r="K28" s="130" t="str">
        <f>IFERROR(VLOOKUP(Table113[[#This Row],[Feature Key]],Table1[[Feature Key]:[Feature Summary]],5,FALSE),"")</f>
        <v/>
      </c>
    </row>
    <row r="29" spans="2:11" x14ac:dyDescent="0.25">
      <c r="B29">
        <v>26</v>
      </c>
      <c r="D29" s="139"/>
      <c r="F29" s="5" t="str">
        <f>IF(NOT(ISBLANK(Table113[[#This Row],[Issue Key]])),HYPERLINK("https://projects.cdk.com/browse/"&amp;Table113[[#This Row],[Issue Key]],"Link"),"")</f>
        <v/>
      </c>
      <c r="J29" s="18" t="str">
        <f>IF(NOT(ISBLANK(Table113[[#This Row],[Feature Key]])),HYPERLINK("https://projects.cdk.com/browse/"&amp;Table113[[#This Row],[Feature Key]],"Link"),"")</f>
        <v/>
      </c>
      <c r="K29" s="130" t="str">
        <f>IFERROR(VLOOKUP(Table113[[#This Row],[Feature Key]],Table1[[Feature Key]:[Feature Summary]],5,FALSE),"")</f>
        <v/>
      </c>
    </row>
    <row r="30" spans="2:11" x14ac:dyDescent="0.25">
      <c r="B30">
        <v>27</v>
      </c>
      <c r="D30" s="139"/>
      <c r="F30" s="5" t="str">
        <f>IF(NOT(ISBLANK(Table113[[#This Row],[Issue Key]])),HYPERLINK("https://projects.cdk.com/browse/"&amp;Table113[[#This Row],[Issue Key]],"Link"),"")</f>
        <v/>
      </c>
      <c r="J30" s="18" t="str">
        <f>IF(NOT(ISBLANK(Table113[[#This Row],[Feature Key]])),HYPERLINK("https://projects.cdk.com/browse/"&amp;Table113[[#This Row],[Feature Key]],"Link"),"")</f>
        <v/>
      </c>
      <c r="K30" s="130" t="str">
        <f>IFERROR(VLOOKUP(Table113[[#This Row],[Feature Key]],Table1[[Feature Key]:[Feature Summary]],5,FALSE),"")</f>
        <v/>
      </c>
    </row>
    <row r="31" spans="2:11" x14ac:dyDescent="0.25">
      <c r="B31">
        <v>28</v>
      </c>
      <c r="D31" s="139"/>
      <c r="F31" s="5" t="str">
        <f>IF(NOT(ISBLANK(Table113[[#This Row],[Issue Key]])),HYPERLINK("https://projects.cdk.com/browse/"&amp;Table113[[#This Row],[Issue Key]],"Link"),"")</f>
        <v/>
      </c>
      <c r="J31" s="18" t="str">
        <f>IF(NOT(ISBLANK(Table113[[#This Row],[Feature Key]])),HYPERLINK("https://projects.cdk.com/browse/"&amp;Table113[[#This Row],[Feature Key]],"Link"),"")</f>
        <v/>
      </c>
      <c r="K31" s="130" t="str">
        <f>IFERROR(VLOOKUP(Table113[[#This Row],[Feature Key]],Table1[[Feature Key]:[Feature Summary]],5,FALSE),"")</f>
        <v/>
      </c>
    </row>
    <row r="32" spans="2:11" x14ac:dyDescent="0.25">
      <c r="B32">
        <v>29</v>
      </c>
      <c r="D32" s="139"/>
      <c r="F32" s="5" t="str">
        <f>IF(NOT(ISBLANK(Table113[[#This Row],[Issue Key]])),HYPERLINK("https://projects.cdk.com/browse/"&amp;Table113[[#This Row],[Issue Key]],"Link"),"")</f>
        <v/>
      </c>
      <c r="J32" s="18" t="str">
        <f>IF(NOT(ISBLANK(Table113[[#This Row],[Feature Key]])),HYPERLINK("https://projects.cdk.com/browse/"&amp;Table113[[#This Row],[Feature Key]],"Link"),"")</f>
        <v/>
      </c>
      <c r="K32" s="130" t="str">
        <f>IFERROR(VLOOKUP(Table113[[#This Row],[Feature Key]],Table1[[Feature Key]:[Feature Summary]],5,FALSE),"")</f>
        <v/>
      </c>
    </row>
    <row r="33" spans="2:11" x14ac:dyDescent="0.25">
      <c r="B33">
        <v>30</v>
      </c>
      <c r="D33" s="139"/>
      <c r="F33" s="5" t="str">
        <f>IF(NOT(ISBLANK(Table113[[#This Row],[Issue Key]])),HYPERLINK("https://projects.cdk.com/browse/"&amp;Table113[[#This Row],[Issue Key]],"Link"),"")</f>
        <v/>
      </c>
      <c r="J33" s="18" t="str">
        <f>IF(NOT(ISBLANK(Table113[[#This Row],[Feature Key]])),HYPERLINK("https://projects.cdk.com/browse/"&amp;Table113[[#This Row],[Feature Key]],"Link"),"")</f>
        <v/>
      </c>
      <c r="K33" s="130" t="str">
        <f>IFERROR(VLOOKUP(Table113[[#This Row],[Feature Key]],Table1[[Feature Key]:[Feature Summary]],5,FALSE),"")</f>
        <v/>
      </c>
    </row>
    <row r="34" spans="2:11" x14ac:dyDescent="0.25">
      <c r="B34">
        <v>31</v>
      </c>
      <c r="D34" s="139"/>
      <c r="F34" s="5" t="str">
        <f>IF(NOT(ISBLANK(Table113[[#This Row],[Issue Key]])),HYPERLINK("https://projects.cdk.com/browse/"&amp;Table113[[#This Row],[Issue Key]],"Link"),"")</f>
        <v/>
      </c>
      <c r="J34" s="18" t="str">
        <f>IF(NOT(ISBLANK(Table113[[#This Row],[Feature Key]])),HYPERLINK("https://projects.cdk.com/browse/"&amp;Table113[[#This Row],[Feature Key]],"Link"),"")</f>
        <v/>
      </c>
      <c r="K34" s="130" t="str">
        <f>IFERROR(VLOOKUP(Table113[[#This Row],[Feature Key]],Table1[[Feature Key]:[Feature Summary]],5,FALSE),"")</f>
        <v/>
      </c>
    </row>
    <row r="35" spans="2:11" x14ac:dyDescent="0.25">
      <c r="B35">
        <v>32</v>
      </c>
      <c r="D35" s="139"/>
      <c r="F35" s="5" t="str">
        <f>IF(NOT(ISBLANK(Table113[[#This Row],[Issue Key]])),HYPERLINK("https://projects.cdk.com/browse/"&amp;Table113[[#This Row],[Issue Key]],"Link"),"")</f>
        <v/>
      </c>
      <c r="J35" s="18" t="str">
        <f>IF(NOT(ISBLANK(Table113[[#This Row],[Feature Key]])),HYPERLINK("https://projects.cdk.com/browse/"&amp;Table113[[#This Row],[Feature Key]],"Link"),"")</f>
        <v/>
      </c>
      <c r="K35" s="130" t="str">
        <f>IFERROR(VLOOKUP(Table113[[#This Row],[Feature Key]],Table1[[Feature Key]:[Feature Summary]],5,FALSE),"")</f>
        <v/>
      </c>
    </row>
    <row r="36" spans="2:11" x14ac:dyDescent="0.25">
      <c r="B36">
        <v>33</v>
      </c>
      <c r="D36" s="139"/>
      <c r="F36" s="5" t="str">
        <f>IF(NOT(ISBLANK(Table113[[#This Row],[Issue Key]])),HYPERLINK("https://projects.cdk.com/browse/"&amp;Table113[[#This Row],[Issue Key]],"Link"),"")</f>
        <v/>
      </c>
      <c r="J36" s="18" t="str">
        <f>IF(NOT(ISBLANK(Table113[[#This Row],[Feature Key]])),HYPERLINK("https://projects.cdk.com/browse/"&amp;Table113[[#This Row],[Feature Key]],"Link"),"")</f>
        <v/>
      </c>
      <c r="K36" s="130" t="str">
        <f>IFERROR(VLOOKUP(Table113[[#This Row],[Feature Key]],Table1[[Feature Key]:[Feature Summary]],5,FALSE),"")</f>
        <v/>
      </c>
    </row>
    <row r="37" spans="2:11" x14ac:dyDescent="0.25">
      <c r="B37">
        <v>34</v>
      </c>
      <c r="D37" s="139"/>
      <c r="F37" s="5" t="str">
        <f>IF(NOT(ISBLANK(Table113[[#This Row],[Issue Key]])),HYPERLINK("https://projects.cdk.com/browse/"&amp;Table113[[#This Row],[Issue Key]],"Link"),"")</f>
        <v/>
      </c>
      <c r="J37" s="18" t="str">
        <f>IF(NOT(ISBLANK(Table113[[#This Row],[Feature Key]])),HYPERLINK("https://projects.cdk.com/browse/"&amp;Table113[[#This Row],[Feature Key]],"Link"),"")</f>
        <v/>
      </c>
      <c r="K37" s="130" t="str">
        <f>IFERROR(VLOOKUP(Table113[[#This Row],[Feature Key]],Table1[[Feature Key]:[Feature Summary]],5,FALSE),"")</f>
        <v/>
      </c>
    </row>
    <row r="38" spans="2:11" x14ac:dyDescent="0.25">
      <c r="B38">
        <v>35</v>
      </c>
      <c r="D38" s="139"/>
      <c r="F38" s="5" t="str">
        <f>IF(NOT(ISBLANK(Table113[[#This Row],[Issue Key]])),HYPERLINK("https://projects.cdk.com/browse/"&amp;Table113[[#This Row],[Issue Key]],"Link"),"")</f>
        <v/>
      </c>
      <c r="J38" s="18" t="str">
        <f>IF(NOT(ISBLANK(Table113[[#This Row],[Feature Key]])),HYPERLINK("https://projects.cdk.com/browse/"&amp;Table113[[#This Row],[Feature Key]],"Link"),"")</f>
        <v/>
      </c>
      <c r="K38" s="130" t="str">
        <f>IFERROR(VLOOKUP(Table113[[#This Row],[Feature Key]],Table1[[Feature Key]:[Feature Summary]],5,FALSE),"")</f>
        <v/>
      </c>
    </row>
    <row r="39" spans="2:11" x14ac:dyDescent="0.25">
      <c r="B39">
        <v>36</v>
      </c>
      <c r="D39" s="139"/>
      <c r="F39" s="5" t="str">
        <f>IF(NOT(ISBLANK(Table113[[#This Row],[Issue Key]])),HYPERLINK("https://projects.cdk.com/browse/"&amp;Table113[[#This Row],[Issue Key]],"Link"),"")</f>
        <v/>
      </c>
      <c r="J39" s="18" t="str">
        <f>IF(NOT(ISBLANK(Table113[[#This Row],[Feature Key]])),HYPERLINK("https://projects.cdk.com/browse/"&amp;Table113[[#This Row],[Feature Key]],"Link"),"")</f>
        <v/>
      </c>
      <c r="K39" s="130" t="str">
        <f>IFERROR(VLOOKUP(Table113[[#This Row],[Feature Key]],Table1[[Feature Key]:[Feature Summary]],5,FALSE),"")</f>
        <v/>
      </c>
    </row>
    <row r="40" spans="2:11" x14ac:dyDescent="0.25">
      <c r="B40">
        <v>37</v>
      </c>
      <c r="D40" s="139"/>
      <c r="F40" s="5" t="str">
        <f>IF(NOT(ISBLANK(Table113[[#This Row],[Issue Key]])),HYPERLINK("https://projects.cdk.com/browse/"&amp;Table113[[#This Row],[Issue Key]],"Link"),"")</f>
        <v/>
      </c>
      <c r="J40" s="18" t="str">
        <f>IF(NOT(ISBLANK(Table113[[#This Row],[Feature Key]])),HYPERLINK("https://projects.cdk.com/browse/"&amp;Table113[[#This Row],[Feature Key]],"Link"),"")</f>
        <v/>
      </c>
      <c r="K40" s="130" t="str">
        <f>IFERROR(VLOOKUP(Table113[[#This Row],[Feature Key]],Table1[[Feature Key]:[Feature Summary]],5,FALSE),"")</f>
        <v/>
      </c>
    </row>
    <row r="41" spans="2:11" x14ac:dyDescent="0.25">
      <c r="B41">
        <v>38</v>
      </c>
      <c r="D41" s="139"/>
      <c r="F41" s="5" t="str">
        <f>IF(NOT(ISBLANK(Table113[[#This Row],[Issue Key]])),HYPERLINK("https://projects.cdk.com/browse/"&amp;Table113[[#This Row],[Issue Key]],"Link"),"")</f>
        <v/>
      </c>
      <c r="J41" s="18" t="str">
        <f>IF(NOT(ISBLANK(Table113[[#This Row],[Feature Key]])),HYPERLINK("https://projects.cdk.com/browse/"&amp;Table113[[#This Row],[Feature Key]],"Link"),"")</f>
        <v/>
      </c>
      <c r="K41" s="130" t="str">
        <f>IFERROR(VLOOKUP(Table113[[#This Row],[Feature Key]],Table1[[Feature Key]:[Feature Summary]],5,FALSE),"")</f>
        <v/>
      </c>
    </row>
    <row r="42" spans="2:11" x14ac:dyDescent="0.25">
      <c r="B42">
        <v>39</v>
      </c>
      <c r="D42" s="139"/>
      <c r="F42" s="5" t="str">
        <f>IF(NOT(ISBLANK(Table113[[#This Row],[Issue Key]])),HYPERLINK("https://projects.cdk.com/browse/"&amp;Table113[[#This Row],[Issue Key]],"Link"),"")</f>
        <v/>
      </c>
      <c r="J42" s="18" t="str">
        <f>IF(NOT(ISBLANK(Table113[[#This Row],[Feature Key]])),HYPERLINK("https://projects.cdk.com/browse/"&amp;Table113[[#This Row],[Feature Key]],"Link"),"")</f>
        <v/>
      </c>
      <c r="K42" s="130" t="str">
        <f>IFERROR(VLOOKUP(Table113[[#This Row],[Feature Key]],Table1[[Feature Key]:[Feature Summary]],5,FALSE),"")</f>
        <v/>
      </c>
    </row>
    <row r="43" spans="2:11" x14ac:dyDescent="0.25">
      <c r="B43">
        <v>40</v>
      </c>
      <c r="D43" s="139"/>
      <c r="F43" s="5" t="str">
        <f>IF(NOT(ISBLANK(Table113[[#This Row],[Issue Key]])),HYPERLINK("https://projects.cdk.com/browse/"&amp;Table113[[#This Row],[Issue Key]],"Link"),"")</f>
        <v/>
      </c>
      <c r="J43" s="18" t="str">
        <f>IF(NOT(ISBLANK(Table113[[#This Row],[Feature Key]])),HYPERLINK("https://projects.cdk.com/browse/"&amp;Table113[[#This Row],[Feature Key]],"Link"),"")</f>
        <v/>
      </c>
      <c r="K43" s="130" t="str">
        <f>IFERROR(VLOOKUP(Table113[[#This Row],[Feature Key]],Table1[[Feature Key]:[Feature Summary]],5,FALSE),"")</f>
        <v/>
      </c>
    </row>
    <row r="44" spans="2:11" x14ac:dyDescent="0.25">
      <c r="B44">
        <v>41</v>
      </c>
      <c r="D44" s="139"/>
      <c r="F44" s="5" t="str">
        <f>IF(NOT(ISBLANK(Table113[[#This Row],[Issue Key]])),HYPERLINK("https://projects.cdk.com/browse/"&amp;Table113[[#This Row],[Issue Key]],"Link"),"")</f>
        <v/>
      </c>
      <c r="J44" s="18" t="str">
        <f>IF(NOT(ISBLANK(Table113[[#This Row],[Feature Key]])),HYPERLINK("https://projects.cdk.com/browse/"&amp;Table113[[#This Row],[Feature Key]],"Link"),"")</f>
        <v/>
      </c>
      <c r="K44" s="130" t="str">
        <f>IFERROR(VLOOKUP(Table113[[#This Row],[Feature Key]],Table1[[Feature Key]:[Feature Summary]],5,FALSE),"")</f>
        <v/>
      </c>
    </row>
    <row r="45" spans="2:11" x14ac:dyDescent="0.25">
      <c r="B45">
        <v>42</v>
      </c>
      <c r="D45" s="139"/>
      <c r="F45" s="5" t="str">
        <f>IF(NOT(ISBLANK(Table113[[#This Row],[Issue Key]])),HYPERLINK("https://projects.cdk.com/browse/"&amp;Table113[[#This Row],[Issue Key]],"Link"),"")</f>
        <v/>
      </c>
      <c r="J45" s="18" t="str">
        <f>IF(NOT(ISBLANK(Table113[[#This Row],[Feature Key]])),HYPERLINK("https://projects.cdk.com/browse/"&amp;Table113[[#This Row],[Feature Key]],"Link"),"")</f>
        <v/>
      </c>
      <c r="K45" s="130" t="str">
        <f>IFERROR(VLOOKUP(Table113[[#This Row],[Feature Key]],Table1[[Feature Key]:[Feature Summary]],5,FALSE),"")</f>
        <v/>
      </c>
    </row>
    <row r="46" spans="2:11" x14ac:dyDescent="0.25">
      <c r="B46">
        <v>43</v>
      </c>
      <c r="D46" s="139"/>
      <c r="F46" s="5" t="str">
        <f>IF(NOT(ISBLANK(Table113[[#This Row],[Issue Key]])),HYPERLINK("https://projects.cdk.com/browse/"&amp;Table113[[#This Row],[Issue Key]],"Link"),"")</f>
        <v/>
      </c>
      <c r="J46" s="18" t="str">
        <f>IF(NOT(ISBLANK(Table113[[#This Row],[Feature Key]])),HYPERLINK("https://projects.cdk.com/browse/"&amp;Table113[[#This Row],[Feature Key]],"Link"),"")</f>
        <v/>
      </c>
      <c r="K46" s="130" t="str">
        <f>IFERROR(VLOOKUP(Table113[[#This Row],[Feature Key]],Table1[[Feature Key]:[Feature Summary]],5,FALSE),"")</f>
        <v/>
      </c>
    </row>
    <row r="47" spans="2:11" x14ac:dyDescent="0.25">
      <c r="B47">
        <v>44</v>
      </c>
      <c r="D47" s="139"/>
      <c r="F47" s="5" t="str">
        <f>IF(NOT(ISBLANK(Table113[[#This Row],[Issue Key]])),HYPERLINK("https://projects.cdk.com/browse/"&amp;Table113[[#This Row],[Issue Key]],"Link"),"")</f>
        <v/>
      </c>
      <c r="J47" s="18" t="str">
        <f>IF(NOT(ISBLANK(Table113[[#This Row],[Feature Key]])),HYPERLINK("https://projects.cdk.com/browse/"&amp;Table113[[#This Row],[Feature Key]],"Link"),"")</f>
        <v/>
      </c>
      <c r="K47" s="130" t="str">
        <f>IFERROR(VLOOKUP(Table113[[#This Row],[Feature Key]],Table1[[Feature Key]:[Feature Summary]],5,FALSE),"")</f>
        <v/>
      </c>
    </row>
    <row r="48" spans="2:11" x14ac:dyDescent="0.25">
      <c r="B48">
        <v>45</v>
      </c>
      <c r="D48" s="139"/>
      <c r="F48" s="5" t="str">
        <f>IF(NOT(ISBLANK(Table113[[#This Row],[Issue Key]])),HYPERLINK("https://projects.cdk.com/browse/"&amp;Table113[[#This Row],[Issue Key]],"Link"),"")</f>
        <v/>
      </c>
      <c r="J48" s="18" t="str">
        <f>IF(NOT(ISBLANK(Table113[[#This Row],[Feature Key]])),HYPERLINK("https://projects.cdk.com/browse/"&amp;Table113[[#This Row],[Feature Key]],"Link"),"")</f>
        <v/>
      </c>
      <c r="K48" s="130" t="str">
        <f>IFERROR(VLOOKUP(Table113[[#This Row],[Feature Key]],Table1[[Feature Key]:[Feature Summary]],5,FALSE),"")</f>
        <v/>
      </c>
    </row>
    <row r="49" spans="2:11" x14ac:dyDescent="0.25">
      <c r="B49">
        <v>46</v>
      </c>
      <c r="D49" s="139"/>
      <c r="F49" s="5" t="str">
        <f>IF(NOT(ISBLANK(Table113[[#This Row],[Issue Key]])),HYPERLINK("https://projects.cdk.com/browse/"&amp;Table113[[#This Row],[Issue Key]],"Link"),"")</f>
        <v/>
      </c>
      <c r="J49" s="18" t="str">
        <f>IF(NOT(ISBLANK(Table113[[#This Row],[Feature Key]])),HYPERLINK("https://projects.cdk.com/browse/"&amp;Table113[[#This Row],[Feature Key]],"Link"),"")</f>
        <v/>
      </c>
      <c r="K49" s="130" t="str">
        <f>IFERROR(VLOOKUP(Table113[[#This Row],[Feature Key]],Table1[[Feature Key]:[Feature Summary]],5,FALSE),"")</f>
        <v/>
      </c>
    </row>
    <row r="50" spans="2:11" x14ac:dyDescent="0.25">
      <c r="B50">
        <v>47</v>
      </c>
      <c r="D50" s="139"/>
      <c r="F50" s="5" t="str">
        <f>IF(NOT(ISBLANK(Table113[[#This Row],[Issue Key]])),HYPERLINK("https://projects.cdk.com/browse/"&amp;Table113[[#This Row],[Issue Key]],"Link"),"")</f>
        <v/>
      </c>
      <c r="J50" s="18" t="str">
        <f>IF(NOT(ISBLANK(Table113[[#This Row],[Feature Key]])),HYPERLINK("https://projects.cdk.com/browse/"&amp;Table113[[#This Row],[Feature Key]],"Link"),"")</f>
        <v/>
      </c>
      <c r="K50" s="130" t="str">
        <f>IFERROR(VLOOKUP(Table113[[#This Row],[Feature Key]],Table1[[Feature Key]:[Feature Summary]],5,FALSE),"")</f>
        <v/>
      </c>
    </row>
    <row r="51" spans="2:11" x14ac:dyDescent="0.25">
      <c r="B51">
        <v>48</v>
      </c>
      <c r="D51" s="139"/>
      <c r="F51" s="5" t="str">
        <f>IF(NOT(ISBLANK(Table113[[#This Row],[Issue Key]])),HYPERLINK("https://projects.cdk.com/browse/"&amp;Table113[[#This Row],[Issue Key]],"Link"),"")</f>
        <v/>
      </c>
      <c r="J51" s="18" t="str">
        <f>IF(NOT(ISBLANK(Table113[[#This Row],[Feature Key]])),HYPERLINK("https://projects.cdk.com/browse/"&amp;Table113[[#This Row],[Feature Key]],"Link"),"")</f>
        <v/>
      </c>
      <c r="K51" s="130" t="str">
        <f>IFERROR(VLOOKUP(Table113[[#This Row],[Feature Key]],Table1[[Feature Key]:[Feature Summary]],5,FALSE),"")</f>
        <v/>
      </c>
    </row>
    <row r="52" spans="2:11" x14ac:dyDescent="0.25">
      <c r="B52">
        <v>49</v>
      </c>
      <c r="D52" s="139"/>
      <c r="F52" s="5" t="str">
        <f>IF(NOT(ISBLANK(Table113[[#This Row],[Issue Key]])),HYPERLINK("https://projects.cdk.com/browse/"&amp;Table113[[#This Row],[Issue Key]],"Link"),"")</f>
        <v/>
      </c>
      <c r="J52" s="18" t="str">
        <f>IF(NOT(ISBLANK(Table113[[#This Row],[Feature Key]])),HYPERLINK("https://projects.cdk.com/browse/"&amp;Table113[[#This Row],[Feature Key]],"Link"),"")</f>
        <v/>
      </c>
      <c r="K52" s="130" t="str">
        <f>IFERROR(VLOOKUP(Table113[[#This Row],[Feature Key]],Table1[[Feature Key]:[Feature Summary]],5,FALSE),"")</f>
        <v/>
      </c>
    </row>
    <row r="53" spans="2:11" x14ac:dyDescent="0.25">
      <c r="B53">
        <v>50</v>
      </c>
      <c r="D53" s="139"/>
      <c r="F53" s="5" t="str">
        <f>IF(NOT(ISBLANK(Table113[[#This Row],[Issue Key]])),HYPERLINK("https://projects.cdk.com/browse/"&amp;Table113[[#This Row],[Issue Key]],"Link"),"")</f>
        <v/>
      </c>
      <c r="J53" s="18" t="str">
        <f>IF(NOT(ISBLANK(Table113[[#This Row],[Feature Key]])),HYPERLINK("https://projects.cdk.com/browse/"&amp;Table113[[#This Row],[Feature Key]],"Link"),"")</f>
        <v/>
      </c>
      <c r="K53" s="130" t="str">
        <f>IFERROR(VLOOKUP(Table113[[#This Row],[Feature Key]],Table1[[Feature Key]:[Feature Summary]],5,FALSE),"")</f>
        <v/>
      </c>
    </row>
    <row r="54" spans="2:11" x14ac:dyDescent="0.25">
      <c r="B54">
        <v>51</v>
      </c>
      <c r="D54" s="139"/>
      <c r="F54" s="5" t="str">
        <f>IF(NOT(ISBLANK(Table113[[#This Row],[Issue Key]])),HYPERLINK("https://projects.cdk.com/browse/"&amp;Table113[[#This Row],[Issue Key]],"Link"),"")</f>
        <v/>
      </c>
      <c r="J54" s="18" t="str">
        <f>IF(NOT(ISBLANK(Table113[[#This Row],[Feature Key]])),HYPERLINK("https://projects.cdk.com/browse/"&amp;Table113[[#This Row],[Feature Key]],"Link"),"")</f>
        <v/>
      </c>
      <c r="K54" s="130" t="str">
        <f>IFERROR(VLOOKUP(Table113[[#This Row],[Feature Key]],Table1[[Feature Key]:[Feature Summary]],5,FALSE),"")</f>
        <v/>
      </c>
    </row>
    <row r="55" spans="2:11" x14ac:dyDescent="0.25">
      <c r="B55">
        <v>52</v>
      </c>
      <c r="D55" s="139"/>
      <c r="F55" s="5" t="str">
        <f>IF(NOT(ISBLANK(Table113[[#This Row],[Issue Key]])),HYPERLINK("https://projects.cdk.com/browse/"&amp;Table113[[#This Row],[Issue Key]],"Link"),"")</f>
        <v/>
      </c>
      <c r="J55" s="18" t="str">
        <f>IF(NOT(ISBLANK(Table113[[#This Row],[Feature Key]])),HYPERLINK("https://projects.cdk.com/browse/"&amp;Table113[[#This Row],[Feature Key]],"Link"),"")</f>
        <v/>
      </c>
      <c r="K55" s="130" t="str">
        <f>IFERROR(VLOOKUP(Table113[[#This Row],[Feature Key]],Table1[[Feature Key]:[Feature Summary]],5,FALSE),"")</f>
        <v/>
      </c>
    </row>
    <row r="56" spans="2:11" x14ac:dyDescent="0.25">
      <c r="B56">
        <v>53</v>
      </c>
      <c r="D56" s="139"/>
      <c r="F56" s="5" t="str">
        <f>IF(NOT(ISBLANK(Table113[[#This Row],[Issue Key]])),HYPERLINK("https://projects.cdk.com/browse/"&amp;Table113[[#This Row],[Issue Key]],"Link"),"")</f>
        <v/>
      </c>
      <c r="J56" s="18" t="str">
        <f>IF(NOT(ISBLANK(Table113[[#This Row],[Feature Key]])),HYPERLINK("https://projects.cdk.com/browse/"&amp;Table113[[#This Row],[Feature Key]],"Link"),"")</f>
        <v/>
      </c>
      <c r="K56" s="130" t="str">
        <f>IFERROR(VLOOKUP(Table113[[#This Row],[Feature Key]],Table1[[Feature Key]:[Feature Summary]],5,FALSE),"")</f>
        <v/>
      </c>
    </row>
    <row r="57" spans="2:11" x14ac:dyDescent="0.25">
      <c r="B57">
        <v>54</v>
      </c>
      <c r="D57" s="139"/>
      <c r="F57" s="5" t="str">
        <f>IF(NOT(ISBLANK(Table113[[#This Row],[Issue Key]])),HYPERLINK("https://projects.cdk.com/browse/"&amp;Table113[[#This Row],[Issue Key]],"Link"),"")</f>
        <v/>
      </c>
      <c r="J57" s="18" t="str">
        <f>IF(NOT(ISBLANK(Table113[[#This Row],[Feature Key]])),HYPERLINK("https://projects.cdk.com/browse/"&amp;Table113[[#This Row],[Feature Key]],"Link"),"")</f>
        <v/>
      </c>
      <c r="K57" s="130" t="str">
        <f>IFERROR(VLOOKUP(Table113[[#This Row],[Feature Key]],Table1[[Feature Key]:[Feature Summary]],5,FALSE),"")</f>
        <v/>
      </c>
    </row>
    <row r="58" spans="2:11" x14ac:dyDescent="0.25">
      <c r="B58">
        <v>55</v>
      </c>
      <c r="D58" s="139"/>
      <c r="F58" s="5" t="str">
        <f>IF(NOT(ISBLANK(Table113[[#This Row],[Issue Key]])),HYPERLINK("https://projects.cdk.com/browse/"&amp;Table113[[#This Row],[Issue Key]],"Link"),"")</f>
        <v/>
      </c>
      <c r="J58" s="18" t="str">
        <f>IF(NOT(ISBLANK(Table113[[#This Row],[Feature Key]])),HYPERLINK("https://projects.cdk.com/browse/"&amp;Table113[[#This Row],[Feature Key]],"Link"),"")</f>
        <v/>
      </c>
      <c r="K58" s="130" t="str">
        <f>IFERROR(VLOOKUP(Table113[[#This Row],[Feature Key]],Table1[[Feature Key]:[Feature Summary]],5,FALSE),"")</f>
        <v/>
      </c>
    </row>
    <row r="59" spans="2:11" x14ac:dyDescent="0.25">
      <c r="B59">
        <v>56</v>
      </c>
      <c r="D59" s="139"/>
      <c r="F59" s="5" t="str">
        <f>IF(NOT(ISBLANK(Table113[[#This Row],[Issue Key]])),HYPERLINK("https://projects.cdk.com/browse/"&amp;Table113[[#This Row],[Issue Key]],"Link"),"")</f>
        <v/>
      </c>
      <c r="J59" s="18" t="str">
        <f>IF(NOT(ISBLANK(Table113[[#This Row],[Feature Key]])),HYPERLINK("https://projects.cdk.com/browse/"&amp;Table113[[#This Row],[Feature Key]],"Link"),"")</f>
        <v/>
      </c>
      <c r="K59" s="130" t="str">
        <f>IFERROR(VLOOKUP(Table113[[#This Row],[Feature Key]],Table1[[Feature Key]:[Feature Summary]],5,FALSE),"")</f>
        <v/>
      </c>
    </row>
    <row r="60" spans="2:11" x14ac:dyDescent="0.25">
      <c r="B60">
        <v>57</v>
      </c>
      <c r="D60" s="139"/>
      <c r="F60" s="5" t="str">
        <f>IF(NOT(ISBLANK(Table113[[#This Row],[Issue Key]])),HYPERLINK("https://projects.cdk.com/browse/"&amp;Table113[[#This Row],[Issue Key]],"Link"),"")</f>
        <v/>
      </c>
      <c r="J60" s="18" t="str">
        <f>IF(NOT(ISBLANK(Table113[[#This Row],[Feature Key]])),HYPERLINK("https://projects.cdk.com/browse/"&amp;Table113[[#This Row],[Feature Key]],"Link"),"")</f>
        <v/>
      </c>
      <c r="K60" s="130" t="str">
        <f>IFERROR(VLOOKUP(Table113[[#This Row],[Feature Key]],Table1[[Feature Key]:[Feature Summary]],5,FALSE),"")</f>
        <v/>
      </c>
    </row>
    <row r="61" spans="2:11" x14ac:dyDescent="0.25">
      <c r="B61">
        <v>58</v>
      </c>
      <c r="D61" s="139"/>
      <c r="F61" s="5" t="str">
        <f>IF(NOT(ISBLANK(Table113[[#This Row],[Issue Key]])),HYPERLINK("https://projects.cdk.com/browse/"&amp;Table113[[#This Row],[Issue Key]],"Link"),"")</f>
        <v/>
      </c>
      <c r="J61" s="18" t="str">
        <f>IF(NOT(ISBLANK(Table113[[#This Row],[Feature Key]])),HYPERLINK("https://projects.cdk.com/browse/"&amp;Table113[[#This Row],[Feature Key]],"Link"),"")</f>
        <v/>
      </c>
      <c r="K61" s="130" t="str">
        <f>IFERROR(VLOOKUP(Table113[[#This Row],[Feature Key]],Table1[[Feature Key]:[Feature Summary]],5,FALSE),"")</f>
        <v/>
      </c>
    </row>
    <row r="62" spans="2:11" x14ac:dyDescent="0.25">
      <c r="B62">
        <v>59</v>
      </c>
      <c r="D62" s="139"/>
      <c r="F62" s="5" t="str">
        <f>IF(NOT(ISBLANK(Table113[[#This Row],[Issue Key]])),HYPERLINK("https://projects.cdk.com/browse/"&amp;Table113[[#This Row],[Issue Key]],"Link"),"")</f>
        <v/>
      </c>
      <c r="J62" s="18" t="str">
        <f>IF(NOT(ISBLANK(Table113[[#This Row],[Feature Key]])),HYPERLINK("https://projects.cdk.com/browse/"&amp;Table113[[#This Row],[Feature Key]],"Link"),"")</f>
        <v/>
      </c>
      <c r="K62" s="130" t="str">
        <f>IFERROR(VLOOKUP(Table113[[#This Row],[Feature Key]],Table1[[Feature Key]:[Feature Summary]],5,FALSE),"")</f>
        <v/>
      </c>
    </row>
    <row r="63" spans="2:11" x14ac:dyDescent="0.25">
      <c r="B63">
        <v>60</v>
      </c>
      <c r="D63" s="139"/>
      <c r="F63" s="5" t="str">
        <f>IF(NOT(ISBLANK(Table113[[#This Row],[Issue Key]])),HYPERLINK("https://projects.cdk.com/browse/"&amp;Table113[[#This Row],[Issue Key]],"Link"),"")</f>
        <v/>
      </c>
      <c r="J63" s="18" t="str">
        <f>IF(NOT(ISBLANK(Table113[[#This Row],[Feature Key]])),HYPERLINK("https://projects.cdk.com/browse/"&amp;Table113[[#This Row],[Feature Key]],"Link"),"")</f>
        <v/>
      </c>
      <c r="K63" s="130" t="str">
        <f>IFERROR(VLOOKUP(Table113[[#This Row],[Feature Key]],Table1[[Feature Key]:[Feature Summary]],5,FALSE),"")</f>
        <v/>
      </c>
    </row>
    <row r="64" spans="2:11" x14ac:dyDescent="0.25">
      <c r="B64">
        <v>61</v>
      </c>
      <c r="D64" s="139"/>
      <c r="F64" s="5" t="str">
        <f>IF(NOT(ISBLANK(Table113[[#This Row],[Issue Key]])),HYPERLINK("https://projects.cdk.com/browse/"&amp;Table113[[#This Row],[Issue Key]],"Link"),"")</f>
        <v/>
      </c>
      <c r="J64" s="18" t="str">
        <f>IF(NOT(ISBLANK(Table113[[#This Row],[Feature Key]])),HYPERLINK("https://projects.cdk.com/browse/"&amp;Table113[[#This Row],[Feature Key]],"Link"),"")</f>
        <v/>
      </c>
      <c r="K64" s="130" t="str">
        <f>IFERROR(VLOOKUP(Table113[[#This Row],[Feature Key]],Table1[[Feature Key]:[Feature Summary]],5,FALSE),"")</f>
        <v/>
      </c>
    </row>
    <row r="65" spans="2:11" x14ac:dyDescent="0.25">
      <c r="B65">
        <v>62</v>
      </c>
      <c r="D65" s="139"/>
      <c r="F65" s="5" t="str">
        <f>IF(NOT(ISBLANK(Table113[[#This Row],[Issue Key]])),HYPERLINK("https://projects.cdk.com/browse/"&amp;Table113[[#This Row],[Issue Key]],"Link"),"")</f>
        <v/>
      </c>
      <c r="J65" s="18" t="str">
        <f>IF(NOT(ISBLANK(Table113[[#This Row],[Feature Key]])),HYPERLINK("https://projects.cdk.com/browse/"&amp;Table113[[#This Row],[Feature Key]],"Link"),"")</f>
        <v/>
      </c>
      <c r="K65" s="130" t="str">
        <f>IFERROR(VLOOKUP(Table113[[#This Row],[Feature Key]],Table1[[Feature Key]:[Feature Summary]],5,FALSE),"")</f>
        <v/>
      </c>
    </row>
    <row r="66" spans="2:11" x14ac:dyDescent="0.25">
      <c r="B66">
        <v>63</v>
      </c>
      <c r="D66" s="139"/>
      <c r="F66" s="5" t="str">
        <f>IF(NOT(ISBLANK(Table113[[#This Row],[Issue Key]])),HYPERLINK("https://projects.cdk.com/browse/"&amp;Table113[[#This Row],[Issue Key]],"Link"),"")</f>
        <v/>
      </c>
      <c r="J66" s="18" t="str">
        <f>IF(NOT(ISBLANK(Table113[[#This Row],[Feature Key]])),HYPERLINK("https://projects.cdk.com/browse/"&amp;Table113[[#This Row],[Feature Key]],"Link"),"")</f>
        <v/>
      </c>
      <c r="K66" s="130" t="str">
        <f>IFERROR(VLOOKUP(Table113[[#This Row],[Feature Key]],Table1[[Feature Key]:[Feature Summary]],5,FALSE),"")</f>
        <v/>
      </c>
    </row>
    <row r="67" spans="2:11" x14ac:dyDescent="0.25">
      <c r="B67">
        <v>64</v>
      </c>
      <c r="F67" s="5" t="str">
        <f>IF(NOT(ISBLANK(Table113[[#This Row],[Issue Key]])),HYPERLINK("https://projects.cdk.com/browse/"&amp;Table113[[#This Row],[Issue Key]],"Link"),"")</f>
        <v/>
      </c>
      <c r="J67" s="18" t="str">
        <f>IF(NOT(ISBLANK(Table113[[#This Row],[Feature Key]])),HYPERLINK("https://projects.cdk.com/browse/"&amp;Table113[[#This Row],[Feature Key]],"Link"),"")</f>
        <v/>
      </c>
      <c r="K67" s="130" t="str">
        <f>IFERROR(VLOOKUP(Table113[[#This Row],[Feature Key]],Table1[[Feature Key]:[Feature Summary]],5,FALSE),"")</f>
        <v/>
      </c>
    </row>
    <row r="68" spans="2:11" x14ac:dyDescent="0.25">
      <c r="B68">
        <v>65</v>
      </c>
      <c r="F68" s="5" t="str">
        <f>IF(NOT(ISBLANK(Table113[[#This Row],[Issue Key]])),HYPERLINK("https://projects.cdk.com/browse/"&amp;Table113[[#This Row],[Issue Key]],"Link"),"")</f>
        <v/>
      </c>
      <c r="J68" s="18" t="str">
        <f>IF(NOT(ISBLANK(Table113[[#This Row],[Feature Key]])),HYPERLINK("https://projects.cdk.com/browse/"&amp;Table113[[#This Row],[Feature Key]],"Link"),"")</f>
        <v/>
      </c>
      <c r="K68" s="130" t="str">
        <f>IFERROR(VLOOKUP(Table113[[#This Row],[Feature Key]],Table1[[Feature Key]:[Feature Summary]],5,FALSE),"")</f>
        <v/>
      </c>
    </row>
    <row r="69" spans="2:11" x14ac:dyDescent="0.25">
      <c r="B69">
        <v>66</v>
      </c>
      <c r="F69" s="5" t="str">
        <f>IF(NOT(ISBLANK(Table113[[#This Row],[Issue Key]])),HYPERLINK("https://projects.cdk.com/browse/"&amp;Table113[[#This Row],[Issue Key]],"Link"),"")</f>
        <v/>
      </c>
      <c r="J69" s="18" t="str">
        <f>IF(NOT(ISBLANK(Table113[[#This Row],[Feature Key]])),HYPERLINK("https://projects.cdk.com/browse/"&amp;Table113[[#This Row],[Feature Key]],"Link"),"")</f>
        <v/>
      </c>
      <c r="K69" s="130" t="str">
        <f>IFERROR(VLOOKUP(Table113[[#This Row],[Feature Key]],Table1[[Feature Key]:[Feature Summary]],5,FALSE),"")</f>
        <v/>
      </c>
    </row>
    <row r="70" spans="2:11" x14ac:dyDescent="0.25">
      <c r="B70">
        <v>67</v>
      </c>
      <c r="F70" s="5" t="str">
        <f>IF(NOT(ISBLANK(Table113[[#This Row],[Issue Key]])),HYPERLINK("https://projects.cdk.com/browse/"&amp;Table113[[#This Row],[Issue Key]],"Link"),"")</f>
        <v/>
      </c>
      <c r="J70" s="18" t="str">
        <f>IF(NOT(ISBLANK(Table113[[#This Row],[Feature Key]])),HYPERLINK("https://projects.cdk.com/browse/"&amp;Table113[[#This Row],[Feature Key]],"Link"),"")</f>
        <v/>
      </c>
      <c r="K70" s="130" t="str">
        <f>IFERROR(VLOOKUP(Table113[[#This Row],[Feature Key]],Table1[[Feature Key]:[Feature Summary]],5,FALSE),"")</f>
        <v/>
      </c>
    </row>
    <row r="71" spans="2:11" x14ac:dyDescent="0.25">
      <c r="B71">
        <v>68</v>
      </c>
      <c r="F71" s="5" t="str">
        <f>IF(NOT(ISBLANK(Table113[[#This Row],[Issue Key]])),HYPERLINK("https://projects.cdk.com/browse/"&amp;Table113[[#This Row],[Issue Key]],"Link"),"")</f>
        <v/>
      </c>
      <c r="J71" s="18" t="str">
        <f>IF(NOT(ISBLANK(Table113[[#This Row],[Feature Key]])),HYPERLINK("https://projects.cdk.com/browse/"&amp;Table113[[#This Row],[Feature Key]],"Link"),"")</f>
        <v/>
      </c>
      <c r="K71" s="130" t="str">
        <f>IFERROR(VLOOKUP(Table113[[#This Row],[Feature Key]],Table1[[Feature Key]:[Feature Summary]],5,FALSE),"")</f>
        <v/>
      </c>
    </row>
    <row r="72" spans="2:11" x14ac:dyDescent="0.25">
      <c r="B72">
        <v>69</v>
      </c>
      <c r="F72" s="5" t="str">
        <f>IF(NOT(ISBLANK(Table113[[#This Row],[Issue Key]])),HYPERLINK("https://projects.cdk.com/browse/"&amp;Table113[[#This Row],[Issue Key]],"Link"),"")</f>
        <v/>
      </c>
      <c r="J72" s="18" t="str">
        <f>IF(NOT(ISBLANK(Table113[[#This Row],[Feature Key]])),HYPERLINK("https://projects.cdk.com/browse/"&amp;Table113[[#This Row],[Feature Key]],"Link"),"")</f>
        <v/>
      </c>
      <c r="K72" s="130" t="str">
        <f>IFERROR(VLOOKUP(Table113[[#This Row],[Feature Key]],Table1[[Feature Key]:[Feature Summary]],5,FALSE),"")</f>
        <v/>
      </c>
    </row>
    <row r="73" spans="2:11" x14ac:dyDescent="0.25">
      <c r="B73">
        <v>70</v>
      </c>
      <c r="F73" s="5" t="str">
        <f>IF(NOT(ISBLANK(Table113[[#This Row],[Issue Key]])),HYPERLINK("https://projects.cdk.com/browse/"&amp;Table113[[#This Row],[Issue Key]],"Link"),"")</f>
        <v/>
      </c>
      <c r="J73" s="18" t="str">
        <f>IF(NOT(ISBLANK(Table113[[#This Row],[Feature Key]])),HYPERLINK("https://projects.cdk.com/browse/"&amp;Table113[[#This Row],[Feature Key]],"Link"),"")</f>
        <v/>
      </c>
      <c r="K73" s="130" t="str">
        <f>IFERROR(VLOOKUP(Table113[[#This Row],[Feature Key]],Table1[[Feature Key]:[Feature Summary]],5,FALSE),"")</f>
        <v/>
      </c>
    </row>
    <row r="74" spans="2:11" x14ac:dyDescent="0.25">
      <c r="B74">
        <v>71</v>
      </c>
      <c r="F74" s="5" t="str">
        <f>IF(NOT(ISBLANK(Table113[[#This Row],[Issue Key]])),HYPERLINK("https://projects.cdk.com/browse/"&amp;Table113[[#This Row],[Issue Key]],"Link"),"")</f>
        <v/>
      </c>
      <c r="J74" s="18" t="str">
        <f>IF(NOT(ISBLANK(Table113[[#This Row],[Feature Key]])),HYPERLINK("https://projects.cdk.com/browse/"&amp;Table113[[#This Row],[Feature Key]],"Link"),"")</f>
        <v/>
      </c>
      <c r="K74" s="130" t="str">
        <f>IFERROR(VLOOKUP(Table113[[#This Row],[Feature Key]],Table1[[Feature Key]:[Feature Summary]],5,FALSE),"")</f>
        <v/>
      </c>
    </row>
    <row r="75" spans="2:11" x14ac:dyDescent="0.25">
      <c r="B75">
        <v>72</v>
      </c>
      <c r="F75" s="5" t="str">
        <f>IF(NOT(ISBLANK(Table113[[#This Row],[Issue Key]])),HYPERLINK("https://projects.cdk.com/browse/"&amp;Table113[[#This Row],[Issue Key]],"Link"),"")</f>
        <v/>
      </c>
      <c r="J75" s="18" t="str">
        <f>IF(NOT(ISBLANK(Table113[[#This Row],[Feature Key]])),HYPERLINK("https://projects.cdk.com/browse/"&amp;Table113[[#This Row],[Feature Key]],"Link"),"")</f>
        <v/>
      </c>
      <c r="K75" s="130" t="str">
        <f>IFERROR(VLOOKUP(Table113[[#This Row],[Feature Key]],Table1[[Feature Key]:[Feature Summary]],5,FALSE),"")</f>
        <v/>
      </c>
    </row>
    <row r="76" spans="2:11" x14ac:dyDescent="0.25">
      <c r="B76">
        <v>73</v>
      </c>
      <c r="F76" s="5" t="str">
        <f>IF(NOT(ISBLANK(Table113[[#This Row],[Issue Key]])),HYPERLINK("https://projects.cdk.com/browse/"&amp;Table113[[#This Row],[Issue Key]],"Link"),"")</f>
        <v/>
      </c>
      <c r="J76" s="18" t="str">
        <f>IF(NOT(ISBLANK(Table113[[#This Row],[Feature Key]])),HYPERLINK("https://projects.cdk.com/browse/"&amp;Table113[[#This Row],[Feature Key]],"Link"),"")</f>
        <v/>
      </c>
      <c r="K76" s="130" t="str">
        <f>IFERROR(VLOOKUP(Table113[[#This Row],[Feature Key]],Table1[[Feature Key]:[Feature Summary]],5,FALSE),"")</f>
        <v/>
      </c>
    </row>
    <row r="77" spans="2:11" x14ac:dyDescent="0.25">
      <c r="B77">
        <v>74</v>
      </c>
      <c r="F77" s="5" t="str">
        <f>IF(NOT(ISBLANK(Table113[[#This Row],[Issue Key]])),HYPERLINK("https://projects.cdk.com/browse/"&amp;Table113[[#This Row],[Issue Key]],"Link"),"")</f>
        <v/>
      </c>
      <c r="J77" s="18" t="str">
        <f>IF(NOT(ISBLANK(Table113[[#This Row],[Feature Key]])),HYPERLINK("https://projects.cdk.com/browse/"&amp;Table113[[#This Row],[Feature Key]],"Link"),"")</f>
        <v/>
      </c>
      <c r="K77" s="130" t="str">
        <f>IFERROR(VLOOKUP(Table113[[#This Row],[Feature Key]],Table1[[Feature Key]:[Feature Summary]],5,FALSE),"")</f>
        <v/>
      </c>
    </row>
    <row r="78" spans="2:11" x14ac:dyDescent="0.25">
      <c r="B78">
        <v>75</v>
      </c>
      <c r="F78" s="5" t="str">
        <f>IF(NOT(ISBLANK(Table113[[#This Row],[Issue Key]])),HYPERLINK("https://projects.cdk.com/browse/"&amp;Table113[[#This Row],[Issue Key]],"Link"),"")</f>
        <v/>
      </c>
      <c r="J78" s="18" t="str">
        <f>IF(NOT(ISBLANK(Table113[[#This Row],[Feature Key]])),HYPERLINK("https://projects.cdk.com/browse/"&amp;Table113[[#This Row],[Feature Key]],"Link"),"")</f>
        <v/>
      </c>
      <c r="K78" s="130" t="str">
        <f>IFERROR(VLOOKUP(Table113[[#This Row],[Feature Key]],Table1[[Feature Key]:[Feature Summary]],5,FALSE),"")</f>
        <v/>
      </c>
    </row>
    <row r="79" spans="2:11" x14ac:dyDescent="0.25">
      <c r="B79">
        <v>76</v>
      </c>
      <c r="F79" s="5" t="str">
        <f>IF(NOT(ISBLANK(Table113[[#This Row],[Issue Key]])),HYPERLINK("https://projects.cdk.com/browse/"&amp;Table113[[#This Row],[Issue Key]],"Link"),"")</f>
        <v/>
      </c>
      <c r="J79" s="18" t="str">
        <f>IF(NOT(ISBLANK(Table113[[#This Row],[Feature Key]])),HYPERLINK("https://projects.cdk.com/browse/"&amp;Table113[[#This Row],[Feature Key]],"Link"),"")</f>
        <v/>
      </c>
      <c r="K79" s="130" t="str">
        <f>IFERROR(VLOOKUP(Table113[[#This Row],[Feature Key]],Table1[[Feature Key]:[Feature Summary]],5,FALSE),"")</f>
        <v/>
      </c>
    </row>
    <row r="80" spans="2:11" x14ac:dyDescent="0.25">
      <c r="B80">
        <v>77</v>
      </c>
      <c r="F80" s="5" t="str">
        <f>IF(NOT(ISBLANK(Table113[[#This Row],[Issue Key]])),HYPERLINK("https://projects.cdk.com/browse/"&amp;Table113[[#This Row],[Issue Key]],"Link"),"")</f>
        <v/>
      </c>
      <c r="J80" s="18" t="str">
        <f>IF(NOT(ISBLANK(Table113[[#This Row],[Feature Key]])),HYPERLINK("https://projects.cdk.com/browse/"&amp;Table113[[#This Row],[Feature Key]],"Link"),"")</f>
        <v/>
      </c>
      <c r="K80" s="130" t="str">
        <f>IFERROR(VLOOKUP(Table113[[#This Row],[Feature Key]],Table1[[Feature Key]:[Feature Summary]],5,FALSE),"")</f>
        <v/>
      </c>
    </row>
    <row r="81" spans="2:11" x14ac:dyDescent="0.25">
      <c r="B81">
        <v>78</v>
      </c>
      <c r="F81" s="5" t="str">
        <f>IF(NOT(ISBLANK(Table113[[#This Row],[Issue Key]])),HYPERLINK("https://projects.cdk.com/browse/"&amp;Table113[[#This Row],[Issue Key]],"Link"),"")</f>
        <v/>
      </c>
      <c r="J81" s="18" t="str">
        <f>IF(NOT(ISBLANK(Table113[[#This Row],[Feature Key]])),HYPERLINK("https://projects.cdk.com/browse/"&amp;Table113[[#This Row],[Feature Key]],"Link"),"")</f>
        <v/>
      </c>
      <c r="K81" s="130" t="str">
        <f>IFERROR(VLOOKUP(Table113[[#This Row],[Feature Key]],Table1[[Feature Key]:[Feature Summary]],5,FALSE),"")</f>
        <v/>
      </c>
    </row>
    <row r="82" spans="2:11" x14ac:dyDescent="0.25">
      <c r="B82">
        <v>79</v>
      </c>
      <c r="F82" s="5" t="str">
        <f>IF(NOT(ISBLANK(Table113[[#This Row],[Issue Key]])),HYPERLINK("https://projects.cdk.com/browse/"&amp;Table113[[#This Row],[Issue Key]],"Link"),"")</f>
        <v/>
      </c>
      <c r="J82" s="18" t="str">
        <f>IF(NOT(ISBLANK(Table113[[#This Row],[Feature Key]])),HYPERLINK("https://projects.cdk.com/browse/"&amp;Table113[[#This Row],[Feature Key]],"Link"),"")</f>
        <v/>
      </c>
      <c r="K82" s="130" t="str">
        <f>IFERROR(VLOOKUP(Table113[[#This Row],[Feature Key]],Table1[[Feature Key]:[Feature Summary]],5,FALSE),"")</f>
        <v/>
      </c>
    </row>
    <row r="83" spans="2:11" x14ac:dyDescent="0.25">
      <c r="B83">
        <v>80</v>
      </c>
      <c r="F83" s="5" t="str">
        <f>IF(NOT(ISBLANK(Table113[[#This Row],[Issue Key]])),HYPERLINK("https://projects.cdk.com/browse/"&amp;Table113[[#This Row],[Issue Key]],"Link"),"")</f>
        <v/>
      </c>
      <c r="J83" s="18" t="str">
        <f>IF(NOT(ISBLANK(Table113[[#This Row],[Feature Key]])),HYPERLINK("https://projects.cdk.com/browse/"&amp;Table113[[#This Row],[Feature Key]],"Link"),"")</f>
        <v/>
      </c>
      <c r="K83" s="130" t="str">
        <f>IFERROR(VLOOKUP(Table113[[#This Row],[Feature Key]],Table1[[Feature Key]:[Feature Summary]],5,FALSE),"")</f>
        <v/>
      </c>
    </row>
    <row r="84" spans="2:11" x14ac:dyDescent="0.25">
      <c r="B84">
        <v>81</v>
      </c>
      <c r="F84" s="5" t="str">
        <f>IF(NOT(ISBLANK(Table113[[#This Row],[Issue Key]])),HYPERLINK("https://projects.cdk.com/browse/"&amp;Table113[[#This Row],[Issue Key]],"Link"),"")</f>
        <v/>
      </c>
      <c r="J84" s="18" t="str">
        <f>IF(NOT(ISBLANK(Table113[[#This Row],[Feature Key]])),HYPERLINK("https://projects.cdk.com/browse/"&amp;Table113[[#This Row],[Feature Key]],"Link"),"")</f>
        <v/>
      </c>
      <c r="K84" s="130" t="str">
        <f>IFERROR(VLOOKUP(Table113[[#This Row],[Feature Key]],Table1[[Feature Key]:[Feature Summary]],5,FALSE),"")</f>
        <v/>
      </c>
    </row>
    <row r="85" spans="2:11" x14ac:dyDescent="0.25">
      <c r="B85">
        <v>82</v>
      </c>
      <c r="F85" s="5" t="str">
        <f>IF(NOT(ISBLANK(Table113[[#This Row],[Issue Key]])),HYPERLINK("https://projects.cdk.com/browse/"&amp;Table113[[#This Row],[Issue Key]],"Link"),"")</f>
        <v/>
      </c>
      <c r="J85" s="18" t="str">
        <f>IF(NOT(ISBLANK(Table113[[#This Row],[Feature Key]])),HYPERLINK("https://projects.cdk.com/browse/"&amp;Table113[[#This Row],[Feature Key]],"Link"),"")</f>
        <v/>
      </c>
      <c r="K85" s="130" t="str">
        <f>IFERROR(VLOOKUP(Table113[[#This Row],[Feature Key]],Table1[[Feature Key]:[Feature Summary]],5,FALSE),"")</f>
        <v/>
      </c>
    </row>
    <row r="86" spans="2:11" x14ac:dyDescent="0.25">
      <c r="B86">
        <v>83</v>
      </c>
      <c r="F86" s="5" t="str">
        <f>IF(NOT(ISBLANK(Table113[[#This Row],[Issue Key]])),HYPERLINK("https://projects.cdk.com/browse/"&amp;Table113[[#This Row],[Issue Key]],"Link"),"")</f>
        <v/>
      </c>
      <c r="J86" s="18" t="str">
        <f>IF(NOT(ISBLANK(Table113[[#This Row],[Feature Key]])),HYPERLINK("https://projects.cdk.com/browse/"&amp;Table113[[#This Row],[Feature Key]],"Link"),"")</f>
        <v/>
      </c>
      <c r="K86" s="130" t="str">
        <f>IFERROR(VLOOKUP(Table113[[#This Row],[Feature Key]],Table1[[Feature Key]:[Feature Summary]],5,FALSE),"")</f>
        <v/>
      </c>
    </row>
    <row r="87" spans="2:11" x14ac:dyDescent="0.25">
      <c r="B87">
        <v>84</v>
      </c>
      <c r="F87" s="5" t="str">
        <f>IF(NOT(ISBLANK(Table113[[#This Row],[Issue Key]])),HYPERLINK("https://projects.cdk.com/browse/"&amp;Table113[[#This Row],[Issue Key]],"Link"),"")</f>
        <v/>
      </c>
      <c r="J87" s="18" t="str">
        <f>IF(NOT(ISBLANK(Table113[[#This Row],[Feature Key]])),HYPERLINK("https://projects.cdk.com/browse/"&amp;Table113[[#This Row],[Feature Key]],"Link"),"")</f>
        <v/>
      </c>
      <c r="K87" s="130" t="str">
        <f>IFERROR(VLOOKUP(Table113[[#This Row],[Feature Key]],Table1[[Feature Key]:[Feature Summary]],5,FALSE),"")</f>
        <v/>
      </c>
    </row>
    <row r="88" spans="2:11" x14ac:dyDescent="0.25">
      <c r="B88">
        <v>85</v>
      </c>
      <c r="F88" s="5" t="str">
        <f>IF(NOT(ISBLANK(Table113[[#This Row],[Issue Key]])),HYPERLINK("https://projects.cdk.com/browse/"&amp;Table113[[#This Row],[Issue Key]],"Link"),"")</f>
        <v/>
      </c>
      <c r="J88" s="18" t="str">
        <f>IF(NOT(ISBLANK(Table113[[#This Row],[Feature Key]])),HYPERLINK("https://projects.cdk.com/browse/"&amp;Table113[[#This Row],[Feature Key]],"Link"),"")</f>
        <v/>
      </c>
      <c r="K88" s="130" t="str">
        <f>IFERROR(VLOOKUP(Table113[[#This Row],[Feature Key]],Table1[[Feature Key]:[Feature Summary]],5,FALSE),"")</f>
        <v/>
      </c>
    </row>
    <row r="89" spans="2:11" x14ac:dyDescent="0.25">
      <c r="B89">
        <v>86</v>
      </c>
      <c r="F89" s="5" t="str">
        <f>IF(NOT(ISBLANK(Table113[[#This Row],[Issue Key]])),HYPERLINK("https://projects.cdk.com/browse/"&amp;Table113[[#This Row],[Issue Key]],"Link"),"")</f>
        <v/>
      </c>
      <c r="J89" s="18" t="str">
        <f>IF(NOT(ISBLANK(Table113[[#This Row],[Feature Key]])),HYPERLINK("https://projects.cdk.com/browse/"&amp;Table113[[#This Row],[Feature Key]],"Link"),"")</f>
        <v/>
      </c>
      <c r="K89" s="130" t="str">
        <f>IFERROR(VLOOKUP(Table113[[#This Row],[Feature Key]],Table1[[Feature Key]:[Feature Summary]],5,FALSE),"")</f>
        <v/>
      </c>
    </row>
    <row r="90" spans="2:11" x14ac:dyDescent="0.25">
      <c r="B90">
        <v>87</v>
      </c>
      <c r="F90" s="5" t="str">
        <f>IF(NOT(ISBLANK(Table113[[#This Row],[Issue Key]])),HYPERLINK("https://projects.cdk.com/browse/"&amp;Table113[[#This Row],[Issue Key]],"Link"),"")</f>
        <v/>
      </c>
      <c r="J90" s="18" t="str">
        <f>IF(NOT(ISBLANK(Table113[[#This Row],[Feature Key]])),HYPERLINK("https://projects.cdk.com/browse/"&amp;Table113[[#This Row],[Feature Key]],"Link"),"")</f>
        <v/>
      </c>
      <c r="K90" s="130" t="str">
        <f>IFERROR(VLOOKUP(Table113[[#This Row],[Feature Key]],Table1[[Feature Key]:[Feature Summary]],5,FALSE),"")</f>
        <v/>
      </c>
    </row>
    <row r="91" spans="2:11" x14ac:dyDescent="0.25">
      <c r="B91">
        <v>88</v>
      </c>
      <c r="F91" s="5" t="str">
        <f>IF(NOT(ISBLANK(Table113[[#This Row],[Issue Key]])),HYPERLINK("https://projects.cdk.com/browse/"&amp;Table113[[#This Row],[Issue Key]],"Link"),"")</f>
        <v/>
      </c>
      <c r="J91" s="18" t="str">
        <f>IF(NOT(ISBLANK(Table113[[#This Row],[Feature Key]])),HYPERLINK("https://projects.cdk.com/browse/"&amp;Table113[[#This Row],[Feature Key]],"Link"),"")</f>
        <v/>
      </c>
      <c r="K91" s="130" t="str">
        <f>IFERROR(VLOOKUP(Table113[[#This Row],[Feature Key]],Table1[[Feature Key]:[Feature Summary]],5,FALSE),"")</f>
        <v/>
      </c>
    </row>
    <row r="92" spans="2:11" x14ac:dyDescent="0.25">
      <c r="B92">
        <v>89</v>
      </c>
      <c r="F92" s="5" t="str">
        <f>IF(NOT(ISBLANK(Table113[[#This Row],[Issue Key]])),HYPERLINK("https://projects.cdk.com/browse/"&amp;Table113[[#This Row],[Issue Key]],"Link"),"")</f>
        <v/>
      </c>
      <c r="J92" s="18" t="str">
        <f>IF(NOT(ISBLANK(Table113[[#This Row],[Feature Key]])),HYPERLINK("https://projects.cdk.com/browse/"&amp;Table113[[#This Row],[Feature Key]],"Link"),"")</f>
        <v/>
      </c>
      <c r="K92" s="130" t="str">
        <f>IFERROR(VLOOKUP(Table113[[#This Row],[Feature Key]],Table1[[Feature Key]:[Feature Summary]],5,FALSE),"")</f>
        <v/>
      </c>
    </row>
    <row r="93" spans="2:11" x14ac:dyDescent="0.25">
      <c r="B93">
        <v>90</v>
      </c>
      <c r="F93" s="5" t="str">
        <f>IF(NOT(ISBLANK(Table113[[#This Row],[Issue Key]])),HYPERLINK("https://projects.cdk.com/browse/"&amp;Table113[[#This Row],[Issue Key]],"Link"),"")</f>
        <v/>
      </c>
      <c r="J93" s="18" t="str">
        <f>IF(NOT(ISBLANK(Table113[[#This Row],[Feature Key]])),HYPERLINK("https://projects.cdk.com/browse/"&amp;Table113[[#This Row],[Feature Key]],"Link"),"")</f>
        <v/>
      </c>
      <c r="K93" s="130" t="str">
        <f>IFERROR(VLOOKUP(Table113[[#This Row],[Feature Key]],Table1[[Feature Key]:[Feature Summary]],5,FALSE),"")</f>
        <v/>
      </c>
    </row>
    <row r="94" spans="2:11" x14ac:dyDescent="0.25">
      <c r="B94">
        <v>91</v>
      </c>
      <c r="F94" s="5" t="str">
        <f>IF(NOT(ISBLANK(Table113[[#This Row],[Issue Key]])),HYPERLINK("https://projects.cdk.com/browse/"&amp;Table113[[#This Row],[Issue Key]],"Link"),"")</f>
        <v/>
      </c>
      <c r="J94" s="18" t="str">
        <f>IF(NOT(ISBLANK(Table113[[#This Row],[Feature Key]])),HYPERLINK("https://projects.cdk.com/browse/"&amp;Table113[[#This Row],[Feature Key]],"Link"),"")</f>
        <v/>
      </c>
      <c r="K94" s="130" t="str">
        <f>IFERROR(VLOOKUP(Table113[[#This Row],[Feature Key]],Table1[[Feature Key]:[Feature Summary]],5,FALSE),"")</f>
        <v/>
      </c>
    </row>
    <row r="95" spans="2:11" x14ac:dyDescent="0.25">
      <c r="B95">
        <v>92</v>
      </c>
      <c r="F95" s="5" t="str">
        <f>IF(NOT(ISBLANK(Table113[[#This Row],[Issue Key]])),HYPERLINK("https://projects.cdk.com/browse/"&amp;Table113[[#This Row],[Issue Key]],"Link"),"")</f>
        <v/>
      </c>
      <c r="J95" s="18" t="str">
        <f>IF(NOT(ISBLANK(Table113[[#This Row],[Feature Key]])),HYPERLINK("https://projects.cdk.com/browse/"&amp;Table113[[#This Row],[Feature Key]],"Link"),"")</f>
        <v/>
      </c>
      <c r="K95" s="130" t="str">
        <f>IFERROR(VLOOKUP(Table113[[#This Row],[Feature Key]],Table1[[Feature Key]:[Feature Summary]],5,FALSE),"")</f>
        <v/>
      </c>
    </row>
    <row r="96" spans="2:11" x14ac:dyDescent="0.25">
      <c r="B96">
        <v>93</v>
      </c>
      <c r="F96" s="5" t="str">
        <f>IF(NOT(ISBLANK(Table113[[#This Row],[Issue Key]])),HYPERLINK("https://projects.cdk.com/browse/"&amp;Table113[[#This Row],[Issue Key]],"Link"),"")</f>
        <v/>
      </c>
      <c r="J96" s="18" t="str">
        <f>IF(NOT(ISBLANK(Table113[[#This Row],[Feature Key]])),HYPERLINK("https://projects.cdk.com/browse/"&amp;Table113[[#This Row],[Feature Key]],"Link"),"")</f>
        <v/>
      </c>
      <c r="K96" s="130" t="str">
        <f>IFERROR(VLOOKUP(Table113[[#This Row],[Feature Key]],Table1[[Feature Key]:[Feature Summary]],5,FALSE),"")</f>
        <v/>
      </c>
    </row>
    <row r="97" spans="2:11" x14ac:dyDescent="0.25">
      <c r="B97">
        <v>94</v>
      </c>
      <c r="F97" s="5" t="str">
        <f>IF(NOT(ISBLANK(Table113[[#This Row],[Issue Key]])),HYPERLINK("https://projects.cdk.com/browse/"&amp;Table113[[#This Row],[Issue Key]],"Link"),"")</f>
        <v/>
      </c>
      <c r="J97" s="18" t="str">
        <f>IF(NOT(ISBLANK(Table113[[#This Row],[Feature Key]])),HYPERLINK("https://projects.cdk.com/browse/"&amp;Table113[[#This Row],[Feature Key]],"Link"),"")</f>
        <v/>
      </c>
      <c r="K97" s="130" t="str">
        <f>IFERROR(VLOOKUP(Table113[[#This Row],[Feature Key]],Table1[[Feature Key]:[Feature Summary]],5,FALSE),"")</f>
        <v/>
      </c>
    </row>
    <row r="98" spans="2:11" x14ac:dyDescent="0.25">
      <c r="B98">
        <v>95</v>
      </c>
      <c r="F98" s="5" t="str">
        <f>IF(NOT(ISBLANK(Table113[[#This Row],[Issue Key]])),HYPERLINK("https://projects.cdk.com/browse/"&amp;Table113[[#This Row],[Issue Key]],"Link"),"")</f>
        <v/>
      </c>
      <c r="J98" s="18" t="str">
        <f>IF(NOT(ISBLANK(Table113[[#This Row],[Feature Key]])),HYPERLINK("https://projects.cdk.com/browse/"&amp;Table113[[#This Row],[Feature Key]],"Link"),"")</f>
        <v/>
      </c>
      <c r="K98" s="130" t="str">
        <f>IFERROR(VLOOKUP(Table113[[#This Row],[Feature Key]],Table1[[Feature Key]:[Feature Summary]],5,FALSE),"")</f>
        <v/>
      </c>
    </row>
    <row r="99" spans="2:11" x14ac:dyDescent="0.25">
      <c r="B99">
        <v>96</v>
      </c>
      <c r="F99" s="5" t="str">
        <f>IF(NOT(ISBLANK(Table113[[#This Row],[Issue Key]])),HYPERLINK("https://projects.cdk.com/browse/"&amp;Table113[[#This Row],[Issue Key]],"Link"),"")</f>
        <v/>
      </c>
      <c r="J99" s="18" t="str">
        <f>IF(NOT(ISBLANK(Table113[[#This Row],[Feature Key]])),HYPERLINK("https://projects.cdk.com/browse/"&amp;Table113[[#This Row],[Feature Key]],"Link"),"")</f>
        <v/>
      </c>
      <c r="K99" s="130" t="str">
        <f>IFERROR(VLOOKUP(Table113[[#This Row],[Feature Key]],Table1[[Feature Key]:[Feature Summary]],5,FALSE),"")</f>
        <v/>
      </c>
    </row>
    <row r="100" spans="2:11" x14ac:dyDescent="0.25">
      <c r="B100">
        <v>97</v>
      </c>
      <c r="F100" s="5" t="str">
        <f>IF(NOT(ISBLANK(Table113[[#This Row],[Issue Key]])),HYPERLINK("https://projects.cdk.com/browse/"&amp;Table113[[#This Row],[Issue Key]],"Link"),"")</f>
        <v/>
      </c>
      <c r="J100" s="18" t="str">
        <f>IF(NOT(ISBLANK(Table113[[#This Row],[Feature Key]])),HYPERLINK("https://projects.cdk.com/browse/"&amp;Table113[[#This Row],[Feature Key]],"Link"),"")</f>
        <v/>
      </c>
      <c r="K100" s="130" t="str">
        <f>IFERROR(VLOOKUP(Table113[[#This Row],[Feature Key]],Table1[[Feature Key]:[Feature Summary]],5,FALSE),"")</f>
        <v/>
      </c>
    </row>
    <row r="101" spans="2:11" x14ac:dyDescent="0.25">
      <c r="B101">
        <v>98</v>
      </c>
      <c r="F101" s="5" t="str">
        <f>IF(NOT(ISBLANK(Table113[[#This Row],[Issue Key]])),HYPERLINK("https://projects.cdk.com/browse/"&amp;Table113[[#This Row],[Issue Key]],"Link"),"")</f>
        <v/>
      </c>
      <c r="J101" s="18" t="str">
        <f>IF(NOT(ISBLANK(Table113[[#This Row],[Feature Key]])),HYPERLINK("https://projects.cdk.com/browse/"&amp;Table113[[#This Row],[Feature Key]],"Link"),"")</f>
        <v/>
      </c>
      <c r="K101" s="130" t="str">
        <f>IFERROR(VLOOKUP(Table113[[#This Row],[Feature Key]],Table1[[Feature Key]:[Feature Summary]],5,FALSE),"")</f>
        <v/>
      </c>
    </row>
    <row r="102" spans="2:11" x14ac:dyDescent="0.25">
      <c r="B102">
        <v>99</v>
      </c>
      <c r="F102" s="5" t="str">
        <f>IF(NOT(ISBLANK(Table113[[#This Row],[Issue Key]])),HYPERLINK("https://projects.cdk.com/browse/"&amp;Table113[[#This Row],[Issue Key]],"Link"),"")</f>
        <v/>
      </c>
      <c r="J102" s="18" t="str">
        <f>IF(NOT(ISBLANK(Table113[[#This Row],[Feature Key]])),HYPERLINK("https://projects.cdk.com/browse/"&amp;Table113[[#This Row],[Feature Key]],"Link"),"")</f>
        <v/>
      </c>
      <c r="K102" s="130" t="str">
        <f>IFERROR(VLOOKUP(Table113[[#This Row],[Feature Key]],Table1[[Feature Key]:[Feature Summary]],5,FALSE),"")</f>
        <v/>
      </c>
    </row>
    <row r="103" spans="2:11" x14ac:dyDescent="0.25">
      <c r="B103">
        <v>100</v>
      </c>
      <c r="F103" s="5" t="str">
        <f>IF(NOT(ISBLANK(Table113[[#This Row],[Issue Key]])),HYPERLINK("https://projects.cdk.com/browse/"&amp;Table113[[#This Row],[Issue Key]],"Link"),"")</f>
        <v/>
      </c>
      <c r="J103" s="18" t="str">
        <f>IF(NOT(ISBLANK(Table113[[#This Row],[Feature Key]])),HYPERLINK("https://projects.cdk.com/browse/"&amp;Table113[[#This Row],[Feature Key]],"Link"),"")</f>
        <v/>
      </c>
      <c r="K103" s="130" t="str">
        <f>IFERROR(VLOOKUP(Table113[[#This Row],[Feature Key]],Table1[[Feature Key]:[Feature Summary]],5,FALSE),"")</f>
        <v/>
      </c>
    </row>
    <row r="104" spans="2:11" x14ac:dyDescent="0.25">
      <c r="B104">
        <v>101</v>
      </c>
      <c r="F104" s="5" t="str">
        <f>IF(NOT(ISBLANK(Table113[[#This Row],[Issue Key]])),HYPERLINK("https://projects.cdk.com/browse/"&amp;Table113[[#This Row],[Issue Key]],"Link"),"")</f>
        <v/>
      </c>
      <c r="J104" s="18" t="str">
        <f>IF(NOT(ISBLANK(Table113[[#This Row],[Feature Key]])),HYPERLINK("https://projects.cdk.com/browse/"&amp;Table113[[#This Row],[Feature Key]],"Link"),"")</f>
        <v/>
      </c>
      <c r="K104" s="130" t="str">
        <f>IFERROR(VLOOKUP(Table113[[#This Row],[Feature Key]],Table1[[Feature Key]:[Feature Summary]],5,FALSE),"")</f>
        <v/>
      </c>
    </row>
    <row r="105" spans="2:11" x14ac:dyDescent="0.25">
      <c r="B105">
        <v>102</v>
      </c>
      <c r="F105" s="5" t="str">
        <f>IF(NOT(ISBLANK(Table113[[#This Row],[Issue Key]])),HYPERLINK("https://projects.cdk.com/browse/"&amp;Table113[[#This Row],[Issue Key]],"Link"),"")</f>
        <v/>
      </c>
      <c r="J105" s="18" t="str">
        <f>IF(NOT(ISBLANK(Table113[[#This Row],[Feature Key]])),HYPERLINK("https://projects.cdk.com/browse/"&amp;Table113[[#This Row],[Feature Key]],"Link"),"")</f>
        <v/>
      </c>
      <c r="K105" s="130" t="str">
        <f>IFERROR(VLOOKUP(Table113[[#This Row],[Feature Key]],Table1[[Feature Key]:[Feature Summary]],5,FALSE),"")</f>
        <v/>
      </c>
    </row>
    <row r="106" spans="2:11" x14ac:dyDescent="0.25">
      <c r="B106">
        <v>103</v>
      </c>
      <c r="F106" s="5" t="str">
        <f>IF(NOT(ISBLANK(Table113[[#This Row],[Issue Key]])),HYPERLINK("https://projects.cdk.com/browse/"&amp;Table113[[#This Row],[Issue Key]],"Link"),"")</f>
        <v/>
      </c>
      <c r="J106" s="18" t="str">
        <f>IF(NOT(ISBLANK(Table113[[#This Row],[Feature Key]])),HYPERLINK("https://projects.cdk.com/browse/"&amp;Table113[[#This Row],[Feature Key]],"Link"),"")</f>
        <v/>
      </c>
      <c r="K106" s="130" t="str">
        <f>IFERROR(VLOOKUP(Table113[[#This Row],[Feature Key]],Table1[[Feature Key]:[Feature Summary]],5,FALSE),"")</f>
        <v/>
      </c>
    </row>
    <row r="107" spans="2:11" x14ac:dyDescent="0.25">
      <c r="B107">
        <v>104</v>
      </c>
      <c r="F107" s="5" t="str">
        <f>IF(NOT(ISBLANK(Table113[[#This Row],[Issue Key]])),HYPERLINK("https://projects.cdk.com/browse/"&amp;Table113[[#This Row],[Issue Key]],"Link"),"")</f>
        <v/>
      </c>
      <c r="J107" s="18" t="str">
        <f>IF(NOT(ISBLANK(Table113[[#This Row],[Feature Key]])),HYPERLINK("https://projects.cdk.com/browse/"&amp;Table113[[#This Row],[Feature Key]],"Link"),"")</f>
        <v/>
      </c>
      <c r="K107" s="130" t="str">
        <f>IFERROR(VLOOKUP(Table113[[#This Row],[Feature Key]],Table1[[Feature Key]:[Feature Summary]],5,FALSE),"")</f>
        <v/>
      </c>
    </row>
    <row r="108" spans="2:11" x14ac:dyDescent="0.25">
      <c r="B108">
        <v>105</v>
      </c>
      <c r="F108" s="5" t="str">
        <f>IF(NOT(ISBLANK(Table113[[#This Row],[Issue Key]])),HYPERLINK("https://projects.cdk.com/browse/"&amp;Table113[[#This Row],[Issue Key]],"Link"),"")</f>
        <v/>
      </c>
      <c r="J108" s="18" t="str">
        <f>IF(NOT(ISBLANK(Table113[[#This Row],[Feature Key]])),HYPERLINK("https://projects.cdk.com/browse/"&amp;Table113[[#This Row],[Feature Key]],"Link"),"")</f>
        <v/>
      </c>
      <c r="K108" s="130" t="str">
        <f>IFERROR(VLOOKUP(Table113[[#This Row],[Feature Key]],Table1[[Feature Key]:[Feature Summary]],5,FALSE),"")</f>
        <v/>
      </c>
    </row>
    <row r="109" spans="2:11" x14ac:dyDescent="0.25">
      <c r="B109">
        <v>106</v>
      </c>
      <c r="F109" s="5" t="str">
        <f>IF(NOT(ISBLANK(Table113[[#This Row],[Issue Key]])),HYPERLINK("https://projects.cdk.com/browse/"&amp;Table113[[#This Row],[Issue Key]],"Link"),"")</f>
        <v/>
      </c>
      <c r="J109" s="18" t="str">
        <f>IF(NOT(ISBLANK(Table113[[#This Row],[Feature Key]])),HYPERLINK("https://projects.cdk.com/browse/"&amp;Table113[[#This Row],[Feature Key]],"Link"),"")</f>
        <v/>
      </c>
      <c r="K109" s="130" t="str">
        <f>IFERROR(VLOOKUP(Table113[[#This Row],[Feature Key]],Table1[[Feature Key]:[Feature Summary]],5,FALSE),"")</f>
        <v/>
      </c>
    </row>
    <row r="110" spans="2:11" x14ac:dyDescent="0.25">
      <c r="B110">
        <v>107</v>
      </c>
      <c r="F110" s="5" t="str">
        <f>IF(NOT(ISBLANK(Table113[[#This Row],[Issue Key]])),HYPERLINK("https://projects.cdk.com/browse/"&amp;Table113[[#This Row],[Issue Key]],"Link"),"")</f>
        <v/>
      </c>
      <c r="J110" s="18" t="str">
        <f>IF(NOT(ISBLANK(Table113[[#This Row],[Feature Key]])),HYPERLINK("https://projects.cdk.com/browse/"&amp;Table113[[#This Row],[Feature Key]],"Link"),"")</f>
        <v/>
      </c>
      <c r="K110" s="130" t="str">
        <f>IFERROR(VLOOKUP(Table113[[#This Row],[Feature Key]],Table1[[Feature Key]:[Feature Summary]],5,FALSE),"")</f>
        <v/>
      </c>
    </row>
    <row r="111" spans="2:11" x14ac:dyDescent="0.25">
      <c r="B111">
        <v>108</v>
      </c>
      <c r="F111" s="5" t="str">
        <f>IF(NOT(ISBLANK(Table113[[#This Row],[Issue Key]])),HYPERLINK("https://projects.cdk.com/browse/"&amp;Table113[[#This Row],[Issue Key]],"Link"),"")</f>
        <v/>
      </c>
      <c r="J111" s="18" t="str">
        <f>IF(NOT(ISBLANK(Table113[[#This Row],[Feature Key]])),HYPERLINK("https://projects.cdk.com/browse/"&amp;Table113[[#This Row],[Feature Key]],"Link"),"")</f>
        <v/>
      </c>
      <c r="K111" s="130" t="str">
        <f>IFERROR(VLOOKUP(Table113[[#This Row],[Feature Key]],Table1[[Feature Key]:[Feature Summary]],5,FALSE),"")</f>
        <v/>
      </c>
    </row>
    <row r="112" spans="2:11" x14ac:dyDescent="0.25">
      <c r="B112">
        <v>109</v>
      </c>
      <c r="F112" s="5" t="str">
        <f>IF(NOT(ISBLANK(Table113[[#This Row],[Issue Key]])),HYPERLINK("https://projects.cdk.com/browse/"&amp;Table113[[#This Row],[Issue Key]],"Link"),"")</f>
        <v/>
      </c>
      <c r="J112" s="18" t="str">
        <f>IF(NOT(ISBLANK(Table113[[#This Row],[Feature Key]])),HYPERLINK("https://projects.cdk.com/browse/"&amp;Table113[[#This Row],[Feature Key]],"Link"),"")</f>
        <v/>
      </c>
      <c r="K112" s="130" t="str">
        <f>IFERROR(VLOOKUP(Table113[[#This Row],[Feature Key]],Table1[[Feature Key]:[Feature Summary]],5,FALSE),"")</f>
        <v/>
      </c>
    </row>
    <row r="113" spans="2:11" x14ac:dyDescent="0.25">
      <c r="B113">
        <v>110</v>
      </c>
      <c r="F113" s="5" t="str">
        <f>IF(NOT(ISBLANK(Table113[[#This Row],[Issue Key]])),HYPERLINK("https://projects.cdk.com/browse/"&amp;Table113[[#This Row],[Issue Key]],"Link"),"")</f>
        <v/>
      </c>
      <c r="J113" s="18" t="str">
        <f>IF(NOT(ISBLANK(Table113[[#This Row],[Feature Key]])),HYPERLINK("https://projects.cdk.com/browse/"&amp;Table113[[#This Row],[Feature Key]],"Link"),"")</f>
        <v/>
      </c>
      <c r="K113" s="130" t="str">
        <f>IFERROR(VLOOKUP(Table113[[#This Row],[Feature Key]],Table1[[Feature Key]:[Feature Summary]],5,FALSE),"")</f>
        <v/>
      </c>
    </row>
    <row r="114" spans="2:11" x14ac:dyDescent="0.25">
      <c r="B114">
        <v>111</v>
      </c>
      <c r="F114" s="5" t="str">
        <f>IF(NOT(ISBLANK(Table113[[#This Row],[Issue Key]])),HYPERLINK("https://projects.cdk.com/browse/"&amp;Table113[[#This Row],[Issue Key]],"Link"),"")</f>
        <v/>
      </c>
      <c r="J114" s="18" t="str">
        <f>IF(NOT(ISBLANK(Table113[[#This Row],[Feature Key]])),HYPERLINK("https://projects.cdk.com/browse/"&amp;Table113[[#This Row],[Feature Key]],"Link"),"")</f>
        <v/>
      </c>
      <c r="K114" s="130" t="str">
        <f>IFERROR(VLOOKUP(Table113[[#This Row],[Feature Key]],Table1[[Feature Key]:[Feature Summary]],5,FALSE),"")</f>
        <v/>
      </c>
    </row>
    <row r="115" spans="2:11" x14ac:dyDescent="0.25">
      <c r="B115">
        <v>112</v>
      </c>
      <c r="F115" s="5" t="str">
        <f>IF(NOT(ISBLANK(Table113[[#This Row],[Issue Key]])),HYPERLINK("https://projects.cdk.com/browse/"&amp;Table113[[#This Row],[Issue Key]],"Link"),"")</f>
        <v/>
      </c>
      <c r="J115" s="18" t="str">
        <f>IF(NOT(ISBLANK(Table113[[#This Row],[Feature Key]])),HYPERLINK("https://projects.cdk.com/browse/"&amp;Table113[[#This Row],[Feature Key]],"Link"),"")</f>
        <v/>
      </c>
      <c r="K115" s="130" t="str">
        <f>IFERROR(VLOOKUP(Table113[[#This Row],[Feature Key]],Table1[[Feature Key]:[Feature Summary]],5,FALSE),"")</f>
        <v/>
      </c>
    </row>
    <row r="116" spans="2:11" x14ac:dyDescent="0.25">
      <c r="B116">
        <v>113</v>
      </c>
      <c r="F116" s="5" t="str">
        <f>IF(NOT(ISBLANK(Table113[[#This Row],[Issue Key]])),HYPERLINK("https://projects.cdk.com/browse/"&amp;Table113[[#This Row],[Issue Key]],"Link"),"")</f>
        <v/>
      </c>
      <c r="J116" s="18" t="str">
        <f>IF(NOT(ISBLANK(Table113[[#This Row],[Feature Key]])),HYPERLINK("https://projects.cdk.com/browse/"&amp;Table113[[#This Row],[Feature Key]],"Link"),"")</f>
        <v/>
      </c>
      <c r="K116" s="130" t="str">
        <f>IFERROR(VLOOKUP(Table113[[#This Row],[Feature Key]],Table1[[Feature Key]:[Feature Summary]],5,FALSE),"")</f>
        <v/>
      </c>
    </row>
    <row r="117" spans="2:11" x14ac:dyDescent="0.25">
      <c r="B117">
        <v>114</v>
      </c>
      <c r="F117" s="5" t="str">
        <f>IF(NOT(ISBLANK(Table113[[#This Row],[Issue Key]])),HYPERLINK("https://projects.cdk.com/browse/"&amp;Table113[[#This Row],[Issue Key]],"Link"),"")</f>
        <v/>
      </c>
      <c r="J117" s="18" t="str">
        <f>IF(NOT(ISBLANK(Table113[[#This Row],[Feature Key]])),HYPERLINK("https://projects.cdk.com/browse/"&amp;Table113[[#This Row],[Feature Key]],"Link"),"")</f>
        <v/>
      </c>
      <c r="K117" s="130" t="str">
        <f>IFERROR(VLOOKUP(Table113[[#This Row],[Feature Key]],Table1[[Feature Key]:[Feature Summary]],5,FALSE),"")</f>
        <v/>
      </c>
    </row>
    <row r="118" spans="2:11" x14ac:dyDescent="0.25">
      <c r="B118">
        <v>115</v>
      </c>
      <c r="F118" s="5" t="str">
        <f>IF(NOT(ISBLANK(Table113[[#This Row],[Issue Key]])),HYPERLINK("https://projects.cdk.com/browse/"&amp;Table113[[#This Row],[Issue Key]],"Link"),"")</f>
        <v/>
      </c>
      <c r="J118" s="18" t="str">
        <f>IF(NOT(ISBLANK(Table113[[#This Row],[Feature Key]])),HYPERLINK("https://projects.cdk.com/browse/"&amp;Table113[[#This Row],[Feature Key]],"Link"),"")</f>
        <v/>
      </c>
      <c r="K118" s="130" t="str">
        <f>IFERROR(VLOOKUP(Table113[[#This Row],[Feature Key]],Table1[[Feature Key]:[Feature Summary]],5,FALSE),"")</f>
        <v/>
      </c>
    </row>
    <row r="119" spans="2:11" x14ac:dyDescent="0.25">
      <c r="B119">
        <v>116</v>
      </c>
      <c r="F119" s="5" t="str">
        <f>IF(NOT(ISBLANK(Table113[[#This Row],[Issue Key]])),HYPERLINK("https://projects.cdk.com/browse/"&amp;Table113[[#This Row],[Issue Key]],"Link"),"")</f>
        <v/>
      </c>
      <c r="J119" s="18" t="str">
        <f>IF(NOT(ISBLANK(Table113[[#This Row],[Feature Key]])),HYPERLINK("https://projects.cdk.com/browse/"&amp;Table113[[#This Row],[Feature Key]],"Link"),"")</f>
        <v/>
      </c>
      <c r="K119" s="130" t="str">
        <f>IFERROR(VLOOKUP(Table113[[#This Row],[Feature Key]],Table1[[Feature Key]:[Feature Summary]],5,FALSE),"")</f>
        <v/>
      </c>
    </row>
    <row r="120" spans="2:11" x14ac:dyDescent="0.25">
      <c r="B120">
        <v>117</v>
      </c>
      <c r="F120" s="5" t="str">
        <f>IF(NOT(ISBLANK(Table113[[#This Row],[Issue Key]])),HYPERLINK("https://projects.cdk.com/browse/"&amp;Table113[[#This Row],[Issue Key]],"Link"),"")</f>
        <v/>
      </c>
      <c r="J120" s="18" t="str">
        <f>IF(NOT(ISBLANK(Table113[[#This Row],[Feature Key]])),HYPERLINK("https://projects.cdk.com/browse/"&amp;Table113[[#This Row],[Feature Key]],"Link"),"")</f>
        <v/>
      </c>
      <c r="K120" s="130" t="str">
        <f>IFERROR(VLOOKUP(Table113[[#This Row],[Feature Key]],Table1[[Feature Key]:[Feature Summary]],5,FALSE),"")</f>
        <v/>
      </c>
    </row>
    <row r="121" spans="2:11" x14ac:dyDescent="0.25">
      <c r="B121">
        <v>118</v>
      </c>
      <c r="F121" s="5" t="str">
        <f>IF(NOT(ISBLANK(Table113[[#This Row],[Issue Key]])),HYPERLINK("https://projects.cdk.com/browse/"&amp;Table113[[#This Row],[Issue Key]],"Link"),"")</f>
        <v/>
      </c>
      <c r="J121" s="18" t="str">
        <f>IF(NOT(ISBLANK(Table113[[#This Row],[Feature Key]])),HYPERLINK("https://projects.cdk.com/browse/"&amp;Table113[[#This Row],[Feature Key]],"Link"),"")</f>
        <v/>
      </c>
      <c r="K121" s="130" t="str">
        <f>IFERROR(VLOOKUP(Table113[[#This Row],[Feature Key]],Table1[[Feature Key]:[Feature Summary]],5,FALSE),"")</f>
        <v/>
      </c>
    </row>
    <row r="122" spans="2:11" x14ac:dyDescent="0.25">
      <c r="B122">
        <v>119</v>
      </c>
      <c r="F122" s="5" t="str">
        <f>IF(NOT(ISBLANK(Table113[[#This Row],[Issue Key]])),HYPERLINK("https://projects.cdk.com/browse/"&amp;Table113[[#This Row],[Issue Key]],"Link"),"")</f>
        <v/>
      </c>
      <c r="J122" s="18" t="str">
        <f>IF(NOT(ISBLANK(Table113[[#This Row],[Feature Key]])),HYPERLINK("https://projects.cdk.com/browse/"&amp;Table113[[#This Row],[Feature Key]],"Link"),"")</f>
        <v/>
      </c>
      <c r="K122" s="130" t="str">
        <f>IFERROR(VLOOKUP(Table113[[#This Row],[Feature Key]],Table1[[Feature Key]:[Feature Summary]],5,FALSE),"")</f>
        <v/>
      </c>
    </row>
    <row r="123" spans="2:11" x14ac:dyDescent="0.25">
      <c r="B123">
        <v>120</v>
      </c>
      <c r="F123" s="5" t="str">
        <f>IF(NOT(ISBLANK(Table113[[#This Row],[Issue Key]])),HYPERLINK("https://projects.cdk.com/browse/"&amp;Table113[[#This Row],[Issue Key]],"Link"),"")</f>
        <v/>
      </c>
      <c r="J123" s="18" t="str">
        <f>IF(NOT(ISBLANK(Table113[[#This Row],[Feature Key]])),HYPERLINK("https://projects.cdk.com/browse/"&amp;Table113[[#This Row],[Feature Key]],"Link"),"")</f>
        <v/>
      </c>
      <c r="K123" s="130" t="str">
        <f>IFERROR(VLOOKUP(Table113[[#This Row],[Feature Key]],Table1[[Feature Key]:[Feature Summary]],5,FALSE),"")</f>
        <v/>
      </c>
    </row>
    <row r="124" spans="2:11" x14ac:dyDescent="0.25">
      <c r="B124">
        <v>121</v>
      </c>
      <c r="F124" s="5" t="str">
        <f>IF(NOT(ISBLANK(Table113[[#This Row],[Issue Key]])),HYPERLINK("https://projects.cdk.com/browse/"&amp;Table113[[#This Row],[Issue Key]],"Link"),"")</f>
        <v/>
      </c>
      <c r="J124" s="18" t="str">
        <f>IF(NOT(ISBLANK(Table113[[#This Row],[Feature Key]])),HYPERLINK("https://projects.cdk.com/browse/"&amp;Table113[[#This Row],[Feature Key]],"Link"),"")</f>
        <v/>
      </c>
      <c r="K124" s="130" t="str">
        <f>IFERROR(VLOOKUP(Table113[[#This Row],[Feature Key]],Table1[[Feature Key]:[Feature Summary]],5,FALSE),"")</f>
        <v/>
      </c>
    </row>
    <row r="125" spans="2:11" x14ac:dyDescent="0.25">
      <c r="B125">
        <v>122</v>
      </c>
      <c r="F125" s="5" t="str">
        <f>IF(NOT(ISBLANK(Table113[[#This Row],[Issue Key]])),HYPERLINK("https://projects.cdk.com/browse/"&amp;Table113[[#This Row],[Issue Key]],"Link"),"")</f>
        <v/>
      </c>
      <c r="J125" s="18" t="str">
        <f>IF(NOT(ISBLANK(Table113[[#This Row],[Feature Key]])),HYPERLINK("https://projects.cdk.com/browse/"&amp;Table113[[#This Row],[Feature Key]],"Link"),"")</f>
        <v/>
      </c>
      <c r="K125" s="130" t="str">
        <f>IFERROR(VLOOKUP(Table113[[#This Row],[Feature Key]],Table1[[Feature Key]:[Feature Summary]],5,FALSE),"")</f>
        <v/>
      </c>
    </row>
    <row r="126" spans="2:11" x14ac:dyDescent="0.25">
      <c r="B126">
        <v>123</v>
      </c>
      <c r="F126" s="5" t="str">
        <f>IF(NOT(ISBLANK(Table113[[#This Row],[Issue Key]])),HYPERLINK("https://projects.cdk.com/browse/"&amp;Table113[[#This Row],[Issue Key]],"Link"),"")</f>
        <v/>
      </c>
      <c r="J126" s="18" t="str">
        <f>IF(NOT(ISBLANK(Table113[[#This Row],[Feature Key]])),HYPERLINK("https://projects.cdk.com/browse/"&amp;Table113[[#This Row],[Feature Key]],"Link"),"")</f>
        <v/>
      </c>
      <c r="K126" s="130" t="str">
        <f>IFERROR(VLOOKUP(Table113[[#This Row],[Feature Key]],Table1[[Feature Key]:[Feature Summary]],5,FALSE),"")</f>
        <v/>
      </c>
    </row>
    <row r="127" spans="2:11" x14ac:dyDescent="0.25">
      <c r="B127">
        <v>124</v>
      </c>
      <c r="F127" s="5" t="str">
        <f>IF(NOT(ISBLANK(Table113[[#This Row],[Issue Key]])),HYPERLINK("https://projects.cdk.com/browse/"&amp;Table113[[#This Row],[Issue Key]],"Link"),"")</f>
        <v/>
      </c>
      <c r="J127" s="18" t="str">
        <f>IF(NOT(ISBLANK(Table113[[#This Row],[Feature Key]])),HYPERLINK("https://projects.cdk.com/browse/"&amp;Table113[[#This Row],[Feature Key]],"Link"),"")</f>
        <v/>
      </c>
      <c r="K127" s="130" t="str">
        <f>IFERROR(VLOOKUP(Table113[[#This Row],[Feature Key]],Table1[[Feature Key]:[Feature Summary]],5,FALSE),"")</f>
        <v/>
      </c>
    </row>
    <row r="128" spans="2:11" x14ac:dyDescent="0.25">
      <c r="B128">
        <v>125</v>
      </c>
      <c r="F128" s="5" t="str">
        <f>IF(NOT(ISBLANK(Table113[[#This Row],[Issue Key]])),HYPERLINK("https://projects.cdk.com/browse/"&amp;Table113[[#This Row],[Issue Key]],"Link"),"")</f>
        <v/>
      </c>
      <c r="J128" s="18" t="str">
        <f>IF(NOT(ISBLANK(Table113[[#This Row],[Feature Key]])),HYPERLINK("https://projects.cdk.com/browse/"&amp;Table113[[#This Row],[Feature Key]],"Link"),"")</f>
        <v/>
      </c>
      <c r="K128" s="130" t="str">
        <f>IFERROR(VLOOKUP(Table113[[#This Row],[Feature Key]],Table1[[Feature Key]:[Feature Summary]],5,FALSE),"")</f>
        <v/>
      </c>
    </row>
    <row r="129" spans="2:11" x14ac:dyDescent="0.25">
      <c r="B129">
        <v>126</v>
      </c>
      <c r="F129" s="5" t="str">
        <f>IF(NOT(ISBLANK(Table113[[#This Row],[Issue Key]])),HYPERLINK("https://projects.cdk.com/browse/"&amp;Table113[[#This Row],[Issue Key]],"Link"),"")</f>
        <v/>
      </c>
      <c r="J129" s="18" t="str">
        <f>IF(NOT(ISBLANK(Table113[[#This Row],[Feature Key]])),HYPERLINK("https://projects.cdk.com/browse/"&amp;Table113[[#This Row],[Feature Key]],"Link"),"")</f>
        <v/>
      </c>
      <c r="K129" s="130" t="str">
        <f>IFERROR(VLOOKUP(Table113[[#This Row],[Feature Key]],Table1[[Feature Key]:[Feature Summary]],5,FALSE),"")</f>
        <v/>
      </c>
    </row>
    <row r="130" spans="2:11" x14ac:dyDescent="0.25">
      <c r="B130">
        <v>127</v>
      </c>
      <c r="F130" s="5" t="str">
        <f>IF(NOT(ISBLANK(Table113[[#This Row],[Issue Key]])),HYPERLINK("https://projects.cdk.com/browse/"&amp;Table113[[#This Row],[Issue Key]],"Link"),"")</f>
        <v/>
      </c>
      <c r="J130" s="18" t="str">
        <f>IF(NOT(ISBLANK(Table113[[#This Row],[Feature Key]])),HYPERLINK("https://projects.cdk.com/browse/"&amp;Table113[[#This Row],[Feature Key]],"Link"),"")</f>
        <v/>
      </c>
      <c r="K130" s="130" t="str">
        <f>IFERROR(VLOOKUP(Table113[[#This Row],[Feature Key]],Table1[[Feature Key]:[Feature Summary]],5,FALSE),"")</f>
        <v/>
      </c>
    </row>
    <row r="131" spans="2:11" x14ac:dyDescent="0.25">
      <c r="B131">
        <v>128</v>
      </c>
      <c r="F131" s="5" t="str">
        <f>IF(NOT(ISBLANK(Table113[[#This Row],[Issue Key]])),HYPERLINK("https://projects.cdk.com/browse/"&amp;Table113[[#This Row],[Issue Key]],"Link"),"")</f>
        <v/>
      </c>
      <c r="J131" s="18" t="str">
        <f>IF(NOT(ISBLANK(Table113[[#This Row],[Feature Key]])),HYPERLINK("https://projects.cdk.com/browse/"&amp;Table113[[#This Row],[Feature Key]],"Link"),"")</f>
        <v/>
      </c>
      <c r="K131" s="130" t="str">
        <f>IFERROR(VLOOKUP(Table113[[#This Row],[Feature Key]],Table1[[Feature Key]:[Feature Summary]],5,FALSE),"")</f>
        <v/>
      </c>
    </row>
    <row r="132" spans="2:11" x14ac:dyDescent="0.25">
      <c r="B132">
        <v>129</v>
      </c>
      <c r="F132" s="5" t="str">
        <f>IF(NOT(ISBLANK(Table113[[#This Row],[Issue Key]])),HYPERLINK("https://projects.cdk.com/browse/"&amp;Table113[[#This Row],[Issue Key]],"Link"),"")</f>
        <v/>
      </c>
      <c r="J132" s="18" t="str">
        <f>IF(NOT(ISBLANK(Table113[[#This Row],[Feature Key]])),HYPERLINK("https://projects.cdk.com/browse/"&amp;Table113[[#This Row],[Feature Key]],"Link"),"")</f>
        <v/>
      </c>
      <c r="K132" s="130" t="str">
        <f>IFERROR(VLOOKUP(Table113[[#This Row],[Feature Key]],Table1[[Feature Key]:[Feature Summary]],5,FALSE),"")</f>
        <v/>
      </c>
    </row>
    <row r="133" spans="2:11" x14ac:dyDescent="0.25">
      <c r="B133">
        <v>130</v>
      </c>
      <c r="F133" s="5" t="str">
        <f>IF(NOT(ISBLANK(Table113[[#This Row],[Issue Key]])),HYPERLINK("https://projects.cdk.com/browse/"&amp;Table113[[#This Row],[Issue Key]],"Link"),"")</f>
        <v/>
      </c>
      <c r="J133" s="18" t="str">
        <f>IF(NOT(ISBLANK(Table113[[#This Row],[Feature Key]])),HYPERLINK("https://projects.cdk.com/browse/"&amp;Table113[[#This Row],[Feature Key]],"Link"),"")</f>
        <v/>
      </c>
      <c r="K133" s="130" t="str">
        <f>IFERROR(VLOOKUP(Table113[[#This Row],[Feature Key]],Table1[[Feature Key]:[Feature Summary]],5,FALSE),"")</f>
        <v/>
      </c>
    </row>
    <row r="134" spans="2:11" x14ac:dyDescent="0.25">
      <c r="B134">
        <v>131</v>
      </c>
      <c r="F134" s="5" t="str">
        <f>IF(NOT(ISBLANK(Table113[[#This Row],[Issue Key]])),HYPERLINK("https://projects.cdk.com/browse/"&amp;Table113[[#This Row],[Issue Key]],"Link"),"")</f>
        <v/>
      </c>
      <c r="J134" s="18" t="str">
        <f>IF(NOT(ISBLANK(Table113[[#This Row],[Feature Key]])),HYPERLINK("https://projects.cdk.com/browse/"&amp;Table113[[#This Row],[Feature Key]],"Link"),"")</f>
        <v/>
      </c>
      <c r="K134" s="130" t="str">
        <f>IFERROR(VLOOKUP(Table113[[#This Row],[Feature Key]],Table1[[Feature Key]:[Feature Summary]],5,FALSE),"")</f>
        <v/>
      </c>
    </row>
    <row r="135" spans="2:11" x14ac:dyDescent="0.25">
      <c r="B135">
        <v>132</v>
      </c>
      <c r="F135" s="5" t="str">
        <f>IF(NOT(ISBLANK(Table113[[#This Row],[Issue Key]])),HYPERLINK("https://projects.cdk.com/browse/"&amp;Table113[[#This Row],[Issue Key]],"Link"),"")</f>
        <v/>
      </c>
      <c r="J135" s="18" t="str">
        <f>IF(NOT(ISBLANK(Table113[[#This Row],[Feature Key]])),HYPERLINK("https://projects.cdk.com/browse/"&amp;Table113[[#This Row],[Feature Key]],"Link"),"")</f>
        <v/>
      </c>
      <c r="K135" s="130" t="str">
        <f>IFERROR(VLOOKUP(Table113[[#This Row],[Feature Key]],Table1[[Feature Key]:[Feature Summary]],5,FALSE),"")</f>
        <v/>
      </c>
    </row>
    <row r="136" spans="2:11" x14ac:dyDescent="0.25">
      <c r="B136">
        <v>133</v>
      </c>
      <c r="F136" s="5" t="str">
        <f>IF(NOT(ISBLANK(Table113[[#This Row],[Issue Key]])),HYPERLINK("https://projects.cdk.com/browse/"&amp;Table113[[#This Row],[Issue Key]],"Link"),"")</f>
        <v/>
      </c>
      <c r="J136" s="18" t="str">
        <f>IF(NOT(ISBLANK(Table113[[#This Row],[Feature Key]])),HYPERLINK("https://projects.cdk.com/browse/"&amp;Table113[[#This Row],[Feature Key]],"Link"),"")</f>
        <v/>
      </c>
      <c r="K136" s="130" t="str">
        <f>IFERROR(VLOOKUP(Table113[[#This Row],[Feature Key]],Table1[[Feature Key]:[Feature Summary]],5,FALSE),"")</f>
        <v/>
      </c>
    </row>
    <row r="137" spans="2:11" x14ac:dyDescent="0.25">
      <c r="B137">
        <v>134</v>
      </c>
      <c r="F137" s="5" t="str">
        <f>IF(NOT(ISBLANK(Table113[[#This Row],[Issue Key]])),HYPERLINK("https://projects.cdk.com/browse/"&amp;Table113[[#This Row],[Issue Key]],"Link"),"")</f>
        <v/>
      </c>
      <c r="J137" s="5" t="str">
        <f>IF(NOT(ISBLANK(Table113[[#This Row],[Feature Key]])),HYPERLINK("https://projects.cdk.com/browse/"&amp;Table113[[#This Row],[Feature Key]],"Link"),"")</f>
        <v/>
      </c>
      <c r="K137" s="130" t="str">
        <f>IFERROR(VLOOKUP(Table113[[#This Row],[Feature Key]],Table1[[Feature Key]:[Feature Summary]],5,FALSE),"")</f>
        <v/>
      </c>
    </row>
    <row r="138" spans="2:11" x14ac:dyDescent="0.25">
      <c r="B138">
        <v>135</v>
      </c>
      <c r="F138" s="5" t="str">
        <f>IF(NOT(ISBLANK(Table113[[#This Row],[Issue Key]])),HYPERLINK("https://projects.cdk.com/browse/"&amp;Table113[[#This Row],[Issue Key]],"Link"),"")</f>
        <v/>
      </c>
      <c r="J138" s="5" t="str">
        <f>IF(NOT(ISBLANK(Table113[[#This Row],[Feature Key]])),HYPERLINK("https://projects.cdk.com/browse/"&amp;Table113[[#This Row],[Feature Key]],"Link"),"")</f>
        <v/>
      </c>
      <c r="K138" s="130" t="str">
        <f>IFERROR(VLOOKUP(Table113[[#This Row],[Feature Key]],Table1[[Feature Key]:[Feature Summary]],5,FALSE),"")</f>
        <v/>
      </c>
    </row>
    <row r="139" spans="2:11" x14ac:dyDescent="0.25">
      <c r="B139">
        <v>136</v>
      </c>
      <c r="F139" s="5" t="str">
        <f>IF(NOT(ISBLANK(Table113[[#This Row],[Issue Key]])),HYPERLINK("https://projects.cdk.com/browse/"&amp;Table113[[#This Row],[Issue Key]],"Link"),"")</f>
        <v/>
      </c>
      <c r="J139" s="5" t="str">
        <f>IF(NOT(ISBLANK(Table113[[#This Row],[Feature Key]])),HYPERLINK("https://projects.cdk.com/browse/"&amp;Table113[[#This Row],[Feature Key]],"Link"),"")</f>
        <v/>
      </c>
      <c r="K139" s="130" t="str">
        <f>IFERROR(VLOOKUP(Table113[[#This Row],[Feature Key]],Table1[[Feature Key]:[Feature Summary]],5,FALSE),"")</f>
        <v/>
      </c>
    </row>
    <row r="140" spans="2:11" x14ac:dyDescent="0.25">
      <c r="B140">
        <v>137</v>
      </c>
      <c r="F140" s="5" t="str">
        <f>IF(NOT(ISBLANK(Table113[[#This Row],[Issue Key]])),HYPERLINK("https://projects.cdk.com/browse/"&amp;Table113[[#This Row],[Issue Key]],"Link"),"")</f>
        <v/>
      </c>
      <c r="J140" s="5" t="str">
        <f>IF(NOT(ISBLANK(Table113[[#This Row],[Feature Key]])),HYPERLINK("https://projects.cdk.com/browse/"&amp;Table113[[#This Row],[Feature Key]],"Link"),"")</f>
        <v/>
      </c>
      <c r="K140" s="130" t="str">
        <f>IFERROR(VLOOKUP(Table113[[#This Row],[Feature Key]],Table1[[Feature Key]:[Feature Summary]],5,FALSE),"")</f>
        <v/>
      </c>
    </row>
    <row r="141" spans="2:11" x14ac:dyDescent="0.25">
      <c r="B141">
        <v>138</v>
      </c>
      <c r="F141" s="5" t="str">
        <f>IF(NOT(ISBLANK(Table113[[#This Row],[Issue Key]])),HYPERLINK("https://projects.cdk.com/browse/"&amp;Table113[[#This Row],[Issue Key]],"Link"),"")</f>
        <v/>
      </c>
      <c r="J141" s="5" t="str">
        <f>IF(NOT(ISBLANK(Table113[[#This Row],[Feature Key]])),HYPERLINK("https://projects.cdk.com/browse/"&amp;Table113[[#This Row],[Feature Key]],"Link"),"")</f>
        <v/>
      </c>
      <c r="K141" s="130" t="str">
        <f>IFERROR(VLOOKUP(Table113[[#This Row],[Feature Key]],Table1[[Feature Key]:[Feature Summary]],5,FALSE),"")</f>
        <v/>
      </c>
    </row>
    <row r="142" spans="2:11" x14ac:dyDescent="0.25">
      <c r="B142">
        <v>139</v>
      </c>
      <c r="F142" s="5" t="str">
        <f>IF(NOT(ISBLANK(Table113[[#This Row],[Issue Key]])),HYPERLINK("https://projects.cdk.com/browse/"&amp;Table113[[#This Row],[Issue Key]],"Link"),"")</f>
        <v/>
      </c>
      <c r="J142" s="5" t="str">
        <f>IF(NOT(ISBLANK(Table113[[#This Row],[Feature Key]])),HYPERLINK("https://projects.cdk.com/browse/"&amp;Table113[[#This Row],[Feature Key]],"Link"),"")</f>
        <v/>
      </c>
      <c r="K142" s="130" t="str">
        <f>IFERROR(VLOOKUP(Table113[[#This Row],[Feature Key]],Table1[[Feature Key]:[Feature Summary]],5,FALSE),"")</f>
        <v/>
      </c>
    </row>
    <row r="143" spans="2:11" x14ac:dyDescent="0.25">
      <c r="B143">
        <v>140</v>
      </c>
      <c r="F143" s="5" t="str">
        <f>IF(NOT(ISBLANK(Table113[[#This Row],[Issue Key]])),HYPERLINK("https://projects.cdk.com/browse/"&amp;Table113[[#This Row],[Issue Key]],"Link"),"")</f>
        <v/>
      </c>
      <c r="J143" s="5" t="str">
        <f>IF(NOT(ISBLANK(Table113[[#This Row],[Feature Key]])),HYPERLINK("https://projects.cdk.com/browse/"&amp;Table113[[#This Row],[Feature Key]],"Link"),"")</f>
        <v/>
      </c>
      <c r="K143" s="130" t="str">
        <f>IFERROR(VLOOKUP(Table113[[#This Row],[Feature Key]],Table1[[Feature Key]:[Feature Summary]],5,FALSE),"")</f>
        <v/>
      </c>
    </row>
    <row r="144" spans="2:11" x14ac:dyDescent="0.25">
      <c r="B144">
        <v>141</v>
      </c>
      <c r="F144" s="5" t="str">
        <f>IF(NOT(ISBLANK(Table113[[#This Row],[Issue Key]])),HYPERLINK("https://projects.cdk.com/browse/"&amp;Table113[[#This Row],[Issue Key]],"Link"),"")</f>
        <v/>
      </c>
      <c r="J144" s="5" t="str">
        <f>IF(NOT(ISBLANK(Table113[[#This Row],[Feature Key]])),HYPERLINK("https://projects.cdk.com/browse/"&amp;Table113[[#This Row],[Feature Key]],"Link"),"")</f>
        <v/>
      </c>
      <c r="K144" s="130" t="str">
        <f>IFERROR(VLOOKUP(Table113[[#This Row],[Feature Key]],Table1[[Feature Key]:[Feature Summary]],5,FALSE),"")</f>
        <v/>
      </c>
    </row>
    <row r="145" spans="2:11" x14ac:dyDescent="0.25">
      <c r="B145">
        <v>142</v>
      </c>
      <c r="F145" s="5" t="str">
        <f>IF(NOT(ISBLANK(Table113[[#This Row],[Issue Key]])),HYPERLINK("https://projects.cdk.com/browse/"&amp;Table113[[#This Row],[Issue Key]],"Link"),"")</f>
        <v/>
      </c>
      <c r="J145" s="5" t="str">
        <f>IF(NOT(ISBLANK(Table113[[#This Row],[Feature Key]])),HYPERLINK("https://projects.cdk.com/browse/"&amp;Table113[[#This Row],[Feature Key]],"Link"),"")</f>
        <v/>
      </c>
      <c r="K145" s="130" t="str">
        <f>IFERROR(VLOOKUP(Table113[[#This Row],[Feature Key]],Table1[[Feature Key]:[Feature Summary]],5,FALSE),"")</f>
        <v/>
      </c>
    </row>
    <row r="146" spans="2:11" x14ac:dyDescent="0.25">
      <c r="B146">
        <v>143</v>
      </c>
      <c r="F146" s="5" t="str">
        <f>IF(NOT(ISBLANK(Table113[[#This Row],[Issue Key]])),HYPERLINK("https://projects.cdk.com/browse/"&amp;Table113[[#This Row],[Issue Key]],"Link"),"")</f>
        <v/>
      </c>
      <c r="J146" s="5" t="str">
        <f>IF(NOT(ISBLANK(Table113[[#This Row],[Feature Key]])),HYPERLINK("https://projects.cdk.com/browse/"&amp;Table113[[#This Row],[Feature Key]],"Link"),"")</f>
        <v/>
      </c>
      <c r="K146" s="130" t="str">
        <f>IFERROR(VLOOKUP(Table113[[#This Row],[Feature Key]],Table1[[Feature Key]:[Feature Summary]],5,FALSE),"")</f>
        <v/>
      </c>
    </row>
    <row r="147" spans="2:11" x14ac:dyDescent="0.25">
      <c r="B147">
        <v>144</v>
      </c>
      <c r="F147" s="5" t="str">
        <f>IF(NOT(ISBLANK(Table113[[#This Row],[Issue Key]])),HYPERLINK("https://projects.cdk.com/browse/"&amp;Table113[[#This Row],[Issue Key]],"Link"),"")</f>
        <v/>
      </c>
      <c r="J147" s="5" t="str">
        <f>IF(NOT(ISBLANK(Table113[[#This Row],[Feature Key]])),HYPERLINK("https://projects.cdk.com/browse/"&amp;Table113[[#This Row],[Feature Key]],"Link"),"")</f>
        <v/>
      </c>
      <c r="K147" s="130" t="str">
        <f>IFERROR(VLOOKUP(Table113[[#This Row],[Feature Key]],Table1[[Feature Key]:[Feature Summary]],5,FALSE),"")</f>
        <v/>
      </c>
    </row>
    <row r="148" spans="2:11" x14ac:dyDescent="0.25">
      <c r="B148">
        <v>145</v>
      </c>
      <c r="F148" s="5" t="str">
        <f>IF(NOT(ISBLANK(Table113[[#This Row],[Issue Key]])),HYPERLINK("https://projects.cdk.com/browse/"&amp;Table113[[#This Row],[Issue Key]],"Link"),"")</f>
        <v/>
      </c>
      <c r="J148" s="18" t="str">
        <f>IF(NOT(ISBLANK(Table113[[#This Row],[Feature Key]])),HYPERLINK("https://projects.cdk.com/browse/"&amp;Table113[[#This Row],[Feature Key]],"Link"),"")</f>
        <v/>
      </c>
      <c r="K148" s="130" t="str">
        <f>IFERROR(VLOOKUP(Table113[[#This Row],[Feature Key]],Table1[[Feature Key]:[Feature Summary]],5,FALSE),"")</f>
        <v/>
      </c>
    </row>
    <row r="149" spans="2:11" x14ac:dyDescent="0.25">
      <c r="B149">
        <v>146</v>
      </c>
      <c r="F149" s="5" t="str">
        <f>IF(NOT(ISBLANK(Table113[[#This Row],[Issue Key]])),HYPERLINK("https://projects.cdk.com/browse/"&amp;Table113[[#This Row],[Issue Key]],"Link"),"")</f>
        <v/>
      </c>
      <c r="J149" s="18" t="str">
        <f>IF(NOT(ISBLANK(Table113[[#This Row],[Feature Key]])),HYPERLINK("https://projects.cdk.com/browse/"&amp;Table113[[#This Row],[Feature Key]],"Link"),"")</f>
        <v/>
      </c>
      <c r="K149" s="130" t="str">
        <f>IFERROR(VLOOKUP(Table113[[#This Row],[Feature Key]],Table1[[Feature Key]:[Feature Summary]],5,FALSE),"")</f>
        <v/>
      </c>
    </row>
    <row r="150" spans="2:11" x14ac:dyDescent="0.25">
      <c r="B150">
        <v>147</v>
      </c>
      <c r="F150" s="5" t="str">
        <f>IF(NOT(ISBLANK(Table113[[#This Row],[Issue Key]])),HYPERLINK("https://projects.cdk.com/browse/"&amp;Table113[[#This Row],[Issue Key]],"Link"),"")</f>
        <v/>
      </c>
      <c r="J150" s="18" t="str">
        <f>IF(NOT(ISBLANK(Table113[[#This Row],[Feature Key]])),HYPERLINK("https://projects.cdk.com/browse/"&amp;Table113[[#This Row],[Feature Key]],"Link"),"")</f>
        <v/>
      </c>
      <c r="K150" s="130" t="str">
        <f>IFERROR(VLOOKUP(Table113[[#This Row],[Feature Key]],Table1[[Feature Key]:[Feature Summary]],5,FALSE),"")</f>
        <v/>
      </c>
    </row>
    <row r="151" spans="2:11" x14ac:dyDescent="0.25">
      <c r="B151">
        <v>148</v>
      </c>
      <c r="F151" s="5" t="str">
        <f>IF(NOT(ISBLANK(Table113[[#This Row],[Issue Key]])),HYPERLINK("https://projects.cdk.com/browse/"&amp;Table113[[#This Row],[Issue Key]],"Link"),"")</f>
        <v/>
      </c>
      <c r="J151" s="18" t="str">
        <f>IF(NOT(ISBLANK(Table113[[#This Row],[Feature Key]])),HYPERLINK("https://projects.cdk.com/browse/"&amp;Table113[[#This Row],[Feature Key]],"Link"),"")</f>
        <v/>
      </c>
      <c r="K151" s="130" t="str">
        <f>IFERROR(VLOOKUP(Table113[[#This Row],[Feature Key]],Table1[[Feature Key]:[Feature Summary]],5,FALSE),"")</f>
        <v/>
      </c>
    </row>
    <row r="152" spans="2:11" x14ac:dyDescent="0.25">
      <c r="B152">
        <v>149</v>
      </c>
      <c r="F152" s="5" t="str">
        <f>IF(NOT(ISBLANK(Table113[[#This Row],[Issue Key]])),HYPERLINK("https://projects.cdk.com/browse/"&amp;Table113[[#This Row],[Issue Key]],"Link"),"")</f>
        <v/>
      </c>
      <c r="J152" s="5" t="str">
        <f>IF(NOT(ISBLANK(Table113[[#This Row],[Feature Key]])),HYPERLINK("https://projects.cdk.com/browse/"&amp;Table113[[#This Row],[Feature Key]],"Link"),"")</f>
        <v/>
      </c>
      <c r="K152" s="130" t="str">
        <f>IFERROR(VLOOKUP(Table113[[#This Row],[Feature Key]],Table1[[Feature Key]:[Feature Summary]],5,FALSE),"")</f>
        <v/>
      </c>
    </row>
    <row r="153" spans="2:11" x14ac:dyDescent="0.25">
      <c r="F153" s="5" t="str">
        <f>IF(NOT(ISBLANK(Table113[[#This Row],[Issue Key]])),HYPERLINK("https://projects.cdk.com/browse/"&amp;Table113[[#This Row],[Issue Key]],"Link"),"")</f>
        <v/>
      </c>
      <c r="J153" s="5" t="str">
        <f>IF(NOT(ISBLANK(Table113[[#This Row],[Feature Key]])),HYPERLINK("https://projects.cdk.com/browse/"&amp;Table113[[#This Row],[Feature Key]],"Link"),"")</f>
        <v/>
      </c>
      <c r="K153" s="130" t="str">
        <f>IFERROR(VLOOKUP(Table113[[#This Row],[Feature Key]],Table1[[Feature Key]:[Feature Summary]],5,FALSE),"")</f>
        <v/>
      </c>
    </row>
    <row r="154" spans="2:11" x14ac:dyDescent="0.25">
      <c r="F154" s="5" t="str">
        <f>IF(NOT(ISBLANK(Table113[[#This Row],[Issue Key]])),HYPERLINK("https://projects.cdk.com/browse/"&amp;Table113[[#This Row],[Issue Key]],"Link"),"")</f>
        <v/>
      </c>
      <c r="J154" s="5" t="str">
        <f>IF(NOT(ISBLANK(Table113[[#This Row],[Feature Key]])),HYPERLINK("https://projects.cdk.com/browse/"&amp;Table113[[#This Row],[Feature Key]],"Link"),"")</f>
        <v/>
      </c>
      <c r="K154" s="130" t="str">
        <f>IFERROR(VLOOKUP(Table113[[#This Row],[Feature Key]],Table1[[Feature Key]:[Feature Summary]],5,FALSE),"")</f>
        <v/>
      </c>
    </row>
    <row r="155" spans="2:11" x14ac:dyDescent="0.25">
      <c r="F155" s="5" t="str">
        <f>IF(NOT(ISBLANK(Table113[[#This Row],[Issue Key]])),HYPERLINK("https://projects.cdk.com/browse/"&amp;Table113[[#This Row],[Issue Key]],"Link"),"")</f>
        <v/>
      </c>
      <c r="J155" s="18" t="str">
        <f>IF(NOT(ISBLANK(Table113[[#This Row],[Feature Key]])),HYPERLINK("https://projects.cdk.com/browse/"&amp;Table113[[#This Row],[Feature Key]],"Link"),"")</f>
        <v/>
      </c>
      <c r="K155" s="130" t="str">
        <f>IFERROR(VLOOKUP(Table113[[#This Row],[Feature Key]],Table1[[Feature Key]:[Feature Summary]],5,FALSE),"")</f>
        <v/>
      </c>
    </row>
    <row r="156" spans="2:11" x14ac:dyDescent="0.25">
      <c r="E156" s="5"/>
      <c r="F156" s="18" t="str">
        <f>IF(NOT(ISBLANK(Table113[[#This Row],[Issue Key]])),HYPERLINK("https://projects.cdk.com/browse/"&amp;Table113[[#This Row],[Issue Key]],"Link"),"")</f>
        <v/>
      </c>
      <c r="J156" s="18" t="str">
        <f>IF(NOT(ISBLANK(Table113[[#This Row],[Feature Key]])),HYPERLINK("https://projects.cdk.com/browse/"&amp;Table113[[#This Row],[Feature Key]],"Link"),"")</f>
        <v/>
      </c>
      <c r="K156" s="130" t="str">
        <f>IFERROR(VLOOKUP(Table113[[#This Row],[Feature Key]],Table1[[Feature Key]:[Feature Summary]],5,FALSE),"")</f>
        <v/>
      </c>
    </row>
    <row r="157" spans="2:11" x14ac:dyDescent="0.25">
      <c r="E157" s="5"/>
      <c r="F157" s="18" t="str">
        <f>IF(NOT(ISBLANK(Table113[[#This Row],[Issue Key]])),HYPERLINK("https://projects.cdk.com/browse/"&amp;Table113[[#This Row],[Issue Key]],"Link"),"")</f>
        <v/>
      </c>
      <c r="J157" s="18" t="str">
        <f>IF(NOT(ISBLANK(Table113[[#This Row],[Feature Key]])),HYPERLINK("https://projects.cdk.com/browse/"&amp;Table113[[#This Row],[Feature Key]],"Link"),"")</f>
        <v/>
      </c>
      <c r="K157" s="130" t="str">
        <f>IFERROR(VLOOKUP(Table113[[#This Row],[Feature Key]],Table1[[Feature Key]:[Feature Summary]],5,FALSE),"")</f>
        <v/>
      </c>
    </row>
    <row r="158" spans="2:11" x14ac:dyDescent="0.25">
      <c r="E158" s="5"/>
      <c r="F158" s="18" t="str">
        <f>IF(NOT(ISBLANK(Table113[[#This Row],[Issue Key]])),HYPERLINK("https://projects.cdk.com/browse/"&amp;Table113[[#This Row],[Issue Key]],"Link"),"")</f>
        <v/>
      </c>
      <c r="J158" s="18" t="str">
        <f>IF(NOT(ISBLANK(Table113[[#This Row],[Feature Key]])),HYPERLINK("https://projects.cdk.com/browse/"&amp;Table113[[#This Row],[Feature Key]],"Link"),"")</f>
        <v/>
      </c>
      <c r="K158" s="130" t="str">
        <f>IFERROR(VLOOKUP(Table113[[#This Row],[Feature Key]],Table1[[Feature Key]:[Feature Summary]],5,FALSE),"")</f>
        <v/>
      </c>
    </row>
    <row r="159" spans="2:11" x14ac:dyDescent="0.25">
      <c r="E159" s="5"/>
      <c r="F159" s="18" t="str">
        <f>IF(NOT(ISBLANK(Table113[[#This Row],[Issue Key]])),HYPERLINK("https://projects.cdk.com/browse/"&amp;Table113[[#This Row],[Issue Key]],"Link"),"")</f>
        <v/>
      </c>
      <c r="J159" s="18" t="str">
        <f>IF(NOT(ISBLANK(Table113[[#This Row],[Feature Key]])),HYPERLINK("https://projects.cdk.com/browse/"&amp;Table113[[#This Row],[Feature Key]],"Link"),"")</f>
        <v/>
      </c>
      <c r="K159" s="130" t="str">
        <f>IFERROR(VLOOKUP(Table113[[#This Row],[Feature Key]],Table1[[Feature Key]:[Feature Summary]],5,FALSE),"")</f>
        <v/>
      </c>
    </row>
    <row r="160" spans="2:11" x14ac:dyDescent="0.25">
      <c r="E160" s="5"/>
      <c r="F160" s="18" t="str">
        <f>IF(NOT(ISBLANK(Table113[[#This Row],[Issue Key]])),HYPERLINK("https://projects.cdk.com/browse/"&amp;Table113[[#This Row],[Issue Key]],"Link"),"")</f>
        <v/>
      </c>
      <c r="J160" s="18" t="str">
        <f>IF(NOT(ISBLANK(Table113[[#This Row],[Feature Key]])),HYPERLINK("https://projects.cdk.com/browse/"&amp;Table113[[#This Row],[Feature Key]],"Link"),"")</f>
        <v/>
      </c>
      <c r="K160" s="130" t="str">
        <f>IFERROR(VLOOKUP(Table113[[#This Row],[Feature Key]],Table1[[Feature Key]:[Feature Summary]],5,FALSE),"")</f>
        <v/>
      </c>
    </row>
  </sheetData>
  <phoneticPr fontId="4" type="noConversion"/>
  <pageMargins left="0.7" right="0.7" top="0.75" bottom="0.75" header="0.3" footer="0.3"/>
  <pageSetup orientation="portrait" horizontalDpi="360" verticalDpi="360" r:id="rId1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79C7-4E0B-40EA-B8AD-2F1E29F10D98}">
  <dimension ref="B2:X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RowHeight="15" x14ac:dyDescent="0.25"/>
  <cols>
    <col min="1" max="1" width="3.28515625" customWidth="1"/>
    <col min="2" max="2" width="26.42578125" customWidth="1"/>
    <col min="3" max="3" width="17.5703125" bestFit="1" customWidth="1"/>
    <col min="4" max="5" width="12.7109375" style="21" customWidth="1"/>
    <col min="6" max="15" width="3.7109375" style="23" customWidth="1"/>
    <col min="16" max="17" width="11.7109375" style="23" customWidth="1"/>
    <col min="18" max="18" width="11.7109375" customWidth="1"/>
    <col min="19" max="19" width="11.7109375" style="21" customWidth="1"/>
    <col min="20" max="20" width="11.7109375" style="22" customWidth="1"/>
    <col min="21" max="23" width="11.7109375" customWidth="1"/>
    <col min="24" max="24" width="54.85546875" customWidth="1"/>
  </cols>
  <sheetData>
    <row r="2" spans="2:24" ht="21" x14ac:dyDescent="0.35">
      <c r="B2" s="1" t="s">
        <v>94</v>
      </c>
      <c r="C2" s="1" t="s">
        <v>277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S2"/>
      <c r="T2"/>
    </row>
    <row r="3" spans="2:24" s="38" customFormat="1" ht="15" customHeight="1" x14ac:dyDescent="0.2">
      <c r="B3" s="39"/>
      <c r="C3" s="39"/>
      <c r="D3" s="39"/>
      <c r="E3" s="39"/>
      <c r="R3" s="39"/>
      <c r="S3" s="39"/>
      <c r="T3" s="39"/>
    </row>
    <row r="4" spans="2:24" x14ac:dyDescent="0.25">
      <c r="F4" s="86" t="s">
        <v>95</v>
      </c>
      <c r="Q4" s="86" t="s">
        <v>96</v>
      </c>
    </row>
    <row r="5" spans="2:24" x14ac:dyDescent="0.25">
      <c r="F5" s="86" t="s">
        <v>97</v>
      </c>
      <c r="G5" s="86"/>
      <c r="H5" s="86"/>
      <c r="I5" s="86"/>
      <c r="J5" s="86"/>
      <c r="K5" s="86"/>
      <c r="L5" s="86"/>
      <c r="M5" s="86"/>
      <c r="N5" s="86"/>
      <c r="O5" s="86"/>
      <c r="Q5" s="86" t="s">
        <v>98</v>
      </c>
    </row>
    <row r="6" spans="2:24" s="19" customFormat="1" ht="75" x14ac:dyDescent="0.25">
      <c r="B6" s="19" t="s">
        <v>71</v>
      </c>
      <c r="C6" s="19" t="s">
        <v>99</v>
      </c>
      <c r="D6" s="20" t="s">
        <v>100</v>
      </c>
      <c r="E6" s="87" t="s">
        <v>101</v>
      </c>
      <c r="F6" s="88" t="s">
        <v>102</v>
      </c>
      <c r="G6" s="88" t="s">
        <v>103</v>
      </c>
      <c r="H6" s="88" t="s">
        <v>104</v>
      </c>
      <c r="I6" s="88" t="s">
        <v>105</v>
      </c>
      <c r="J6" s="88" t="s">
        <v>106</v>
      </c>
      <c r="K6" s="88" t="s">
        <v>107</v>
      </c>
      <c r="L6" s="88" t="s">
        <v>108</v>
      </c>
      <c r="M6" s="88" t="s">
        <v>109</v>
      </c>
      <c r="N6" s="88" t="s">
        <v>110</v>
      </c>
      <c r="O6" s="88" t="s">
        <v>111</v>
      </c>
      <c r="P6" s="89" t="s">
        <v>112</v>
      </c>
      <c r="Q6" s="89" t="s">
        <v>113</v>
      </c>
      <c r="R6" s="90" t="s">
        <v>114</v>
      </c>
      <c r="S6" s="90" t="s">
        <v>115</v>
      </c>
      <c r="T6" s="91" t="s">
        <v>116</v>
      </c>
      <c r="U6" s="90" t="s">
        <v>117</v>
      </c>
      <c r="V6" s="90" t="s">
        <v>118</v>
      </c>
      <c r="W6" s="92" t="s">
        <v>119</v>
      </c>
      <c r="X6" s="19" t="s">
        <v>120</v>
      </c>
    </row>
    <row r="7" spans="2:24" x14ac:dyDescent="0.25">
      <c r="B7" s="93" t="s">
        <v>269</v>
      </c>
      <c r="C7" s="93" t="s">
        <v>121</v>
      </c>
      <c r="D7" s="94">
        <v>0.8</v>
      </c>
      <c r="E7" s="95">
        <f>TeamCapacity1[[#This Row],[Estimated % of Time Dedicated to this Team]]*80</f>
        <v>64</v>
      </c>
      <c r="F7" s="96">
        <v>8</v>
      </c>
      <c r="G7" s="96">
        <v>8</v>
      </c>
      <c r="H7" s="96">
        <v>8</v>
      </c>
      <c r="I7" s="96">
        <v>8</v>
      </c>
      <c r="J7" s="96">
        <v>8</v>
      </c>
      <c r="K7" s="96">
        <v>8</v>
      </c>
      <c r="L7" s="96">
        <v>8</v>
      </c>
      <c r="M7" s="96">
        <v>8</v>
      </c>
      <c r="N7" s="96">
        <v>8</v>
      </c>
      <c r="O7" s="96">
        <v>8</v>
      </c>
      <c r="P7" s="97">
        <f t="shared" ref="P7:P14" si="0">SUM(F7:O7)</f>
        <v>80</v>
      </c>
      <c r="Q7" s="98"/>
      <c r="R7" s="8">
        <f>(IF(NOT(ISBLANK(TeamCapacity1[[#This Row],[Time Off (Override)]])),TeamCapacity1[[#This Row],[Estimated Dedicated Hours
(Calculated)]]-TeamCapacity1[[#This Row],[Time Off (Override)]],TeamCapacity1[[#This Row],[Hours Available (Calculated by Day Availability)]]))</f>
        <v>80</v>
      </c>
      <c r="S7" s="21">
        <v>0.3</v>
      </c>
      <c r="T7" s="22">
        <v>0.12</v>
      </c>
      <c r="U7" s="8">
        <f>MAX(0,(TeamCapacity1[[#This Row],[Max Possible Capacity (Calculated)]]-(TeamCapacity1[[#This Row],[Max Possible Capacity (Calculated)]]*TeamCapacity1[[#This Row],[% Time for Training, QA, and Support]])-(TeamCapacity1[[#This Row],[Max Possible Capacity (Calculated)]]*TeamCapacity1[[#This Row],[Estimated Hours Dedicated to Team Meetings]])))</f>
        <v>46.4</v>
      </c>
      <c r="V7" s="8">
        <f>TeamCapacity1[[#This Row],[Available Hours (Calculated)]]/8</f>
        <v>5.8</v>
      </c>
      <c r="W7">
        <v>5</v>
      </c>
    </row>
    <row r="8" spans="2:24" x14ac:dyDescent="0.25">
      <c r="B8" s="99" t="s">
        <v>271</v>
      </c>
      <c r="C8" s="99" t="s">
        <v>121</v>
      </c>
      <c r="D8" s="100">
        <v>1</v>
      </c>
      <c r="E8" s="95">
        <f>TeamCapacity1[[#This Row],[Estimated % of Time Dedicated to this Team]]*80</f>
        <v>80</v>
      </c>
      <c r="F8" s="96">
        <v>8</v>
      </c>
      <c r="G8" s="96">
        <v>8</v>
      </c>
      <c r="H8" s="96">
        <v>8</v>
      </c>
      <c r="I8" s="96">
        <v>8</v>
      </c>
      <c r="J8" s="96">
        <v>8</v>
      </c>
      <c r="K8" s="96">
        <v>8</v>
      </c>
      <c r="L8" s="96">
        <v>8</v>
      </c>
      <c r="M8" s="96">
        <v>8</v>
      </c>
      <c r="N8" s="96">
        <v>8</v>
      </c>
      <c r="O8" s="96">
        <v>8</v>
      </c>
      <c r="P8" s="97">
        <f t="shared" si="0"/>
        <v>80</v>
      </c>
      <c r="Q8" s="98"/>
      <c r="R8" s="8">
        <f>(IF(NOT(ISBLANK(TeamCapacity1[[#This Row],[Time Off (Override)]])),TeamCapacity1[[#This Row],[Estimated Dedicated Hours
(Calculated)]]-TeamCapacity1[[#This Row],[Time Off (Override)]],TeamCapacity1[[#This Row],[Hours Available (Calculated by Day Availability)]]))</f>
        <v>80</v>
      </c>
      <c r="S8" s="21">
        <v>0.8</v>
      </c>
      <c r="T8" s="22">
        <v>0.12</v>
      </c>
      <c r="U8" s="8">
        <f>MAX(0,(TeamCapacity1[[#This Row],[Max Possible Capacity (Calculated)]]-(TeamCapacity1[[#This Row],[Max Possible Capacity (Calculated)]]*TeamCapacity1[[#This Row],[% Time for Training, QA, and Support]])-(TeamCapacity1[[#This Row],[Max Possible Capacity (Calculated)]]*TeamCapacity1[[#This Row],[Estimated Hours Dedicated to Team Meetings]])))</f>
        <v>6.4</v>
      </c>
      <c r="V8" s="8">
        <f>TeamCapacity1[[#This Row],[Available Hours (Calculated)]]/8</f>
        <v>0.8</v>
      </c>
      <c r="W8">
        <v>2</v>
      </c>
    </row>
    <row r="9" spans="2:24" x14ac:dyDescent="0.25">
      <c r="B9" s="99" t="s">
        <v>270</v>
      </c>
      <c r="C9" s="99" t="s">
        <v>122</v>
      </c>
      <c r="D9" s="100">
        <v>1</v>
      </c>
      <c r="E9" s="95">
        <f>TeamCapacity1[[#This Row],[Estimated % of Time Dedicated to this Team]]*80</f>
        <v>80</v>
      </c>
      <c r="F9" s="96">
        <v>8</v>
      </c>
      <c r="G9" s="96">
        <v>8</v>
      </c>
      <c r="H9" s="96">
        <v>8</v>
      </c>
      <c r="I9" s="96">
        <v>8</v>
      </c>
      <c r="J9" s="96">
        <v>8</v>
      </c>
      <c r="K9" s="96">
        <v>8</v>
      </c>
      <c r="L9" s="96">
        <v>8</v>
      </c>
      <c r="M9" s="96">
        <v>8</v>
      </c>
      <c r="N9" s="96">
        <v>8</v>
      </c>
      <c r="O9" s="96">
        <v>8</v>
      </c>
      <c r="P9" s="97">
        <f t="shared" si="0"/>
        <v>80</v>
      </c>
      <c r="Q9" s="98"/>
      <c r="R9" s="8">
        <f>(IF(NOT(ISBLANK(TeamCapacity1[[#This Row],[Time Off (Override)]])),TeamCapacity1[[#This Row],[Estimated Dedicated Hours
(Calculated)]]-TeamCapacity1[[#This Row],[Time Off (Override)]],TeamCapacity1[[#This Row],[Hours Available (Calculated by Day Availability)]]))</f>
        <v>80</v>
      </c>
      <c r="S9" s="21">
        <v>0.2</v>
      </c>
      <c r="T9" s="22">
        <v>0.12</v>
      </c>
      <c r="U9" s="8">
        <f>MAX(0,(TeamCapacity1[[#This Row],[Max Possible Capacity (Calculated)]]-(TeamCapacity1[[#This Row],[Max Possible Capacity (Calculated)]]*TeamCapacity1[[#This Row],[% Time for Training, QA, and Support]])-(TeamCapacity1[[#This Row],[Max Possible Capacity (Calculated)]]*TeamCapacity1[[#This Row],[Estimated Hours Dedicated to Team Meetings]])))</f>
        <v>54.4</v>
      </c>
      <c r="V9" s="8">
        <f>TeamCapacity1[[#This Row],[Available Hours (Calculated)]]/8</f>
        <v>6.8</v>
      </c>
      <c r="W9">
        <v>6</v>
      </c>
    </row>
    <row r="10" spans="2:24" x14ac:dyDescent="0.25">
      <c r="B10" s="99" t="s">
        <v>272</v>
      </c>
      <c r="C10" s="99" t="s">
        <v>122</v>
      </c>
      <c r="D10" s="100">
        <v>0.8</v>
      </c>
      <c r="E10" s="95">
        <f>TeamCapacity1[[#This Row],[Estimated % of Time Dedicated to this Team]]*80</f>
        <v>64</v>
      </c>
      <c r="F10" s="96">
        <v>8</v>
      </c>
      <c r="G10" s="96">
        <v>8</v>
      </c>
      <c r="H10" s="96">
        <v>8</v>
      </c>
      <c r="I10" s="96">
        <v>8</v>
      </c>
      <c r="J10" s="96">
        <v>8</v>
      </c>
      <c r="K10" s="96">
        <v>8</v>
      </c>
      <c r="L10" s="96">
        <v>8</v>
      </c>
      <c r="M10" s="96">
        <v>8</v>
      </c>
      <c r="N10" s="96">
        <v>8</v>
      </c>
      <c r="O10" s="96">
        <v>8</v>
      </c>
      <c r="P10" s="97">
        <f t="shared" si="0"/>
        <v>80</v>
      </c>
      <c r="Q10" s="98"/>
      <c r="R10" s="8">
        <f>(IF(NOT(ISBLANK(TeamCapacity1[[#This Row],[Time Off (Override)]])),TeamCapacity1[[#This Row],[Estimated Dedicated Hours
(Calculated)]]-TeamCapacity1[[#This Row],[Time Off (Override)]],TeamCapacity1[[#This Row],[Hours Available (Calculated by Day Availability)]]))</f>
        <v>80</v>
      </c>
      <c r="S10" s="21">
        <v>0.2</v>
      </c>
      <c r="T10" s="22">
        <v>0.12</v>
      </c>
      <c r="U10" s="8">
        <f>MAX(0,(TeamCapacity1[[#This Row],[Max Possible Capacity (Calculated)]]-(TeamCapacity1[[#This Row],[Max Possible Capacity (Calculated)]]*TeamCapacity1[[#This Row],[% Time for Training, QA, and Support]])-(TeamCapacity1[[#This Row],[Max Possible Capacity (Calculated)]]*TeamCapacity1[[#This Row],[Estimated Hours Dedicated to Team Meetings]])))</f>
        <v>54.4</v>
      </c>
      <c r="V10" s="8">
        <f>TeamCapacity1[[#This Row],[Available Hours (Calculated)]]/8</f>
        <v>6.8</v>
      </c>
      <c r="W10">
        <v>6</v>
      </c>
    </row>
    <row r="11" spans="2:24" x14ac:dyDescent="0.25">
      <c r="B11" s="99" t="s">
        <v>273</v>
      </c>
      <c r="C11" s="99" t="s">
        <v>122</v>
      </c>
      <c r="D11" s="100">
        <v>0.85</v>
      </c>
      <c r="E11" s="95">
        <f>TeamCapacity1[[#This Row],[Estimated % of Time Dedicated to this Team]]*80</f>
        <v>68</v>
      </c>
      <c r="F11" s="96">
        <v>8</v>
      </c>
      <c r="G11" s="96">
        <v>8</v>
      </c>
      <c r="H11" s="96">
        <v>8</v>
      </c>
      <c r="I11" s="96">
        <v>8</v>
      </c>
      <c r="J11" s="96">
        <v>8</v>
      </c>
      <c r="K11" s="96">
        <v>8</v>
      </c>
      <c r="L11" s="96">
        <v>8</v>
      </c>
      <c r="M11" s="96">
        <v>8</v>
      </c>
      <c r="N11" s="96">
        <v>8</v>
      </c>
      <c r="O11" s="96">
        <v>8</v>
      </c>
      <c r="P11" s="97">
        <f t="shared" si="0"/>
        <v>80</v>
      </c>
      <c r="Q11" s="98"/>
      <c r="R11" s="8">
        <f>(IF(NOT(ISBLANK(TeamCapacity1[[#This Row],[Time Off (Override)]])),TeamCapacity1[[#This Row],[Estimated Dedicated Hours
(Calculated)]]-TeamCapacity1[[#This Row],[Time Off (Override)]],TeamCapacity1[[#This Row],[Hours Available (Calculated by Day Availability)]]))</f>
        <v>80</v>
      </c>
      <c r="S11" s="21">
        <v>0.2</v>
      </c>
      <c r="T11" s="22">
        <v>0.12</v>
      </c>
      <c r="U11" s="8">
        <f>MAX(0,(TeamCapacity1[[#This Row],[Max Possible Capacity (Calculated)]]-(TeamCapacity1[[#This Row],[Max Possible Capacity (Calculated)]]*TeamCapacity1[[#This Row],[% Time for Training, QA, and Support]])-(TeamCapacity1[[#This Row],[Max Possible Capacity (Calculated)]]*TeamCapacity1[[#This Row],[Estimated Hours Dedicated to Team Meetings]])))</f>
        <v>54.4</v>
      </c>
      <c r="V11" s="8">
        <f>TeamCapacity1[[#This Row],[Available Hours (Calculated)]]/8</f>
        <v>6.8</v>
      </c>
      <c r="W11">
        <v>6</v>
      </c>
    </row>
    <row r="12" spans="2:24" x14ac:dyDescent="0.25">
      <c r="B12" s="99" t="s">
        <v>274</v>
      </c>
      <c r="C12" s="99" t="s">
        <v>122</v>
      </c>
      <c r="D12" s="100">
        <v>1</v>
      </c>
      <c r="E12" s="95">
        <f>TeamCapacity1[[#This Row],[Estimated % of Time Dedicated to this Team]]*80</f>
        <v>80</v>
      </c>
      <c r="F12" s="96">
        <v>8</v>
      </c>
      <c r="G12" s="96">
        <v>8</v>
      </c>
      <c r="H12" s="96">
        <v>8</v>
      </c>
      <c r="I12" s="96">
        <v>8</v>
      </c>
      <c r="J12" s="96">
        <v>8</v>
      </c>
      <c r="K12" s="96">
        <v>8</v>
      </c>
      <c r="L12" s="96">
        <v>8</v>
      </c>
      <c r="M12" s="96">
        <v>8</v>
      </c>
      <c r="N12" s="96">
        <v>8</v>
      </c>
      <c r="O12" s="96">
        <v>8</v>
      </c>
      <c r="P12" s="97">
        <f t="shared" si="0"/>
        <v>80</v>
      </c>
      <c r="Q12" s="98"/>
      <c r="R12" s="8">
        <f>(IF(NOT(ISBLANK(TeamCapacity1[[#This Row],[Time Off (Override)]])),TeamCapacity1[[#This Row],[Estimated Dedicated Hours
(Calculated)]]-TeamCapacity1[[#This Row],[Time Off (Override)]],TeamCapacity1[[#This Row],[Hours Available (Calculated by Day Availability)]]))</f>
        <v>80</v>
      </c>
      <c r="S12" s="21">
        <v>0.25</v>
      </c>
      <c r="T12" s="22">
        <v>0.12</v>
      </c>
      <c r="U12" s="8">
        <f>MAX(0,(TeamCapacity1[[#This Row],[Max Possible Capacity (Calculated)]]-(TeamCapacity1[[#This Row],[Max Possible Capacity (Calculated)]]*TeamCapacity1[[#This Row],[% Time for Training, QA, and Support]])-(TeamCapacity1[[#This Row],[Max Possible Capacity (Calculated)]]*TeamCapacity1[[#This Row],[Estimated Hours Dedicated to Team Meetings]])))</f>
        <v>50.4</v>
      </c>
      <c r="V12" s="8">
        <f>TeamCapacity1[[#This Row],[Available Hours (Calculated)]]/8</f>
        <v>6.3</v>
      </c>
      <c r="W12">
        <v>6</v>
      </c>
    </row>
    <row r="13" spans="2:24" x14ac:dyDescent="0.25">
      <c r="B13" s="101" t="s">
        <v>275</v>
      </c>
      <c r="C13" t="s">
        <v>123</v>
      </c>
      <c r="D13" s="100">
        <v>1</v>
      </c>
      <c r="E13" s="95">
        <f>TeamCapacity1[[#This Row],[Estimated % of Time Dedicated to this Team]]*80</f>
        <v>80</v>
      </c>
      <c r="F13" s="96">
        <v>8</v>
      </c>
      <c r="G13" s="96">
        <v>8</v>
      </c>
      <c r="H13" s="96">
        <v>8</v>
      </c>
      <c r="I13" s="96">
        <v>8</v>
      </c>
      <c r="J13" s="96">
        <v>8</v>
      </c>
      <c r="K13" s="96">
        <v>8</v>
      </c>
      <c r="L13" s="96">
        <v>8</v>
      </c>
      <c r="M13" s="96">
        <v>8</v>
      </c>
      <c r="N13" s="96">
        <v>8</v>
      </c>
      <c r="O13" s="96">
        <v>8</v>
      </c>
      <c r="P13" s="97">
        <f t="shared" si="0"/>
        <v>80</v>
      </c>
      <c r="Q13" s="98"/>
      <c r="R13" s="8">
        <f>(IF(NOT(ISBLANK(TeamCapacity1[[#This Row],[Time Off (Override)]])),TeamCapacity1[[#This Row],[Estimated Dedicated Hours
(Calculated)]]-TeamCapacity1[[#This Row],[Time Off (Override)]],TeamCapacity1[[#This Row],[Hours Available (Calculated by Day Availability)]]))</f>
        <v>80</v>
      </c>
      <c r="S13" s="21">
        <v>0.5</v>
      </c>
      <c r="T13" s="22">
        <v>0.12</v>
      </c>
      <c r="U13" s="8">
        <f>MAX(0,(TeamCapacity1[[#This Row],[Max Possible Capacity (Calculated)]]-(TeamCapacity1[[#This Row],[Max Possible Capacity (Calculated)]]*TeamCapacity1[[#This Row],[% Time for Training, QA, and Support]])-(TeamCapacity1[[#This Row],[Max Possible Capacity (Calculated)]]*TeamCapacity1[[#This Row],[Estimated Hours Dedicated to Team Meetings]])))</f>
        <v>30.4</v>
      </c>
      <c r="V13" s="8">
        <f>TeamCapacity1[[#This Row],[Available Hours (Calculated)]]/8</f>
        <v>3.8</v>
      </c>
      <c r="W13">
        <v>4</v>
      </c>
    </row>
    <row r="14" spans="2:24" ht="15.75" thickBot="1" x14ac:dyDescent="0.3">
      <c r="B14" s="99" t="s">
        <v>276</v>
      </c>
      <c r="C14" t="s">
        <v>123</v>
      </c>
      <c r="D14" s="129">
        <v>1</v>
      </c>
      <c r="E14" s="95">
        <f>TeamCapacity1[[#This Row],[Estimated % of Time Dedicated to this Team]]*80</f>
        <v>80</v>
      </c>
      <c r="F14" s="96">
        <v>8</v>
      </c>
      <c r="G14" s="96">
        <v>8</v>
      </c>
      <c r="H14" s="96">
        <v>8</v>
      </c>
      <c r="I14" s="96">
        <v>8</v>
      </c>
      <c r="J14" s="96">
        <v>8</v>
      </c>
      <c r="K14" s="96">
        <v>8</v>
      </c>
      <c r="L14" s="96">
        <v>8</v>
      </c>
      <c r="M14" s="96">
        <v>8</v>
      </c>
      <c r="N14" s="96">
        <v>8</v>
      </c>
      <c r="O14" s="96">
        <v>8</v>
      </c>
      <c r="P14" s="97">
        <f t="shared" si="0"/>
        <v>80</v>
      </c>
      <c r="Q14" s="98"/>
      <c r="R14" s="8">
        <f>(IF(NOT(ISBLANK(TeamCapacity1[[#This Row],[Time Off (Override)]])),TeamCapacity1[[#This Row],[Estimated Dedicated Hours
(Calculated)]]-TeamCapacity1[[#This Row],[Time Off (Override)]],TeamCapacity1[[#This Row],[Hours Available (Calculated by Day Availability)]]))</f>
        <v>80</v>
      </c>
      <c r="S14" s="21">
        <v>0.25</v>
      </c>
      <c r="T14" s="22">
        <v>0.12</v>
      </c>
      <c r="U14" s="8">
        <f>MAX(0,(TeamCapacity1[[#This Row],[Max Possible Capacity (Calculated)]]-(TeamCapacity1[[#This Row],[Max Possible Capacity (Calculated)]]*TeamCapacity1[[#This Row],[% Time for Training, QA, and Support]])-(TeamCapacity1[[#This Row],[Max Possible Capacity (Calculated)]]*TeamCapacity1[[#This Row],[Estimated Hours Dedicated to Team Meetings]])))</f>
        <v>50.4</v>
      </c>
      <c r="V14" s="8">
        <f>TeamCapacity1[[#This Row],[Available Hours (Calculated)]]/8</f>
        <v>6.3</v>
      </c>
      <c r="W14">
        <v>5</v>
      </c>
    </row>
    <row r="15" spans="2:24" ht="19.5" thickTop="1" x14ac:dyDescent="0.3">
      <c r="C15" s="102"/>
      <c r="E15" s="23">
        <f>SUM(TeamCapacity1[Estimated Dedicated Hours
(Calculated)])</f>
        <v>596</v>
      </c>
      <c r="F15" s="23">
        <f>SUBTOTAL(109,TeamCapacity1[M 01])</f>
        <v>64</v>
      </c>
      <c r="G15" s="23">
        <f>SUBTOTAL(109,TeamCapacity1[Tu 02])</f>
        <v>64</v>
      </c>
      <c r="H15" s="23">
        <f>SUBTOTAL(109,TeamCapacity1[W 03])</f>
        <v>64</v>
      </c>
      <c r="I15" s="23">
        <f>SUBTOTAL(109,TeamCapacity1[Th 04])</f>
        <v>64</v>
      </c>
      <c r="J15" s="23">
        <f>SUBTOTAL(109,TeamCapacity1[F 05])</f>
        <v>64</v>
      </c>
      <c r="K15" s="23">
        <f>SUBTOTAL(109,TeamCapacity1[M 06])</f>
        <v>64</v>
      </c>
      <c r="L15" s="23">
        <f>SUBTOTAL(109,TeamCapacity1[Tu 07])</f>
        <v>64</v>
      </c>
      <c r="M15" s="23">
        <f>SUBTOTAL(109,TeamCapacity1[W 08])</f>
        <v>64</v>
      </c>
      <c r="N15" s="23">
        <f>SUBTOTAL(109,TeamCapacity1[Th 09])</f>
        <v>64</v>
      </c>
      <c r="O15" s="23">
        <f>SUBTOTAL(109,TeamCapacity1[F 10])</f>
        <v>64</v>
      </c>
      <c r="P15" s="23">
        <f>SUM(TeamCapacity1[Hours Available (Calculated by Day Availability)])</f>
        <v>640</v>
      </c>
      <c r="Q15" s="23">
        <f>SUM(TeamCapacity1[Time Off (Override)])</f>
        <v>0</v>
      </c>
      <c r="R15">
        <f>SUM(TeamCapacity1[Max Possible Capacity (Calculated)])</f>
        <v>640</v>
      </c>
      <c r="S15" s="21">
        <f>AVERAGE(TeamCapacity1[% Time for Training, QA, and Support])</f>
        <v>0.33750000000000002</v>
      </c>
      <c r="T15" s="21">
        <f>AVERAGE(TeamCapacity1[Estimated Hours Dedicated to Team Meetings])</f>
        <v>0.12</v>
      </c>
      <c r="U15">
        <f>SUM(TeamCapacity1[Available Hours (Calculated)])</f>
        <v>347.19999999999993</v>
      </c>
      <c r="V15" s="103">
        <f>SUM(TeamCapacity1[Estimation = hours/8 (Calculated)])</f>
        <v>43.399999999999991</v>
      </c>
      <c r="W15" s="24">
        <f>SUM(TeamCapacity1[Planned Story Points])</f>
        <v>40</v>
      </c>
    </row>
    <row r="16" spans="2:24" x14ac:dyDescent="0.25">
      <c r="E16" s="21" t="s">
        <v>250</v>
      </c>
      <c r="F16">
        <v>10</v>
      </c>
      <c r="G16">
        <v>11</v>
      </c>
      <c r="H16">
        <v>12</v>
      </c>
      <c r="I16">
        <v>13</v>
      </c>
      <c r="J16">
        <v>14</v>
      </c>
      <c r="K16">
        <v>17</v>
      </c>
      <c r="L16">
        <v>18</v>
      </c>
      <c r="M16">
        <v>19</v>
      </c>
      <c r="N16">
        <v>20</v>
      </c>
      <c r="O16">
        <v>21</v>
      </c>
    </row>
    <row r="18" spans="2:5" ht="15.75" thickBot="1" x14ac:dyDescent="0.3">
      <c r="B18" s="104" t="s">
        <v>124</v>
      </c>
      <c r="C18" s="104" t="s">
        <v>125</v>
      </c>
      <c r="D18" s="105" t="s">
        <v>126</v>
      </c>
      <c r="E18" s="106" t="s">
        <v>127</v>
      </c>
    </row>
    <row r="19" spans="2:5" x14ac:dyDescent="0.25">
      <c r="B19" s="107" t="s">
        <v>128</v>
      </c>
      <c r="C19" s="107"/>
      <c r="D19" s="108"/>
      <c r="E19" s="109">
        <f>TeamCapacity1[[#Totals],[Estimated Dedicated Hours
(Calculated)]]</f>
        <v>596</v>
      </c>
    </row>
    <row r="20" spans="2:5" x14ac:dyDescent="0.25">
      <c r="B20" s="110" t="s">
        <v>129</v>
      </c>
      <c r="C20" s="110"/>
      <c r="D20" s="111"/>
      <c r="E20" s="112">
        <f>TeamCapacity1[[#Totals],[Max Possible Capacity (Calculated)]]</f>
        <v>640</v>
      </c>
    </row>
    <row r="21" spans="2:5" x14ac:dyDescent="0.25">
      <c r="B21" s="113" t="s">
        <v>130</v>
      </c>
      <c r="C21" s="113"/>
      <c r="D21" s="114"/>
      <c r="E21" s="115">
        <f>TeamCapacity1[[#Totals],[Available Hours (Calculated)]]</f>
        <v>347.19999999999993</v>
      </c>
    </row>
    <row r="22" spans="2:5" x14ac:dyDescent="0.25">
      <c r="B22" s="110" t="s">
        <v>131</v>
      </c>
      <c r="C22" s="110"/>
      <c r="D22" s="111"/>
      <c r="E22" s="112">
        <f>TeamCapacity1[[#Totals],[Estimation = hours/8 (Calculated)]]</f>
        <v>43.399999999999991</v>
      </c>
    </row>
    <row r="23" spans="2:5" x14ac:dyDescent="0.25">
      <c r="B23" s="113" t="s">
        <v>132</v>
      </c>
      <c r="C23" s="113"/>
      <c r="D23" s="114"/>
      <c r="E23" s="115">
        <f>TeamCapacity1[[#Totals],[Planned Story Points]]</f>
        <v>40</v>
      </c>
    </row>
    <row r="24" spans="2:5" ht="15.75" thickBot="1" x14ac:dyDescent="0.3">
      <c r="B24" s="116" t="s">
        <v>133</v>
      </c>
      <c r="C24" s="116"/>
      <c r="D24" s="117"/>
      <c r="E24" s="112"/>
    </row>
    <row r="25" spans="2:5" ht="15.75" thickTop="1" x14ac:dyDescent="0.25">
      <c r="B25" s="118" t="s">
        <v>134</v>
      </c>
      <c r="C25" s="118"/>
      <c r="D25" s="119"/>
      <c r="E25" s="120">
        <f>E23-E24</f>
        <v>40</v>
      </c>
    </row>
  </sheetData>
  <conditionalFormatting sqref="F15:O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7:O13">
    <cfRule type="cellIs" dxfId="334" priority="3" operator="notEqual">
      <formula>8</formula>
    </cfRule>
    <cfRule type="cellIs" dxfId="333" priority="4" operator="notEqual">
      <formula>8</formula>
    </cfRule>
  </conditionalFormatting>
  <conditionalFormatting sqref="F14:O14">
    <cfRule type="cellIs" dxfId="332" priority="1" operator="notEqual">
      <formula>8</formula>
    </cfRule>
    <cfRule type="cellIs" dxfId="331" priority="2" operator="notEqual">
      <formula>8</formula>
    </cfRule>
  </conditionalFormatting>
  <pageMargins left="0.7" right="0.7" top="0.75" bottom="0.75" header="0.3" footer="0.3"/>
  <pageSetup orientation="portrait" horizontalDpi="360" verticalDpi="360"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7FFA-AB86-417D-8E2E-03C036D2469F}">
  <dimension ref="B2:X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3.28515625" customWidth="1"/>
    <col min="2" max="2" width="26.42578125" customWidth="1"/>
    <col min="3" max="3" width="17.5703125" bestFit="1" customWidth="1"/>
    <col min="4" max="5" width="12.7109375" style="21" customWidth="1"/>
    <col min="6" max="15" width="3.7109375" style="23" customWidth="1"/>
    <col min="16" max="17" width="11.7109375" style="23" customWidth="1"/>
    <col min="18" max="18" width="11.7109375" customWidth="1"/>
    <col min="19" max="19" width="11.7109375" style="21" customWidth="1"/>
    <col min="20" max="20" width="11.7109375" style="22" customWidth="1"/>
    <col min="21" max="23" width="11.7109375" customWidth="1"/>
    <col min="24" max="24" width="54.85546875" customWidth="1"/>
  </cols>
  <sheetData>
    <row r="2" spans="2:24" ht="21" x14ac:dyDescent="0.35">
      <c r="B2" s="1" t="s">
        <v>94</v>
      </c>
      <c r="C2" s="1" t="s">
        <v>290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S2"/>
      <c r="T2"/>
    </row>
    <row r="3" spans="2:24" s="38" customFormat="1" ht="15" customHeight="1" x14ac:dyDescent="0.2">
      <c r="B3" s="39"/>
      <c r="C3" s="39"/>
      <c r="D3" s="39"/>
      <c r="E3" s="39"/>
      <c r="R3" s="39"/>
      <c r="S3" s="39"/>
      <c r="T3" s="39"/>
    </row>
    <row r="4" spans="2:24" x14ac:dyDescent="0.25">
      <c r="F4" s="86" t="s">
        <v>95</v>
      </c>
      <c r="Q4" s="86" t="s">
        <v>96</v>
      </c>
    </row>
    <row r="5" spans="2:24" x14ac:dyDescent="0.25">
      <c r="F5" s="86" t="s">
        <v>97</v>
      </c>
      <c r="G5" s="86"/>
      <c r="H5" s="86"/>
      <c r="I5" s="86"/>
      <c r="J5" s="86"/>
      <c r="K5" s="86"/>
      <c r="L5" s="86"/>
      <c r="M5" s="86"/>
      <c r="N5" s="86"/>
      <c r="O5" s="86"/>
      <c r="Q5" s="86" t="s">
        <v>98</v>
      </c>
    </row>
    <row r="6" spans="2:24" s="19" customFormat="1" ht="75" x14ac:dyDescent="0.25">
      <c r="B6" s="19" t="s">
        <v>71</v>
      </c>
      <c r="C6" s="19" t="s">
        <v>99</v>
      </c>
      <c r="D6" s="20" t="s">
        <v>100</v>
      </c>
      <c r="E6" s="87" t="s">
        <v>101</v>
      </c>
      <c r="F6" s="88" t="s">
        <v>102</v>
      </c>
      <c r="G6" s="88" t="s">
        <v>103</v>
      </c>
      <c r="H6" s="88" t="s">
        <v>104</v>
      </c>
      <c r="I6" s="88" t="s">
        <v>105</v>
      </c>
      <c r="J6" s="88" t="s">
        <v>106</v>
      </c>
      <c r="K6" s="88" t="s">
        <v>107</v>
      </c>
      <c r="L6" s="88" t="s">
        <v>108</v>
      </c>
      <c r="M6" s="88" t="s">
        <v>109</v>
      </c>
      <c r="N6" s="88" t="s">
        <v>110</v>
      </c>
      <c r="O6" s="88" t="s">
        <v>111</v>
      </c>
      <c r="P6" s="89" t="s">
        <v>112</v>
      </c>
      <c r="Q6" s="89" t="s">
        <v>113</v>
      </c>
      <c r="R6" s="90" t="s">
        <v>114</v>
      </c>
      <c r="S6" s="90" t="s">
        <v>115</v>
      </c>
      <c r="T6" s="91" t="s">
        <v>116</v>
      </c>
      <c r="U6" s="90" t="s">
        <v>117</v>
      </c>
      <c r="V6" s="90" t="s">
        <v>118</v>
      </c>
      <c r="W6" s="92" t="s">
        <v>119</v>
      </c>
      <c r="X6" s="19" t="s">
        <v>120</v>
      </c>
    </row>
    <row r="7" spans="2:24" x14ac:dyDescent="0.25">
      <c r="B7" s="93" t="s">
        <v>269</v>
      </c>
      <c r="C7" s="93" t="s">
        <v>121</v>
      </c>
      <c r="D7" s="94">
        <v>0.8</v>
      </c>
      <c r="E7" s="95">
        <f>TeamCapacity2[[#This Row],[Estimated % of Time Dedicated to this Team]]*80</f>
        <v>64</v>
      </c>
      <c r="F7" s="96">
        <v>8</v>
      </c>
      <c r="G7" s="96">
        <v>8</v>
      </c>
      <c r="H7" s="96">
        <v>8</v>
      </c>
      <c r="I7" s="96">
        <v>8</v>
      </c>
      <c r="J7" s="96">
        <v>8</v>
      </c>
      <c r="K7" s="96">
        <v>8</v>
      </c>
      <c r="L7" s="96">
        <v>8</v>
      </c>
      <c r="M7" s="96">
        <v>8</v>
      </c>
      <c r="N7" s="96">
        <v>8</v>
      </c>
      <c r="O7" s="96">
        <v>8</v>
      </c>
      <c r="P7" s="97">
        <f t="shared" ref="P7:P14" si="0">SUM(F7:O7)</f>
        <v>80</v>
      </c>
      <c r="Q7" s="98"/>
      <c r="R7" s="8">
        <f>(IF(NOT(ISBLANK(TeamCapacity2[[#This Row],[Time Off (Override)]])),TeamCapacity2[[#This Row],[Estimated Dedicated Hours
(Calculated)]]-TeamCapacity2[[#This Row],[Time Off (Override)]],TeamCapacity2[[#This Row],[Hours Available (Calculated by Day Availability)]]))</f>
        <v>80</v>
      </c>
      <c r="S7" s="21">
        <v>0.3</v>
      </c>
      <c r="T7" s="22">
        <v>0.12</v>
      </c>
      <c r="U7" s="8">
        <f>MAX(0,(TeamCapacity2[[#This Row],[Max Possible Capacity (Calculated)]]-(TeamCapacity2[[#This Row],[Max Possible Capacity (Calculated)]]*TeamCapacity2[[#This Row],[% Time for Training, QA, and Support]])-(TeamCapacity2[[#This Row],[Max Possible Capacity (Calculated)]]*TeamCapacity2[[#This Row],[Estimated Hours Dedicated to Team Meetings]])))</f>
        <v>46.4</v>
      </c>
      <c r="V7" s="8">
        <f>TeamCapacity2[[#This Row],[Available Hours (Calculated)]]/8</f>
        <v>5.8</v>
      </c>
      <c r="W7">
        <v>5</v>
      </c>
    </row>
    <row r="8" spans="2:24" x14ac:dyDescent="0.25">
      <c r="B8" s="99" t="s">
        <v>271</v>
      </c>
      <c r="C8" s="99" t="s">
        <v>121</v>
      </c>
      <c r="D8" s="100">
        <v>1</v>
      </c>
      <c r="E8" s="95">
        <f>TeamCapacity2[[#This Row],[Estimated % of Time Dedicated to this Team]]*80</f>
        <v>80</v>
      </c>
      <c r="F8" s="96">
        <v>8</v>
      </c>
      <c r="G8" s="96">
        <v>8</v>
      </c>
      <c r="H8" s="96">
        <v>8</v>
      </c>
      <c r="I8" s="96">
        <v>8</v>
      </c>
      <c r="J8" s="96">
        <v>8</v>
      </c>
      <c r="K8" s="96">
        <v>8</v>
      </c>
      <c r="L8" s="96">
        <v>8</v>
      </c>
      <c r="M8" s="96">
        <v>8</v>
      </c>
      <c r="N8" s="96">
        <v>8</v>
      </c>
      <c r="O8" s="96">
        <v>8</v>
      </c>
      <c r="P8" s="97">
        <f t="shared" si="0"/>
        <v>80</v>
      </c>
      <c r="Q8" s="98"/>
      <c r="R8" s="8">
        <f>(IF(NOT(ISBLANK(TeamCapacity2[[#This Row],[Time Off (Override)]])),TeamCapacity2[[#This Row],[Estimated Dedicated Hours
(Calculated)]]-TeamCapacity2[[#This Row],[Time Off (Override)]],TeamCapacity2[[#This Row],[Hours Available (Calculated by Day Availability)]]))</f>
        <v>80</v>
      </c>
      <c r="S8" s="21">
        <v>0.8</v>
      </c>
      <c r="T8" s="22">
        <v>0.12</v>
      </c>
      <c r="U8" s="8">
        <f>MAX(0,(TeamCapacity2[[#This Row],[Max Possible Capacity (Calculated)]]-(TeamCapacity2[[#This Row],[Max Possible Capacity (Calculated)]]*TeamCapacity2[[#This Row],[% Time for Training, QA, and Support]])-(TeamCapacity2[[#This Row],[Max Possible Capacity (Calculated)]]*TeamCapacity2[[#This Row],[Estimated Hours Dedicated to Team Meetings]])))</f>
        <v>6.4</v>
      </c>
      <c r="V8" s="8">
        <f>TeamCapacity2[[#This Row],[Available Hours (Calculated)]]/8</f>
        <v>0.8</v>
      </c>
      <c r="W8">
        <v>2</v>
      </c>
    </row>
    <row r="9" spans="2:24" x14ac:dyDescent="0.25">
      <c r="B9" s="99" t="s">
        <v>270</v>
      </c>
      <c r="C9" s="99" t="s">
        <v>122</v>
      </c>
      <c r="D9" s="100">
        <v>1</v>
      </c>
      <c r="E9" s="95">
        <f>TeamCapacity2[[#This Row],[Estimated % of Time Dedicated to this Team]]*80</f>
        <v>80</v>
      </c>
      <c r="F9" s="96">
        <v>8</v>
      </c>
      <c r="G9" s="96">
        <v>8</v>
      </c>
      <c r="H9" s="96">
        <v>8</v>
      </c>
      <c r="I9" s="96">
        <v>8</v>
      </c>
      <c r="J9" s="96">
        <v>8</v>
      </c>
      <c r="K9" s="96">
        <v>8</v>
      </c>
      <c r="L9" s="96">
        <v>8</v>
      </c>
      <c r="M9" s="96">
        <v>8</v>
      </c>
      <c r="N9" s="96">
        <v>8</v>
      </c>
      <c r="O9" s="96">
        <v>8</v>
      </c>
      <c r="P9" s="97">
        <f t="shared" si="0"/>
        <v>80</v>
      </c>
      <c r="Q9" s="98"/>
      <c r="R9" s="8">
        <f>(IF(NOT(ISBLANK(TeamCapacity2[[#This Row],[Time Off (Override)]])),TeamCapacity2[[#This Row],[Estimated Dedicated Hours
(Calculated)]]-TeamCapacity2[[#This Row],[Time Off (Override)]],TeamCapacity2[[#This Row],[Hours Available (Calculated by Day Availability)]]))</f>
        <v>80</v>
      </c>
      <c r="S9" s="21">
        <v>0.2</v>
      </c>
      <c r="T9" s="22">
        <v>0.12</v>
      </c>
      <c r="U9" s="8">
        <f>MAX(0,(TeamCapacity2[[#This Row],[Max Possible Capacity (Calculated)]]-(TeamCapacity2[[#This Row],[Max Possible Capacity (Calculated)]]*TeamCapacity2[[#This Row],[% Time for Training, QA, and Support]])-(TeamCapacity2[[#This Row],[Max Possible Capacity (Calculated)]]*TeamCapacity2[[#This Row],[Estimated Hours Dedicated to Team Meetings]])))</f>
        <v>54.4</v>
      </c>
      <c r="V9" s="8">
        <f>TeamCapacity2[[#This Row],[Available Hours (Calculated)]]/8</f>
        <v>6.8</v>
      </c>
      <c r="W9">
        <v>6</v>
      </c>
    </row>
    <row r="10" spans="2:24" x14ac:dyDescent="0.25">
      <c r="B10" s="99" t="s">
        <v>272</v>
      </c>
      <c r="C10" s="99" t="s">
        <v>122</v>
      </c>
      <c r="D10" s="100">
        <v>0.8</v>
      </c>
      <c r="E10" s="95">
        <f>TeamCapacity2[[#This Row],[Estimated % of Time Dedicated to this Team]]*80</f>
        <v>64</v>
      </c>
      <c r="F10" s="96">
        <v>8</v>
      </c>
      <c r="G10" s="96">
        <v>8</v>
      </c>
      <c r="H10" s="96">
        <v>8</v>
      </c>
      <c r="I10" s="96">
        <v>8</v>
      </c>
      <c r="J10" s="96">
        <v>8</v>
      </c>
      <c r="K10" s="96">
        <v>8</v>
      </c>
      <c r="L10" s="96">
        <v>8</v>
      </c>
      <c r="M10" s="96">
        <v>8</v>
      </c>
      <c r="N10" s="96">
        <v>8</v>
      </c>
      <c r="O10" s="96">
        <v>8</v>
      </c>
      <c r="P10" s="97">
        <f t="shared" si="0"/>
        <v>80</v>
      </c>
      <c r="Q10" s="98"/>
      <c r="R10" s="8">
        <f>(IF(NOT(ISBLANK(TeamCapacity2[[#This Row],[Time Off (Override)]])),TeamCapacity2[[#This Row],[Estimated Dedicated Hours
(Calculated)]]-TeamCapacity2[[#This Row],[Time Off (Override)]],TeamCapacity2[[#This Row],[Hours Available (Calculated by Day Availability)]]))</f>
        <v>80</v>
      </c>
      <c r="S10" s="21">
        <v>0.2</v>
      </c>
      <c r="T10" s="22">
        <v>0.12</v>
      </c>
      <c r="U10" s="8">
        <f>MAX(0,(TeamCapacity2[[#This Row],[Max Possible Capacity (Calculated)]]-(TeamCapacity2[[#This Row],[Max Possible Capacity (Calculated)]]*TeamCapacity2[[#This Row],[% Time for Training, QA, and Support]])-(TeamCapacity2[[#This Row],[Max Possible Capacity (Calculated)]]*TeamCapacity2[[#This Row],[Estimated Hours Dedicated to Team Meetings]])))</f>
        <v>54.4</v>
      </c>
      <c r="V10" s="8">
        <f>TeamCapacity2[[#This Row],[Available Hours (Calculated)]]/8</f>
        <v>6.8</v>
      </c>
      <c r="W10">
        <v>6</v>
      </c>
    </row>
    <row r="11" spans="2:24" x14ac:dyDescent="0.25">
      <c r="B11" s="99" t="s">
        <v>273</v>
      </c>
      <c r="C11" s="99" t="s">
        <v>122</v>
      </c>
      <c r="D11" s="100">
        <v>0.85</v>
      </c>
      <c r="E11" s="95">
        <f>TeamCapacity2[[#This Row],[Estimated % of Time Dedicated to this Team]]*80</f>
        <v>68</v>
      </c>
      <c r="F11" s="96">
        <v>8</v>
      </c>
      <c r="G11" s="96">
        <v>8</v>
      </c>
      <c r="H11" s="96">
        <v>8</v>
      </c>
      <c r="I11" s="96">
        <v>8</v>
      </c>
      <c r="J11" s="96">
        <v>8</v>
      </c>
      <c r="K11" s="96">
        <v>8</v>
      </c>
      <c r="L11" s="96">
        <v>8</v>
      </c>
      <c r="M11" s="96">
        <v>8</v>
      </c>
      <c r="N11" s="96">
        <v>8</v>
      </c>
      <c r="O11" s="96">
        <v>8</v>
      </c>
      <c r="P11" s="97">
        <f t="shared" si="0"/>
        <v>80</v>
      </c>
      <c r="Q11" s="98"/>
      <c r="R11" s="8">
        <f>(IF(NOT(ISBLANK(TeamCapacity2[[#This Row],[Time Off (Override)]])),TeamCapacity2[[#This Row],[Estimated Dedicated Hours
(Calculated)]]-TeamCapacity2[[#This Row],[Time Off (Override)]],TeamCapacity2[[#This Row],[Hours Available (Calculated by Day Availability)]]))</f>
        <v>80</v>
      </c>
      <c r="S11" s="21">
        <v>0.2</v>
      </c>
      <c r="T11" s="22">
        <v>0.12</v>
      </c>
      <c r="U11" s="8">
        <f>MAX(0,(TeamCapacity2[[#This Row],[Max Possible Capacity (Calculated)]]-(TeamCapacity2[[#This Row],[Max Possible Capacity (Calculated)]]*TeamCapacity2[[#This Row],[% Time for Training, QA, and Support]])-(TeamCapacity2[[#This Row],[Max Possible Capacity (Calculated)]]*TeamCapacity2[[#This Row],[Estimated Hours Dedicated to Team Meetings]])))</f>
        <v>54.4</v>
      </c>
      <c r="V11" s="8">
        <f>TeamCapacity2[[#This Row],[Available Hours (Calculated)]]/8</f>
        <v>6.8</v>
      </c>
      <c r="W11">
        <v>6</v>
      </c>
    </row>
    <row r="12" spans="2:24" x14ac:dyDescent="0.25">
      <c r="B12" s="99" t="s">
        <v>274</v>
      </c>
      <c r="C12" s="99" t="s">
        <v>122</v>
      </c>
      <c r="D12" s="100">
        <v>1</v>
      </c>
      <c r="E12" s="95">
        <f>TeamCapacity2[[#This Row],[Estimated % of Time Dedicated to this Team]]*80</f>
        <v>80</v>
      </c>
      <c r="F12" s="96">
        <v>8</v>
      </c>
      <c r="G12" s="96">
        <v>8</v>
      </c>
      <c r="H12" s="96">
        <v>8</v>
      </c>
      <c r="I12" s="96">
        <v>8</v>
      </c>
      <c r="J12" s="96">
        <v>8</v>
      </c>
      <c r="K12" s="96">
        <v>8</v>
      </c>
      <c r="L12" s="96">
        <v>8</v>
      </c>
      <c r="M12" s="96">
        <v>8</v>
      </c>
      <c r="N12" s="96">
        <v>8</v>
      </c>
      <c r="O12" s="96">
        <v>8</v>
      </c>
      <c r="P12" s="97">
        <f t="shared" si="0"/>
        <v>80</v>
      </c>
      <c r="Q12" s="98"/>
      <c r="R12" s="8">
        <f>(IF(NOT(ISBLANK(TeamCapacity2[[#This Row],[Time Off (Override)]])),TeamCapacity2[[#This Row],[Estimated Dedicated Hours
(Calculated)]]-TeamCapacity2[[#This Row],[Time Off (Override)]],TeamCapacity2[[#This Row],[Hours Available (Calculated by Day Availability)]]))</f>
        <v>80</v>
      </c>
      <c r="S12" s="21">
        <v>0.25</v>
      </c>
      <c r="T12" s="22">
        <v>0.12</v>
      </c>
      <c r="U12" s="8">
        <f>MAX(0,(TeamCapacity2[[#This Row],[Max Possible Capacity (Calculated)]]-(TeamCapacity2[[#This Row],[Max Possible Capacity (Calculated)]]*TeamCapacity2[[#This Row],[% Time for Training, QA, and Support]])-(TeamCapacity2[[#This Row],[Max Possible Capacity (Calculated)]]*TeamCapacity2[[#This Row],[Estimated Hours Dedicated to Team Meetings]])))</f>
        <v>50.4</v>
      </c>
      <c r="V12" s="8">
        <f>TeamCapacity2[[#This Row],[Available Hours (Calculated)]]/8</f>
        <v>6.3</v>
      </c>
      <c r="W12">
        <v>6</v>
      </c>
    </row>
    <row r="13" spans="2:24" x14ac:dyDescent="0.25">
      <c r="B13" s="101" t="s">
        <v>275</v>
      </c>
      <c r="C13" t="s">
        <v>123</v>
      </c>
      <c r="D13" s="100">
        <v>1</v>
      </c>
      <c r="E13" s="95">
        <f>TeamCapacity2[[#This Row],[Estimated % of Time Dedicated to this Team]]*80</f>
        <v>80</v>
      </c>
      <c r="F13" s="96">
        <v>8</v>
      </c>
      <c r="G13" s="96">
        <v>8</v>
      </c>
      <c r="H13" s="96">
        <v>8</v>
      </c>
      <c r="I13" s="96">
        <v>8</v>
      </c>
      <c r="J13" s="96">
        <v>8</v>
      </c>
      <c r="K13" s="96">
        <v>8</v>
      </c>
      <c r="L13" s="96">
        <v>8</v>
      </c>
      <c r="M13" s="96">
        <v>8</v>
      </c>
      <c r="N13" s="96">
        <v>8</v>
      </c>
      <c r="O13" s="96">
        <v>8</v>
      </c>
      <c r="P13" s="97">
        <f t="shared" si="0"/>
        <v>80</v>
      </c>
      <c r="Q13" s="98"/>
      <c r="R13" s="8">
        <f>(IF(NOT(ISBLANK(TeamCapacity2[[#This Row],[Time Off (Override)]])),TeamCapacity2[[#This Row],[Estimated Dedicated Hours
(Calculated)]]-TeamCapacity2[[#This Row],[Time Off (Override)]],TeamCapacity2[[#This Row],[Hours Available (Calculated by Day Availability)]]))</f>
        <v>80</v>
      </c>
      <c r="S13" s="21">
        <v>0.5</v>
      </c>
      <c r="T13" s="22">
        <v>0.12</v>
      </c>
      <c r="U13" s="8">
        <f>MAX(0,(TeamCapacity2[[#This Row],[Max Possible Capacity (Calculated)]]-(TeamCapacity2[[#This Row],[Max Possible Capacity (Calculated)]]*TeamCapacity2[[#This Row],[% Time for Training, QA, and Support]])-(TeamCapacity2[[#This Row],[Max Possible Capacity (Calculated)]]*TeamCapacity2[[#This Row],[Estimated Hours Dedicated to Team Meetings]])))</f>
        <v>30.4</v>
      </c>
      <c r="V13" s="8">
        <f>TeamCapacity2[[#This Row],[Available Hours (Calculated)]]/8</f>
        <v>3.8</v>
      </c>
      <c r="W13">
        <v>4</v>
      </c>
    </row>
    <row r="14" spans="2:24" ht="15.75" thickBot="1" x14ac:dyDescent="0.3">
      <c r="B14" s="99" t="s">
        <v>276</v>
      </c>
      <c r="C14" t="s">
        <v>123</v>
      </c>
      <c r="D14" s="129">
        <v>1</v>
      </c>
      <c r="E14" s="95">
        <f>TeamCapacity2[[#This Row],[Estimated % of Time Dedicated to this Team]]*80</f>
        <v>80</v>
      </c>
      <c r="F14" s="96">
        <v>8</v>
      </c>
      <c r="G14" s="96">
        <v>8</v>
      </c>
      <c r="H14" s="96">
        <v>8</v>
      </c>
      <c r="I14" s="96">
        <v>8</v>
      </c>
      <c r="J14" s="96">
        <v>8</v>
      </c>
      <c r="K14" s="96">
        <v>8</v>
      </c>
      <c r="L14" s="96">
        <v>8</v>
      </c>
      <c r="M14" s="96">
        <v>8</v>
      </c>
      <c r="N14" s="96">
        <v>8</v>
      </c>
      <c r="O14" s="96">
        <v>8</v>
      </c>
      <c r="P14" s="97">
        <f t="shared" si="0"/>
        <v>80</v>
      </c>
      <c r="Q14" s="98"/>
      <c r="R14" s="8">
        <f>(IF(NOT(ISBLANK(TeamCapacity2[[#This Row],[Time Off (Override)]])),TeamCapacity2[[#This Row],[Estimated Dedicated Hours
(Calculated)]]-TeamCapacity2[[#This Row],[Time Off (Override)]],TeamCapacity2[[#This Row],[Hours Available (Calculated by Day Availability)]]))</f>
        <v>80</v>
      </c>
      <c r="S14" s="21">
        <v>0.25</v>
      </c>
      <c r="T14" s="22">
        <v>0.12</v>
      </c>
      <c r="U14" s="8">
        <f>MAX(0,(TeamCapacity2[[#This Row],[Max Possible Capacity (Calculated)]]-(TeamCapacity2[[#This Row],[Max Possible Capacity (Calculated)]]*TeamCapacity2[[#This Row],[% Time for Training, QA, and Support]])-(TeamCapacity2[[#This Row],[Max Possible Capacity (Calculated)]]*TeamCapacity2[[#This Row],[Estimated Hours Dedicated to Team Meetings]])))</f>
        <v>50.4</v>
      </c>
      <c r="V14" s="8">
        <f>TeamCapacity2[[#This Row],[Available Hours (Calculated)]]/8</f>
        <v>6.3</v>
      </c>
      <c r="W14">
        <v>5</v>
      </c>
    </row>
    <row r="15" spans="2:24" ht="19.5" thickTop="1" x14ac:dyDescent="0.3">
      <c r="C15" s="102"/>
      <c r="E15" s="23">
        <f>SUM(TeamCapacity2[Estimated Dedicated Hours
(Calculated)])</f>
        <v>596</v>
      </c>
      <c r="F15" s="23">
        <f>SUBTOTAL(109,TeamCapacity2[M 01])</f>
        <v>64</v>
      </c>
      <c r="G15" s="23">
        <f>SUBTOTAL(109,TeamCapacity2[Tu 02])</f>
        <v>64</v>
      </c>
      <c r="H15" s="23">
        <f>SUBTOTAL(109,TeamCapacity2[W 03])</f>
        <v>64</v>
      </c>
      <c r="I15" s="23">
        <f>SUBTOTAL(109,TeamCapacity2[Th 04])</f>
        <v>64</v>
      </c>
      <c r="J15" s="23">
        <f>SUBTOTAL(109,TeamCapacity2[F 05])</f>
        <v>64</v>
      </c>
      <c r="K15" s="23">
        <f>SUBTOTAL(109,TeamCapacity2[M 06])</f>
        <v>64</v>
      </c>
      <c r="L15" s="23">
        <f>SUBTOTAL(109,TeamCapacity2[Tu 07])</f>
        <v>64</v>
      </c>
      <c r="M15" s="23">
        <f>SUBTOTAL(109,TeamCapacity2[W 08])</f>
        <v>64</v>
      </c>
      <c r="N15" s="23">
        <f>SUBTOTAL(109,TeamCapacity2[Th 09])</f>
        <v>64</v>
      </c>
      <c r="O15" s="23">
        <f>SUBTOTAL(109,TeamCapacity2[F 10])</f>
        <v>64</v>
      </c>
      <c r="P15" s="23">
        <f>SUM(TeamCapacity2[Hours Available (Calculated by Day Availability)])</f>
        <v>640</v>
      </c>
      <c r="Q15" s="23">
        <f>SUM(TeamCapacity2[Time Off (Override)])</f>
        <v>0</v>
      </c>
      <c r="R15">
        <f>SUM(TeamCapacity2[Max Possible Capacity (Calculated)])</f>
        <v>640</v>
      </c>
      <c r="S15" s="21">
        <f>AVERAGE(TeamCapacity2[% Time for Training, QA, and Support])</f>
        <v>0.33750000000000002</v>
      </c>
      <c r="T15" s="21">
        <f>AVERAGE(TeamCapacity2[Estimated Hours Dedicated to Team Meetings])</f>
        <v>0.12</v>
      </c>
      <c r="U15">
        <f>SUM(TeamCapacity2[Available Hours (Calculated)])</f>
        <v>347.19999999999993</v>
      </c>
      <c r="V15" s="103">
        <f>SUM(TeamCapacity2[Estimation = hours/8 (Calculated)])</f>
        <v>43.399999999999991</v>
      </c>
      <c r="W15" s="24">
        <f>SUM(TeamCapacity2[Planned Story Points])</f>
        <v>40</v>
      </c>
    </row>
    <row r="16" spans="2:24" x14ac:dyDescent="0.25">
      <c r="E16" s="21" t="s">
        <v>250</v>
      </c>
      <c r="F16">
        <v>10</v>
      </c>
      <c r="G16">
        <v>11</v>
      </c>
      <c r="H16">
        <v>12</v>
      </c>
      <c r="I16">
        <v>13</v>
      </c>
      <c r="J16">
        <v>14</v>
      </c>
      <c r="K16">
        <v>17</v>
      </c>
      <c r="L16">
        <v>18</v>
      </c>
      <c r="M16">
        <v>19</v>
      </c>
      <c r="N16">
        <v>20</v>
      </c>
      <c r="O16">
        <v>21</v>
      </c>
    </row>
    <row r="18" spans="2:5" ht="15.75" thickBot="1" x14ac:dyDescent="0.3">
      <c r="B18" s="104" t="s">
        <v>124</v>
      </c>
      <c r="C18" s="104" t="s">
        <v>125</v>
      </c>
      <c r="D18" s="105" t="s">
        <v>126</v>
      </c>
      <c r="E18" s="106" t="s">
        <v>127</v>
      </c>
    </row>
    <row r="19" spans="2:5" x14ac:dyDescent="0.25">
      <c r="B19" s="107" t="s">
        <v>128</v>
      </c>
      <c r="C19" s="107"/>
      <c r="D19" s="108"/>
      <c r="E19" s="109">
        <f>TeamCapacity2[[#Totals],[Estimated Dedicated Hours
(Calculated)]]</f>
        <v>596</v>
      </c>
    </row>
    <row r="20" spans="2:5" x14ac:dyDescent="0.25">
      <c r="B20" s="110" t="s">
        <v>129</v>
      </c>
      <c r="C20" s="110"/>
      <c r="D20" s="111"/>
      <c r="E20" s="112">
        <f>TeamCapacity2[[#Totals],[Max Possible Capacity (Calculated)]]</f>
        <v>640</v>
      </c>
    </row>
    <row r="21" spans="2:5" x14ac:dyDescent="0.25">
      <c r="B21" s="113" t="s">
        <v>130</v>
      </c>
      <c r="C21" s="113"/>
      <c r="D21" s="114"/>
      <c r="E21" s="115">
        <f>TeamCapacity2[[#Totals],[Available Hours (Calculated)]]</f>
        <v>347.19999999999993</v>
      </c>
    </row>
    <row r="22" spans="2:5" x14ac:dyDescent="0.25">
      <c r="B22" s="110" t="s">
        <v>131</v>
      </c>
      <c r="C22" s="110"/>
      <c r="D22" s="111"/>
      <c r="E22" s="112">
        <f>TeamCapacity2[[#Totals],[Estimation = hours/8 (Calculated)]]</f>
        <v>43.399999999999991</v>
      </c>
    </row>
    <row r="23" spans="2:5" x14ac:dyDescent="0.25">
      <c r="B23" s="113" t="s">
        <v>132</v>
      </c>
      <c r="C23" s="113"/>
      <c r="D23" s="114"/>
      <c r="E23" s="115">
        <f>TeamCapacity2[[#Totals],[Planned Story Points]]</f>
        <v>40</v>
      </c>
    </row>
    <row r="24" spans="2:5" ht="15.75" thickBot="1" x14ac:dyDescent="0.3">
      <c r="B24" s="116" t="s">
        <v>133</v>
      </c>
      <c r="C24" s="116"/>
      <c r="D24" s="117"/>
      <c r="E24" s="112"/>
    </row>
    <row r="25" spans="2:5" ht="15.75" thickTop="1" x14ac:dyDescent="0.25">
      <c r="B25" s="118" t="s">
        <v>134</v>
      </c>
      <c r="C25" s="118"/>
      <c r="D25" s="119"/>
      <c r="E25" s="120">
        <f>E23-E24</f>
        <v>40</v>
      </c>
    </row>
  </sheetData>
  <conditionalFormatting sqref="F15:O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7:O13">
    <cfRule type="cellIs" dxfId="289" priority="3" operator="notEqual">
      <formula>8</formula>
    </cfRule>
    <cfRule type="cellIs" dxfId="288" priority="4" operator="notEqual">
      <formula>8</formula>
    </cfRule>
  </conditionalFormatting>
  <conditionalFormatting sqref="F14:O14">
    <cfRule type="cellIs" dxfId="287" priority="1" operator="notEqual">
      <formula>8</formula>
    </cfRule>
    <cfRule type="cellIs" dxfId="286" priority="2" operator="notEqual">
      <formula>8</formula>
    </cfRule>
  </conditionalFormatting>
  <pageMargins left="0.7" right="0.7" top="0.75" bottom="0.75" header="0.3" footer="0.3"/>
  <pageSetup orientation="portrait" horizontalDpi="360" verticalDpi="360" r:id="rId1"/>
  <legacy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68FB-A6F3-4F4C-B924-1EBCE305AB5D}">
  <dimension ref="B2:X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3.28515625" customWidth="1"/>
    <col min="2" max="2" width="26.42578125" customWidth="1"/>
    <col min="3" max="3" width="17.5703125" bestFit="1" customWidth="1"/>
    <col min="4" max="5" width="12.7109375" style="21" customWidth="1"/>
    <col min="6" max="15" width="3.7109375" style="23" customWidth="1"/>
    <col min="16" max="17" width="11.7109375" style="23" customWidth="1"/>
    <col min="18" max="18" width="11.7109375" customWidth="1"/>
    <col min="19" max="19" width="11.7109375" style="21" customWidth="1"/>
    <col min="20" max="20" width="11.7109375" style="22" customWidth="1"/>
    <col min="21" max="23" width="11.7109375" customWidth="1"/>
    <col min="24" max="24" width="54.85546875" customWidth="1"/>
  </cols>
  <sheetData>
    <row r="2" spans="2:24" ht="21" x14ac:dyDescent="0.35">
      <c r="B2" s="1" t="s">
        <v>94</v>
      </c>
      <c r="C2" s="1" t="s">
        <v>291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S2"/>
      <c r="T2"/>
    </row>
    <row r="3" spans="2:24" s="38" customFormat="1" ht="15" customHeight="1" x14ac:dyDescent="0.2">
      <c r="B3" s="39"/>
      <c r="C3" s="39"/>
      <c r="D3" s="39"/>
      <c r="E3" s="39"/>
      <c r="R3" s="39"/>
      <c r="S3" s="39"/>
      <c r="T3" s="39"/>
    </row>
    <row r="4" spans="2:24" x14ac:dyDescent="0.25">
      <c r="F4" s="86" t="s">
        <v>95</v>
      </c>
      <c r="Q4" s="86" t="s">
        <v>96</v>
      </c>
    </row>
    <row r="5" spans="2:24" x14ac:dyDescent="0.25">
      <c r="F5" s="86" t="s">
        <v>97</v>
      </c>
      <c r="G5" s="86"/>
      <c r="H5" s="86"/>
      <c r="I5" s="86"/>
      <c r="J5" s="86"/>
      <c r="K5" s="86"/>
      <c r="L5" s="86"/>
      <c r="M5" s="86"/>
      <c r="N5" s="86"/>
      <c r="O5" s="86"/>
      <c r="Q5" s="86" t="s">
        <v>98</v>
      </c>
    </row>
    <row r="6" spans="2:24" s="19" customFormat="1" ht="75" x14ac:dyDescent="0.25">
      <c r="B6" s="19" t="s">
        <v>71</v>
      </c>
      <c r="C6" s="19" t="s">
        <v>99</v>
      </c>
      <c r="D6" s="20" t="s">
        <v>100</v>
      </c>
      <c r="E6" s="87" t="s">
        <v>101</v>
      </c>
      <c r="F6" s="88" t="s">
        <v>102</v>
      </c>
      <c r="G6" s="88" t="s">
        <v>103</v>
      </c>
      <c r="H6" s="88" t="s">
        <v>104</v>
      </c>
      <c r="I6" s="88" t="s">
        <v>105</v>
      </c>
      <c r="J6" s="88" t="s">
        <v>106</v>
      </c>
      <c r="K6" s="88" t="s">
        <v>107</v>
      </c>
      <c r="L6" s="88" t="s">
        <v>108</v>
      </c>
      <c r="M6" s="88" t="s">
        <v>109</v>
      </c>
      <c r="N6" s="88" t="s">
        <v>110</v>
      </c>
      <c r="O6" s="88" t="s">
        <v>111</v>
      </c>
      <c r="P6" s="89" t="s">
        <v>112</v>
      </c>
      <c r="Q6" s="89" t="s">
        <v>113</v>
      </c>
      <c r="R6" s="90" t="s">
        <v>114</v>
      </c>
      <c r="S6" s="90" t="s">
        <v>115</v>
      </c>
      <c r="T6" s="91" t="s">
        <v>116</v>
      </c>
      <c r="U6" s="90" t="s">
        <v>117</v>
      </c>
      <c r="V6" s="90" t="s">
        <v>118</v>
      </c>
      <c r="W6" s="92" t="s">
        <v>119</v>
      </c>
      <c r="X6" s="19" t="s">
        <v>120</v>
      </c>
    </row>
    <row r="7" spans="2:24" x14ac:dyDescent="0.25">
      <c r="B7" s="93" t="s">
        <v>269</v>
      </c>
      <c r="C7" s="93" t="s">
        <v>121</v>
      </c>
      <c r="D7" s="94">
        <v>0.8</v>
      </c>
      <c r="E7" s="95">
        <f>TeamCapacity3[[#This Row],[Estimated % of Time Dedicated to this Team]]*80</f>
        <v>64</v>
      </c>
      <c r="F7" s="96">
        <v>8</v>
      </c>
      <c r="G7" s="96">
        <v>8</v>
      </c>
      <c r="H7" s="96">
        <v>8</v>
      </c>
      <c r="I7" s="96">
        <v>8</v>
      </c>
      <c r="J7" s="96">
        <v>8</v>
      </c>
      <c r="K7" s="96">
        <v>8</v>
      </c>
      <c r="L7" s="96">
        <v>8</v>
      </c>
      <c r="M7" s="96">
        <v>8</v>
      </c>
      <c r="N7" s="96">
        <v>8</v>
      </c>
      <c r="O7" s="96">
        <v>8</v>
      </c>
      <c r="P7" s="97">
        <f t="shared" ref="P7:P14" si="0">SUM(F7:O7)</f>
        <v>80</v>
      </c>
      <c r="Q7" s="98"/>
      <c r="R7" s="8">
        <f>(IF(NOT(ISBLANK(TeamCapacity3[[#This Row],[Time Off (Override)]])),TeamCapacity3[[#This Row],[Estimated Dedicated Hours
(Calculated)]]-TeamCapacity3[[#This Row],[Time Off (Override)]],TeamCapacity3[[#This Row],[Hours Available (Calculated by Day Availability)]]))</f>
        <v>80</v>
      </c>
      <c r="S7" s="21">
        <v>0.3</v>
      </c>
      <c r="T7" s="22">
        <v>0.12</v>
      </c>
      <c r="U7" s="8">
        <f>MAX(0,(TeamCapacity3[[#This Row],[Max Possible Capacity (Calculated)]]-(TeamCapacity3[[#This Row],[Max Possible Capacity (Calculated)]]*TeamCapacity3[[#This Row],[% Time for Training, QA, and Support]])-(TeamCapacity3[[#This Row],[Max Possible Capacity (Calculated)]]*TeamCapacity3[[#This Row],[Estimated Hours Dedicated to Team Meetings]])))</f>
        <v>46.4</v>
      </c>
      <c r="V7" s="8">
        <f>TeamCapacity3[[#This Row],[Available Hours (Calculated)]]/8</f>
        <v>5.8</v>
      </c>
      <c r="W7">
        <v>5</v>
      </c>
    </row>
    <row r="8" spans="2:24" x14ac:dyDescent="0.25">
      <c r="B8" s="99" t="s">
        <v>271</v>
      </c>
      <c r="C8" s="99" t="s">
        <v>121</v>
      </c>
      <c r="D8" s="100">
        <v>1</v>
      </c>
      <c r="E8" s="95">
        <f>TeamCapacity3[[#This Row],[Estimated % of Time Dedicated to this Team]]*80</f>
        <v>80</v>
      </c>
      <c r="F8" s="96">
        <v>8</v>
      </c>
      <c r="G8" s="96">
        <v>8</v>
      </c>
      <c r="H8" s="96">
        <v>8</v>
      </c>
      <c r="I8" s="96">
        <v>8</v>
      </c>
      <c r="J8" s="96">
        <v>8</v>
      </c>
      <c r="K8" s="96">
        <v>8</v>
      </c>
      <c r="L8" s="96">
        <v>8</v>
      </c>
      <c r="M8" s="96">
        <v>8</v>
      </c>
      <c r="N8" s="96">
        <v>8</v>
      </c>
      <c r="O8" s="96">
        <v>8</v>
      </c>
      <c r="P8" s="97">
        <f t="shared" si="0"/>
        <v>80</v>
      </c>
      <c r="Q8" s="98"/>
      <c r="R8" s="8">
        <f>(IF(NOT(ISBLANK(TeamCapacity3[[#This Row],[Time Off (Override)]])),TeamCapacity3[[#This Row],[Estimated Dedicated Hours
(Calculated)]]-TeamCapacity3[[#This Row],[Time Off (Override)]],TeamCapacity3[[#This Row],[Hours Available (Calculated by Day Availability)]]))</f>
        <v>80</v>
      </c>
      <c r="S8" s="21">
        <v>0.8</v>
      </c>
      <c r="T8" s="22">
        <v>0.12</v>
      </c>
      <c r="U8" s="8">
        <f>MAX(0,(TeamCapacity3[[#This Row],[Max Possible Capacity (Calculated)]]-(TeamCapacity3[[#This Row],[Max Possible Capacity (Calculated)]]*TeamCapacity3[[#This Row],[% Time for Training, QA, and Support]])-(TeamCapacity3[[#This Row],[Max Possible Capacity (Calculated)]]*TeamCapacity3[[#This Row],[Estimated Hours Dedicated to Team Meetings]])))</f>
        <v>6.4</v>
      </c>
      <c r="V8" s="8">
        <f>TeamCapacity3[[#This Row],[Available Hours (Calculated)]]/8</f>
        <v>0.8</v>
      </c>
      <c r="W8">
        <v>2</v>
      </c>
    </row>
    <row r="9" spans="2:24" x14ac:dyDescent="0.25">
      <c r="B9" s="99" t="s">
        <v>270</v>
      </c>
      <c r="C9" s="99" t="s">
        <v>122</v>
      </c>
      <c r="D9" s="100">
        <v>1</v>
      </c>
      <c r="E9" s="95">
        <f>TeamCapacity3[[#This Row],[Estimated % of Time Dedicated to this Team]]*80</f>
        <v>80</v>
      </c>
      <c r="F9" s="96">
        <v>8</v>
      </c>
      <c r="G9" s="96">
        <v>8</v>
      </c>
      <c r="H9" s="96">
        <v>8</v>
      </c>
      <c r="I9" s="96">
        <v>8</v>
      </c>
      <c r="J9" s="96">
        <v>8</v>
      </c>
      <c r="K9" s="96">
        <v>8</v>
      </c>
      <c r="L9" s="96">
        <v>8</v>
      </c>
      <c r="M9" s="96">
        <v>8</v>
      </c>
      <c r="N9" s="96">
        <v>8</v>
      </c>
      <c r="O9" s="96">
        <v>8</v>
      </c>
      <c r="P9" s="97">
        <f t="shared" si="0"/>
        <v>80</v>
      </c>
      <c r="Q9" s="98"/>
      <c r="R9" s="8">
        <f>(IF(NOT(ISBLANK(TeamCapacity3[[#This Row],[Time Off (Override)]])),TeamCapacity3[[#This Row],[Estimated Dedicated Hours
(Calculated)]]-TeamCapacity3[[#This Row],[Time Off (Override)]],TeamCapacity3[[#This Row],[Hours Available (Calculated by Day Availability)]]))</f>
        <v>80</v>
      </c>
      <c r="S9" s="21">
        <v>0.2</v>
      </c>
      <c r="T9" s="22">
        <v>0.12</v>
      </c>
      <c r="U9" s="8">
        <f>MAX(0,(TeamCapacity3[[#This Row],[Max Possible Capacity (Calculated)]]-(TeamCapacity3[[#This Row],[Max Possible Capacity (Calculated)]]*TeamCapacity3[[#This Row],[% Time for Training, QA, and Support]])-(TeamCapacity3[[#This Row],[Max Possible Capacity (Calculated)]]*TeamCapacity3[[#This Row],[Estimated Hours Dedicated to Team Meetings]])))</f>
        <v>54.4</v>
      </c>
      <c r="V9" s="8">
        <f>TeamCapacity3[[#This Row],[Available Hours (Calculated)]]/8</f>
        <v>6.8</v>
      </c>
      <c r="W9">
        <v>6</v>
      </c>
    </row>
    <row r="10" spans="2:24" x14ac:dyDescent="0.25">
      <c r="B10" s="99" t="s">
        <v>272</v>
      </c>
      <c r="C10" s="99" t="s">
        <v>122</v>
      </c>
      <c r="D10" s="100">
        <v>0.8</v>
      </c>
      <c r="E10" s="95">
        <f>TeamCapacity3[[#This Row],[Estimated % of Time Dedicated to this Team]]*80</f>
        <v>64</v>
      </c>
      <c r="F10" s="96">
        <v>8</v>
      </c>
      <c r="G10" s="96">
        <v>8</v>
      </c>
      <c r="H10" s="96">
        <v>8</v>
      </c>
      <c r="I10" s="96">
        <v>8</v>
      </c>
      <c r="J10" s="96">
        <v>8</v>
      </c>
      <c r="K10" s="96">
        <v>8</v>
      </c>
      <c r="L10" s="96">
        <v>8</v>
      </c>
      <c r="M10" s="96">
        <v>8</v>
      </c>
      <c r="N10" s="96">
        <v>8</v>
      </c>
      <c r="O10" s="96">
        <v>8</v>
      </c>
      <c r="P10" s="97">
        <f t="shared" si="0"/>
        <v>80</v>
      </c>
      <c r="Q10" s="98"/>
      <c r="R10" s="8">
        <f>(IF(NOT(ISBLANK(TeamCapacity3[[#This Row],[Time Off (Override)]])),TeamCapacity3[[#This Row],[Estimated Dedicated Hours
(Calculated)]]-TeamCapacity3[[#This Row],[Time Off (Override)]],TeamCapacity3[[#This Row],[Hours Available (Calculated by Day Availability)]]))</f>
        <v>80</v>
      </c>
      <c r="S10" s="21">
        <v>0.2</v>
      </c>
      <c r="T10" s="22">
        <v>0.12</v>
      </c>
      <c r="U10" s="8">
        <f>MAX(0,(TeamCapacity3[[#This Row],[Max Possible Capacity (Calculated)]]-(TeamCapacity3[[#This Row],[Max Possible Capacity (Calculated)]]*TeamCapacity3[[#This Row],[% Time for Training, QA, and Support]])-(TeamCapacity3[[#This Row],[Max Possible Capacity (Calculated)]]*TeamCapacity3[[#This Row],[Estimated Hours Dedicated to Team Meetings]])))</f>
        <v>54.4</v>
      </c>
      <c r="V10" s="8">
        <f>TeamCapacity3[[#This Row],[Available Hours (Calculated)]]/8</f>
        <v>6.8</v>
      </c>
      <c r="W10">
        <v>6</v>
      </c>
    </row>
    <row r="11" spans="2:24" x14ac:dyDescent="0.25">
      <c r="B11" s="99" t="s">
        <v>273</v>
      </c>
      <c r="C11" s="99" t="s">
        <v>122</v>
      </c>
      <c r="D11" s="100">
        <v>0.85</v>
      </c>
      <c r="E11" s="95">
        <f>TeamCapacity3[[#This Row],[Estimated % of Time Dedicated to this Team]]*80</f>
        <v>68</v>
      </c>
      <c r="F11" s="96">
        <v>8</v>
      </c>
      <c r="G11" s="96">
        <v>8</v>
      </c>
      <c r="H11" s="96">
        <v>8</v>
      </c>
      <c r="I11" s="96">
        <v>8</v>
      </c>
      <c r="J11" s="96">
        <v>8</v>
      </c>
      <c r="K11" s="96">
        <v>8</v>
      </c>
      <c r="L11" s="96">
        <v>8</v>
      </c>
      <c r="M11" s="96">
        <v>8</v>
      </c>
      <c r="N11" s="96">
        <v>8</v>
      </c>
      <c r="O11" s="96">
        <v>8</v>
      </c>
      <c r="P11" s="97">
        <f t="shared" si="0"/>
        <v>80</v>
      </c>
      <c r="Q11" s="98"/>
      <c r="R11" s="8">
        <f>(IF(NOT(ISBLANK(TeamCapacity3[[#This Row],[Time Off (Override)]])),TeamCapacity3[[#This Row],[Estimated Dedicated Hours
(Calculated)]]-TeamCapacity3[[#This Row],[Time Off (Override)]],TeamCapacity3[[#This Row],[Hours Available (Calculated by Day Availability)]]))</f>
        <v>80</v>
      </c>
      <c r="S11" s="21">
        <v>0.2</v>
      </c>
      <c r="T11" s="22">
        <v>0.12</v>
      </c>
      <c r="U11" s="8">
        <f>MAX(0,(TeamCapacity3[[#This Row],[Max Possible Capacity (Calculated)]]-(TeamCapacity3[[#This Row],[Max Possible Capacity (Calculated)]]*TeamCapacity3[[#This Row],[% Time for Training, QA, and Support]])-(TeamCapacity3[[#This Row],[Max Possible Capacity (Calculated)]]*TeamCapacity3[[#This Row],[Estimated Hours Dedicated to Team Meetings]])))</f>
        <v>54.4</v>
      </c>
      <c r="V11" s="8">
        <f>TeamCapacity3[[#This Row],[Available Hours (Calculated)]]/8</f>
        <v>6.8</v>
      </c>
      <c r="W11">
        <v>6</v>
      </c>
    </row>
    <row r="12" spans="2:24" x14ac:dyDescent="0.25">
      <c r="B12" s="99" t="s">
        <v>274</v>
      </c>
      <c r="C12" s="99" t="s">
        <v>122</v>
      </c>
      <c r="D12" s="100">
        <v>1</v>
      </c>
      <c r="E12" s="95">
        <f>TeamCapacity3[[#This Row],[Estimated % of Time Dedicated to this Team]]*80</f>
        <v>80</v>
      </c>
      <c r="F12" s="96">
        <v>8</v>
      </c>
      <c r="G12" s="96">
        <v>8</v>
      </c>
      <c r="H12" s="96">
        <v>8</v>
      </c>
      <c r="I12" s="96">
        <v>8</v>
      </c>
      <c r="J12" s="96">
        <v>8</v>
      </c>
      <c r="K12" s="96">
        <v>8</v>
      </c>
      <c r="L12" s="96">
        <v>8</v>
      </c>
      <c r="M12" s="96">
        <v>8</v>
      </c>
      <c r="N12" s="96">
        <v>8</v>
      </c>
      <c r="O12" s="96">
        <v>8</v>
      </c>
      <c r="P12" s="97">
        <f t="shared" si="0"/>
        <v>80</v>
      </c>
      <c r="Q12" s="98"/>
      <c r="R12" s="8">
        <f>(IF(NOT(ISBLANK(TeamCapacity3[[#This Row],[Time Off (Override)]])),TeamCapacity3[[#This Row],[Estimated Dedicated Hours
(Calculated)]]-TeamCapacity3[[#This Row],[Time Off (Override)]],TeamCapacity3[[#This Row],[Hours Available (Calculated by Day Availability)]]))</f>
        <v>80</v>
      </c>
      <c r="S12" s="21">
        <v>0.25</v>
      </c>
      <c r="T12" s="22">
        <v>0.12</v>
      </c>
      <c r="U12" s="8">
        <f>MAX(0,(TeamCapacity3[[#This Row],[Max Possible Capacity (Calculated)]]-(TeamCapacity3[[#This Row],[Max Possible Capacity (Calculated)]]*TeamCapacity3[[#This Row],[% Time for Training, QA, and Support]])-(TeamCapacity3[[#This Row],[Max Possible Capacity (Calculated)]]*TeamCapacity3[[#This Row],[Estimated Hours Dedicated to Team Meetings]])))</f>
        <v>50.4</v>
      </c>
      <c r="V12" s="8">
        <f>TeamCapacity3[[#This Row],[Available Hours (Calculated)]]/8</f>
        <v>6.3</v>
      </c>
      <c r="W12">
        <v>6</v>
      </c>
    </row>
    <row r="13" spans="2:24" x14ac:dyDescent="0.25">
      <c r="B13" s="101" t="s">
        <v>275</v>
      </c>
      <c r="C13" t="s">
        <v>123</v>
      </c>
      <c r="D13" s="100">
        <v>1</v>
      </c>
      <c r="E13" s="95">
        <f>TeamCapacity3[[#This Row],[Estimated % of Time Dedicated to this Team]]*80</f>
        <v>80</v>
      </c>
      <c r="F13" s="96">
        <v>8</v>
      </c>
      <c r="G13" s="96">
        <v>8</v>
      </c>
      <c r="H13" s="96">
        <v>8</v>
      </c>
      <c r="I13" s="96">
        <v>8</v>
      </c>
      <c r="J13" s="96">
        <v>8</v>
      </c>
      <c r="K13" s="96">
        <v>8</v>
      </c>
      <c r="L13" s="96">
        <v>8</v>
      </c>
      <c r="M13" s="96">
        <v>8</v>
      </c>
      <c r="N13" s="96">
        <v>8</v>
      </c>
      <c r="O13" s="96">
        <v>8</v>
      </c>
      <c r="P13" s="97">
        <f t="shared" si="0"/>
        <v>80</v>
      </c>
      <c r="Q13" s="98"/>
      <c r="R13" s="8">
        <f>(IF(NOT(ISBLANK(TeamCapacity3[[#This Row],[Time Off (Override)]])),TeamCapacity3[[#This Row],[Estimated Dedicated Hours
(Calculated)]]-TeamCapacity3[[#This Row],[Time Off (Override)]],TeamCapacity3[[#This Row],[Hours Available (Calculated by Day Availability)]]))</f>
        <v>80</v>
      </c>
      <c r="S13" s="21">
        <v>0.5</v>
      </c>
      <c r="T13" s="22">
        <v>0.12</v>
      </c>
      <c r="U13" s="8">
        <f>MAX(0,(TeamCapacity3[[#This Row],[Max Possible Capacity (Calculated)]]-(TeamCapacity3[[#This Row],[Max Possible Capacity (Calculated)]]*TeamCapacity3[[#This Row],[% Time for Training, QA, and Support]])-(TeamCapacity3[[#This Row],[Max Possible Capacity (Calculated)]]*TeamCapacity3[[#This Row],[Estimated Hours Dedicated to Team Meetings]])))</f>
        <v>30.4</v>
      </c>
      <c r="V13" s="8">
        <f>TeamCapacity3[[#This Row],[Available Hours (Calculated)]]/8</f>
        <v>3.8</v>
      </c>
      <c r="W13">
        <v>4</v>
      </c>
    </row>
    <row r="14" spans="2:24" ht="15.75" thickBot="1" x14ac:dyDescent="0.3">
      <c r="B14" s="99" t="s">
        <v>276</v>
      </c>
      <c r="C14" t="s">
        <v>123</v>
      </c>
      <c r="D14" s="129">
        <v>1</v>
      </c>
      <c r="E14" s="95">
        <f>TeamCapacity3[[#This Row],[Estimated % of Time Dedicated to this Team]]*80</f>
        <v>80</v>
      </c>
      <c r="F14" s="96">
        <v>8</v>
      </c>
      <c r="G14" s="96">
        <v>8</v>
      </c>
      <c r="H14" s="96">
        <v>8</v>
      </c>
      <c r="I14" s="96">
        <v>8</v>
      </c>
      <c r="J14" s="96">
        <v>8</v>
      </c>
      <c r="K14" s="96">
        <v>8</v>
      </c>
      <c r="L14" s="96">
        <v>8</v>
      </c>
      <c r="M14" s="96">
        <v>8</v>
      </c>
      <c r="N14" s="96">
        <v>8</v>
      </c>
      <c r="O14" s="96">
        <v>8</v>
      </c>
      <c r="P14" s="97">
        <f t="shared" si="0"/>
        <v>80</v>
      </c>
      <c r="Q14" s="98"/>
      <c r="R14" s="8">
        <f>(IF(NOT(ISBLANK(TeamCapacity3[[#This Row],[Time Off (Override)]])),TeamCapacity3[[#This Row],[Estimated Dedicated Hours
(Calculated)]]-TeamCapacity3[[#This Row],[Time Off (Override)]],TeamCapacity3[[#This Row],[Hours Available (Calculated by Day Availability)]]))</f>
        <v>80</v>
      </c>
      <c r="S14" s="21">
        <v>0.25</v>
      </c>
      <c r="T14" s="22">
        <v>0.12</v>
      </c>
      <c r="U14" s="8">
        <f>MAX(0,(TeamCapacity3[[#This Row],[Max Possible Capacity (Calculated)]]-(TeamCapacity3[[#This Row],[Max Possible Capacity (Calculated)]]*TeamCapacity3[[#This Row],[% Time for Training, QA, and Support]])-(TeamCapacity3[[#This Row],[Max Possible Capacity (Calculated)]]*TeamCapacity3[[#This Row],[Estimated Hours Dedicated to Team Meetings]])))</f>
        <v>50.4</v>
      </c>
      <c r="V14" s="8">
        <f>TeamCapacity3[[#This Row],[Available Hours (Calculated)]]/8</f>
        <v>6.3</v>
      </c>
      <c r="W14">
        <v>5</v>
      </c>
    </row>
    <row r="15" spans="2:24" ht="19.5" thickTop="1" x14ac:dyDescent="0.3">
      <c r="C15" s="102"/>
      <c r="E15" s="23">
        <f>SUM(TeamCapacity3[Estimated Dedicated Hours
(Calculated)])</f>
        <v>596</v>
      </c>
      <c r="F15" s="23">
        <f>SUBTOTAL(109,TeamCapacity3[M 01])</f>
        <v>64</v>
      </c>
      <c r="G15" s="23">
        <f>SUBTOTAL(109,TeamCapacity3[Tu 02])</f>
        <v>64</v>
      </c>
      <c r="H15" s="23">
        <f>SUBTOTAL(109,TeamCapacity3[W 03])</f>
        <v>64</v>
      </c>
      <c r="I15" s="23">
        <f>SUBTOTAL(109,TeamCapacity3[Th 04])</f>
        <v>64</v>
      </c>
      <c r="J15" s="23">
        <f>SUBTOTAL(109,TeamCapacity3[F 05])</f>
        <v>64</v>
      </c>
      <c r="K15" s="23">
        <f>SUBTOTAL(109,TeamCapacity3[M 06])</f>
        <v>64</v>
      </c>
      <c r="L15" s="23">
        <f>SUBTOTAL(109,TeamCapacity3[Tu 07])</f>
        <v>64</v>
      </c>
      <c r="M15" s="23">
        <f>SUBTOTAL(109,TeamCapacity3[W 08])</f>
        <v>64</v>
      </c>
      <c r="N15" s="23">
        <f>SUBTOTAL(109,TeamCapacity3[Th 09])</f>
        <v>64</v>
      </c>
      <c r="O15" s="23">
        <f>SUBTOTAL(109,TeamCapacity3[F 10])</f>
        <v>64</v>
      </c>
      <c r="P15" s="23">
        <f>SUM(TeamCapacity3[Hours Available (Calculated by Day Availability)])</f>
        <v>640</v>
      </c>
      <c r="Q15" s="23">
        <f>SUM(TeamCapacity3[Time Off (Override)])</f>
        <v>0</v>
      </c>
      <c r="R15">
        <f>SUM(TeamCapacity3[Max Possible Capacity (Calculated)])</f>
        <v>640</v>
      </c>
      <c r="S15" s="21">
        <f>AVERAGE(TeamCapacity3[% Time for Training, QA, and Support])</f>
        <v>0.33750000000000002</v>
      </c>
      <c r="T15" s="21">
        <f>AVERAGE(TeamCapacity3[Estimated Hours Dedicated to Team Meetings])</f>
        <v>0.12</v>
      </c>
      <c r="U15">
        <f>SUM(TeamCapacity3[Available Hours (Calculated)])</f>
        <v>347.19999999999993</v>
      </c>
      <c r="V15" s="103">
        <f>SUM(TeamCapacity3[Estimation = hours/8 (Calculated)])</f>
        <v>43.399999999999991</v>
      </c>
      <c r="W15" s="24">
        <f>SUM(TeamCapacity3[Planned Story Points])</f>
        <v>40</v>
      </c>
    </row>
    <row r="16" spans="2:24" x14ac:dyDescent="0.25">
      <c r="E16" s="21" t="s">
        <v>250</v>
      </c>
      <c r="F16">
        <v>10</v>
      </c>
      <c r="G16">
        <v>11</v>
      </c>
      <c r="H16">
        <v>12</v>
      </c>
      <c r="I16">
        <v>13</v>
      </c>
      <c r="J16">
        <v>14</v>
      </c>
      <c r="K16">
        <v>17</v>
      </c>
      <c r="L16">
        <v>18</v>
      </c>
      <c r="M16">
        <v>19</v>
      </c>
      <c r="N16">
        <v>20</v>
      </c>
      <c r="O16">
        <v>21</v>
      </c>
    </row>
    <row r="18" spans="2:5" ht="15.75" thickBot="1" x14ac:dyDescent="0.3">
      <c r="B18" s="104" t="s">
        <v>124</v>
      </c>
      <c r="C18" s="104" t="s">
        <v>125</v>
      </c>
      <c r="D18" s="105" t="s">
        <v>126</v>
      </c>
      <c r="E18" s="106" t="s">
        <v>127</v>
      </c>
    </row>
    <row r="19" spans="2:5" x14ac:dyDescent="0.25">
      <c r="B19" s="107" t="s">
        <v>128</v>
      </c>
      <c r="C19" s="107"/>
      <c r="D19" s="108"/>
      <c r="E19" s="109">
        <f>TeamCapacity3[[#Totals],[Estimated Dedicated Hours
(Calculated)]]</f>
        <v>596</v>
      </c>
    </row>
    <row r="20" spans="2:5" x14ac:dyDescent="0.25">
      <c r="B20" s="110" t="s">
        <v>129</v>
      </c>
      <c r="C20" s="110"/>
      <c r="D20" s="111"/>
      <c r="E20" s="112">
        <f>TeamCapacity3[[#Totals],[Max Possible Capacity (Calculated)]]</f>
        <v>640</v>
      </c>
    </row>
    <row r="21" spans="2:5" x14ac:dyDescent="0.25">
      <c r="B21" s="113" t="s">
        <v>130</v>
      </c>
      <c r="C21" s="113"/>
      <c r="D21" s="114"/>
      <c r="E21" s="115">
        <f>TeamCapacity3[[#Totals],[Available Hours (Calculated)]]</f>
        <v>347.19999999999993</v>
      </c>
    </row>
    <row r="22" spans="2:5" x14ac:dyDescent="0.25">
      <c r="B22" s="110" t="s">
        <v>131</v>
      </c>
      <c r="C22" s="110"/>
      <c r="D22" s="111"/>
      <c r="E22" s="112">
        <f>TeamCapacity3[[#Totals],[Estimation = hours/8 (Calculated)]]</f>
        <v>43.399999999999991</v>
      </c>
    </row>
    <row r="23" spans="2:5" x14ac:dyDescent="0.25">
      <c r="B23" s="113" t="s">
        <v>132</v>
      </c>
      <c r="C23" s="113"/>
      <c r="D23" s="114"/>
      <c r="E23" s="115">
        <f>TeamCapacity3[[#Totals],[Planned Story Points]]</f>
        <v>40</v>
      </c>
    </row>
    <row r="24" spans="2:5" ht="15.75" thickBot="1" x14ac:dyDescent="0.3">
      <c r="B24" s="116" t="s">
        <v>133</v>
      </c>
      <c r="C24" s="116"/>
      <c r="D24" s="117"/>
      <c r="E24" s="112"/>
    </row>
    <row r="25" spans="2:5" ht="15.75" thickTop="1" x14ac:dyDescent="0.25">
      <c r="B25" s="118" t="s">
        <v>134</v>
      </c>
      <c r="C25" s="118"/>
      <c r="D25" s="119"/>
      <c r="E25" s="120">
        <f>E23-E24</f>
        <v>40</v>
      </c>
    </row>
  </sheetData>
  <conditionalFormatting sqref="F15:O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7:O13">
    <cfRule type="cellIs" dxfId="244" priority="3" operator="notEqual">
      <formula>8</formula>
    </cfRule>
    <cfRule type="cellIs" dxfId="243" priority="4" operator="notEqual">
      <formula>8</formula>
    </cfRule>
  </conditionalFormatting>
  <conditionalFormatting sqref="F14:O14">
    <cfRule type="cellIs" dxfId="242" priority="1" operator="notEqual">
      <formula>8</formula>
    </cfRule>
    <cfRule type="cellIs" dxfId="241" priority="2" operator="notEqual">
      <formula>8</formula>
    </cfRule>
  </conditionalFormatting>
  <pageMargins left="0.7" right="0.7" top="0.75" bottom="0.75" header="0.3" footer="0.3"/>
  <pageSetup orientation="portrait" horizontalDpi="360" verticalDpi="360" r:id="rId1"/>
  <legacy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ADE8-9E6F-4D1C-ABDE-440B79245C27}">
  <dimension ref="B2:X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3.28515625" customWidth="1"/>
    <col min="2" max="2" width="26.42578125" customWidth="1"/>
    <col min="3" max="3" width="17.5703125" bestFit="1" customWidth="1"/>
    <col min="4" max="5" width="12.7109375" style="21" customWidth="1"/>
    <col min="6" max="15" width="3.7109375" style="23" customWidth="1"/>
    <col min="16" max="17" width="11.7109375" style="23" customWidth="1"/>
    <col min="18" max="18" width="11.7109375" customWidth="1"/>
    <col min="19" max="19" width="11.7109375" style="21" customWidth="1"/>
    <col min="20" max="20" width="11.7109375" style="22" customWidth="1"/>
    <col min="21" max="23" width="11.7109375" customWidth="1"/>
    <col min="24" max="24" width="54.85546875" customWidth="1"/>
  </cols>
  <sheetData>
    <row r="2" spans="2:24" ht="21" x14ac:dyDescent="0.35">
      <c r="B2" s="1" t="s">
        <v>94</v>
      </c>
      <c r="C2" s="1" t="s">
        <v>292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S2"/>
      <c r="T2"/>
    </row>
    <row r="3" spans="2:24" s="38" customFormat="1" ht="15" customHeight="1" x14ac:dyDescent="0.2">
      <c r="B3" s="39"/>
      <c r="C3" s="39"/>
      <c r="D3" s="39"/>
      <c r="E3" s="39"/>
      <c r="R3" s="39"/>
      <c r="S3" s="39"/>
      <c r="T3" s="39"/>
    </row>
    <row r="4" spans="2:24" x14ac:dyDescent="0.25">
      <c r="F4" s="86" t="s">
        <v>95</v>
      </c>
      <c r="Q4" s="86" t="s">
        <v>96</v>
      </c>
    </row>
    <row r="5" spans="2:24" x14ac:dyDescent="0.25">
      <c r="F5" s="86" t="s">
        <v>97</v>
      </c>
      <c r="G5" s="86"/>
      <c r="H5" s="86"/>
      <c r="I5" s="86"/>
      <c r="J5" s="86"/>
      <c r="K5" s="86"/>
      <c r="L5" s="86"/>
      <c r="M5" s="86"/>
      <c r="N5" s="86"/>
      <c r="O5" s="86"/>
      <c r="Q5" s="86" t="s">
        <v>98</v>
      </c>
    </row>
    <row r="6" spans="2:24" s="19" customFormat="1" ht="75" x14ac:dyDescent="0.25">
      <c r="B6" s="19" t="s">
        <v>71</v>
      </c>
      <c r="C6" s="19" t="s">
        <v>99</v>
      </c>
      <c r="D6" s="20" t="s">
        <v>100</v>
      </c>
      <c r="E6" s="87" t="s">
        <v>101</v>
      </c>
      <c r="F6" s="88" t="s">
        <v>102</v>
      </c>
      <c r="G6" s="88" t="s">
        <v>103</v>
      </c>
      <c r="H6" s="88" t="s">
        <v>104</v>
      </c>
      <c r="I6" s="88" t="s">
        <v>105</v>
      </c>
      <c r="J6" s="88" t="s">
        <v>106</v>
      </c>
      <c r="K6" s="88" t="s">
        <v>107</v>
      </c>
      <c r="L6" s="88" t="s">
        <v>108</v>
      </c>
      <c r="M6" s="88" t="s">
        <v>109</v>
      </c>
      <c r="N6" s="88" t="s">
        <v>110</v>
      </c>
      <c r="O6" s="88" t="s">
        <v>111</v>
      </c>
      <c r="P6" s="89" t="s">
        <v>112</v>
      </c>
      <c r="Q6" s="89" t="s">
        <v>113</v>
      </c>
      <c r="R6" s="90" t="s">
        <v>114</v>
      </c>
      <c r="S6" s="90" t="s">
        <v>115</v>
      </c>
      <c r="T6" s="91" t="s">
        <v>116</v>
      </c>
      <c r="U6" s="90" t="s">
        <v>117</v>
      </c>
      <c r="V6" s="90" t="s">
        <v>118</v>
      </c>
      <c r="W6" s="92" t="s">
        <v>119</v>
      </c>
      <c r="X6" s="19" t="s">
        <v>120</v>
      </c>
    </row>
    <row r="7" spans="2:24" x14ac:dyDescent="0.25">
      <c r="B7" s="93" t="s">
        <v>269</v>
      </c>
      <c r="C7" s="93" t="s">
        <v>121</v>
      </c>
      <c r="D7" s="94">
        <v>0.8</v>
      </c>
      <c r="E7" s="95">
        <f>TeamCapacity4[[#This Row],[Estimated % of Time Dedicated to this Team]]*80</f>
        <v>64</v>
      </c>
      <c r="F7" s="96">
        <v>8</v>
      </c>
      <c r="G7" s="96">
        <v>8</v>
      </c>
      <c r="H7" s="96">
        <v>8</v>
      </c>
      <c r="I7" s="96">
        <v>8</v>
      </c>
      <c r="J7" s="96">
        <v>8</v>
      </c>
      <c r="K7" s="96">
        <v>8</v>
      </c>
      <c r="L7" s="96">
        <v>8</v>
      </c>
      <c r="M7" s="96">
        <v>8</v>
      </c>
      <c r="N7" s="96">
        <v>8</v>
      </c>
      <c r="O7" s="96">
        <v>8</v>
      </c>
      <c r="P7" s="97">
        <f t="shared" ref="P7:P14" si="0">SUM(F7:O7)</f>
        <v>80</v>
      </c>
      <c r="Q7" s="98"/>
      <c r="R7" s="8">
        <f>(IF(NOT(ISBLANK(TeamCapacity4[[#This Row],[Time Off (Override)]])),TeamCapacity4[[#This Row],[Estimated Dedicated Hours
(Calculated)]]-TeamCapacity4[[#This Row],[Time Off (Override)]],TeamCapacity4[[#This Row],[Hours Available (Calculated by Day Availability)]]))</f>
        <v>80</v>
      </c>
      <c r="S7" s="21">
        <v>0.3</v>
      </c>
      <c r="T7" s="22">
        <v>0.12</v>
      </c>
      <c r="U7" s="8">
        <f>MAX(0,(TeamCapacity4[[#This Row],[Max Possible Capacity (Calculated)]]-(TeamCapacity4[[#This Row],[Max Possible Capacity (Calculated)]]*TeamCapacity4[[#This Row],[% Time for Training, QA, and Support]])-(TeamCapacity4[[#This Row],[Max Possible Capacity (Calculated)]]*TeamCapacity4[[#This Row],[Estimated Hours Dedicated to Team Meetings]])))</f>
        <v>46.4</v>
      </c>
      <c r="V7" s="8">
        <f>TeamCapacity4[[#This Row],[Available Hours (Calculated)]]/8</f>
        <v>5.8</v>
      </c>
      <c r="W7">
        <v>5</v>
      </c>
    </row>
    <row r="8" spans="2:24" x14ac:dyDescent="0.25">
      <c r="B8" s="99" t="s">
        <v>271</v>
      </c>
      <c r="C8" s="99" t="s">
        <v>121</v>
      </c>
      <c r="D8" s="100">
        <v>1</v>
      </c>
      <c r="E8" s="95">
        <f>TeamCapacity4[[#This Row],[Estimated % of Time Dedicated to this Team]]*80</f>
        <v>80</v>
      </c>
      <c r="F8" s="96">
        <v>8</v>
      </c>
      <c r="G8" s="96">
        <v>8</v>
      </c>
      <c r="H8" s="96">
        <v>8</v>
      </c>
      <c r="I8" s="96">
        <v>8</v>
      </c>
      <c r="J8" s="96">
        <v>8</v>
      </c>
      <c r="K8" s="96">
        <v>8</v>
      </c>
      <c r="L8" s="96">
        <v>8</v>
      </c>
      <c r="M8" s="96">
        <v>8</v>
      </c>
      <c r="N8" s="96">
        <v>8</v>
      </c>
      <c r="O8" s="96">
        <v>8</v>
      </c>
      <c r="P8" s="97">
        <f t="shared" si="0"/>
        <v>80</v>
      </c>
      <c r="Q8" s="98"/>
      <c r="R8" s="8">
        <f>(IF(NOT(ISBLANK(TeamCapacity4[[#This Row],[Time Off (Override)]])),TeamCapacity4[[#This Row],[Estimated Dedicated Hours
(Calculated)]]-TeamCapacity4[[#This Row],[Time Off (Override)]],TeamCapacity4[[#This Row],[Hours Available (Calculated by Day Availability)]]))</f>
        <v>80</v>
      </c>
      <c r="S8" s="21">
        <v>0.8</v>
      </c>
      <c r="T8" s="22">
        <v>0.12</v>
      </c>
      <c r="U8" s="8">
        <f>MAX(0,(TeamCapacity4[[#This Row],[Max Possible Capacity (Calculated)]]-(TeamCapacity4[[#This Row],[Max Possible Capacity (Calculated)]]*TeamCapacity4[[#This Row],[% Time for Training, QA, and Support]])-(TeamCapacity4[[#This Row],[Max Possible Capacity (Calculated)]]*TeamCapacity4[[#This Row],[Estimated Hours Dedicated to Team Meetings]])))</f>
        <v>6.4</v>
      </c>
      <c r="V8" s="8">
        <f>TeamCapacity4[[#This Row],[Available Hours (Calculated)]]/8</f>
        <v>0.8</v>
      </c>
      <c r="W8">
        <v>2</v>
      </c>
    </row>
    <row r="9" spans="2:24" x14ac:dyDescent="0.25">
      <c r="B9" s="99" t="s">
        <v>270</v>
      </c>
      <c r="C9" s="99" t="s">
        <v>122</v>
      </c>
      <c r="D9" s="100">
        <v>1</v>
      </c>
      <c r="E9" s="95">
        <f>TeamCapacity4[[#This Row],[Estimated % of Time Dedicated to this Team]]*80</f>
        <v>80</v>
      </c>
      <c r="F9" s="96">
        <v>8</v>
      </c>
      <c r="G9" s="96">
        <v>8</v>
      </c>
      <c r="H9" s="96">
        <v>8</v>
      </c>
      <c r="I9" s="96">
        <v>8</v>
      </c>
      <c r="J9" s="96">
        <v>8</v>
      </c>
      <c r="K9" s="96">
        <v>8</v>
      </c>
      <c r="L9" s="96">
        <v>8</v>
      </c>
      <c r="M9" s="96">
        <v>8</v>
      </c>
      <c r="N9" s="96">
        <v>8</v>
      </c>
      <c r="O9" s="96">
        <v>8</v>
      </c>
      <c r="P9" s="97">
        <f t="shared" si="0"/>
        <v>80</v>
      </c>
      <c r="Q9" s="98"/>
      <c r="R9" s="8">
        <f>(IF(NOT(ISBLANK(TeamCapacity4[[#This Row],[Time Off (Override)]])),TeamCapacity4[[#This Row],[Estimated Dedicated Hours
(Calculated)]]-TeamCapacity4[[#This Row],[Time Off (Override)]],TeamCapacity4[[#This Row],[Hours Available (Calculated by Day Availability)]]))</f>
        <v>80</v>
      </c>
      <c r="S9" s="21">
        <v>0.2</v>
      </c>
      <c r="T9" s="22">
        <v>0.12</v>
      </c>
      <c r="U9" s="8">
        <f>MAX(0,(TeamCapacity4[[#This Row],[Max Possible Capacity (Calculated)]]-(TeamCapacity4[[#This Row],[Max Possible Capacity (Calculated)]]*TeamCapacity4[[#This Row],[% Time for Training, QA, and Support]])-(TeamCapacity4[[#This Row],[Max Possible Capacity (Calculated)]]*TeamCapacity4[[#This Row],[Estimated Hours Dedicated to Team Meetings]])))</f>
        <v>54.4</v>
      </c>
      <c r="V9" s="8">
        <f>TeamCapacity4[[#This Row],[Available Hours (Calculated)]]/8</f>
        <v>6.8</v>
      </c>
      <c r="W9">
        <v>6</v>
      </c>
    </row>
    <row r="10" spans="2:24" x14ac:dyDescent="0.25">
      <c r="B10" s="99" t="s">
        <v>272</v>
      </c>
      <c r="C10" s="99" t="s">
        <v>122</v>
      </c>
      <c r="D10" s="100">
        <v>0.8</v>
      </c>
      <c r="E10" s="95">
        <f>TeamCapacity4[[#This Row],[Estimated % of Time Dedicated to this Team]]*80</f>
        <v>64</v>
      </c>
      <c r="F10" s="96">
        <v>8</v>
      </c>
      <c r="G10" s="96">
        <v>8</v>
      </c>
      <c r="H10" s="96">
        <v>8</v>
      </c>
      <c r="I10" s="96">
        <v>8</v>
      </c>
      <c r="J10" s="96">
        <v>8</v>
      </c>
      <c r="K10" s="96">
        <v>8</v>
      </c>
      <c r="L10" s="96">
        <v>8</v>
      </c>
      <c r="M10" s="96">
        <v>8</v>
      </c>
      <c r="N10" s="96">
        <v>8</v>
      </c>
      <c r="O10" s="96">
        <v>8</v>
      </c>
      <c r="P10" s="97">
        <f t="shared" si="0"/>
        <v>80</v>
      </c>
      <c r="Q10" s="98"/>
      <c r="R10" s="8">
        <f>(IF(NOT(ISBLANK(TeamCapacity4[[#This Row],[Time Off (Override)]])),TeamCapacity4[[#This Row],[Estimated Dedicated Hours
(Calculated)]]-TeamCapacity4[[#This Row],[Time Off (Override)]],TeamCapacity4[[#This Row],[Hours Available (Calculated by Day Availability)]]))</f>
        <v>80</v>
      </c>
      <c r="S10" s="21">
        <v>0.2</v>
      </c>
      <c r="T10" s="22">
        <v>0.12</v>
      </c>
      <c r="U10" s="8">
        <f>MAX(0,(TeamCapacity4[[#This Row],[Max Possible Capacity (Calculated)]]-(TeamCapacity4[[#This Row],[Max Possible Capacity (Calculated)]]*TeamCapacity4[[#This Row],[% Time for Training, QA, and Support]])-(TeamCapacity4[[#This Row],[Max Possible Capacity (Calculated)]]*TeamCapacity4[[#This Row],[Estimated Hours Dedicated to Team Meetings]])))</f>
        <v>54.4</v>
      </c>
      <c r="V10" s="8">
        <f>TeamCapacity4[[#This Row],[Available Hours (Calculated)]]/8</f>
        <v>6.8</v>
      </c>
      <c r="W10">
        <v>6</v>
      </c>
    </row>
    <row r="11" spans="2:24" x14ac:dyDescent="0.25">
      <c r="B11" s="99" t="s">
        <v>273</v>
      </c>
      <c r="C11" s="99" t="s">
        <v>122</v>
      </c>
      <c r="D11" s="100">
        <v>0.85</v>
      </c>
      <c r="E11" s="95">
        <f>TeamCapacity4[[#This Row],[Estimated % of Time Dedicated to this Team]]*80</f>
        <v>68</v>
      </c>
      <c r="F11" s="96">
        <v>8</v>
      </c>
      <c r="G11" s="96">
        <v>8</v>
      </c>
      <c r="H11" s="96">
        <v>8</v>
      </c>
      <c r="I11" s="96">
        <v>8</v>
      </c>
      <c r="J11" s="96">
        <v>8</v>
      </c>
      <c r="K11" s="96">
        <v>8</v>
      </c>
      <c r="L11" s="96">
        <v>8</v>
      </c>
      <c r="M11" s="96">
        <v>8</v>
      </c>
      <c r="N11" s="96">
        <v>8</v>
      </c>
      <c r="O11" s="96">
        <v>8</v>
      </c>
      <c r="P11" s="97">
        <f t="shared" si="0"/>
        <v>80</v>
      </c>
      <c r="Q11" s="98"/>
      <c r="R11" s="8">
        <f>(IF(NOT(ISBLANK(TeamCapacity4[[#This Row],[Time Off (Override)]])),TeamCapacity4[[#This Row],[Estimated Dedicated Hours
(Calculated)]]-TeamCapacity4[[#This Row],[Time Off (Override)]],TeamCapacity4[[#This Row],[Hours Available (Calculated by Day Availability)]]))</f>
        <v>80</v>
      </c>
      <c r="S11" s="21">
        <v>0.2</v>
      </c>
      <c r="T11" s="22">
        <v>0.12</v>
      </c>
      <c r="U11" s="8">
        <f>MAX(0,(TeamCapacity4[[#This Row],[Max Possible Capacity (Calculated)]]-(TeamCapacity4[[#This Row],[Max Possible Capacity (Calculated)]]*TeamCapacity4[[#This Row],[% Time for Training, QA, and Support]])-(TeamCapacity4[[#This Row],[Max Possible Capacity (Calculated)]]*TeamCapacity4[[#This Row],[Estimated Hours Dedicated to Team Meetings]])))</f>
        <v>54.4</v>
      </c>
      <c r="V11" s="8">
        <f>TeamCapacity4[[#This Row],[Available Hours (Calculated)]]/8</f>
        <v>6.8</v>
      </c>
      <c r="W11">
        <v>6</v>
      </c>
    </row>
    <row r="12" spans="2:24" x14ac:dyDescent="0.25">
      <c r="B12" s="99" t="s">
        <v>274</v>
      </c>
      <c r="C12" s="99" t="s">
        <v>122</v>
      </c>
      <c r="D12" s="100">
        <v>1</v>
      </c>
      <c r="E12" s="95">
        <f>TeamCapacity4[[#This Row],[Estimated % of Time Dedicated to this Team]]*80</f>
        <v>80</v>
      </c>
      <c r="F12" s="96">
        <v>8</v>
      </c>
      <c r="G12" s="96">
        <v>8</v>
      </c>
      <c r="H12" s="96">
        <v>8</v>
      </c>
      <c r="I12" s="96">
        <v>8</v>
      </c>
      <c r="J12" s="96">
        <v>8</v>
      </c>
      <c r="K12" s="96">
        <v>8</v>
      </c>
      <c r="L12" s="96">
        <v>8</v>
      </c>
      <c r="M12" s="96">
        <v>8</v>
      </c>
      <c r="N12" s="96">
        <v>8</v>
      </c>
      <c r="O12" s="96">
        <v>8</v>
      </c>
      <c r="P12" s="97">
        <f t="shared" si="0"/>
        <v>80</v>
      </c>
      <c r="Q12" s="98"/>
      <c r="R12" s="8">
        <f>(IF(NOT(ISBLANK(TeamCapacity4[[#This Row],[Time Off (Override)]])),TeamCapacity4[[#This Row],[Estimated Dedicated Hours
(Calculated)]]-TeamCapacity4[[#This Row],[Time Off (Override)]],TeamCapacity4[[#This Row],[Hours Available (Calculated by Day Availability)]]))</f>
        <v>80</v>
      </c>
      <c r="S12" s="21">
        <v>0.25</v>
      </c>
      <c r="T12" s="22">
        <v>0.12</v>
      </c>
      <c r="U12" s="8">
        <f>MAX(0,(TeamCapacity4[[#This Row],[Max Possible Capacity (Calculated)]]-(TeamCapacity4[[#This Row],[Max Possible Capacity (Calculated)]]*TeamCapacity4[[#This Row],[% Time for Training, QA, and Support]])-(TeamCapacity4[[#This Row],[Max Possible Capacity (Calculated)]]*TeamCapacity4[[#This Row],[Estimated Hours Dedicated to Team Meetings]])))</f>
        <v>50.4</v>
      </c>
      <c r="V12" s="8">
        <f>TeamCapacity4[[#This Row],[Available Hours (Calculated)]]/8</f>
        <v>6.3</v>
      </c>
      <c r="W12">
        <v>6</v>
      </c>
    </row>
    <row r="13" spans="2:24" x14ac:dyDescent="0.25">
      <c r="B13" s="101" t="s">
        <v>275</v>
      </c>
      <c r="C13" t="s">
        <v>123</v>
      </c>
      <c r="D13" s="100">
        <v>1</v>
      </c>
      <c r="E13" s="95">
        <f>TeamCapacity4[[#This Row],[Estimated % of Time Dedicated to this Team]]*80</f>
        <v>80</v>
      </c>
      <c r="F13" s="96">
        <v>8</v>
      </c>
      <c r="G13" s="96">
        <v>8</v>
      </c>
      <c r="H13" s="96">
        <v>8</v>
      </c>
      <c r="I13" s="96">
        <v>8</v>
      </c>
      <c r="J13" s="96">
        <v>8</v>
      </c>
      <c r="K13" s="96">
        <v>8</v>
      </c>
      <c r="L13" s="96">
        <v>8</v>
      </c>
      <c r="M13" s="96">
        <v>8</v>
      </c>
      <c r="N13" s="96">
        <v>8</v>
      </c>
      <c r="O13" s="96">
        <v>8</v>
      </c>
      <c r="P13" s="97">
        <f t="shared" si="0"/>
        <v>80</v>
      </c>
      <c r="Q13" s="98"/>
      <c r="R13" s="8">
        <f>(IF(NOT(ISBLANK(TeamCapacity4[[#This Row],[Time Off (Override)]])),TeamCapacity4[[#This Row],[Estimated Dedicated Hours
(Calculated)]]-TeamCapacity4[[#This Row],[Time Off (Override)]],TeamCapacity4[[#This Row],[Hours Available (Calculated by Day Availability)]]))</f>
        <v>80</v>
      </c>
      <c r="S13" s="21">
        <v>0.5</v>
      </c>
      <c r="T13" s="22">
        <v>0.12</v>
      </c>
      <c r="U13" s="8">
        <f>MAX(0,(TeamCapacity4[[#This Row],[Max Possible Capacity (Calculated)]]-(TeamCapacity4[[#This Row],[Max Possible Capacity (Calculated)]]*TeamCapacity4[[#This Row],[% Time for Training, QA, and Support]])-(TeamCapacity4[[#This Row],[Max Possible Capacity (Calculated)]]*TeamCapacity4[[#This Row],[Estimated Hours Dedicated to Team Meetings]])))</f>
        <v>30.4</v>
      </c>
      <c r="V13" s="8">
        <f>TeamCapacity4[[#This Row],[Available Hours (Calculated)]]/8</f>
        <v>3.8</v>
      </c>
      <c r="W13">
        <v>4</v>
      </c>
    </row>
    <row r="14" spans="2:24" ht="15.75" thickBot="1" x14ac:dyDescent="0.3">
      <c r="B14" s="99" t="s">
        <v>276</v>
      </c>
      <c r="C14" t="s">
        <v>123</v>
      </c>
      <c r="D14" s="129">
        <v>1</v>
      </c>
      <c r="E14" s="95">
        <f>TeamCapacity4[[#This Row],[Estimated % of Time Dedicated to this Team]]*80</f>
        <v>80</v>
      </c>
      <c r="F14" s="96">
        <v>8</v>
      </c>
      <c r="G14" s="96">
        <v>8</v>
      </c>
      <c r="H14" s="96">
        <v>8</v>
      </c>
      <c r="I14" s="96">
        <v>8</v>
      </c>
      <c r="J14" s="96">
        <v>8</v>
      </c>
      <c r="K14" s="96">
        <v>8</v>
      </c>
      <c r="L14" s="96">
        <v>8</v>
      </c>
      <c r="M14" s="96">
        <v>8</v>
      </c>
      <c r="N14" s="96">
        <v>8</v>
      </c>
      <c r="O14" s="96">
        <v>8</v>
      </c>
      <c r="P14" s="97">
        <f t="shared" si="0"/>
        <v>80</v>
      </c>
      <c r="Q14" s="98"/>
      <c r="R14" s="8">
        <f>(IF(NOT(ISBLANK(TeamCapacity4[[#This Row],[Time Off (Override)]])),TeamCapacity4[[#This Row],[Estimated Dedicated Hours
(Calculated)]]-TeamCapacity4[[#This Row],[Time Off (Override)]],TeamCapacity4[[#This Row],[Hours Available (Calculated by Day Availability)]]))</f>
        <v>80</v>
      </c>
      <c r="S14" s="21">
        <v>0.25</v>
      </c>
      <c r="T14" s="22">
        <v>0.12</v>
      </c>
      <c r="U14" s="8">
        <f>MAX(0,(TeamCapacity4[[#This Row],[Max Possible Capacity (Calculated)]]-(TeamCapacity4[[#This Row],[Max Possible Capacity (Calculated)]]*TeamCapacity4[[#This Row],[% Time for Training, QA, and Support]])-(TeamCapacity4[[#This Row],[Max Possible Capacity (Calculated)]]*TeamCapacity4[[#This Row],[Estimated Hours Dedicated to Team Meetings]])))</f>
        <v>50.4</v>
      </c>
      <c r="V14" s="8">
        <f>TeamCapacity4[[#This Row],[Available Hours (Calculated)]]/8</f>
        <v>6.3</v>
      </c>
      <c r="W14">
        <v>5</v>
      </c>
    </row>
    <row r="15" spans="2:24" ht="19.5" thickTop="1" x14ac:dyDescent="0.3">
      <c r="C15" s="102"/>
      <c r="E15" s="23">
        <f>SUM(TeamCapacity4[Estimated Dedicated Hours
(Calculated)])</f>
        <v>596</v>
      </c>
      <c r="F15" s="23">
        <f>SUBTOTAL(109,TeamCapacity4[M 01])</f>
        <v>64</v>
      </c>
      <c r="G15" s="23">
        <f>SUBTOTAL(109,TeamCapacity4[Tu 02])</f>
        <v>64</v>
      </c>
      <c r="H15" s="23">
        <f>SUBTOTAL(109,TeamCapacity4[W 03])</f>
        <v>64</v>
      </c>
      <c r="I15" s="23">
        <f>SUBTOTAL(109,TeamCapacity4[Th 04])</f>
        <v>64</v>
      </c>
      <c r="J15" s="23">
        <f>SUBTOTAL(109,TeamCapacity4[F 05])</f>
        <v>64</v>
      </c>
      <c r="K15" s="23">
        <f>SUBTOTAL(109,TeamCapacity4[M 06])</f>
        <v>64</v>
      </c>
      <c r="L15" s="23">
        <f>SUBTOTAL(109,TeamCapacity4[Tu 07])</f>
        <v>64</v>
      </c>
      <c r="M15" s="23">
        <f>SUBTOTAL(109,TeamCapacity4[W 08])</f>
        <v>64</v>
      </c>
      <c r="N15" s="23">
        <f>SUBTOTAL(109,TeamCapacity4[Th 09])</f>
        <v>64</v>
      </c>
      <c r="O15" s="23">
        <f>SUBTOTAL(109,TeamCapacity4[F 10])</f>
        <v>64</v>
      </c>
      <c r="P15" s="23">
        <f>SUM(TeamCapacity4[Hours Available (Calculated by Day Availability)])</f>
        <v>640</v>
      </c>
      <c r="Q15" s="23">
        <f>SUM(TeamCapacity4[Time Off (Override)])</f>
        <v>0</v>
      </c>
      <c r="R15">
        <f>SUM(TeamCapacity4[Max Possible Capacity (Calculated)])</f>
        <v>640</v>
      </c>
      <c r="S15" s="21">
        <f>AVERAGE(TeamCapacity4[% Time for Training, QA, and Support])</f>
        <v>0.33750000000000002</v>
      </c>
      <c r="T15" s="21">
        <f>AVERAGE(TeamCapacity4[Estimated Hours Dedicated to Team Meetings])</f>
        <v>0.12</v>
      </c>
      <c r="U15">
        <f>SUM(TeamCapacity4[Available Hours (Calculated)])</f>
        <v>347.19999999999993</v>
      </c>
      <c r="V15" s="103">
        <f>SUM(TeamCapacity4[Estimation = hours/8 (Calculated)])</f>
        <v>43.399999999999991</v>
      </c>
      <c r="W15" s="24">
        <f>SUM(TeamCapacity4[Planned Story Points])</f>
        <v>40</v>
      </c>
    </row>
    <row r="16" spans="2:24" x14ac:dyDescent="0.25">
      <c r="E16" s="21" t="s">
        <v>250</v>
      </c>
      <c r="F16">
        <v>10</v>
      </c>
      <c r="G16">
        <v>11</v>
      </c>
      <c r="H16">
        <v>12</v>
      </c>
      <c r="I16">
        <v>13</v>
      </c>
      <c r="J16">
        <v>14</v>
      </c>
      <c r="K16">
        <v>17</v>
      </c>
      <c r="L16">
        <v>18</v>
      </c>
      <c r="M16">
        <v>19</v>
      </c>
      <c r="N16">
        <v>20</v>
      </c>
      <c r="O16">
        <v>21</v>
      </c>
    </row>
    <row r="18" spans="2:5" ht="15.75" thickBot="1" x14ac:dyDescent="0.3">
      <c r="B18" s="104" t="s">
        <v>124</v>
      </c>
      <c r="C18" s="104" t="s">
        <v>125</v>
      </c>
      <c r="D18" s="105" t="s">
        <v>126</v>
      </c>
      <c r="E18" s="106" t="s">
        <v>127</v>
      </c>
    </row>
    <row r="19" spans="2:5" x14ac:dyDescent="0.25">
      <c r="B19" s="107" t="s">
        <v>128</v>
      </c>
      <c r="C19" s="107"/>
      <c r="D19" s="108"/>
      <c r="E19" s="109">
        <f>TeamCapacity4[[#Totals],[Estimated Dedicated Hours
(Calculated)]]</f>
        <v>596</v>
      </c>
    </row>
    <row r="20" spans="2:5" x14ac:dyDescent="0.25">
      <c r="B20" s="110" t="s">
        <v>129</v>
      </c>
      <c r="C20" s="110"/>
      <c r="D20" s="111"/>
      <c r="E20" s="112">
        <f>TeamCapacity4[[#Totals],[Max Possible Capacity (Calculated)]]</f>
        <v>640</v>
      </c>
    </row>
    <row r="21" spans="2:5" x14ac:dyDescent="0.25">
      <c r="B21" s="113" t="s">
        <v>130</v>
      </c>
      <c r="C21" s="113"/>
      <c r="D21" s="114"/>
      <c r="E21" s="115">
        <f>TeamCapacity4[[#Totals],[Available Hours (Calculated)]]</f>
        <v>347.19999999999993</v>
      </c>
    </row>
    <row r="22" spans="2:5" x14ac:dyDescent="0.25">
      <c r="B22" s="110" t="s">
        <v>131</v>
      </c>
      <c r="C22" s="110"/>
      <c r="D22" s="111"/>
      <c r="E22" s="112">
        <f>TeamCapacity4[[#Totals],[Estimation = hours/8 (Calculated)]]</f>
        <v>43.399999999999991</v>
      </c>
    </row>
    <row r="23" spans="2:5" x14ac:dyDescent="0.25">
      <c r="B23" s="113" t="s">
        <v>132</v>
      </c>
      <c r="C23" s="113"/>
      <c r="D23" s="114"/>
      <c r="E23" s="115">
        <f>TeamCapacity4[[#Totals],[Planned Story Points]]</f>
        <v>40</v>
      </c>
    </row>
    <row r="24" spans="2:5" ht="15.75" thickBot="1" x14ac:dyDescent="0.3">
      <c r="B24" s="116" t="s">
        <v>133</v>
      </c>
      <c r="C24" s="116"/>
      <c r="D24" s="117"/>
      <c r="E24" s="112"/>
    </row>
    <row r="25" spans="2:5" ht="15.75" thickTop="1" x14ac:dyDescent="0.25">
      <c r="B25" s="118" t="s">
        <v>134</v>
      </c>
      <c r="C25" s="118"/>
      <c r="D25" s="119"/>
      <c r="E25" s="120">
        <f>E23-E24</f>
        <v>40</v>
      </c>
    </row>
  </sheetData>
  <conditionalFormatting sqref="F15:O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7:O13">
    <cfRule type="cellIs" dxfId="199" priority="3" operator="notEqual">
      <formula>8</formula>
    </cfRule>
    <cfRule type="cellIs" dxfId="198" priority="4" operator="notEqual">
      <formula>8</formula>
    </cfRule>
  </conditionalFormatting>
  <conditionalFormatting sqref="F14:O14">
    <cfRule type="cellIs" dxfId="197" priority="1" operator="notEqual">
      <formula>8</formula>
    </cfRule>
    <cfRule type="cellIs" dxfId="196" priority="2" operator="notEqual">
      <formula>8</formula>
    </cfRule>
  </conditionalFormatting>
  <pageMargins left="0.7" right="0.7" top="0.75" bottom="0.75" header="0.3" footer="0.3"/>
  <pageSetup orientation="portrait" horizontalDpi="360" verticalDpi="360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C7DE00F70E549B3C24F9558724EF3" ma:contentTypeVersion="8" ma:contentTypeDescription="Create a new document." ma:contentTypeScope="" ma:versionID="3814996288470b35f82010db0299426b">
  <xsd:schema xmlns:xsd="http://www.w3.org/2001/XMLSchema" xmlns:xs="http://www.w3.org/2001/XMLSchema" xmlns:p="http://schemas.microsoft.com/office/2006/metadata/properties" xmlns:ns2="bf7c1ffc-f1ab-4781-b2d7-263ca35b1d22" xmlns:ns3="74f92a62-c982-4a40-844a-529c492092a6" targetNamespace="http://schemas.microsoft.com/office/2006/metadata/properties" ma:root="true" ma:fieldsID="78097e877bfd87c085f7807dcf9b845e" ns2:_="" ns3:_="">
    <xsd:import namespace="bf7c1ffc-f1ab-4781-b2d7-263ca35b1d22"/>
    <xsd:import namespace="74f92a62-c982-4a40-844a-529c492092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c1ffc-f1ab-4781-b2d7-263ca35b1d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92a62-c982-4a40-844a-529c49209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f7c1ffc-f1ab-4781-b2d7-263ca35b1d22">
      <UserInfo>
        <DisplayName>Mountain, Kathy</DisplayName>
        <AccountId>13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51D95D1-D27B-4920-A2B9-2A9DBD38C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c1ffc-f1ab-4781-b2d7-263ca35b1d22"/>
    <ds:schemaRef ds:uri="74f92a62-c982-4a40-844a-529c492092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0094D0-4622-48CE-BE30-7BB1E7853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3B5EB-E3E1-40C9-A0C1-65E9A79564EF}">
  <ds:schemaRefs>
    <ds:schemaRef ds:uri="http://schemas.microsoft.com/office/2006/metadata/properties"/>
    <ds:schemaRef ds:uri="http://schemas.microsoft.com/office/infopath/2007/PartnerControls"/>
    <ds:schemaRef ds:uri="bf7c1ffc-f1ab-4781-b2d7-263ca35b1d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Calendar</vt:lpstr>
      <vt:lpstr>Team Meetings and Activites</vt:lpstr>
      <vt:lpstr>1. Business Objectives</vt:lpstr>
      <vt:lpstr>2. PI Feature Backlog</vt:lpstr>
      <vt:lpstr>3. PI Issue Backlog</vt:lpstr>
      <vt:lpstr>CP S50</vt:lpstr>
      <vt:lpstr>CP S51</vt:lpstr>
      <vt:lpstr>CP S52</vt:lpstr>
      <vt:lpstr>CP S53</vt:lpstr>
      <vt:lpstr>CP S54</vt:lpstr>
      <vt:lpstr>CP S55</vt:lpstr>
      <vt:lpstr>4. CP Summary</vt:lpstr>
      <vt:lpstr>5. Sprint Planning</vt:lpstr>
      <vt:lpstr>6. Risks</vt:lpstr>
      <vt:lpstr>7. Confidence Vote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Keefe</dc:creator>
  <cp:keywords/>
  <dc:description/>
  <cp:lastModifiedBy>Matt Keefe</cp:lastModifiedBy>
  <cp:revision/>
  <dcterms:created xsi:type="dcterms:W3CDTF">2022-06-27T14:50:56Z</dcterms:created>
  <dcterms:modified xsi:type="dcterms:W3CDTF">2023-03-01T20:08:57Z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0x010100F6EC7DE00F70E549B3C24F9558724EF3</vt:lpwstr>
  </property>
</Properties>
</file>