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ias\Desktop\LI_Local\Labs\Lab1 Assets\End\"/>
    </mc:Choice>
  </mc:AlternateContent>
  <bookViews>
    <workbookView xWindow="0" yWindow="0" windowWidth="10780" windowHeight="7050"/>
  </bookViews>
  <sheets>
    <sheet name="MTS Quick Link" sheetId="1" r:id="rId1"/>
  </sheets>
  <definedNames>
    <definedName name="_xlnm.Print_Area" localSheetId="0">'MTS Quick Link'!$A$1:$D$419</definedName>
    <definedName name="_xlnm.Print_Titles" localSheetId="0">'MTS Quick Link'!$1:$1</definedName>
  </definedNames>
  <calcPr calcId="152511"/>
</workbook>
</file>

<file path=xl/calcChain.xml><?xml version="1.0" encoding="utf-8"?>
<calcChain xmlns="http://schemas.openxmlformats.org/spreadsheetml/2006/main">
  <c r="K418" i="1" l="1"/>
  <c r="J418" i="1"/>
  <c r="I418" i="1"/>
  <c r="H418" i="1"/>
  <c r="H416" i="1"/>
  <c r="I70" i="1" l="1"/>
  <c r="I79" i="1"/>
  <c r="I91" i="1"/>
  <c r="I102" i="1"/>
  <c r="I111" i="1"/>
  <c r="I123" i="1"/>
  <c r="I134" i="1"/>
  <c r="I143" i="1"/>
  <c r="I155" i="1"/>
  <c r="I166" i="1"/>
  <c r="I175" i="1"/>
  <c r="I187" i="1"/>
  <c r="I198" i="1"/>
  <c r="I207" i="1"/>
  <c r="I219" i="1"/>
  <c r="I230" i="1"/>
  <c r="I239" i="1"/>
  <c r="I251" i="1"/>
  <c r="I262" i="1"/>
  <c r="I271" i="1"/>
  <c r="I283" i="1"/>
  <c r="I294" i="1"/>
  <c r="I303" i="1"/>
  <c r="I315" i="1"/>
  <c r="I326" i="1"/>
  <c r="I335" i="1"/>
  <c r="I347" i="1"/>
  <c r="I358" i="1"/>
  <c r="I367" i="1"/>
  <c r="I368" i="1"/>
  <c r="I375" i="1"/>
  <c r="I376" i="1"/>
  <c r="I383" i="1"/>
  <c r="I384" i="1"/>
  <c r="I391" i="1"/>
  <c r="I392" i="1"/>
  <c r="I399" i="1"/>
  <c r="I400" i="1"/>
  <c r="I407" i="1"/>
  <c r="I408" i="1"/>
  <c r="I415" i="1"/>
  <c r="H69" i="1"/>
  <c r="H85" i="1"/>
  <c r="H101" i="1"/>
  <c r="H117" i="1"/>
  <c r="H133" i="1"/>
  <c r="H149" i="1"/>
  <c r="H165" i="1"/>
  <c r="H181" i="1"/>
  <c r="H197" i="1"/>
  <c r="H213" i="1"/>
  <c r="H229" i="1"/>
  <c r="H245" i="1"/>
  <c r="H261" i="1"/>
  <c r="H277" i="1"/>
  <c r="H293" i="1"/>
  <c r="I416" i="1"/>
  <c r="H417" i="1"/>
  <c r="E416" i="1"/>
  <c r="G22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E44" i="1"/>
  <c r="H44" i="1" s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H56" i="1" s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H61" i="1" s="1"/>
  <c r="F61" i="1"/>
  <c r="I61" i="1" s="1"/>
  <c r="G61" i="1"/>
  <c r="E62" i="1"/>
  <c r="H62" i="1" s="1"/>
  <c r="F62" i="1"/>
  <c r="I62" i="1" s="1"/>
  <c r="G62" i="1"/>
  <c r="E63" i="1"/>
  <c r="H63" i="1" s="1"/>
  <c r="F63" i="1"/>
  <c r="I63" i="1" s="1"/>
  <c r="G63" i="1"/>
  <c r="E64" i="1"/>
  <c r="H64" i="1" s="1"/>
  <c r="F64" i="1"/>
  <c r="I64" i="1" s="1"/>
  <c r="G64" i="1"/>
  <c r="E65" i="1"/>
  <c r="H65" i="1" s="1"/>
  <c r="F65" i="1"/>
  <c r="I65" i="1" s="1"/>
  <c r="G65" i="1"/>
  <c r="E66" i="1"/>
  <c r="H66" i="1" s="1"/>
  <c r="F66" i="1"/>
  <c r="I66" i="1" s="1"/>
  <c r="G66" i="1"/>
  <c r="E67" i="1"/>
  <c r="H67" i="1" s="1"/>
  <c r="F67" i="1"/>
  <c r="I67" i="1" s="1"/>
  <c r="G67" i="1"/>
  <c r="E68" i="1"/>
  <c r="H68" i="1" s="1"/>
  <c r="F68" i="1"/>
  <c r="I68" i="1" s="1"/>
  <c r="G68" i="1"/>
  <c r="E69" i="1"/>
  <c r="F69" i="1"/>
  <c r="I69" i="1" s="1"/>
  <c r="G69" i="1"/>
  <c r="E70" i="1"/>
  <c r="H70" i="1" s="1"/>
  <c r="F70" i="1"/>
  <c r="G70" i="1"/>
  <c r="E71" i="1"/>
  <c r="H71" i="1" s="1"/>
  <c r="F71" i="1"/>
  <c r="I71" i="1" s="1"/>
  <c r="G71" i="1"/>
  <c r="E72" i="1"/>
  <c r="H72" i="1" s="1"/>
  <c r="F72" i="1"/>
  <c r="I72" i="1" s="1"/>
  <c r="G72" i="1"/>
  <c r="E73" i="1"/>
  <c r="H73" i="1" s="1"/>
  <c r="F73" i="1"/>
  <c r="I73" i="1" s="1"/>
  <c r="G73" i="1"/>
  <c r="E74" i="1"/>
  <c r="H74" i="1" s="1"/>
  <c r="F74" i="1"/>
  <c r="I74" i="1" s="1"/>
  <c r="G74" i="1"/>
  <c r="E75" i="1"/>
  <c r="H75" i="1" s="1"/>
  <c r="F75" i="1"/>
  <c r="I75" i="1" s="1"/>
  <c r="G75" i="1"/>
  <c r="E76" i="1"/>
  <c r="H76" i="1" s="1"/>
  <c r="F76" i="1"/>
  <c r="I76" i="1" s="1"/>
  <c r="G76" i="1"/>
  <c r="E77" i="1"/>
  <c r="H77" i="1" s="1"/>
  <c r="F77" i="1"/>
  <c r="I77" i="1" s="1"/>
  <c r="G77" i="1"/>
  <c r="E78" i="1"/>
  <c r="H78" i="1" s="1"/>
  <c r="F78" i="1"/>
  <c r="I78" i="1" s="1"/>
  <c r="G78" i="1"/>
  <c r="E79" i="1"/>
  <c r="H79" i="1" s="1"/>
  <c r="F79" i="1"/>
  <c r="G79" i="1"/>
  <c r="E80" i="1"/>
  <c r="H80" i="1" s="1"/>
  <c r="F80" i="1"/>
  <c r="I80" i="1" s="1"/>
  <c r="G80" i="1"/>
  <c r="E81" i="1"/>
  <c r="H81" i="1" s="1"/>
  <c r="F81" i="1"/>
  <c r="I81" i="1" s="1"/>
  <c r="G81" i="1"/>
  <c r="E82" i="1"/>
  <c r="H82" i="1" s="1"/>
  <c r="F82" i="1"/>
  <c r="I82" i="1" s="1"/>
  <c r="G82" i="1"/>
  <c r="E83" i="1"/>
  <c r="H83" i="1" s="1"/>
  <c r="F83" i="1"/>
  <c r="I83" i="1" s="1"/>
  <c r="G83" i="1"/>
  <c r="E84" i="1"/>
  <c r="H84" i="1" s="1"/>
  <c r="F84" i="1"/>
  <c r="I84" i="1" s="1"/>
  <c r="G84" i="1"/>
  <c r="E85" i="1"/>
  <c r="F85" i="1"/>
  <c r="I85" i="1" s="1"/>
  <c r="G85" i="1"/>
  <c r="E86" i="1"/>
  <c r="H86" i="1" s="1"/>
  <c r="F86" i="1"/>
  <c r="I86" i="1" s="1"/>
  <c r="G86" i="1"/>
  <c r="E87" i="1"/>
  <c r="H87" i="1" s="1"/>
  <c r="F87" i="1"/>
  <c r="I87" i="1" s="1"/>
  <c r="G87" i="1"/>
  <c r="E88" i="1"/>
  <c r="H88" i="1" s="1"/>
  <c r="F88" i="1"/>
  <c r="I88" i="1" s="1"/>
  <c r="G88" i="1"/>
  <c r="E89" i="1"/>
  <c r="H89" i="1" s="1"/>
  <c r="F89" i="1"/>
  <c r="I89" i="1" s="1"/>
  <c r="G89" i="1"/>
  <c r="E90" i="1"/>
  <c r="H90" i="1" s="1"/>
  <c r="F90" i="1"/>
  <c r="I90" i="1" s="1"/>
  <c r="G90" i="1"/>
  <c r="E91" i="1"/>
  <c r="H91" i="1" s="1"/>
  <c r="F91" i="1"/>
  <c r="G91" i="1"/>
  <c r="E92" i="1"/>
  <c r="H92" i="1" s="1"/>
  <c r="F92" i="1"/>
  <c r="I92" i="1" s="1"/>
  <c r="G92" i="1"/>
  <c r="E93" i="1"/>
  <c r="H93" i="1" s="1"/>
  <c r="F93" i="1"/>
  <c r="I93" i="1" s="1"/>
  <c r="G93" i="1"/>
  <c r="E94" i="1"/>
  <c r="H94" i="1" s="1"/>
  <c r="F94" i="1"/>
  <c r="I94" i="1" s="1"/>
  <c r="G94" i="1"/>
  <c r="E95" i="1"/>
  <c r="H95" i="1" s="1"/>
  <c r="F95" i="1"/>
  <c r="I95" i="1" s="1"/>
  <c r="G95" i="1"/>
  <c r="E96" i="1"/>
  <c r="H96" i="1" s="1"/>
  <c r="F96" i="1"/>
  <c r="I96" i="1" s="1"/>
  <c r="G96" i="1"/>
  <c r="E97" i="1"/>
  <c r="H97" i="1" s="1"/>
  <c r="F97" i="1"/>
  <c r="I97" i="1" s="1"/>
  <c r="G97" i="1"/>
  <c r="E98" i="1"/>
  <c r="H98" i="1" s="1"/>
  <c r="F98" i="1"/>
  <c r="I98" i="1" s="1"/>
  <c r="G98" i="1"/>
  <c r="E99" i="1"/>
  <c r="H99" i="1" s="1"/>
  <c r="F99" i="1"/>
  <c r="I99" i="1" s="1"/>
  <c r="G99" i="1"/>
  <c r="E100" i="1"/>
  <c r="H100" i="1" s="1"/>
  <c r="F100" i="1"/>
  <c r="I100" i="1" s="1"/>
  <c r="G100" i="1"/>
  <c r="E101" i="1"/>
  <c r="F101" i="1"/>
  <c r="I101" i="1" s="1"/>
  <c r="G101" i="1"/>
  <c r="E102" i="1"/>
  <c r="H102" i="1" s="1"/>
  <c r="F102" i="1"/>
  <c r="G102" i="1"/>
  <c r="E103" i="1"/>
  <c r="H103" i="1" s="1"/>
  <c r="F103" i="1"/>
  <c r="I103" i="1" s="1"/>
  <c r="G103" i="1"/>
  <c r="E104" i="1"/>
  <c r="H104" i="1" s="1"/>
  <c r="F104" i="1"/>
  <c r="I104" i="1" s="1"/>
  <c r="G104" i="1"/>
  <c r="E105" i="1"/>
  <c r="H105" i="1" s="1"/>
  <c r="F105" i="1"/>
  <c r="I105" i="1" s="1"/>
  <c r="G105" i="1"/>
  <c r="E106" i="1"/>
  <c r="H106" i="1" s="1"/>
  <c r="F106" i="1"/>
  <c r="I106" i="1" s="1"/>
  <c r="G106" i="1"/>
  <c r="E107" i="1"/>
  <c r="H107" i="1" s="1"/>
  <c r="F107" i="1"/>
  <c r="I107" i="1" s="1"/>
  <c r="G107" i="1"/>
  <c r="E108" i="1"/>
  <c r="H108" i="1" s="1"/>
  <c r="F108" i="1"/>
  <c r="I108" i="1" s="1"/>
  <c r="G108" i="1"/>
  <c r="E109" i="1"/>
  <c r="H109" i="1" s="1"/>
  <c r="F109" i="1"/>
  <c r="I109" i="1" s="1"/>
  <c r="G109" i="1"/>
  <c r="E110" i="1"/>
  <c r="H110" i="1" s="1"/>
  <c r="F110" i="1"/>
  <c r="I110" i="1" s="1"/>
  <c r="G110" i="1"/>
  <c r="E111" i="1"/>
  <c r="H111" i="1" s="1"/>
  <c r="F111" i="1"/>
  <c r="G111" i="1"/>
  <c r="E112" i="1"/>
  <c r="H112" i="1" s="1"/>
  <c r="F112" i="1"/>
  <c r="I112" i="1" s="1"/>
  <c r="G112" i="1"/>
  <c r="E113" i="1"/>
  <c r="H113" i="1" s="1"/>
  <c r="F113" i="1"/>
  <c r="I113" i="1" s="1"/>
  <c r="G113" i="1"/>
  <c r="E114" i="1"/>
  <c r="H114" i="1" s="1"/>
  <c r="F114" i="1"/>
  <c r="I114" i="1" s="1"/>
  <c r="G114" i="1"/>
  <c r="E115" i="1"/>
  <c r="H115" i="1" s="1"/>
  <c r="F115" i="1"/>
  <c r="I115" i="1" s="1"/>
  <c r="G115" i="1"/>
  <c r="E116" i="1"/>
  <c r="H116" i="1" s="1"/>
  <c r="F116" i="1"/>
  <c r="I116" i="1" s="1"/>
  <c r="G116" i="1"/>
  <c r="E117" i="1"/>
  <c r="F117" i="1"/>
  <c r="I117" i="1" s="1"/>
  <c r="G117" i="1"/>
  <c r="E118" i="1"/>
  <c r="H118" i="1" s="1"/>
  <c r="F118" i="1"/>
  <c r="I118" i="1" s="1"/>
  <c r="G118" i="1"/>
  <c r="E119" i="1"/>
  <c r="H119" i="1" s="1"/>
  <c r="F119" i="1"/>
  <c r="I119" i="1" s="1"/>
  <c r="G119" i="1"/>
  <c r="E120" i="1"/>
  <c r="H120" i="1" s="1"/>
  <c r="F120" i="1"/>
  <c r="I120" i="1" s="1"/>
  <c r="G120" i="1"/>
  <c r="E121" i="1"/>
  <c r="H121" i="1" s="1"/>
  <c r="F121" i="1"/>
  <c r="I121" i="1" s="1"/>
  <c r="G121" i="1"/>
  <c r="E122" i="1"/>
  <c r="H122" i="1" s="1"/>
  <c r="F122" i="1"/>
  <c r="I122" i="1" s="1"/>
  <c r="G122" i="1"/>
  <c r="E123" i="1"/>
  <c r="H123" i="1" s="1"/>
  <c r="F123" i="1"/>
  <c r="G123" i="1"/>
  <c r="E124" i="1"/>
  <c r="H124" i="1" s="1"/>
  <c r="F124" i="1"/>
  <c r="I124" i="1" s="1"/>
  <c r="G124" i="1"/>
  <c r="E125" i="1"/>
  <c r="H125" i="1" s="1"/>
  <c r="F125" i="1"/>
  <c r="I125" i="1" s="1"/>
  <c r="G125" i="1"/>
  <c r="E126" i="1"/>
  <c r="H126" i="1" s="1"/>
  <c r="F126" i="1"/>
  <c r="I126" i="1" s="1"/>
  <c r="G126" i="1"/>
  <c r="E127" i="1"/>
  <c r="H127" i="1" s="1"/>
  <c r="F127" i="1"/>
  <c r="I127" i="1" s="1"/>
  <c r="G127" i="1"/>
  <c r="E128" i="1"/>
  <c r="H128" i="1" s="1"/>
  <c r="F128" i="1"/>
  <c r="I128" i="1" s="1"/>
  <c r="G128" i="1"/>
  <c r="E129" i="1"/>
  <c r="H129" i="1" s="1"/>
  <c r="F129" i="1"/>
  <c r="I129" i="1" s="1"/>
  <c r="G129" i="1"/>
  <c r="E130" i="1"/>
  <c r="H130" i="1" s="1"/>
  <c r="F130" i="1"/>
  <c r="I130" i="1" s="1"/>
  <c r="G130" i="1"/>
  <c r="E131" i="1"/>
  <c r="H131" i="1" s="1"/>
  <c r="F131" i="1"/>
  <c r="I131" i="1" s="1"/>
  <c r="G131" i="1"/>
  <c r="E132" i="1"/>
  <c r="H132" i="1" s="1"/>
  <c r="F132" i="1"/>
  <c r="I132" i="1" s="1"/>
  <c r="G132" i="1"/>
  <c r="E133" i="1"/>
  <c r="F133" i="1"/>
  <c r="I133" i="1" s="1"/>
  <c r="G133" i="1"/>
  <c r="E134" i="1"/>
  <c r="H134" i="1" s="1"/>
  <c r="F134" i="1"/>
  <c r="G134" i="1"/>
  <c r="E135" i="1"/>
  <c r="H135" i="1" s="1"/>
  <c r="F135" i="1"/>
  <c r="I135" i="1" s="1"/>
  <c r="G135" i="1"/>
  <c r="E136" i="1"/>
  <c r="H136" i="1" s="1"/>
  <c r="F136" i="1"/>
  <c r="I136" i="1" s="1"/>
  <c r="G136" i="1"/>
  <c r="E137" i="1"/>
  <c r="H137" i="1" s="1"/>
  <c r="F137" i="1"/>
  <c r="I137" i="1" s="1"/>
  <c r="G137" i="1"/>
  <c r="E138" i="1"/>
  <c r="H138" i="1" s="1"/>
  <c r="F138" i="1"/>
  <c r="I138" i="1" s="1"/>
  <c r="G138" i="1"/>
  <c r="E139" i="1"/>
  <c r="H139" i="1" s="1"/>
  <c r="F139" i="1"/>
  <c r="I139" i="1" s="1"/>
  <c r="G139" i="1"/>
  <c r="E140" i="1"/>
  <c r="H140" i="1" s="1"/>
  <c r="F140" i="1"/>
  <c r="I140" i="1" s="1"/>
  <c r="G140" i="1"/>
  <c r="E141" i="1"/>
  <c r="H141" i="1" s="1"/>
  <c r="F141" i="1"/>
  <c r="I141" i="1" s="1"/>
  <c r="G141" i="1"/>
  <c r="E142" i="1"/>
  <c r="H142" i="1" s="1"/>
  <c r="F142" i="1"/>
  <c r="I142" i="1" s="1"/>
  <c r="G142" i="1"/>
  <c r="E143" i="1"/>
  <c r="H143" i="1" s="1"/>
  <c r="F143" i="1"/>
  <c r="G143" i="1"/>
  <c r="E144" i="1"/>
  <c r="H144" i="1" s="1"/>
  <c r="F144" i="1"/>
  <c r="I144" i="1" s="1"/>
  <c r="G144" i="1"/>
  <c r="E145" i="1"/>
  <c r="H145" i="1" s="1"/>
  <c r="F145" i="1"/>
  <c r="I145" i="1" s="1"/>
  <c r="G145" i="1"/>
  <c r="E146" i="1"/>
  <c r="H146" i="1" s="1"/>
  <c r="F146" i="1"/>
  <c r="I146" i="1" s="1"/>
  <c r="G146" i="1"/>
  <c r="E147" i="1"/>
  <c r="H147" i="1" s="1"/>
  <c r="F147" i="1"/>
  <c r="I147" i="1" s="1"/>
  <c r="G147" i="1"/>
  <c r="E148" i="1"/>
  <c r="H148" i="1" s="1"/>
  <c r="F148" i="1"/>
  <c r="I148" i="1" s="1"/>
  <c r="G148" i="1"/>
  <c r="E149" i="1"/>
  <c r="F149" i="1"/>
  <c r="I149" i="1" s="1"/>
  <c r="G149" i="1"/>
  <c r="E150" i="1"/>
  <c r="H150" i="1" s="1"/>
  <c r="F150" i="1"/>
  <c r="I150" i="1" s="1"/>
  <c r="G150" i="1"/>
  <c r="E151" i="1"/>
  <c r="H151" i="1" s="1"/>
  <c r="F151" i="1"/>
  <c r="I151" i="1" s="1"/>
  <c r="G151" i="1"/>
  <c r="E152" i="1"/>
  <c r="H152" i="1" s="1"/>
  <c r="F152" i="1"/>
  <c r="I152" i="1" s="1"/>
  <c r="G152" i="1"/>
  <c r="E153" i="1"/>
  <c r="H153" i="1" s="1"/>
  <c r="F153" i="1"/>
  <c r="I153" i="1" s="1"/>
  <c r="G153" i="1"/>
  <c r="E154" i="1"/>
  <c r="H154" i="1" s="1"/>
  <c r="F154" i="1"/>
  <c r="I154" i="1" s="1"/>
  <c r="G154" i="1"/>
  <c r="E155" i="1"/>
  <c r="H155" i="1" s="1"/>
  <c r="F155" i="1"/>
  <c r="G155" i="1"/>
  <c r="E156" i="1"/>
  <c r="H156" i="1" s="1"/>
  <c r="F156" i="1"/>
  <c r="I156" i="1" s="1"/>
  <c r="G156" i="1"/>
  <c r="E157" i="1"/>
  <c r="H157" i="1" s="1"/>
  <c r="F157" i="1"/>
  <c r="I157" i="1" s="1"/>
  <c r="G157" i="1"/>
  <c r="E158" i="1"/>
  <c r="H158" i="1" s="1"/>
  <c r="F158" i="1"/>
  <c r="I158" i="1" s="1"/>
  <c r="G158" i="1"/>
  <c r="E159" i="1"/>
  <c r="H159" i="1" s="1"/>
  <c r="F159" i="1"/>
  <c r="I159" i="1" s="1"/>
  <c r="G159" i="1"/>
  <c r="E160" i="1"/>
  <c r="H160" i="1" s="1"/>
  <c r="F160" i="1"/>
  <c r="I160" i="1" s="1"/>
  <c r="G160" i="1"/>
  <c r="E161" i="1"/>
  <c r="H161" i="1" s="1"/>
  <c r="F161" i="1"/>
  <c r="I161" i="1" s="1"/>
  <c r="G161" i="1"/>
  <c r="E162" i="1"/>
  <c r="H162" i="1" s="1"/>
  <c r="F162" i="1"/>
  <c r="I162" i="1" s="1"/>
  <c r="G162" i="1"/>
  <c r="E163" i="1"/>
  <c r="H163" i="1" s="1"/>
  <c r="F163" i="1"/>
  <c r="I163" i="1" s="1"/>
  <c r="G163" i="1"/>
  <c r="E164" i="1"/>
  <c r="H164" i="1" s="1"/>
  <c r="F164" i="1"/>
  <c r="I164" i="1" s="1"/>
  <c r="G164" i="1"/>
  <c r="E165" i="1"/>
  <c r="F165" i="1"/>
  <c r="I165" i="1" s="1"/>
  <c r="G165" i="1"/>
  <c r="E166" i="1"/>
  <c r="H166" i="1" s="1"/>
  <c r="F166" i="1"/>
  <c r="G166" i="1"/>
  <c r="E167" i="1"/>
  <c r="H167" i="1" s="1"/>
  <c r="F167" i="1"/>
  <c r="I167" i="1" s="1"/>
  <c r="G167" i="1"/>
  <c r="E168" i="1"/>
  <c r="H168" i="1" s="1"/>
  <c r="F168" i="1"/>
  <c r="I168" i="1" s="1"/>
  <c r="G168" i="1"/>
  <c r="E169" i="1"/>
  <c r="H169" i="1" s="1"/>
  <c r="F169" i="1"/>
  <c r="I169" i="1" s="1"/>
  <c r="G169" i="1"/>
  <c r="E170" i="1"/>
  <c r="H170" i="1" s="1"/>
  <c r="F170" i="1"/>
  <c r="I170" i="1" s="1"/>
  <c r="G170" i="1"/>
  <c r="E171" i="1"/>
  <c r="H171" i="1" s="1"/>
  <c r="F171" i="1"/>
  <c r="I171" i="1" s="1"/>
  <c r="G171" i="1"/>
  <c r="E172" i="1"/>
  <c r="H172" i="1" s="1"/>
  <c r="F172" i="1"/>
  <c r="I172" i="1" s="1"/>
  <c r="G172" i="1"/>
  <c r="E173" i="1"/>
  <c r="H173" i="1" s="1"/>
  <c r="F173" i="1"/>
  <c r="I173" i="1" s="1"/>
  <c r="G173" i="1"/>
  <c r="E174" i="1"/>
  <c r="H174" i="1" s="1"/>
  <c r="F174" i="1"/>
  <c r="I174" i="1" s="1"/>
  <c r="G174" i="1"/>
  <c r="E175" i="1"/>
  <c r="H175" i="1" s="1"/>
  <c r="F175" i="1"/>
  <c r="G175" i="1"/>
  <c r="E176" i="1"/>
  <c r="H176" i="1" s="1"/>
  <c r="F176" i="1"/>
  <c r="I176" i="1" s="1"/>
  <c r="G176" i="1"/>
  <c r="E177" i="1"/>
  <c r="H177" i="1" s="1"/>
  <c r="F177" i="1"/>
  <c r="I177" i="1" s="1"/>
  <c r="G177" i="1"/>
  <c r="E178" i="1"/>
  <c r="H178" i="1" s="1"/>
  <c r="F178" i="1"/>
  <c r="I178" i="1" s="1"/>
  <c r="G178" i="1"/>
  <c r="E179" i="1"/>
  <c r="H179" i="1" s="1"/>
  <c r="F179" i="1"/>
  <c r="I179" i="1" s="1"/>
  <c r="G179" i="1"/>
  <c r="E180" i="1"/>
  <c r="H180" i="1" s="1"/>
  <c r="F180" i="1"/>
  <c r="I180" i="1" s="1"/>
  <c r="G180" i="1"/>
  <c r="E181" i="1"/>
  <c r="F181" i="1"/>
  <c r="I181" i="1" s="1"/>
  <c r="G181" i="1"/>
  <c r="E182" i="1"/>
  <c r="H182" i="1" s="1"/>
  <c r="F182" i="1"/>
  <c r="I182" i="1" s="1"/>
  <c r="G182" i="1"/>
  <c r="E183" i="1"/>
  <c r="H183" i="1" s="1"/>
  <c r="F183" i="1"/>
  <c r="I183" i="1" s="1"/>
  <c r="G183" i="1"/>
  <c r="E184" i="1"/>
  <c r="H184" i="1" s="1"/>
  <c r="F184" i="1"/>
  <c r="I184" i="1" s="1"/>
  <c r="G184" i="1"/>
  <c r="E185" i="1"/>
  <c r="H185" i="1" s="1"/>
  <c r="F185" i="1"/>
  <c r="I185" i="1" s="1"/>
  <c r="G185" i="1"/>
  <c r="E186" i="1"/>
  <c r="H186" i="1" s="1"/>
  <c r="F186" i="1"/>
  <c r="I186" i="1" s="1"/>
  <c r="G186" i="1"/>
  <c r="E187" i="1"/>
  <c r="H187" i="1" s="1"/>
  <c r="F187" i="1"/>
  <c r="G187" i="1"/>
  <c r="E188" i="1"/>
  <c r="H188" i="1" s="1"/>
  <c r="F188" i="1"/>
  <c r="I188" i="1" s="1"/>
  <c r="G188" i="1"/>
  <c r="E189" i="1"/>
  <c r="H189" i="1" s="1"/>
  <c r="F189" i="1"/>
  <c r="I189" i="1" s="1"/>
  <c r="G189" i="1"/>
  <c r="E190" i="1"/>
  <c r="H190" i="1" s="1"/>
  <c r="F190" i="1"/>
  <c r="I190" i="1" s="1"/>
  <c r="G190" i="1"/>
  <c r="E191" i="1"/>
  <c r="H191" i="1" s="1"/>
  <c r="F191" i="1"/>
  <c r="I191" i="1" s="1"/>
  <c r="G191" i="1"/>
  <c r="E192" i="1"/>
  <c r="H192" i="1" s="1"/>
  <c r="F192" i="1"/>
  <c r="I192" i="1" s="1"/>
  <c r="G192" i="1"/>
  <c r="E193" i="1"/>
  <c r="H193" i="1" s="1"/>
  <c r="F193" i="1"/>
  <c r="I193" i="1" s="1"/>
  <c r="G193" i="1"/>
  <c r="E194" i="1"/>
  <c r="H194" i="1" s="1"/>
  <c r="F194" i="1"/>
  <c r="I194" i="1" s="1"/>
  <c r="G194" i="1"/>
  <c r="E195" i="1"/>
  <c r="H195" i="1" s="1"/>
  <c r="F195" i="1"/>
  <c r="I195" i="1" s="1"/>
  <c r="G195" i="1"/>
  <c r="E196" i="1"/>
  <c r="H196" i="1" s="1"/>
  <c r="F196" i="1"/>
  <c r="I196" i="1" s="1"/>
  <c r="G196" i="1"/>
  <c r="E197" i="1"/>
  <c r="F197" i="1"/>
  <c r="I197" i="1" s="1"/>
  <c r="G197" i="1"/>
  <c r="E198" i="1"/>
  <c r="H198" i="1" s="1"/>
  <c r="F198" i="1"/>
  <c r="G198" i="1"/>
  <c r="E199" i="1"/>
  <c r="H199" i="1" s="1"/>
  <c r="F199" i="1"/>
  <c r="I199" i="1" s="1"/>
  <c r="G199" i="1"/>
  <c r="E200" i="1"/>
  <c r="H200" i="1" s="1"/>
  <c r="F200" i="1"/>
  <c r="I200" i="1" s="1"/>
  <c r="G200" i="1"/>
  <c r="E201" i="1"/>
  <c r="H201" i="1" s="1"/>
  <c r="F201" i="1"/>
  <c r="I201" i="1" s="1"/>
  <c r="G201" i="1"/>
  <c r="E202" i="1"/>
  <c r="H202" i="1" s="1"/>
  <c r="F202" i="1"/>
  <c r="I202" i="1" s="1"/>
  <c r="G202" i="1"/>
  <c r="E203" i="1"/>
  <c r="H203" i="1" s="1"/>
  <c r="F203" i="1"/>
  <c r="I203" i="1" s="1"/>
  <c r="G203" i="1"/>
  <c r="E204" i="1"/>
  <c r="H204" i="1" s="1"/>
  <c r="F204" i="1"/>
  <c r="I204" i="1" s="1"/>
  <c r="G204" i="1"/>
  <c r="E205" i="1"/>
  <c r="H205" i="1" s="1"/>
  <c r="F205" i="1"/>
  <c r="I205" i="1" s="1"/>
  <c r="G205" i="1"/>
  <c r="E206" i="1"/>
  <c r="H206" i="1" s="1"/>
  <c r="F206" i="1"/>
  <c r="I206" i="1" s="1"/>
  <c r="G206" i="1"/>
  <c r="E207" i="1"/>
  <c r="H207" i="1" s="1"/>
  <c r="F207" i="1"/>
  <c r="G207" i="1"/>
  <c r="E208" i="1"/>
  <c r="H208" i="1" s="1"/>
  <c r="F208" i="1"/>
  <c r="I208" i="1" s="1"/>
  <c r="G208" i="1"/>
  <c r="E209" i="1"/>
  <c r="H209" i="1" s="1"/>
  <c r="F209" i="1"/>
  <c r="I209" i="1" s="1"/>
  <c r="G209" i="1"/>
  <c r="E210" i="1"/>
  <c r="H210" i="1" s="1"/>
  <c r="F210" i="1"/>
  <c r="I210" i="1" s="1"/>
  <c r="G210" i="1"/>
  <c r="E211" i="1"/>
  <c r="H211" i="1" s="1"/>
  <c r="F211" i="1"/>
  <c r="I211" i="1" s="1"/>
  <c r="G211" i="1"/>
  <c r="E212" i="1"/>
  <c r="H212" i="1" s="1"/>
  <c r="F212" i="1"/>
  <c r="I212" i="1" s="1"/>
  <c r="G212" i="1"/>
  <c r="E213" i="1"/>
  <c r="F213" i="1"/>
  <c r="I213" i="1" s="1"/>
  <c r="G213" i="1"/>
  <c r="E214" i="1"/>
  <c r="H214" i="1" s="1"/>
  <c r="F214" i="1"/>
  <c r="I214" i="1" s="1"/>
  <c r="G214" i="1"/>
  <c r="E215" i="1"/>
  <c r="H215" i="1" s="1"/>
  <c r="F215" i="1"/>
  <c r="I215" i="1" s="1"/>
  <c r="G215" i="1"/>
  <c r="E216" i="1"/>
  <c r="H216" i="1" s="1"/>
  <c r="F216" i="1"/>
  <c r="I216" i="1" s="1"/>
  <c r="G216" i="1"/>
  <c r="E217" i="1"/>
  <c r="H217" i="1" s="1"/>
  <c r="F217" i="1"/>
  <c r="I217" i="1" s="1"/>
  <c r="G217" i="1"/>
  <c r="E218" i="1"/>
  <c r="H218" i="1" s="1"/>
  <c r="F218" i="1"/>
  <c r="I218" i="1" s="1"/>
  <c r="G218" i="1"/>
  <c r="E219" i="1"/>
  <c r="H219" i="1" s="1"/>
  <c r="F219" i="1"/>
  <c r="G219" i="1"/>
  <c r="E220" i="1"/>
  <c r="H220" i="1" s="1"/>
  <c r="F220" i="1"/>
  <c r="I220" i="1" s="1"/>
  <c r="G220" i="1"/>
  <c r="E221" i="1"/>
  <c r="H221" i="1" s="1"/>
  <c r="F221" i="1"/>
  <c r="I221" i="1" s="1"/>
  <c r="G221" i="1"/>
  <c r="E222" i="1"/>
  <c r="H222" i="1" s="1"/>
  <c r="F222" i="1"/>
  <c r="I222" i="1" s="1"/>
  <c r="G222" i="1"/>
  <c r="E223" i="1"/>
  <c r="H223" i="1" s="1"/>
  <c r="F223" i="1"/>
  <c r="I223" i="1" s="1"/>
  <c r="G223" i="1"/>
  <c r="E224" i="1"/>
  <c r="H224" i="1" s="1"/>
  <c r="F224" i="1"/>
  <c r="I224" i="1" s="1"/>
  <c r="G224" i="1"/>
  <c r="E225" i="1"/>
  <c r="H225" i="1" s="1"/>
  <c r="F225" i="1"/>
  <c r="I225" i="1" s="1"/>
  <c r="G225" i="1"/>
  <c r="E226" i="1"/>
  <c r="H226" i="1" s="1"/>
  <c r="F226" i="1"/>
  <c r="I226" i="1" s="1"/>
  <c r="G226" i="1"/>
  <c r="E227" i="1"/>
  <c r="H227" i="1" s="1"/>
  <c r="F227" i="1"/>
  <c r="I227" i="1" s="1"/>
  <c r="G227" i="1"/>
  <c r="E228" i="1"/>
  <c r="H228" i="1" s="1"/>
  <c r="F228" i="1"/>
  <c r="I228" i="1" s="1"/>
  <c r="G228" i="1"/>
  <c r="E229" i="1"/>
  <c r="F229" i="1"/>
  <c r="I229" i="1" s="1"/>
  <c r="G229" i="1"/>
  <c r="E230" i="1"/>
  <c r="H230" i="1" s="1"/>
  <c r="F230" i="1"/>
  <c r="G230" i="1"/>
  <c r="E231" i="1"/>
  <c r="H231" i="1" s="1"/>
  <c r="F231" i="1"/>
  <c r="I231" i="1" s="1"/>
  <c r="G231" i="1"/>
  <c r="E232" i="1"/>
  <c r="H232" i="1" s="1"/>
  <c r="F232" i="1"/>
  <c r="I232" i="1" s="1"/>
  <c r="G232" i="1"/>
  <c r="E233" i="1"/>
  <c r="H233" i="1" s="1"/>
  <c r="F233" i="1"/>
  <c r="I233" i="1" s="1"/>
  <c r="G233" i="1"/>
  <c r="E234" i="1"/>
  <c r="H234" i="1" s="1"/>
  <c r="F234" i="1"/>
  <c r="I234" i="1" s="1"/>
  <c r="G234" i="1"/>
  <c r="E235" i="1"/>
  <c r="H235" i="1" s="1"/>
  <c r="F235" i="1"/>
  <c r="I235" i="1" s="1"/>
  <c r="G235" i="1"/>
  <c r="E236" i="1"/>
  <c r="H236" i="1" s="1"/>
  <c r="F236" i="1"/>
  <c r="I236" i="1" s="1"/>
  <c r="G236" i="1"/>
  <c r="E237" i="1"/>
  <c r="H237" i="1" s="1"/>
  <c r="F237" i="1"/>
  <c r="I237" i="1" s="1"/>
  <c r="G237" i="1"/>
  <c r="E238" i="1"/>
  <c r="H238" i="1" s="1"/>
  <c r="F238" i="1"/>
  <c r="I238" i="1" s="1"/>
  <c r="G238" i="1"/>
  <c r="E239" i="1"/>
  <c r="H239" i="1" s="1"/>
  <c r="F239" i="1"/>
  <c r="G239" i="1"/>
  <c r="E240" i="1"/>
  <c r="H240" i="1" s="1"/>
  <c r="F240" i="1"/>
  <c r="I240" i="1" s="1"/>
  <c r="G240" i="1"/>
  <c r="E241" i="1"/>
  <c r="H241" i="1" s="1"/>
  <c r="F241" i="1"/>
  <c r="I241" i="1" s="1"/>
  <c r="G241" i="1"/>
  <c r="E242" i="1"/>
  <c r="H242" i="1" s="1"/>
  <c r="F242" i="1"/>
  <c r="I242" i="1" s="1"/>
  <c r="G242" i="1"/>
  <c r="E243" i="1"/>
  <c r="H243" i="1" s="1"/>
  <c r="F243" i="1"/>
  <c r="I243" i="1" s="1"/>
  <c r="G243" i="1"/>
  <c r="E244" i="1"/>
  <c r="H244" i="1" s="1"/>
  <c r="F244" i="1"/>
  <c r="I244" i="1" s="1"/>
  <c r="G244" i="1"/>
  <c r="E245" i="1"/>
  <c r="F245" i="1"/>
  <c r="I245" i="1" s="1"/>
  <c r="G245" i="1"/>
  <c r="E246" i="1"/>
  <c r="H246" i="1" s="1"/>
  <c r="F246" i="1"/>
  <c r="I246" i="1" s="1"/>
  <c r="G246" i="1"/>
  <c r="E247" i="1"/>
  <c r="H247" i="1" s="1"/>
  <c r="F247" i="1"/>
  <c r="I247" i="1" s="1"/>
  <c r="G247" i="1"/>
  <c r="E248" i="1"/>
  <c r="H248" i="1" s="1"/>
  <c r="F248" i="1"/>
  <c r="I248" i="1" s="1"/>
  <c r="G248" i="1"/>
  <c r="E249" i="1"/>
  <c r="H249" i="1" s="1"/>
  <c r="F249" i="1"/>
  <c r="I249" i="1" s="1"/>
  <c r="G249" i="1"/>
  <c r="E250" i="1"/>
  <c r="H250" i="1" s="1"/>
  <c r="F250" i="1"/>
  <c r="I250" i="1" s="1"/>
  <c r="G250" i="1"/>
  <c r="E251" i="1"/>
  <c r="H251" i="1" s="1"/>
  <c r="F251" i="1"/>
  <c r="G251" i="1"/>
  <c r="E252" i="1"/>
  <c r="H252" i="1" s="1"/>
  <c r="F252" i="1"/>
  <c r="I252" i="1" s="1"/>
  <c r="G252" i="1"/>
  <c r="E253" i="1"/>
  <c r="H253" i="1" s="1"/>
  <c r="F253" i="1"/>
  <c r="I253" i="1" s="1"/>
  <c r="G253" i="1"/>
  <c r="E254" i="1"/>
  <c r="H254" i="1" s="1"/>
  <c r="F254" i="1"/>
  <c r="I254" i="1" s="1"/>
  <c r="G254" i="1"/>
  <c r="E255" i="1"/>
  <c r="H255" i="1" s="1"/>
  <c r="F255" i="1"/>
  <c r="I255" i="1" s="1"/>
  <c r="G255" i="1"/>
  <c r="E256" i="1"/>
  <c r="H256" i="1" s="1"/>
  <c r="F256" i="1"/>
  <c r="I256" i="1" s="1"/>
  <c r="G256" i="1"/>
  <c r="E257" i="1"/>
  <c r="H257" i="1" s="1"/>
  <c r="F257" i="1"/>
  <c r="I257" i="1" s="1"/>
  <c r="G257" i="1"/>
  <c r="E258" i="1"/>
  <c r="H258" i="1" s="1"/>
  <c r="F258" i="1"/>
  <c r="I258" i="1" s="1"/>
  <c r="G258" i="1"/>
  <c r="E259" i="1"/>
  <c r="H259" i="1" s="1"/>
  <c r="F259" i="1"/>
  <c r="I259" i="1" s="1"/>
  <c r="G259" i="1"/>
  <c r="E260" i="1"/>
  <c r="H260" i="1" s="1"/>
  <c r="F260" i="1"/>
  <c r="I260" i="1" s="1"/>
  <c r="G260" i="1"/>
  <c r="E261" i="1"/>
  <c r="F261" i="1"/>
  <c r="I261" i="1" s="1"/>
  <c r="G261" i="1"/>
  <c r="E262" i="1"/>
  <c r="H262" i="1" s="1"/>
  <c r="F262" i="1"/>
  <c r="G262" i="1"/>
  <c r="E263" i="1"/>
  <c r="H263" i="1" s="1"/>
  <c r="F263" i="1"/>
  <c r="I263" i="1" s="1"/>
  <c r="G263" i="1"/>
  <c r="E264" i="1"/>
  <c r="H264" i="1" s="1"/>
  <c r="F264" i="1"/>
  <c r="I264" i="1" s="1"/>
  <c r="G264" i="1"/>
  <c r="E265" i="1"/>
  <c r="H265" i="1" s="1"/>
  <c r="F265" i="1"/>
  <c r="I265" i="1" s="1"/>
  <c r="G265" i="1"/>
  <c r="E266" i="1"/>
  <c r="H266" i="1" s="1"/>
  <c r="F266" i="1"/>
  <c r="I266" i="1" s="1"/>
  <c r="G266" i="1"/>
  <c r="E267" i="1"/>
  <c r="H267" i="1" s="1"/>
  <c r="F267" i="1"/>
  <c r="I267" i="1" s="1"/>
  <c r="G267" i="1"/>
  <c r="E268" i="1"/>
  <c r="H268" i="1" s="1"/>
  <c r="F268" i="1"/>
  <c r="I268" i="1" s="1"/>
  <c r="G268" i="1"/>
  <c r="E269" i="1"/>
  <c r="H269" i="1" s="1"/>
  <c r="F269" i="1"/>
  <c r="I269" i="1" s="1"/>
  <c r="G269" i="1"/>
  <c r="E270" i="1"/>
  <c r="H270" i="1" s="1"/>
  <c r="F270" i="1"/>
  <c r="I270" i="1" s="1"/>
  <c r="G270" i="1"/>
  <c r="E271" i="1"/>
  <c r="H271" i="1" s="1"/>
  <c r="F271" i="1"/>
  <c r="G271" i="1"/>
  <c r="E272" i="1"/>
  <c r="H272" i="1" s="1"/>
  <c r="F272" i="1"/>
  <c r="I272" i="1" s="1"/>
  <c r="G272" i="1"/>
  <c r="E273" i="1"/>
  <c r="H273" i="1" s="1"/>
  <c r="F273" i="1"/>
  <c r="I273" i="1" s="1"/>
  <c r="G273" i="1"/>
  <c r="E274" i="1"/>
  <c r="H274" i="1" s="1"/>
  <c r="F274" i="1"/>
  <c r="I274" i="1" s="1"/>
  <c r="G274" i="1"/>
  <c r="E275" i="1"/>
  <c r="H275" i="1" s="1"/>
  <c r="F275" i="1"/>
  <c r="I275" i="1" s="1"/>
  <c r="G275" i="1"/>
  <c r="E276" i="1"/>
  <c r="H276" i="1" s="1"/>
  <c r="F276" i="1"/>
  <c r="I276" i="1" s="1"/>
  <c r="G276" i="1"/>
  <c r="E277" i="1"/>
  <c r="F277" i="1"/>
  <c r="I277" i="1" s="1"/>
  <c r="G277" i="1"/>
  <c r="E278" i="1"/>
  <c r="H278" i="1" s="1"/>
  <c r="F278" i="1"/>
  <c r="I278" i="1" s="1"/>
  <c r="G278" i="1"/>
  <c r="E279" i="1"/>
  <c r="H279" i="1" s="1"/>
  <c r="F279" i="1"/>
  <c r="I279" i="1" s="1"/>
  <c r="G279" i="1"/>
  <c r="E280" i="1"/>
  <c r="H280" i="1" s="1"/>
  <c r="F280" i="1"/>
  <c r="I280" i="1" s="1"/>
  <c r="G280" i="1"/>
  <c r="E281" i="1"/>
  <c r="H281" i="1" s="1"/>
  <c r="F281" i="1"/>
  <c r="I281" i="1" s="1"/>
  <c r="G281" i="1"/>
  <c r="E282" i="1"/>
  <c r="H282" i="1" s="1"/>
  <c r="F282" i="1"/>
  <c r="I282" i="1" s="1"/>
  <c r="G282" i="1"/>
  <c r="E283" i="1"/>
  <c r="H283" i="1" s="1"/>
  <c r="F283" i="1"/>
  <c r="G283" i="1"/>
  <c r="E284" i="1"/>
  <c r="H284" i="1" s="1"/>
  <c r="F284" i="1"/>
  <c r="I284" i="1" s="1"/>
  <c r="G284" i="1"/>
  <c r="E285" i="1"/>
  <c r="H285" i="1" s="1"/>
  <c r="F285" i="1"/>
  <c r="I285" i="1" s="1"/>
  <c r="G285" i="1"/>
  <c r="E286" i="1"/>
  <c r="H286" i="1" s="1"/>
  <c r="F286" i="1"/>
  <c r="I286" i="1" s="1"/>
  <c r="G286" i="1"/>
  <c r="E287" i="1"/>
  <c r="H287" i="1" s="1"/>
  <c r="F287" i="1"/>
  <c r="I287" i="1" s="1"/>
  <c r="G287" i="1"/>
  <c r="E288" i="1"/>
  <c r="H288" i="1" s="1"/>
  <c r="F288" i="1"/>
  <c r="I288" i="1" s="1"/>
  <c r="G288" i="1"/>
  <c r="E289" i="1"/>
  <c r="H289" i="1" s="1"/>
  <c r="F289" i="1"/>
  <c r="I289" i="1" s="1"/>
  <c r="G289" i="1"/>
  <c r="E290" i="1"/>
  <c r="H290" i="1" s="1"/>
  <c r="F290" i="1"/>
  <c r="I290" i="1" s="1"/>
  <c r="G290" i="1"/>
  <c r="E291" i="1"/>
  <c r="H291" i="1" s="1"/>
  <c r="F291" i="1"/>
  <c r="I291" i="1" s="1"/>
  <c r="G291" i="1"/>
  <c r="E292" i="1"/>
  <c r="H292" i="1" s="1"/>
  <c r="F292" i="1"/>
  <c r="I292" i="1" s="1"/>
  <c r="G292" i="1"/>
  <c r="E293" i="1"/>
  <c r="F293" i="1"/>
  <c r="I293" i="1" s="1"/>
  <c r="G293" i="1"/>
  <c r="E294" i="1"/>
  <c r="H294" i="1" s="1"/>
  <c r="F294" i="1"/>
  <c r="G294" i="1"/>
  <c r="E295" i="1"/>
  <c r="H295" i="1" s="1"/>
  <c r="F295" i="1"/>
  <c r="I295" i="1" s="1"/>
  <c r="G295" i="1"/>
  <c r="E296" i="1"/>
  <c r="H296" i="1" s="1"/>
  <c r="F296" i="1"/>
  <c r="I296" i="1" s="1"/>
  <c r="G296" i="1"/>
  <c r="E297" i="1"/>
  <c r="H297" i="1" s="1"/>
  <c r="F297" i="1"/>
  <c r="I297" i="1" s="1"/>
  <c r="G297" i="1"/>
  <c r="E298" i="1"/>
  <c r="H298" i="1" s="1"/>
  <c r="F298" i="1"/>
  <c r="I298" i="1" s="1"/>
  <c r="G298" i="1"/>
  <c r="E299" i="1"/>
  <c r="H299" i="1" s="1"/>
  <c r="F299" i="1"/>
  <c r="I299" i="1" s="1"/>
  <c r="G299" i="1"/>
  <c r="E300" i="1"/>
  <c r="H300" i="1" s="1"/>
  <c r="F300" i="1"/>
  <c r="I300" i="1" s="1"/>
  <c r="G300" i="1"/>
  <c r="E301" i="1"/>
  <c r="H301" i="1" s="1"/>
  <c r="F301" i="1"/>
  <c r="I301" i="1" s="1"/>
  <c r="G301" i="1"/>
  <c r="E302" i="1"/>
  <c r="H302" i="1" s="1"/>
  <c r="F302" i="1"/>
  <c r="I302" i="1" s="1"/>
  <c r="G302" i="1"/>
  <c r="E303" i="1"/>
  <c r="H303" i="1" s="1"/>
  <c r="F303" i="1"/>
  <c r="G303" i="1"/>
  <c r="E304" i="1"/>
  <c r="H304" i="1" s="1"/>
  <c r="F304" i="1"/>
  <c r="I304" i="1" s="1"/>
  <c r="G304" i="1"/>
  <c r="E305" i="1"/>
  <c r="H305" i="1" s="1"/>
  <c r="F305" i="1"/>
  <c r="I305" i="1" s="1"/>
  <c r="G305" i="1"/>
  <c r="E306" i="1"/>
  <c r="H306" i="1" s="1"/>
  <c r="F306" i="1"/>
  <c r="I306" i="1" s="1"/>
  <c r="G306" i="1"/>
  <c r="E307" i="1"/>
  <c r="H307" i="1" s="1"/>
  <c r="F307" i="1"/>
  <c r="I307" i="1" s="1"/>
  <c r="G307" i="1"/>
  <c r="E308" i="1"/>
  <c r="H308" i="1" s="1"/>
  <c r="F308" i="1"/>
  <c r="I308" i="1" s="1"/>
  <c r="G308" i="1"/>
  <c r="E309" i="1"/>
  <c r="H309" i="1" s="1"/>
  <c r="F309" i="1"/>
  <c r="I309" i="1" s="1"/>
  <c r="G309" i="1"/>
  <c r="E310" i="1"/>
  <c r="H310" i="1" s="1"/>
  <c r="F310" i="1"/>
  <c r="I310" i="1" s="1"/>
  <c r="G310" i="1"/>
  <c r="E311" i="1"/>
  <c r="H311" i="1" s="1"/>
  <c r="F311" i="1"/>
  <c r="I311" i="1" s="1"/>
  <c r="G311" i="1"/>
  <c r="E312" i="1"/>
  <c r="H312" i="1" s="1"/>
  <c r="F312" i="1"/>
  <c r="I312" i="1" s="1"/>
  <c r="G312" i="1"/>
  <c r="E313" i="1"/>
  <c r="H313" i="1" s="1"/>
  <c r="F313" i="1"/>
  <c r="I313" i="1" s="1"/>
  <c r="G313" i="1"/>
  <c r="E314" i="1"/>
  <c r="H314" i="1" s="1"/>
  <c r="F314" i="1"/>
  <c r="I314" i="1" s="1"/>
  <c r="G314" i="1"/>
  <c r="E315" i="1"/>
  <c r="H315" i="1" s="1"/>
  <c r="F315" i="1"/>
  <c r="G315" i="1"/>
  <c r="E316" i="1"/>
  <c r="H316" i="1" s="1"/>
  <c r="F316" i="1"/>
  <c r="I316" i="1" s="1"/>
  <c r="G316" i="1"/>
  <c r="E317" i="1"/>
  <c r="H317" i="1" s="1"/>
  <c r="F317" i="1"/>
  <c r="I317" i="1" s="1"/>
  <c r="G317" i="1"/>
  <c r="E318" i="1"/>
  <c r="H318" i="1" s="1"/>
  <c r="F318" i="1"/>
  <c r="I318" i="1" s="1"/>
  <c r="G318" i="1"/>
  <c r="E319" i="1"/>
  <c r="H319" i="1" s="1"/>
  <c r="F319" i="1"/>
  <c r="I319" i="1" s="1"/>
  <c r="G319" i="1"/>
  <c r="E320" i="1"/>
  <c r="H320" i="1" s="1"/>
  <c r="F320" i="1"/>
  <c r="I320" i="1" s="1"/>
  <c r="G320" i="1"/>
  <c r="E321" i="1"/>
  <c r="H321" i="1" s="1"/>
  <c r="F321" i="1"/>
  <c r="I321" i="1" s="1"/>
  <c r="G321" i="1"/>
  <c r="E322" i="1"/>
  <c r="H322" i="1" s="1"/>
  <c r="F322" i="1"/>
  <c r="I322" i="1" s="1"/>
  <c r="G322" i="1"/>
  <c r="E323" i="1"/>
  <c r="H323" i="1" s="1"/>
  <c r="F323" i="1"/>
  <c r="I323" i="1" s="1"/>
  <c r="G323" i="1"/>
  <c r="E324" i="1"/>
  <c r="H324" i="1" s="1"/>
  <c r="F324" i="1"/>
  <c r="I324" i="1" s="1"/>
  <c r="G324" i="1"/>
  <c r="E325" i="1"/>
  <c r="H325" i="1" s="1"/>
  <c r="F325" i="1"/>
  <c r="I325" i="1" s="1"/>
  <c r="G325" i="1"/>
  <c r="E326" i="1"/>
  <c r="H326" i="1" s="1"/>
  <c r="F326" i="1"/>
  <c r="G326" i="1"/>
  <c r="E327" i="1"/>
  <c r="H327" i="1" s="1"/>
  <c r="F327" i="1"/>
  <c r="I327" i="1" s="1"/>
  <c r="G327" i="1"/>
  <c r="E328" i="1"/>
  <c r="H328" i="1" s="1"/>
  <c r="F328" i="1"/>
  <c r="I328" i="1" s="1"/>
  <c r="G328" i="1"/>
  <c r="E329" i="1"/>
  <c r="H329" i="1" s="1"/>
  <c r="F329" i="1"/>
  <c r="I329" i="1" s="1"/>
  <c r="G329" i="1"/>
  <c r="E330" i="1"/>
  <c r="H330" i="1" s="1"/>
  <c r="F330" i="1"/>
  <c r="I330" i="1" s="1"/>
  <c r="G330" i="1"/>
  <c r="E331" i="1"/>
  <c r="H331" i="1" s="1"/>
  <c r="F331" i="1"/>
  <c r="I331" i="1" s="1"/>
  <c r="G331" i="1"/>
  <c r="E332" i="1"/>
  <c r="H332" i="1" s="1"/>
  <c r="F332" i="1"/>
  <c r="I332" i="1" s="1"/>
  <c r="G332" i="1"/>
  <c r="E333" i="1"/>
  <c r="H333" i="1" s="1"/>
  <c r="F333" i="1"/>
  <c r="I333" i="1" s="1"/>
  <c r="G333" i="1"/>
  <c r="E334" i="1"/>
  <c r="H334" i="1" s="1"/>
  <c r="F334" i="1"/>
  <c r="I334" i="1" s="1"/>
  <c r="G334" i="1"/>
  <c r="E335" i="1"/>
  <c r="H335" i="1" s="1"/>
  <c r="F335" i="1"/>
  <c r="G335" i="1"/>
  <c r="E336" i="1"/>
  <c r="H336" i="1" s="1"/>
  <c r="F336" i="1"/>
  <c r="I336" i="1" s="1"/>
  <c r="G336" i="1"/>
  <c r="E337" i="1"/>
  <c r="H337" i="1" s="1"/>
  <c r="F337" i="1"/>
  <c r="I337" i="1" s="1"/>
  <c r="G337" i="1"/>
  <c r="E338" i="1"/>
  <c r="H338" i="1" s="1"/>
  <c r="F338" i="1"/>
  <c r="I338" i="1" s="1"/>
  <c r="G338" i="1"/>
  <c r="E339" i="1"/>
  <c r="H339" i="1" s="1"/>
  <c r="F339" i="1"/>
  <c r="I339" i="1" s="1"/>
  <c r="G339" i="1"/>
  <c r="E340" i="1"/>
  <c r="H340" i="1" s="1"/>
  <c r="F340" i="1"/>
  <c r="I340" i="1" s="1"/>
  <c r="G340" i="1"/>
  <c r="E341" i="1"/>
  <c r="H341" i="1" s="1"/>
  <c r="F341" i="1"/>
  <c r="I341" i="1" s="1"/>
  <c r="G341" i="1"/>
  <c r="E342" i="1"/>
  <c r="H342" i="1" s="1"/>
  <c r="F342" i="1"/>
  <c r="I342" i="1" s="1"/>
  <c r="G342" i="1"/>
  <c r="E343" i="1"/>
  <c r="H343" i="1" s="1"/>
  <c r="F343" i="1"/>
  <c r="I343" i="1" s="1"/>
  <c r="G343" i="1"/>
  <c r="E344" i="1"/>
  <c r="H344" i="1" s="1"/>
  <c r="F344" i="1"/>
  <c r="I344" i="1" s="1"/>
  <c r="G344" i="1"/>
  <c r="E345" i="1"/>
  <c r="H345" i="1" s="1"/>
  <c r="F345" i="1"/>
  <c r="I345" i="1" s="1"/>
  <c r="G345" i="1"/>
  <c r="E346" i="1"/>
  <c r="H346" i="1" s="1"/>
  <c r="F346" i="1"/>
  <c r="I346" i="1" s="1"/>
  <c r="G346" i="1"/>
  <c r="E347" i="1"/>
  <c r="H347" i="1" s="1"/>
  <c r="F347" i="1"/>
  <c r="G347" i="1"/>
  <c r="E348" i="1"/>
  <c r="H348" i="1" s="1"/>
  <c r="F348" i="1"/>
  <c r="I348" i="1" s="1"/>
  <c r="G348" i="1"/>
  <c r="E349" i="1"/>
  <c r="H349" i="1" s="1"/>
  <c r="F349" i="1"/>
  <c r="I349" i="1" s="1"/>
  <c r="G349" i="1"/>
  <c r="E350" i="1"/>
  <c r="H350" i="1" s="1"/>
  <c r="F350" i="1"/>
  <c r="I350" i="1" s="1"/>
  <c r="G350" i="1"/>
  <c r="E351" i="1"/>
  <c r="H351" i="1" s="1"/>
  <c r="F351" i="1"/>
  <c r="I351" i="1" s="1"/>
  <c r="G351" i="1"/>
  <c r="E352" i="1"/>
  <c r="H352" i="1" s="1"/>
  <c r="F352" i="1"/>
  <c r="I352" i="1" s="1"/>
  <c r="G352" i="1"/>
  <c r="E353" i="1"/>
  <c r="H353" i="1" s="1"/>
  <c r="F353" i="1"/>
  <c r="I353" i="1" s="1"/>
  <c r="G353" i="1"/>
  <c r="E354" i="1"/>
  <c r="H354" i="1" s="1"/>
  <c r="F354" i="1"/>
  <c r="I354" i="1" s="1"/>
  <c r="G354" i="1"/>
  <c r="E355" i="1"/>
  <c r="H355" i="1" s="1"/>
  <c r="F355" i="1"/>
  <c r="I355" i="1" s="1"/>
  <c r="G355" i="1"/>
  <c r="E356" i="1"/>
  <c r="H356" i="1" s="1"/>
  <c r="F356" i="1"/>
  <c r="I356" i="1" s="1"/>
  <c r="G356" i="1"/>
  <c r="E357" i="1"/>
  <c r="H357" i="1" s="1"/>
  <c r="F357" i="1"/>
  <c r="I357" i="1" s="1"/>
  <c r="G357" i="1"/>
  <c r="E358" i="1"/>
  <c r="H358" i="1" s="1"/>
  <c r="F358" i="1"/>
  <c r="G358" i="1"/>
  <c r="E359" i="1"/>
  <c r="H359" i="1" s="1"/>
  <c r="F359" i="1"/>
  <c r="I359" i="1" s="1"/>
  <c r="G359" i="1"/>
  <c r="E360" i="1"/>
  <c r="H360" i="1" s="1"/>
  <c r="F360" i="1"/>
  <c r="I360" i="1" s="1"/>
  <c r="G360" i="1"/>
  <c r="E361" i="1"/>
  <c r="H361" i="1" s="1"/>
  <c r="F361" i="1"/>
  <c r="I361" i="1" s="1"/>
  <c r="G361" i="1"/>
  <c r="E362" i="1"/>
  <c r="H362" i="1" s="1"/>
  <c r="F362" i="1"/>
  <c r="I362" i="1" s="1"/>
  <c r="G362" i="1"/>
  <c r="E363" i="1"/>
  <c r="H363" i="1" s="1"/>
  <c r="F363" i="1"/>
  <c r="I363" i="1" s="1"/>
  <c r="G363" i="1"/>
  <c r="E364" i="1"/>
  <c r="H364" i="1" s="1"/>
  <c r="F364" i="1"/>
  <c r="I364" i="1" s="1"/>
  <c r="G364" i="1"/>
  <c r="E365" i="1"/>
  <c r="H365" i="1" s="1"/>
  <c r="F365" i="1"/>
  <c r="I365" i="1" s="1"/>
  <c r="G365" i="1"/>
  <c r="E366" i="1"/>
  <c r="H366" i="1" s="1"/>
  <c r="F366" i="1"/>
  <c r="I366" i="1" s="1"/>
  <c r="G366" i="1"/>
  <c r="E367" i="1"/>
  <c r="H367" i="1" s="1"/>
  <c r="F367" i="1"/>
  <c r="G367" i="1"/>
  <c r="E368" i="1"/>
  <c r="H368" i="1" s="1"/>
  <c r="F368" i="1"/>
  <c r="G368" i="1"/>
  <c r="E369" i="1"/>
  <c r="H369" i="1" s="1"/>
  <c r="F369" i="1"/>
  <c r="I369" i="1" s="1"/>
  <c r="G369" i="1"/>
  <c r="E370" i="1"/>
  <c r="H370" i="1" s="1"/>
  <c r="F370" i="1"/>
  <c r="I370" i="1" s="1"/>
  <c r="G370" i="1"/>
  <c r="E371" i="1"/>
  <c r="H371" i="1" s="1"/>
  <c r="F371" i="1"/>
  <c r="I371" i="1" s="1"/>
  <c r="G371" i="1"/>
  <c r="E372" i="1"/>
  <c r="H372" i="1" s="1"/>
  <c r="F372" i="1"/>
  <c r="I372" i="1" s="1"/>
  <c r="G372" i="1"/>
  <c r="E373" i="1"/>
  <c r="H373" i="1" s="1"/>
  <c r="F373" i="1"/>
  <c r="I373" i="1" s="1"/>
  <c r="G373" i="1"/>
  <c r="E374" i="1"/>
  <c r="H374" i="1" s="1"/>
  <c r="F374" i="1"/>
  <c r="I374" i="1" s="1"/>
  <c r="G374" i="1"/>
  <c r="E375" i="1"/>
  <c r="H375" i="1" s="1"/>
  <c r="F375" i="1"/>
  <c r="G375" i="1"/>
  <c r="E376" i="1"/>
  <c r="H376" i="1" s="1"/>
  <c r="F376" i="1"/>
  <c r="G376" i="1"/>
  <c r="E377" i="1"/>
  <c r="H377" i="1" s="1"/>
  <c r="F377" i="1"/>
  <c r="I377" i="1" s="1"/>
  <c r="G377" i="1"/>
  <c r="E378" i="1"/>
  <c r="H378" i="1" s="1"/>
  <c r="F378" i="1"/>
  <c r="I378" i="1" s="1"/>
  <c r="G378" i="1"/>
  <c r="E379" i="1"/>
  <c r="H379" i="1" s="1"/>
  <c r="F379" i="1"/>
  <c r="I379" i="1" s="1"/>
  <c r="G379" i="1"/>
  <c r="E380" i="1"/>
  <c r="H380" i="1" s="1"/>
  <c r="F380" i="1"/>
  <c r="I380" i="1" s="1"/>
  <c r="G380" i="1"/>
  <c r="E381" i="1"/>
  <c r="H381" i="1" s="1"/>
  <c r="F381" i="1"/>
  <c r="I381" i="1" s="1"/>
  <c r="G381" i="1"/>
  <c r="E382" i="1"/>
  <c r="H382" i="1" s="1"/>
  <c r="F382" i="1"/>
  <c r="I382" i="1" s="1"/>
  <c r="G382" i="1"/>
  <c r="E383" i="1"/>
  <c r="H383" i="1" s="1"/>
  <c r="F383" i="1"/>
  <c r="G383" i="1"/>
  <c r="E384" i="1"/>
  <c r="H384" i="1" s="1"/>
  <c r="F384" i="1"/>
  <c r="G384" i="1"/>
  <c r="E385" i="1"/>
  <c r="H385" i="1" s="1"/>
  <c r="F385" i="1"/>
  <c r="I385" i="1" s="1"/>
  <c r="G385" i="1"/>
  <c r="E386" i="1"/>
  <c r="H386" i="1" s="1"/>
  <c r="F386" i="1"/>
  <c r="I386" i="1" s="1"/>
  <c r="G386" i="1"/>
  <c r="E387" i="1"/>
  <c r="H387" i="1" s="1"/>
  <c r="F387" i="1"/>
  <c r="I387" i="1" s="1"/>
  <c r="G387" i="1"/>
  <c r="E388" i="1"/>
  <c r="H388" i="1" s="1"/>
  <c r="F388" i="1"/>
  <c r="I388" i="1" s="1"/>
  <c r="G388" i="1"/>
  <c r="E389" i="1"/>
  <c r="H389" i="1" s="1"/>
  <c r="F389" i="1"/>
  <c r="I389" i="1" s="1"/>
  <c r="G389" i="1"/>
  <c r="E390" i="1"/>
  <c r="H390" i="1" s="1"/>
  <c r="F390" i="1"/>
  <c r="I390" i="1" s="1"/>
  <c r="G390" i="1"/>
  <c r="E391" i="1"/>
  <c r="H391" i="1" s="1"/>
  <c r="F391" i="1"/>
  <c r="G391" i="1"/>
  <c r="E392" i="1"/>
  <c r="H392" i="1" s="1"/>
  <c r="F392" i="1"/>
  <c r="G392" i="1"/>
  <c r="E393" i="1"/>
  <c r="H393" i="1" s="1"/>
  <c r="F393" i="1"/>
  <c r="I393" i="1" s="1"/>
  <c r="G393" i="1"/>
  <c r="E394" i="1"/>
  <c r="H394" i="1" s="1"/>
  <c r="F394" i="1"/>
  <c r="I394" i="1" s="1"/>
  <c r="G394" i="1"/>
  <c r="E395" i="1"/>
  <c r="H395" i="1" s="1"/>
  <c r="F395" i="1"/>
  <c r="I395" i="1" s="1"/>
  <c r="G395" i="1"/>
  <c r="E396" i="1"/>
  <c r="H396" i="1" s="1"/>
  <c r="F396" i="1"/>
  <c r="I396" i="1" s="1"/>
  <c r="G396" i="1"/>
  <c r="E397" i="1"/>
  <c r="H397" i="1" s="1"/>
  <c r="F397" i="1"/>
  <c r="I397" i="1" s="1"/>
  <c r="G397" i="1"/>
  <c r="E398" i="1"/>
  <c r="H398" i="1" s="1"/>
  <c r="F398" i="1"/>
  <c r="I398" i="1" s="1"/>
  <c r="G398" i="1"/>
  <c r="E399" i="1"/>
  <c r="H399" i="1" s="1"/>
  <c r="F399" i="1"/>
  <c r="G399" i="1"/>
  <c r="E400" i="1"/>
  <c r="H400" i="1" s="1"/>
  <c r="F400" i="1"/>
  <c r="G400" i="1"/>
  <c r="E401" i="1"/>
  <c r="H401" i="1" s="1"/>
  <c r="F401" i="1"/>
  <c r="I401" i="1" s="1"/>
  <c r="G401" i="1"/>
  <c r="E402" i="1"/>
  <c r="H402" i="1" s="1"/>
  <c r="F402" i="1"/>
  <c r="I402" i="1" s="1"/>
  <c r="G402" i="1"/>
  <c r="E403" i="1"/>
  <c r="H403" i="1" s="1"/>
  <c r="F403" i="1"/>
  <c r="I403" i="1" s="1"/>
  <c r="G403" i="1"/>
  <c r="E404" i="1"/>
  <c r="H404" i="1" s="1"/>
  <c r="F404" i="1"/>
  <c r="I404" i="1" s="1"/>
  <c r="G404" i="1"/>
  <c r="E405" i="1"/>
  <c r="H405" i="1" s="1"/>
  <c r="F405" i="1"/>
  <c r="I405" i="1" s="1"/>
  <c r="G405" i="1"/>
  <c r="E406" i="1"/>
  <c r="H406" i="1" s="1"/>
  <c r="F406" i="1"/>
  <c r="I406" i="1" s="1"/>
  <c r="G406" i="1"/>
  <c r="E407" i="1"/>
  <c r="H407" i="1" s="1"/>
  <c r="F407" i="1"/>
  <c r="G407" i="1"/>
  <c r="E408" i="1"/>
  <c r="H408" i="1" s="1"/>
  <c r="F408" i="1"/>
  <c r="G408" i="1"/>
  <c r="E409" i="1"/>
  <c r="H409" i="1" s="1"/>
  <c r="F409" i="1"/>
  <c r="I409" i="1" s="1"/>
  <c r="G409" i="1"/>
  <c r="E410" i="1"/>
  <c r="H410" i="1" s="1"/>
  <c r="F410" i="1"/>
  <c r="I410" i="1" s="1"/>
  <c r="G410" i="1"/>
  <c r="E411" i="1"/>
  <c r="H411" i="1" s="1"/>
  <c r="F411" i="1"/>
  <c r="I411" i="1" s="1"/>
  <c r="G411" i="1"/>
  <c r="E412" i="1"/>
  <c r="H412" i="1" s="1"/>
  <c r="F412" i="1"/>
  <c r="I412" i="1" s="1"/>
  <c r="G412" i="1"/>
  <c r="E413" i="1"/>
  <c r="H413" i="1" s="1"/>
  <c r="F413" i="1"/>
  <c r="I413" i="1" s="1"/>
  <c r="G413" i="1"/>
  <c r="E414" i="1"/>
  <c r="H414" i="1" s="1"/>
  <c r="F414" i="1"/>
  <c r="I414" i="1" s="1"/>
  <c r="G414" i="1"/>
  <c r="E415" i="1"/>
  <c r="H415" i="1" s="1"/>
  <c r="F415" i="1"/>
  <c r="G415" i="1"/>
  <c r="F416" i="1"/>
  <c r="D3" i="1"/>
  <c r="D4" i="1"/>
  <c r="D5" i="1"/>
  <c r="D6" i="1"/>
  <c r="G17" i="1" s="1"/>
  <c r="D7" i="1"/>
  <c r="D8" i="1"/>
  <c r="D9" i="1"/>
  <c r="D10" i="1"/>
  <c r="G21" i="1" s="1"/>
  <c r="D11" i="1"/>
  <c r="D12" i="1"/>
  <c r="D13" i="1"/>
  <c r="G24" i="1" s="1"/>
  <c r="D36" i="1"/>
  <c r="G42" i="1" s="1"/>
  <c r="D37" i="1"/>
  <c r="G48" i="1" s="1"/>
  <c r="A2" i="1"/>
  <c r="A3" i="1"/>
  <c r="B3" i="1"/>
  <c r="E13" i="1" s="1"/>
  <c r="C3" i="1"/>
  <c r="A4" i="1"/>
  <c r="B4" i="1"/>
  <c r="E15" i="1" s="1"/>
  <c r="C4" i="1"/>
  <c r="F15" i="1" s="1"/>
  <c r="I27" i="1" s="1"/>
  <c r="A5" i="1"/>
  <c r="B5" i="1"/>
  <c r="C5" i="1"/>
  <c r="A6" i="1"/>
  <c r="B6" i="1"/>
  <c r="C6" i="1"/>
  <c r="A7" i="1"/>
  <c r="B7" i="1"/>
  <c r="C7" i="1"/>
  <c r="F18" i="1" s="1"/>
  <c r="A8" i="1"/>
  <c r="B8" i="1"/>
  <c r="C8" i="1"/>
  <c r="A9" i="1"/>
  <c r="B9" i="1"/>
  <c r="C9" i="1"/>
  <c r="A10" i="1"/>
  <c r="B10" i="1"/>
  <c r="E21" i="1" s="1"/>
  <c r="C10" i="1"/>
  <c r="F21" i="1" s="1"/>
  <c r="A11" i="1"/>
  <c r="B11" i="1"/>
  <c r="E22" i="1" s="1"/>
  <c r="H34" i="1" s="1"/>
  <c r="C11" i="1"/>
  <c r="A12" i="1"/>
  <c r="B12" i="1"/>
  <c r="E23" i="1" s="1"/>
  <c r="C12" i="1"/>
  <c r="F23" i="1" s="1"/>
  <c r="A13" i="1"/>
  <c r="B13" i="1"/>
  <c r="E24" i="1" s="1"/>
  <c r="C13" i="1"/>
  <c r="F24" i="1" s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B36" i="1"/>
  <c r="E40" i="1" s="1"/>
  <c r="H40" i="1" s="1"/>
  <c r="C36" i="1"/>
  <c r="F37" i="1" s="1"/>
  <c r="I37" i="1" s="1"/>
  <c r="A37" i="1"/>
  <c r="B37" i="1"/>
  <c r="E48" i="1" s="1"/>
  <c r="H48" i="1" s="1"/>
  <c r="C37" i="1"/>
  <c r="F48" i="1" s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I49" i="1" l="1"/>
  <c r="E18" i="1"/>
  <c r="H60" i="1"/>
  <c r="I57" i="1"/>
  <c r="H52" i="1"/>
  <c r="G46" i="1"/>
  <c r="F41" i="1"/>
  <c r="I41" i="1" s="1"/>
  <c r="H36" i="1"/>
  <c r="I33" i="1"/>
  <c r="H28" i="1"/>
  <c r="E20" i="1"/>
  <c r="F13" i="1"/>
  <c r="E19" i="1"/>
  <c r="G20" i="1"/>
  <c r="I58" i="1"/>
  <c r="I50" i="1"/>
  <c r="F46" i="1"/>
  <c r="I46" i="1" s="1"/>
  <c r="G43" i="1"/>
  <c r="E41" i="1"/>
  <c r="H41" i="1" s="1"/>
  <c r="F38" i="1"/>
  <c r="I38" i="1" s="1"/>
  <c r="H33" i="1"/>
  <c r="I30" i="1"/>
  <c r="F22" i="1"/>
  <c r="I34" i="1" s="1"/>
  <c r="G19" i="1"/>
  <c r="E17" i="1"/>
  <c r="H29" i="1" s="1"/>
  <c r="E16" i="1"/>
  <c r="F45" i="1"/>
  <c r="I45" i="1" s="1"/>
  <c r="I31" i="1"/>
  <c r="H30" i="1"/>
  <c r="G18" i="1"/>
  <c r="F36" i="1"/>
  <c r="I36" i="1" s="1"/>
  <c r="F40" i="1"/>
  <c r="I40" i="1" s="1"/>
  <c r="F44" i="1"/>
  <c r="I44" i="1" s="1"/>
  <c r="F39" i="1"/>
  <c r="I39" i="1" s="1"/>
  <c r="F43" i="1"/>
  <c r="I43" i="1" s="1"/>
  <c r="F47" i="1"/>
  <c r="F19" i="1"/>
  <c r="E14" i="1"/>
  <c r="G37" i="1"/>
  <c r="G41" i="1"/>
  <c r="G45" i="1"/>
  <c r="G36" i="1"/>
  <c r="G40" i="1"/>
  <c r="G44" i="1"/>
  <c r="I53" i="1"/>
  <c r="G38" i="1"/>
  <c r="H32" i="1"/>
  <c r="I29" i="1"/>
  <c r="F17" i="1"/>
  <c r="E39" i="1"/>
  <c r="H39" i="1" s="1"/>
  <c r="E43" i="1"/>
  <c r="H43" i="1" s="1"/>
  <c r="E47" i="1"/>
  <c r="H47" i="1" s="1"/>
  <c r="E38" i="1"/>
  <c r="E42" i="1"/>
  <c r="H42" i="1" s="1"/>
  <c r="E46" i="1"/>
  <c r="F20" i="1"/>
  <c r="F16" i="1"/>
  <c r="F14" i="1"/>
  <c r="G47" i="1"/>
  <c r="E45" i="1"/>
  <c r="H45" i="1" s="1"/>
  <c r="F42" i="1"/>
  <c r="I42" i="1" s="1"/>
  <c r="G39" i="1"/>
  <c r="E37" i="1"/>
  <c r="H37" i="1" s="1"/>
  <c r="H27" i="1"/>
  <c r="G23" i="1"/>
  <c r="I55" i="1"/>
  <c r="I51" i="1"/>
  <c r="I35" i="1"/>
  <c r="I60" i="1"/>
  <c r="I56" i="1"/>
  <c r="H55" i="1"/>
  <c r="H51" i="1"/>
  <c r="H35" i="1"/>
  <c r="I32" i="1"/>
  <c r="H31" i="1"/>
  <c r="I28" i="1"/>
  <c r="J416" i="1"/>
  <c r="I417" i="1"/>
  <c r="I47" i="1" l="1"/>
  <c r="I59" i="1"/>
  <c r="H46" i="1"/>
  <c r="H58" i="1"/>
  <c r="H53" i="1"/>
  <c r="H59" i="1"/>
  <c r="H54" i="1"/>
  <c r="I54" i="1"/>
  <c r="I52" i="1"/>
  <c r="H38" i="1"/>
  <c r="H50" i="1"/>
  <c r="H49" i="1"/>
  <c r="H57" i="1"/>
  <c r="I48" i="1"/>
  <c r="K416" i="1"/>
  <c r="J417" i="1"/>
  <c r="L416" i="1" l="1"/>
  <c r="L417" i="1" s="1"/>
  <c r="K417" i="1"/>
</calcChain>
</file>

<file path=xl/sharedStrings.xml><?xml version="1.0" encoding="utf-8"?>
<sst xmlns="http://schemas.openxmlformats.org/spreadsheetml/2006/main" count="6" uniqueCount="6">
  <si>
    <t>Outlays</t>
  </si>
  <si>
    <t>Peiod</t>
  </si>
  <si>
    <t>eceipts</t>
  </si>
  <si>
    <t>Deficit/Suplus (-)</t>
  </si>
  <si>
    <t>/ evisions</t>
  </si>
  <si>
    <t>Note: Data fo Boowing fom the Public, eduction of Opeating Cash, and By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</si>
</sst>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\ ;\(&quot;$&quot;#,##0\)"/>
  </numFmts>
  <fonts count="8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vertAlign val="superscript"/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9" fontId="7" fillId="0" borderId="0" applyFont="0" applyFill="0" applyBorder="0" applyAlignment="0" applyProtection="0"/>
    <xf numFmtId="0" fontId="7" fillId="0" borderId="1" applyNumberFormat="0" applyFont="0" applyBorder="0" applyAlignment="0" applyProtection="0"/>
  </cellStyleXfs>
  <cellXfs count="23">
    <xf numFmtId="0" fontId="0" fillId="0" borderId="0" xfId="0"/>
    <xf numFmtId="0" fontId="4" fillId="0" borderId="0" xfId="0" applyFont="1"/>
    <xf numFmtId="1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17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right"/>
    </xf>
    <xf numFmtId="17" fontId="5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right"/>
    </xf>
    <xf numFmtId="17" fontId="4" fillId="0" borderId="0" xfId="0" applyNumberFormat="1" applyFont="1" applyAlignment="1">
      <alignment horizontal="left"/>
    </xf>
    <xf numFmtId="3" fontId="6" fillId="0" borderId="0" xfId="0" applyNumberFormat="1" applyFont="1" applyFill="1" applyAlignment="1">
      <alignment horizontal="right"/>
    </xf>
    <xf numFmtId="17" fontId="4" fillId="0" borderId="0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right"/>
    </xf>
    <xf numFmtId="4" fontId="6" fillId="0" borderId="0" xfId="1" applyFont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17" fontId="4" fillId="0" borderId="0" xfId="0" applyNumberFormat="1" applyFont="1" applyAlignment="1"/>
    <xf numFmtId="3" fontId="4" fillId="0" borderId="0" xfId="0" applyNumberFormat="1" applyFont="1"/>
    <xf numFmtId="3" fontId="4" fillId="0" borderId="0" xfId="1" applyNumberFormat="1" applyFont="1"/>
    <xf numFmtId="10" fontId="4" fillId="0" borderId="0" xfId="8" applyNumberFormat="1" applyFont="1"/>
    <xf numFmtId="4" fontId="4" fillId="0" borderId="0" xfId="1" applyFont="1" applyAlignment="1">
      <alignment vertical="top"/>
    </xf>
    <xf numFmtId="3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3" fontId="4" fillId="0" borderId="0" xfId="1" applyNumberFormat="1" applyFont="1" applyAlignment="1">
      <alignment vertical="top"/>
    </xf>
  </cellXfs>
  <cellStyles count="10">
    <cellStyle name="Comma" xfId="1" builtinId="3"/>
    <cellStyle name="Comma0" xfId="2"/>
    <cellStyle name="Currency0" xfId="3"/>
    <cellStyle name="Date" xfId="4"/>
    <cellStyle name="Fixed" xfId="5"/>
    <cellStyle name="Heading 1" xfId="6" builtinId="16" customBuiltin="1"/>
    <cellStyle name="Heading 2" xfId="7" builtinId="17" customBuiltin="1"/>
    <cellStyle name="Normal" xfId="0" builtinId="0"/>
    <cellStyle name="Percent" xfId="8" builtinId="5"/>
    <cellStyle name="Total" xfId="9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'MTS Quick Link'!$E$17:$E$416</c:f>
              <c:numCache>
                <c:formatCode>#,##0</c:formatCode>
                <c:ptCount val="400"/>
                <c:pt idx="0">
                  <c:v>623583</c:v>
                </c:pt>
                <c:pt idx="1">
                  <c:v>628496</c:v>
                </c:pt>
                <c:pt idx="2">
                  <c:v>629430</c:v>
                </c:pt>
                <c:pt idx="3">
                  <c:v>631019</c:v>
                </c:pt>
                <c:pt idx="4">
                  <c:v>629529</c:v>
                </c:pt>
                <c:pt idx="5">
                  <c:v>625453</c:v>
                </c:pt>
                <c:pt idx="6">
                  <c:v>622299</c:v>
                </c:pt>
                <c:pt idx="7">
                  <c:v>619554</c:v>
                </c:pt>
                <c:pt idx="8">
                  <c:v>618969</c:v>
                </c:pt>
                <c:pt idx="9">
                  <c:v>614041</c:v>
                </c:pt>
                <c:pt idx="10">
                  <c:v>611731</c:v>
                </c:pt>
                <c:pt idx="11">
                  <c:v>608822</c:v>
                </c:pt>
                <c:pt idx="12">
                  <c:v>611058</c:v>
                </c:pt>
                <c:pt idx="13">
                  <c:v>606832</c:v>
                </c:pt>
                <c:pt idx="14">
                  <c:v>605045</c:v>
                </c:pt>
                <c:pt idx="15">
                  <c:v>595502</c:v>
                </c:pt>
                <c:pt idx="16">
                  <c:v>592504</c:v>
                </c:pt>
                <c:pt idx="17">
                  <c:v>592668</c:v>
                </c:pt>
                <c:pt idx="18">
                  <c:v>591941</c:v>
                </c:pt>
                <c:pt idx="19">
                  <c:v>596700</c:v>
                </c:pt>
                <c:pt idx="20">
                  <c:v>600562</c:v>
                </c:pt>
                <c:pt idx="21">
                  <c:v>605180</c:v>
                </c:pt>
                <c:pt idx="22">
                  <c:v>609375</c:v>
                </c:pt>
                <c:pt idx="23">
                  <c:v>612921</c:v>
                </c:pt>
                <c:pt idx="24">
                  <c:v>617953</c:v>
                </c:pt>
                <c:pt idx="25">
                  <c:v>627023</c:v>
                </c:pt>
                <c:pt idx="26">
                  <c:v>627983</c:v>
                </c:pt>
                <c:pt idx="27">
                  <c:v>641929</c:v>
                </c:pt>
                <c:pt idx="28">
                  <c:v>645633</c:v>
                </c:pt>
                <c:pt idx="29">
                  <c:v>648398</c:v>
                </c:pt>
                <c:pt idx="30">
                  <c:v>656467</c:v>
                </c:pt>
                <c:pt idx="31">
                  <c:v>661993</c:v>
                </c:pt>
                <c:pt idx="32">
                  <c:v>666456</c:v>
                </c:pt>
                <c:pt idx="33">
                  <c:v>673550</c:v>
                </c:pt>
                <c:pt idx="34">
                  <c:v>678842</c:v>
                </c:pt>
                <c:pt idx="35">
                  <c:v>683202</c:v>
                </c:pt>
                <c:pt idx="36">
                  <c:v>691119</c:v>
                </c:pt>
                <c:pt idx="37">
                  <c:v>697282</c:v>
                </c:pt>
                <c:pt idx="38">
                  <c:v>702431</c:v>
                </c:pt>
                <c:pt idx="39">
                  <c:v>716850</c:v>
                </c:pt>
                <c:pt idx="40">
                  <c:v>719185</c:v>
                </c:pt>
                <c:pt idx="41">
                  <c:v>722054</c:v>
                </c:pt>
                <c:pt idx="42">
                  <c:v>727687</c:v>
                </c:pt>
                <c:pt idx="43">
                  <c:v>728259</c:v>
                </c:pt>
                <c:pt idx="44">
                  <c:v>734051</c:v>
                </c:pt>
                <c:pt idx="45">
                  <c:v>739686</c:v>
                </c:pt>
                <c:pt idx="46">
                  <c:v>739358</c:v>
                </c:pt>
                <c:pt idx="47">
                  <c:v>745150</c:v>
                </c:pt>
                <c:pt idx="48">
                  <c:v>751394</c:v>
                </c:pt>
                <c:pt idx="49">
                  <c:v>750715</c:v>
                </c:pt>
                <c:pt idx="50">
                  <c:v>750659</c:v>
                </c:pt>
                <c:pt idx="51">
                  <c:v>747498</c:v>
                </c:pt>
                <c:pt idx="52">
                  <c:v>753950</c:v>
                </c:pt>
                <c:pt idx="53">
                  <c:v>758823</c:v>
                </c:pt>
                <c:pt idx="54">
                  <c:v>764147</c:v>
                </c:pt>
                <c:pt idx="55">
                  <c:v>764889</c:v>
                </c:pt>
                <c:pt idx="56">
                  <c:v>769091</c:v>
                </c:pt>
                <c:pt idx="57">
                  <c:v>770217</c:v>
                </c:pt>
                <c:pt idx="58">
                  <c:v>772018</c:v>
                </c:pt>
                <c:pt idx="59">
                  <c:v>781857</c:v>
                </c:pt>
                <c:pt idx="60">
                  <c:v>786930</c:v>
                </c:pt>
                <c:pt idx="61">
                  <c:v>789023</c:v>
                </c:pt>
                <c:pt idx="62">
                  <c:v>795981</c:v>
                </c:pt>
                <c:pt idx="63">
                  <c:v>827440</c:v>
                </c:pt>
                <c:pt idx="64">
                  <c:v>828885</c:v>
                </c:pt>
                <c:pt idx="65">
                  <c:v>834806</c:v>
                </c:pt>
                <c:pt idx="66">
                  <c:v>836055</c:v>
                </c:pt>
                <c:pt idx="67">
                  <c:v>839745</c:v>
                </c:pt>
                <c:pt idx="68">
                  <c:v>854142</c:v>
                </c:pt>
                <c:pt idx="69">
                  <c:v>857425</c:v>
                </c:pt>
                <c:pt idx="70">
                  <c:v>861373</c:v>
                </c:pt>
                <c:pt idx="71">
                  <c:v>868807</c:v>
                </c:pt>
                <c:pt idx="72">
                  <c:v>868776</c:v>
                </c:pt>
                <c:pt idx="73">
                  <c:v>873592</c:v>
                </c:pt>
                <c:pt idx="74">
                  <c:v>882741</c:v>
                </c:pt>
                <c:pt idx="75">
                  <c:v>869110</c:v>
                </c:pt>
                <c:pt idx="76">
                  <c:v>881054</c:v>
                </c:pt>
                <c:pt idx="77">
                  <c:v>897249</c:v>
                </c:pt>
                <c:pt idx="78">
                  <c:v>893657</c:v>
                </c:pt>
                <c:pt idx="79">
                  <c:v>902834</c:v>
                </c:pt>
                <c:pt idx="80">
                  <c:v>908166</c:v>
                </c:pt>
                <c:pt idx="81">
                  <c:v>909453</c:v>
                </c:pt>
                <c:pt idx="82">
                  <c:v>916868</c:v>
                </c:pt>
                <c:pt idx="83">
                  <c:v>925054</c:v>
                </c:pt>
                <c:pt idx="84">
                  <c:v>932620</c:v>
                </c:pt>
                <c:pt idx="85">
                  <c:v>934238</c:v>
                </c:pt>
                <c:pt idx="86">
                  <c:v>936779</c:v>
                </c:pt>
                <c:pt idx="87">
                  <c:v>956405</c:v>
                </c:pt>
                <c:pt idx="88">
                  <c:v>967795</c:v>
                </c:pt>
                <c:pt idx="89">
                  <c:v>976904</c:v>
                </c:pt>
                <c:pt idx="90">
                  <c:v>982464</c:v>
                </c:pt>
                <c:pt idx="91">
                  <c:v>989210</c:v>
                </c:pt>
                <c:pt idx="92">
                  <c:v>990701</c:v>
                </c:pt>
                <c:pt idx="93">
                  <c:v>995539</c:v>
                </c:pt>
                <c:pt idx="94">
                  <c:v>1002383</c:v>
                </c:pt>
                <c:pt idx="95">
                  <c:v>997850</c:v>
                </c:pt>
                <c:pt idx="96">
                  <c:v>1008068</c:v>
                </c:pt>
                <c:pt idx="97">
                  <c:v>1011312</c:v>
                </c:pt>
                <c:pt idx="98">
                  <c:v>1007912</c:v>
                </c:pt>
                <c:pt idx="99">
                  <c:v>1018624</c:v>
                </c:pt>
                <c:pt idx="100">
                  <c:v>1016785</c:v>
                </c:pt>
                <c:pt idx="101">
                  <c:v>1019137</c:v>
                </c:pt>
                <c:pt idx="102">
                  <c:v>1025275</c:v>
                </c:pt>
                <c:pt idx="103">
                  <c:v>1027601</c:v>
                </c:pt>
                <c:pt idx="104">
                  <c:v>1031307</c:v>
                </c:pt>
                <c:pt idx="105">
                  <c:v>1039873</c:v>
                </c:pt>
                <c:pt idx="106">
                  <c:v>1039206</c:v>
                </c:pt>
                <c:pt idx="107">
                  <c:v>1051984</c:v>
                </c:pt>
                <c:pt idx="108">
                  <c:v>1053173</c:v>
                </c:pt>
                <c:pt idx="109">
                  <c:v>1055689</c:v>
                </c:pt>
                <c:pt idx="110">
                  <c:v>1055689</c:v>
                </c:pt>
                <c:pt idx="111">
                  <c:v>1056465</c:v>
                </c:pt>
                <c:pt idx="112">
                  <c:v>1050839</c:v>
                </c:pt>
                <c:pt idx="113">
                  <c:v>1043627</c:v>
                </c:pt>
                <c:pt idx="114">
                  <c:v>1049891</c:v>
                </c:pt>
                <c:pt idx="115">
                  <c:v>1047855</c:v>
                </c:pt>
                <c:pt idx="116">
                  <c:v>1054266</c:v>
                </c:pt>
                <c:pt idx="117">
                  <c:v>1055345</c:v>
                </c:pt>
                <c:pt idx="118">
                  <c:v>1057933</c:v>
                </c:pt>
                <c:pt idx="119">
                  <c:v>1059669</c:v>
                </c:pt>
                <c:pt idx="120">
                  <c:v>1062987</c:v>
                </c:pt>
                <c:pt idx="121">
                  <c:v>1058077</c:v>
                </c:pt>
                <c:pt idx="122">
                  <c:v>1065399</c:v>
                </c:pt>
                <c:pt idx="123">
                  <c:v>1063370</c:v>
                </c:pt>
                <c:pt idx="124">
                  <c:v>1061994</c:v>
                </c:pt>
                <c:pt idx="125">
                  <c:v>1079483</c:v>
                </c:pt>
                <c:pt idx="126">
                  <c:v>1079940</c:v>
                </c:pt>
                <c:pt idx="127">
                  <c:v>1081615</c:v>
                </c:pt>
                <c:pt idx="128">
                  <c:v>1090454</c:v>
                </c:pt>
                <c:pt idx="129">
                  <c:v>1089218</c:v>
                </c:pt>
                <c:pt idx="130">
                  <c:v>1090752</c:v>
                </c:pt>
                <c:pt idx="131">
                  <c:v>1100802</c:v>
                </c:pt>
                <c:pt idx="132">
                  <c:v>1109487</c:v>
                </c:pt>
                <c:pt idx="133">
                  <c:v>1112719</c:v>
                </c:pt>
                <c:pt idx="134">
                  <c:v>1123880</c:v>
                </c:pt>
                <c:pt idx="135">
                  <c:v>1117546</c:v>
                </c:pt>
                <c:pt idx="136">
                  <c:v>1126004</c:v>
                </c:pt>
                <c:pt idx="137">
                  <c:v>1133696</c:v>
                </c:pt>
                <c:pt idx="138">
                  <c:v>1135276</c:v>
                </c:pt>
                <c:pt idx="139">
                  <c:v>1143912</c:v>
                </c:pt>
                <c:pt idx="140">
                  <c:v>1153227</c:v>
                </c:pt>
                <c:pt idx="141">
                  <c:v>1155060</c:v>
                </c:pt>
                <c:pt idx="142">
                  <c:v>1163533</c:v>
                </c:pt>
                <c:pt idx="143">
                  <c:v>1175250</c:v>
                </c:pt>
                <c:pt idx="144">
                  <c:v>1185495</c:v>
                </c:pt>
                <c:pt idx="145">
                  <c:v>1192702</c:v>
                </c:pt>
                <c:pt idx="146">
                  <c:v>1202521</c:v>
                </c:pt>
                <c:pt idx="147">
                  <c:v>1211825</c:v>
                </c:pt>
                <c:pt idx="148">
                  <c:v>1224724</c:v>
                </c:pt>
                <c:pt idx="149">
                  <c:v>1234273</c:v>
                </c:pt>
                <c:pt idx="150">
                  <c:v>1238465</c:v>
                </c:pt>
                <c:pt idx="151">
                  <c:v>1249061</c:v>
                </c:pt>
                <c:pt idx="152">
                  <c:v>1257451</c:v>
                </c:pt>
                <c:pt idx="153">
                  <c:v>1267887</c:v>
                </c:pt>
                <c:pt idx="154">
                  <c:v>1272533</c:v>
                </c:pt>
                <c:pt idx="155">
                  <c:v>1278016</c:v>
                </c:pt>
                <c:pt idx="156">
                  <c:v>1286932</c:v>
                </c:pt>
                <c:pt idx="157">
                  <c:v>1296366</c:v>
                </c:pt>
                <c:pt idx="158">
                  <c:v>1295867</c:v>
                </c:pt>
                <c:pt idx="159">
                  <c:v>1320018</c:v>
                </c:pt>
                <c:pt idx="160">
                  <c:v>1326958</c:v>
                </c:pt>
                <c:pt idx="161">
                  <c:v>1336784</c:v>
                </c:pt>
                <c:pt idx="162">
                  <c:v>1344785</c:v>
                </c:pt>
                <c:pt idx="163">
                  <c:v>1344092</c:v>
                </c:pt>
                <c:pt idx="164">
                  <c:v>1351496</c:v>
                </c:pt>
                <c:pt idx="165">
                  <c:v>1357991</c:v>
                </c:pt>
                <c:pt idx="166">
                  <c:v>1360329</c:v>
                </c:pt>
                <c:pt idx="167">
                  <c:v>1367790</c:v>
                </c:pt>
                <c:pt idx="168">
                  <c:v>1378912</c:v>
                </c:pt>
                <c:pt idx="169">
                  <c:v>1385720</c:v>
                </c:pt>
                <c:pt idx="170">
                  <c:v>1382199</c:v>
                </c:pt>
                <c:pt idx="171">
                  <c:v>1420195</c:v>
                </c:pt>
                <c:pt idx="172">
                  <c:v>1419836</c:v>
                </c:pt>
                <c:pt idx="173">
                  <c:v>1423886</c:v>
                </c:pt>
                <c:pt idx="174">
                  <c:v>1434956</c:v>
                </c:pt>
                <c:pt idx="175">
                  <c:v>1438312</c:v>
                </c:pt>
                <c:pt idx="176">
                  <c:v>1452684</c:v>
                </c:pt>
                <c:pt idx="177">
                  <c:v>1456747</c:v>
                </c:pt>
                <c:pt idx="178">
                  <c:v>1464511</c:v>
                </c:pt>
                <c:pt idx="179">
                  <c:v>1474652</c:v>
                </c:pt>
                <c:pt idx="180">
                  <c:v>1482371</c:v>
                </c:pt>
                <c:pt idx="181">
                  <c:v>1483236</c:v>
                </c:pt>
                <c:pt idx="182">
                  <c:v>1502223</c:v>
                </c:pt>
                <c:pt idx="183">
                  <c:v>1527343</c:v>
                </c:pt>
                <c:pt idx="184">
                  <c:v>1531714</c:v>
                </c:pt>
                <c:pt idx="185">
                  <c:v>1553080</c:v>
                </c:pt>
                <c:pt idx="186">
                  <c:v>1558365</c:v>
                </c:pt>
                <c:pt idx="187">
                  <c:v>1561852</c:v>
                </c:pt>
                <c:pt idx="188">
                  <c:v>1578954</c:v>
                </c:pt>
                <c:pt idx="189">
                  <c:v>1594196</c:v>
                </c:pt>
                <c:pt idx="190">
                  <c:v>1599827</c:v>
                </c:pt>
                <c:pt idx="191">
                  <c:v>1619337</c:v>
                </c:pt>
                <c:pt idx="192">
                  <c:v>1631229</c:v>
                </c:pt>
                <c:pt idx="193">
                  <c:v>1638888</c:v>
                </c:pt>
                <c:pt idx="194">
                  <c:v>1648744</c:v>
                </c:pt>
                <c:pt idx="195">
                  <c:v>1681158</c:v>
                </c:pt>
                <c:pt idx="196">
                  <c:v>1681943</c:v>
                </c:pt>
                <c:pt idx="197">
                  <c:v>1696440</c:v>
                </c:pt>
                <c:pt idx="198">
                  <c:v>1706985</c:v>
                </c:pt>
                <c:pt idx="199">
                  <c:v>1715243</c:v>
                </c:pt>
                <c:pt idx="200">
                  <c:v>1721466</c:v>
                </c:pt>
                <c:pt idx="201">
                  <c:v>1726542</c:v>
                </c:pt>
                <c:pt idx="202">
                  <c:v>1737039</c:v>
                </c:pt>
                <c:pt idx="203">
                  <c:v>1747687</c:v>
                </c:pt>
                <c:pt idx="204">
                  <c:v>1756805</c:v>
                </c:pt>
                <c:pt idx="205">
                  <c:v>1758355</c:v>
                </c:pt>
                <c:pt idx="206">
                  <c:v>1770841</c:v>
                </c:pt>
                <c:pt idx="207">
                  <c:v>1776068</c:v>
                </c:pt>
                <c:pt idx="208">
                  <c:v>1779453</c:v>
                </c:pt>
                <c:pt idx="209">
                  <c:v>1791102</c:v>
                </c:pt>
                <c:pt idx="210">
                  <c:v>1793302</c:v>
                </c:pt>
                <c:pt idx="211">
                  <c:v>1807885</c:v>
                </c:pt>
                <c:pt idx="212">
                  <c:v>1827303</c:v>
                </c:pt>
                <c:pt idx="213">
                  <c:v>1828364</c:v>
                </c:pt>
                <c:pt idx="214">
                  <c:v>1835761</c:v>
                </c:pt>
                <c:pt idx="215">
                  <c:v>1858311</c:v>
                </c:pt>
                <c:pt idx="216">
                  <c:v>1876061</c:v>
                </c:pt>
                <c:pt idx="217">
                  <c:v>1885234</c:v>
                </c:pt>
                <c:pt idx="218">
                  <c:v>1890400</c:v>
                </c:pt>
                <c:pt idx="219">
                  <c:v>1919322</c:v>
                </c:pt>
                <c:pt idx="220">
                  <c:v>1966661</c:v>
                </c:pt>
                <c:pt idx="221">
                  <c:v>1982029</c:v>
                </c:pt>
                <c:pt idx="222">
                  <c:v>1994180</c:v>
                </c:pt>
                <c:pt idx="223">
                  <c:v>2005984</c:v>
                </c:pt>
                <c:pt idx="224">
                  <c:v>2025061</c:v>
                </c:pt>
                <c:pt idx="225">
                  <c:v>2039862</c:v>
                </c:pt>
                <c:pt idx="226">
                  <c:v>2044153</c:v>
                </c:pt>
                <c:pt idx="227">
                  <c:v>2043446</c:v>
                </c:pt>
                <c:pt idx="228">
                  <c:v>2073183</c:v>
                </c:pt>
                <c:pt idx="229">
                  <c:v>2074989</c:v>
                </c:pt>
                <c:pt idx="230">
                  <c:v>2069481</c:v>
                </c:pt>
                <c:pt idx="231">
                  <c:v>2106126</c:v>
                </c:pt>
                <c:pt idx="232">
                  <c:v>2085714</c:v>
                </c:pt>
                <c:pt idx="233">
                  <c:v>2073726</c:v>
                </c:pt>
                <c:pt idx="234">
                  <c:v>2067494</c:v>
                </c:pt>
                <c:pt idx="235">
                  <c:v>2051925</c:v>
                </c:pt>
                <c:pt idx="236">
                  <c:v>1991046</c:v>
                </c:pt>
                <c:pt idx="237">
                  <c:v>2012373</c:v>
                </c:pt>
                <c:pt idx="238">
                  <c:v>2007940</c:v>
                </c:pt>
                <c:pt idx="239">
                  <c:v>1995365</c:v>
                </c:pt>
                <c:pt idx="240">
                  <c:v>1979602</c:v>
                </c:pt>
                <c:pt idx="241">
                  <c:v>1967083</c:v>
                </c:pt>
                <c:pt idx="242">
                  <c:v>1948229</c:v>
                </c:pt>
                <c:pt idx="243">
                  <c:v>1853859</c:v>
                </c:pt>
                <c:pt idx="244">
                  <c:v>1830765</c:v>
                </c:pt>
                <c:pt idx="245">
                  <c:v>1810511</c:v>
                </c:pt>
                <c:pt idx="246">
                  <c:v>1817078</c:v>
                </c:pt>
                <c:pt idx="247">
                  <c:v>1819138</c:v>
                </c:pt>
                <c:pt idx="248">
                  <c:v>1853225</c:v>
                </c:pt>
                <c:pt idx="249">
                  <c:v>1820605</c:v>
                </c:pt>
                <c:pt idx="250">
                  <c:v>1819389</c:v>
                </c:pt>
                <c:pt idx="251">
                  <c:v>1814262</c:v>
                </c:pt>
                <c:pt idx="252">
                  <c:v>1798694</c:v>
                </c:pt>
                <c:pt idx="253">
                  <c:v>1790209</c:v>
                </c:pt>
                <c:pt idx="254">
                  <c:v>1799347</c:v>
                </c:pt>
                <c:pt idx="255">
                  <c:v>1793081</c:v>
                </c:pt>
                <c:pt idx="256">
                  <c:v>1793996</c:v>
                </c:pt>
                <c:pt idx="257">
                  <c:v>1804406</c:v>
                </c:pt>
                <c:pt idx="258">
                  <c:v>1793548</c:v>
                </c:pt>
                <c:pt idx="259">
                  <c:v>1783172</c:v>
                </c:pt>
                <c:pt idx="260">
                  <c:v>1782106</c:v>
                </c:pt>
                <c:pt idx="261">
                  <c:v>1793388</c:v>
                </c:pt>
                <c:pt idx="262">
                  <c:v>1791578</c:v>
                </c:pt>
                <c:pt idx="263">
                  <c:v>1795521</c:v>
                </c:pt>
                <c:pt idx="264">
                  <c:v>1792806</c:v>
                </c:pt>
                <c:pt idx="265">
                  <c:v>1795338</c:v>
                </c:pt>
                <c:pt idx="266">
                  <c:v>1807405</c:v>
                </c:pt>
                <c:pt idx="267">
                  <c:v>1796336</c:v>
                </c:pt>
                <c:pt idx="268">
                  <c:v>1808375</c:v>
                </c:pt>
                <c:pt idx="269">
                  <c:v>1829714</c:v>
                </c:pt>
                <c:pt idx="270">
                  <c:v>1840578</c:v>
                </c:pt>
                <c:pt idx="271">
                  <c:v>1864064</c:v>
                </c:pt>
                <c:pt idx="272">
                  <c:v>1879783</c:v>
                </c:pt>
                <c:pt idx="273">
                  <c:v>1880854</c:v>
                </c:pt>
                <c:pt idx="274">
                  <c:v>1897194</c:v>
                </c:pt>
                <c:pt idx="275">
                  <c:v>1926213</c:v>
                </c:pt>
                <c:pt idx="276">
                  <c:v>1943261</c:v>
                </c:pt>
                <c:pt idx="277">
                  <c:v>1952123</c:v>
                </c:pt>
                <c:pt idx="278">
                  <c:v>1968457</c:v>
                </c:pt>
                <c:pt idx="279">
                  <c:v>2025980</c:v>
                </c:pt>
                <c:pt idx="280">
                  <c:v>2063261</c:v>
                </c:pt>
                <c:pt idx="281">
                  <c:v>2083687</c:v>
                </c:pt>
                <c:pt idx="282">
                  <c:v>2091364</c:v>
                </c:pt>
                <c:pt idx="283">
                  <c:v>2109073</c:v>
                </c:pt>
                <c:pt idx="284">
                  <c:v>2153350</c:v>
                </c:pt>
                <c:pt idx="285">
                  <c:v>2165942</c:v>
                </c:pt>
                <c:pt idx="286">
                  <c:v>2170235</c:v>
                </c:pt>
                <c:pt idx="287">
                  <c:v>2196369</c:v>
                </c:pt>
                <c:pt idx="288">
                  <c:v>2224162</c:v>
                </c:pt>
                <c:pt idx="289">
                  <c:v>2236144</c:v>
                </c:pt>
                <c:pt idx="290">
                  <c:v>2251948</c:v>
                </c:pt>
                <c:pt idx="291">
                  <c:v>2289424</c:v>
                </c:pt>
                <c:pt idx="292">
                  <c:v>2329350</c:v>
                </c:pt>
                <c:pt idx="293">
                  <c:v>2358897</c:v>
                </c:pt>
                <c:pt idx="294">
                  <c:v>2376566</c:v>
                </c:pt>
                <c:pt idx="295">
                  <c:v>2375006</c:v>
                </c:pt>
                <c:pt idx="296">
                  <c:v>2406676</c:v>
                </c:pt>
                <c:pt idx="297">
                  <c:v>2424881</c:v>
                </c:pt>
                <c:pt idx="298">
                  <c:v>2431907</c:v>
                </c:pt>
                <c:pt idx="299">
                  <c:v>2449993</c:v>
                </c:pt>
                <c:pt idx="300">
                  <c:v>2480592</c:v>
                </c:pt>
                <c:pt idx="301">
                  <c:v>2488051</c:v>
                </c:pt>
                <c:pt idx="302">
                  <c:v>2489978</c:v>
                </c:pt>
                <c:pt idx="303">
                  <c:v>2558529</c:v>
                </c:pt>
                <c:pt idx="304">
                  <c:v>2530111</c:v>
                </c:pt>
                <c:pt idx="305">
                  <c:v>2542273</c:v>
                </c:pt>
                <c:pt idx="306">
                  <c:v>2552951</c:v>
                </c:pt>
                <c:pt idx="307">
                  <c:v>2565618</c:v>
                </c:pt>
                <c:pt idx="308">
                  <c:v>2567674</c:v>
                </c:pt>
                <c:pt idx="309">
                  <c:v>2578156</c:v>
                </c:pt>
                <c:pt idx="310">
                  <c:v>2583345</c:v>
                </c:pt>
                <c:pt idx="311">
                  <c:v>2600358</c:v>
                </c:pt>
                <c:pt idx="312">
                  <c:v>2594966</c:v>
                </c:pt>
                <c:pt idx="313">
                  <c:v>2580377</c:v>
                </c:pt>
                <c:pt idx="314">
                  <c:v>2592703</c:v>
                </c:pt>
                <c:pt idx="315">
                  <c:v>2612813</c:v>
                </c:pt>
                <c:pt idx="316">
                  <c:v>2572846</c:v>
                </c:pt>
                <c:pt idx="317">
                  <c:v>2556241</c:v>
                </c:pt>
                <c:pt idx="318">
                  <c:v>2546296</c:v>
                </c:pt>
                <c:pt idx="319">
                  <c:v>2536767</c:v>
                </c:pt>
                <c:pt idx="320">
                  <c:v>2523641</c:v>
                </c:pt>
                <c:pt idx="321">
                  <c:v>2510293</c:v>
                </c:pt>
                <c:pt idx="322">
                  <c:v>2504007</c:v>
                </c:pt>
                <c:pt idx="323">
                  <c:v>2464811</c:v>
                </c:pt>
                <c:pt idx="324">
                  <c:v>2435684</c:v>
                </c:pt>
                <c:pt idx="325">
                  <c:v>2417273</c:v>
                </c:pt>
                <c:pt idx="326">
                  <c:v>2367383</c:v>
                </c:pt>
                <c:pt idx="327">
                  <c:v>2229838</c:v>
                </c:pt>
                <c:pt idx="328">
                  <c:v>2222783</c:v>
                </c:pt>
                <c:pt idx="329">
                  <c:v>2178211</c:v>
                </c:pt>
                <c:pt idx="330">
                  <c:v>2169198</c:v>
                </c:pt>
                <c:pt idx="331">
                  <c:v>2157711</c:v>
                </c:pt>
                <c:pt idx="332">
                  <c:v>2104363</c:v>
                </c:pt>
                <c:pt idx="333">
                  <c:v>2074829</c:v>
                </c:pt>
                <c:pt idx="334">
                  <c:v>2063623</c:v>
                </c:pt>
                <c:pt idx="335">
                  <c:v>2044756</c:v>
                </c:pt>
                <c:pt idx="336">
                  <c:v>2023905</c:v>
                </c:pt>
                <c:pt idx="337">
                  <c:v>2044113</c:v>
                </c:pt>
                <c:pt idx="338">
                  <c:v>2068545</c:v>
                </c:pt>
                <c:pt idx="339">
                  <c:v>2047599</c:v>
                </c:pt>
                <c:pt idx="340">
                  <c:v>2077176</c:v>
                </c:pt>
                <c:pt idx="341">
                  <c:v>2112884</c:v>
                </c:pt>
                <c:pt idx="342">
                  <c:v>2116949</c:v>
                </c:pt>
                <c:pt idx="343">
                  <c:v>2135418</c:v>
                </c:pt>
                <c:pt idx="344">
                  <c:v>2161745</c:v>
                </c:pt>
                <c:pt idx="345">
                  <c:v>2172403</c:v>
                </c:pt>
                <c:pt idx="346">
                  <c:v>2187810</c:v>
                </c:pt>
                <c:pt idx="347">
                  <c:v>2205766</c:v>
                </c:pt>
                <c:pt idx="348">
                  <c:v>2227077</c:v>
                </c:pt>
                <c:pt idx="349">
                  <c:v>2230213</c:v>
                </c:pt>
                <c:pt idx="350">
                  <c:v>2227749</c:v>
                </c:pt>
                <c:pt idx="351">
                  <c:v>2272032</c:v>
                </c:pt>
                <c:pt idx="352">
                  <c:v>2300174</c:v>
                </c:pt>
                <c:pt idx="353">
                  <c:v>2298784</c:v>
                </c:pt>
                <c:pt idx="354">
                  <c:v>2302301</c:v>
                </c:pt>
                <c:pt idx="355">
                  <c:v>2307549</c:v>
                </c:pt>
                <c:pt idx="356">
                  <c:v>2302495</c:v>
                </c:pt>
                <c:pt idx="357">
                  <c:v>2319616</c:v>
                </c:pt>
                <c:pt idx="358">
                  <c:v>2323048</c:v>
                </c:pt>
                <c:pt idx="359">
                  <c:v>2326136</c:v>
                </c:pt>
                <c:pt idx="360">
                  <c:v>2333905</c:v>
                </c:pt>
                <c:pt idx="361">
                  <c:v>2326662</c:v>
                </c:pt>
                <c:pt idx="362">
                  <c:v>2346983</c:v>
                </c:pt>
                <c:pt idx="363">
                  <c:v>2376247</c:v>
                </c:pt>
                <c:pt idx="364">
                  <c:v>2382024</c:v>
                </c:pt>
                <c:pt idx="365">
                  <c:v>2392543</c:v>
                </c:pt>
                <c:pt idx="366">
                  <c:v>2418065</c:v>
                </c:pt>
                <c:pt idx="367">
                  <c:v>2427679</c:v>
                </c:pt>
                <c:pt idx="368">
                  <c:v>2449092</c:v>
                </c:pt>
                <c:pt idx="369">
                  <c:v>2470336</c:v>
                </c:pt>
                <c:pt idx="370">
                  <c:v>2479664</c:v>
                </c:pt>
                <c:pt idx="371">
                  <c:v>2509209</c:v>
                </c:pt>
                <c:pt idx="372">
                  <c:v>2547115</c:v>
                </c:pt>
                <c:pt idx="373">
                  <c:v>2566517</c:v>
                </c:pt>
                <c:pt idx="374">
                  <c:v>2581320</c:v>
                </c:pt>
                <c:pt idx="375">
                  <c:v>2669236</c:v>
                </c:pt>
                <c:pt idx="376">
                  <c:v>2685705</c:v>
                </c:pt>
                <c:pt idx="377">
                  <c:v>2712155</c:v>
                </c:pt>
                <c:pt idx="378">
                  <c:v>2727600</c:v>
                </c:pt>
                <c:pt idx="379">
                  <c:v>2734110</c:v>
                </c:pt>
                <c:pt idx="380">
                  <c:v>2774013</c:v>
                </c:pt>
                <c:pt idx="381">
                  <c:v>2788624</c:v>
                </c:pt>
                <c:pt idx="382">
                  <c:v>2809347</c:v>
                </c:pt>
                <c:pt idx="383">
                  <c:v>2824880</c:v>
                </c:pt>
                <c:pt idx="384">
                  <c:v>2848652</c:v>
                </c:pt>
                <c:pt idx="385">
                  <c:v>2870186</c:v>
                </c:pt>
                <c:pt idx="386">
                  <c:v>2900014</c:v>
                </c:pt>
                <c:pt idx="387">
                  <c:v>2907528</c:v>
                </c:pt>
                <c:pt idx="388">
                  <c:v>2910235</c:v>
                </c:pt>
                <c:pt idx="389">
                  <c:v>2947254</c:v>
                </c:pt>
                <c:pt idx="390">
                  <c:v>2961717</c:v>
                </c:pt>
                <c:pt idx="391">
                  <c:v>2970595</c:v>
                </c:pt>
                <c:pt idx="392">
                  <c:v>3020371</c:v>
                </c:pt>
                <c:pt idx="393">
                  <c:v>3034163</c:v>
                </c:pt>
                <c:pt idx="394">
                  <c:v>3043146</c:v>
                </c:pt>
                <c:pt idx="395">
                  <c:v>3093432</c:v>
                </c:pt>
                <c:pt idx="396">
                  <c:v>3104177</c:v>
                </c:pt>
                <c:pt idx="397">
                  <c:v>3099216</c:v>
                </c:pt>
                <c:pt idx="398">
                  <c:v>3117557</c:v>
                </c:pt>
                <c:pt idx="399">
                  <c:v>3175121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'MTS Quick Link'!$F$17:$F$416</c:f>
              <c:numCache>
                <c:formatCode>#,##0</c:formatCode>
                <c:ptCount val="400"/>
                <c:pt idx="0">
                  <c:v>680407</c:v>
                </c:pt>
                <c:pt idx="1">
                  <c:v>684480</c:v>
                </c:pt>
                <c:pt idx="2">
                  <c:v>694088</c:v>
                </c:pt>
                <c:pt idx="3">
                  <c:v>703162</c:v>
                </c:pt>
                <c:pt idx="4">
                  <c:v>704431</c:v>
                </c:pt>
                <c:pt idx="5">
                  <c:v>708994</c:v>
                </c:pt>
                <c:pt idx="6">
                  <c:v>715328</c:v>
                </c:pt>
                <c:pt idx="7">
                  <c:v>722168</c:v>
                </c:pt>
                <c:pt idx="8">
                  <c:v>729627</c:v>
                </c:pt>
                <c:pt idx="9">
                  <c:v>732762</c:v>
                </c:pt>
                <c:pt idx="10">
                  <c:v>743969</c:v>
                </c:pt>
                <c:pt idx="11">
                  <c:v>739530</c:v>
                </c:pt>
                <c:pt idx="12">
                  <c:v>760687</c:v>
                </c:pt>
                <c:pt idx="13">
                  <c:v>767017</c:v>
                </c:pt>
                <c:pt idx="14">
                  <c:v>773011</c:v>
                </c:pt>
                <c:pt idx="15">
                  <c:v>776480</c:v>
                </c:pt>
                <c:pt idx="16">
                  <c:v>783837</c:v>
                </c:pt>
                <c:pt idx="17">
                  <c:v>787324</c:v>
                </c:pt>
                <c:pt idx="18">
                  <c:v>788178</c:v>
                </c:pt>
                <c:pt idx="19">
                  <c:v>795710</c:v>
                </c:pt>
                <c:pt idx="20">
                  <c:v>795917</c:v>
                </c:pt>
                <c:pt idx="21">
                  <c:v>799435</c:v>
                </c:pt>
                <c:pt idx="22">
                  <c:v>801063</c:v>
                </c:pt>
                <c:pt idx="23">
                  <c:v>803332</c:v>
                </c:pt>
                <c:pt idx="24">
                  <c:v>804297</c:v>
                </c:pt>
                <c:pt idx="25">
                  <c:v>808412</c:v>
                </c:pt>
                <c:pt idx="26">
                  <c:v>811892</c:v>
                </c:pt>
                <c:pt idx="27">
                  <c:v>811037</c:v>
                </c:pt>
                <c:pt idx="28">
                  <c:v>819388</c:v>
                </c:pt>
                <c:pt idx="29">
                  <c:v>827555</c:v>
                </c:pt>
                <c:pt idx="30">
                  <c:v>830627</c:v>
                </c:pt>
                <c:pt idx="31">
                  <c:v>852174</c:v>
                </c:pt>
                <c:pt idx="32">
                  <c:v>841798</c:v>
                </c:pt>
                <c:pt idx="33">
                  <c:v>851832</c:v>
                </c:pt>
                <c:pt idx="34">
                  <c:v>864428</c:v>
                </c:pt>
                <c:pt idx="35">
                  <c:v>866694</c:v>
                </c:pt>
                <c:pt idx="36">
                  <c:v>877088</c:v>
                </c:pt>
                <c:pt idx="37">
                  <c:v>883922</c:v>
                </c:pt>
                <c:pt idx="38">
                  <c:v>890017</c:v>
                </c:pt>
                <c:pt idx="39">
                  <c:v>904544</c:v>
                </c:pt>
                <c:pt idx="40">
                  <c:v>914944</c:v>
                </c:pt>
                <c:pt idx="41">
                  <c:v>917220</c:v>
                </c:pt>
                <c:pt idx="42">
                  <c:v>927971</c:v>
                </c:pt>
                <c:pt idx="43">
                  <c:v>922642</c:v>
                </c:pt>
                <c:pt idx="44">
                  <c:v>945983</c:v>
                </c:pt>
                <c:pt idx="45">
                  <c:v>950696</c:v>
                </c:pt>
                <c:pt idx="46">
                  <c:v>954857</c:v>
                </c:pt>
                <c:pt idx="47">
                  <c:v>960739</c:v>
                </c:pt>
                <c:pt idx="48">
                  <c:v>965482</c:v>
                </c:pt>
                <c:pt idx="49">
                  <c:v>968331</c:v>
                </c:pt>
                <c:pt idx="50">
                  <c:v>968916</c:v>
                </c:pt>
                <c:pt idx="51">
                  <c:v>967212</c:v>
                </c:pt>
                <c:pt idx="52">
                  <c:v>971063</c:v>
                </c:pt>
                <c:pt idx="53">
                  <c:v>975571</c:v>
                </c:pt>
                <c:pt idx="54">
                  <c:v>981666</c:v>
                </c:pt>
                <c:pt idx="55">
                  <c:v>982867</c:v>
                </c:pt>
                <c:pt idx="56">
                  <c:v>990231</c:v>
                </c:pt>
                <c:pt idx="57">
                  <c:v>989560</c:v>
                </c:pt>
                <c:pt idx="58">
                  <c:v>985063</c:v>
                </c:pt>
                <c:pt idx="59">
                  <c:v>992614</c:v>
                </c:pt>
                <c:pt idx="60">
                  <c:v>993353</c:v>
                </c:pt>
                <c:pt idx="61">
                  <c:v>999245</c:v>
                </c:pt>
                <c:pt idx="62">
                  <c:v>1003991</c:v>
                </c:pt>
                <c:pt idx="63">
                  <c:v>1006636</c:v>
                </c:pt>
                <c:pt idx="64">
                  <c:v>1004322</c:v>
                </c:pt>
                <c:pt idx="65">
                  <c:v>1009823</c:v>
                </c:pt>
                <c:pt idx="66">
                  <c:v>1011107</c:v>
                </c:pt>
                <c:pt idx="67">
                  <c:v>1008537</c:v>
                </c:pt>
                <c:pt idx="68">
                  <c:v>1003804</c:v>
                </c:pt>
                <c:pt idx="69">
                  <c:v>1012607</c:v>
                </c:pt>
                <c:pt idx="70">
                  <c:v>1016490</c:v>
                </c:pt>
                <c:pt idx="71">
                  <c:v>1035919</c:v>
                </c:pt>
                <c:pt idx="72">
                  <c:v>1017835</c:v>
                </c:pt>
                <c:pt idx="73">
                  <c:v>1018337</c:v>
                </c:pt>
                <c:pt idx="74">
                  <c:v>1028838</c:v>
                </c:pt>
                <c:pt idx="75">
                  <c:v>1040180</c:v>
                </c:pt>
                <c:pt idx="76">
                  <c:v>1039070</c:v>
                </c:pt>
                <c:pt idx="77">
                  <c:v>1045508</c:v>
                </c:pt>
                <c:pt idx="78">
                  <c:v>1042495</c:v>
                </c:pt>
                <c:pt idx="79">
                  <c:v>1052954</c:v>
                </c:pt>
                <c:pt idx="80">
                  <c:v>1063317</c:v>
                </c:pt>
                <c:pt idx="81">
                  <c:v>1060799</c:v>
                </c:pt>
                <c:pt idx="82">
                  <c:v>1070332</c:v>
                </c:pt>
                <c:pt idx="83">
                  <c:v>1066945</c:v>
                </c:pt>
                <c:pt idx="84">
                  <c:v>1087610</c:v>
                </c:pt>
                <c:pt idx="85">
                  <c:v>1093035</c:v>
                </c:pt>
                <c:pt idx="86">
                  <c:v>1102076</c:v>
                </c:pt>
                <c:pt idx="87">
                  <c:v>1094816</c:v>
                </c:pt>
                <c:pt idx="88">
                  <c:v>1109056</c:v>
                </c:pt>
                <c:pt idx="89">
                  <c:v>1119514</c:v>
                </c:pt>
                <c:pt idx="90">
                  <c:v>1120393</c:v>
                </c:pt>
                <c:pt idx="91">
                  <c:v>1126211</c:v>
                </c:pt>
                <c:pt idx="92">
                  <c:v>1144020</c:v>
                </c:pt>
                <c:pt idx="93">
                  <c:v>1147936</c:v>
                </c:pt>
                <c:pt idx="94">
                  <c:v>1155372</c:v>
                </c:pt>
                <c:pt idx="95">
                  <c:v>1152819</c:v>
                </c:pt>
                <c:pt idx="96">
                  <c:v>1157552</c:v>
                </c:pt>
                <c:pt idx="97">
                  <c:v>1168131</c:v>
                </c:pt>
                <c:pt idx="98">
                  <c:v>1182271</c:v>
                </c:pt>
                <c:pt idx="99">
                  <c:v>1191809</c:v>
                </c:pt>
                <c:pt idx="100">
                  <c:v>1207019</c:v>
                </c:pt>
                <c:pt idx="101">
                  <c:v>1228261</c:v>
                </c:pt>
                <c:pt idx="102">
                  <c:v>1242086</c:v>
                </c:pt>
                <c:pt idx="103">
                  <c:v>1274981</c:v>
                </c:pt>
                <c:pt idx="104">
                  <c:v>1251774</c:v>
                </c:pt>
                <c:pt idx="105">
                  <c:v>1265621</c:v>
                </c:pt>
                <c:pt idx="106">
                  <c:v>1282945</c:v>
                </c:pt>
                <c:pt idx="107">
                  <c:v>1288339</c:v>
                </c:pt>
                <c:pt idx="108">
                  <c:v>1296159</c:v>
                </c:pt>
                <c:pt idx="109">
                  <c:v>1289659</c:v>
                </c:pt>
                <c:pt idx="110">
                  <c:v>1277509</c:v>
                </c:pt>
                <c:pt idx="111">
                  <c:v>1290105</c:v>
                </c:pt>
                <c:pt idx="112">
                  <c:v>1295363</c:v>
                </c:pt>
                <c:pt idx="113">
                  <c:v>1279625</c:v>
                </c:pt>
                <c:pt idx="114">
                  <c:v>1300796</c:v>
                </c:pt>
                <c:pt idx="115">
                  <c:v>1289690</c:v>
                </c:pt>
                <c:pt idx="116">
                  <c:v>1323756</c:v>
                </c:pt>
                <c:pt idx="117">
                  <c:v>1330065</c:v>
                </c:pt>
                <c:pt idx="118">
                  <c:v>1329614</c:v>
                </c:pt>
                <c:pt idx="119">
                  <c:v>1326497</c:v>
                </c:pt>
                <c:pt idx="120">
                  <c:v>1347134</c:v>
                </c:pt>
                <c:pt idx="121">
                  <c:v>1365213</c:v>
                </c:pt>
                <c:pt idx="122">
                  <c:v>1382074</c:v>
                </c:pt>
                <c:pt idx="123">
                  <c:v>1395451</c:v>
                </c:pt>
                <c:pt idx="124">
                  <c:v>1387482</c:v>
                </c:pt>
                <c:pt idx="125">
                  <c:v>1398610</c:v>
                </c:pt>
                <c:pt idx="126">
                  <c:v>1401383</c:v>
                </c:pt>
                <c:pt idx="127">
                  <c:v>1384151</c:v>
                </c:pt>
                <c:pt idx="128">
                  <c:v>1380793</c:v>
                </c:pt>
                <c:pt idx="129">
                  <c:v>1391754</c:v>
                </c:pt>
                <c:pt idx="130">
                  <c:v>1381330</c:v>
                </c:pt>
                <c:pt idx="131">
                  <c:v>1427793</c:v>
                </c:pt>
                <c:pt idx="132">
                  <c:v>1390993</c:v>
                </c:pt>
                <c:pt idx="133">
                  <c:v>1393543</c:v>
                </c:pt>
                <c:pt idx="134">
                  <c:v>1397967</c:v>
                </c:pt>
                <c:pt idx="135">
                  <c:v>1398419</c:v>
                </c:pt>
                <c:pt idx="136">
                  <c:v>1397067</c:v>
                </c:pt>
                <c:pt idx="137">
                  <c:v>1397442</c:v>
                </c:pt>
                <c:pt idx="138">
                  <c:v>1395452</c:v>
                </c:pt>
                <c:pt idx="139">
                  <c:v>1402424</c:v>
                </c:pt>
                <c:pt idx="140">
                  <c:v>1408532</c:v>
                </c:pt>
                <c:pt idx="141">
                  <c:v>1406997</c:v>
                </c:pt>
                <c:pt idx="142">
                  <c:v>1421125</c:v>
                </c:pt>
                <c:pt idx="143">
                  <c:v>1401600</c:v>
                </c:pt>
                <c:pt idx="144">
                  <c:v>1426414</c:v>
                </c:pt>
                <c:pt idx="145">
                  <c:v>1426689</c:v>
                </c:pt>
                <c:pt idx="146">
                  <c:v>1424848</c:v>
                </c:pt>
                <c:pt idx="147">
                  <c:v>1424515</c:v>
                </c:pt>
                <c:pt idx="148">
                  <c:v>1432507</c:v>
                </c:pt>
                <c:pt idx="149">
                  <c:v>1438305</c:v>
                </c:pt>
                <c:pt idx="150">
                  <c:v>1436118</c:v>
                </c:pt>
                <c:pt idx="151">
                  <c:v>1447911</c:v>
                </c:pt>
                <c:pt idx="152">
                  <c:v>1460552</c:v>
                </c:pt>
                <c:pt idx="153">
                  <c:v>1456908</c:v>
                </c:pt>
                <c:pt idx="154">
                  <c:v>1460416</c:v>
                </c:pt>
                <c:pt idx="155">
                  <c:v>1462997</c:v>
                </c:pt>
                <c:pt idx="156">
                  <c:v>1471527</c:v>
                </c:pt>
                <c:pt idx="157">
                  <c:v>1477752</c:v>
                </c:pt>
                <c:pt idx="158">
                  <c:v>1495482</c:v>
                </c:pt>
                <c:pt idx="159">
                  <c:v>1487366</c:v>
                </c:pt>
                <c:pt idx="160">
                  <c:v>1501804</c:v>
                </c:pt>
                <c:pt idx="161">
                  <c:v>1513666</c:v>
                </c:pt>
                <c:pt idx="162">
                  <c:v>1502052</c:v>
                </c:pt>
                <c:pt idx="163">
                  <c:v>1510933</c:v>
                </c:pt>
                <c:pt idx="164">
                  <c:v>1515412</c:v>
                </c:pt>
                <c:pt idx="165">
                  <c:v>1513323</c:v>
                </c:pt>
                <c:pt idx="166">
                  <c:v>1516870</c:v>
                </c:pt>
                <c:pt idx="167">
                  <c:v>1514245</c:v>
                </c:pt>
                <c:pt idx="168">
                  <c:v>1521545</c:v>
                </c:pt>
                <c:pt idx="169">
                  <c:v>1534343</c:v>
                </c:pt>
                <c:pt idx="170">
                  <c:v>1527349</c:v>
                </c:pt>
                <c:pt idx="171">
                  <c:v>1542662</c:v>
                </c:pt>
                <c:pt idx="172">
                  <c:v>1555800</c:v>
                </c:pt>
                <c:pt idx="173">
                  <c:v>1538324</c:v>
                </c:pt>
                <c:pt idx="174">
                  <c:v>1562667</c:v>
                </c:pt>
                <c:pt idx="175">
                  <c:v>1574006</c:v>
                </c:pt>
                <c:pt idx="176">
                  <c:v>1560311</c:v>
                </c:pt>
                <c:pt idx="177">
                  <c:v>1581420</c:v>
                </c:pt>
                <c:pt idx="178">
                  <c:v>1588610</c:v>
                </c:pt>
                <c:pt idx="179">
                  <c:v>1585545</c:v>
                </c:pt>
                <c:pt idx="180">
                  <c:v>1599356</c:v>
                </c:pt>
                <c:pt idx="181">
                  <c:v>1599884</c:v>
                </c:pt>
                <c:pt idx="182">
                  <c:v>1593123</c:v>
                </c:pt>
                <c:pt idx="183">
                  <c:v>1596708</c:v>
                </c:pt>
                <c:pt idx="184">
                  <c:v>1596523</c:v>
                </c:pt>
                <c:pt idx="185">
                  <c:v>1597594</c:v>
                </c:pt>
                <c:pt idx="186">
                  <c:v>1601647</c:v>
                </c:pt>
                <c:pt idx="187">
                  <c:v>1598491</c:v>
                </c:pt>
                <c:pt idx="188">
                  <c:v>1600911</c:v>
                </c:pt>
                <c:pt idx="189">
                  <c:v>1612316</c:v>
                </c:pt>
                <c:pt idx="190">
                  <c:v>1597418</c:v>
                </c:pt>
                <c:pt idx="191">
                  <c:v>1621778</c:v>
                </c:pt>
                <c:pt idx="192">
                  <c:v>1621655</c:v>
                </c:pt>
                <c:pt idx="193">
                  <c:v>1627053</c:v>
                </c:pt>
                <c:pt idx="194">
                  <c:v>1629399</c:v>
                </c:pt>
                <c:pt idx="195">
                  <c:v>1631150</c:v>
                </c:pt>
                <c:pt idx="196">
                  <c:v>1622219</c:v>
                </c:pt>
                <c:pt idx="197">
                  <c:v>1640245</c:v>
                </c:pt>
                <c:pt idx="198">
                  <c:v>1649250</c:v>
                </c:pt>
                <c:pt idx="199">
                  <c:v>1633485</c:v>
                </c:pt>
                <c:pt idx="200">
                  <c:v>1652222</c:v>
                </c:pt>
                <c:pt idx="201">
                  <c:v>1653769</c:v>
                </c:pt>
                <c:pt idx="202">
                  <c:v>1663854</c:v>
                </c:pt>
                <c:pt idx="203">
                  <c:v>1693298</c:v>
                </c:pt>
                <c:pt idx="204">
                  <c:v>1657290</c:v>
                </c:pt>
                <c:pt idx="205">
                  <c:v>1659428</c:v>
                </c:pt>
                <c:pt idx="206">
                  <c:v>1680510</c:v>
                </c:pt>
                <c:pt idx="207">
                  <c:v>1696880</c:v>
                </c:pt>
                <c:pt idx="208">
                  <c:v>1685454</c:v>
                </c:pt>
                <c:pt idx="209">
                  <c:v>1694641</c:v>
                </c:pt>
                <c:pt idx="210">
                  <c:v>1697920</c:v>
                </c:pt>
                <c:pt idx="211">
                  <c:v>1704140</c:v>
                </c:pt>
                <c:pt idx="212">
                  <c:v>1702942</c:v>
                </c:pt>
                <c:pt idx="213">
                  <c:v>1697890</c:v>
                </c:pt>
                <c:pt idx="214">
                  <c:v>1715381</c:v>
                </c:pt>
                <c:pt idx="215">
                  <c:v>1699692</c:v>
                </c:pt>
                <c:pt idx="216">
                  <c:v>1725795</c:v>
                </c:pt>
                <c:pt idx="217">
                  <c:v>1734365</c:v>
                </c:pt>
                <c:pt idx="218">
                  <c:v>1752502</c:v>
                </c:pt>
                <c:pt idx="219">
                  <c:v>1735385</c:v>
                </c:pt>
                <c:pt idx="220">
                  <c:v>1762366</c:v>
                </c:pt>
                <c:pt idx="221">
                  <c:v>1775413</c:v>
                </c:pt>
                <c:pt idx="222">
                  <c:v>1757340</c:v>
                </c:pt>
                <c:pt idx="223">
                  <c:v>1776768</c:v>
                </c:pt>
                <c:pt idx="224">
                  <c:v>1788140</c:v>
                </c:pt>
                <c:pt idx="225">
                  <c:v>1787935</c:v>
                </c:pt>
                <c:pt idx="226">
                  <c:v>1788885</c:v>
                </c:pt>
                <c:pt idx="227">
                  <c:v>1788594</c:v>
                </c:pt>
                <c:pt idx="228">
                  <c:v>1804104</c:v>
                </c:pt>
                <c:pt idx="229">
                  <c:v>1812344</c:v>
                </c:pt>
                <c:pt idx="230">
                  <c:v>1822118</c:v>
                </c:pt>
                <c:pt idx="231">
                  <c:v>1828464</c:v>
                </c:pt>
                <c:pt idx="232">
                  <c:v>1832360</c:v>
                </c:pt>
                <c:pt idx="233">
                  <c:v>1844399</c:v>
                </c:pt>
                <c:pt idx="234">
                  <c:v>1840408</c:v>
                </c:pt>
                <c:pt idx="235">
                  <c:v>1894402</c:v>
                </c:pt>
                <c:pt idx="236">
                  <c:v>1863769</c:v>
                </c:pt>
                <c:pt idx="237">
                  <c:v>1881432</c:v>
                </c:pt>
                <c:pt idx="238">
                  <c:v>1907576</c:v>
                </c:pt>
                <c:pt idx="239">
                  <c:v>1901100</c:v>
                </c:pt>
                <c:pt idx="240">
                  <c:v>1917987</c:v>
                </c:pt>
                <c:pt idx="241">
                  <c:v>1933356</c:v>
                </c:pt>
                <c:pt idx="242">
                  <c:v>1928078</c:v>
                </c:pt>
                <c:pt idx="243">
                  <c:v>1956336</c:v>
                </c:pt>
                <c:pt idx="244">
                  <c:v>1985955</c:v>
                </c:pt>
                <c:pt idx="245">
                  <c:v>1968492</c:v>
                </c:pt>
                <c:pt idx="246">
                  <c:v>2007038</c:v>
                </c:pt>
                <c:pt idx="247">
                  <c:v>1983817</c:v>
                </c:pt>
                <c:pt idx="248">
                  <c:v>2011017</c:v>
                </c:pt>
                <c:pt idx="249">
                  <c:v>2024813</c:v>
                </c:pt>
                <c:pt idx="250">
                  <c:v>2028214</c:v>
                </c:pt>
                <c:pt idx="251">
                  <c:v>2044936</c:v>
                </c:pt>
                <c:pt idx="252">
                  <c:v>2062464</c:v>
                </c:pt>
                <c:pt idx="253">
                  <c:v>2074586</c:v>
                </c:pt>
                <c:pt idx="254">
                  <c:v>2078362</c:v>
                </c:pt>
                <c:pt idx="255">
                  <c:v>2088199</c:v>
                </c:pt>
                <c:pt idx="256">
                  <c:v>2097350</c:v>
                </c:pt>
                <c:pt idx="257">
                  <c:v>2115602</c:v>
                </c:pt>
                <c:pt idx="258">
                  <c:v>2129826</c:v>
                </c:pt>
                <c:pt idx="259">
                  <c:v>2141328</c:v>
                </c:pt>
                <c:pt idx="260">
                  <c:v>2159247</c:v>
                </c:pt>
                <c:pt idx="261">
                  <c:v>2186002</c:v>
                </c:pt>
                <c:pt idx="262">
                  <c:v>2168280</c:v>
                </c:pt>
                <c:pt idx="263">
                  <c:v>2194581</c:v>
                </c:pt>
                <c:pt idx="264">
                  <c:v>2204132</c:v>
                </c:pt>
                <c:pt idx="265">
                  <c:v>2206701</c:v>
                </c:pt>
                <c:pt idx="266">
                  <c:v>2232804</c:v>
                </c:pt>
                <c:pt idx="267">
                  <c:v>2255223</c:v>
                </c:pt>
                <c:pt idx="268">
                  <c:v>2240858</c:v>
                </c:pt>
                <c:pt idx="269">
                  <c:v>2264302</c:v>
                </c:pt>
                <c:pt idx="270">
                  <c:v>2290085</c:v>
                </c:pt>
                <c:pt idx="271">
                  <c:v>2278116</c:v>
                </c:pt>
                <c:pt idx="272">
                  <c:v>2292627</c:v>
                </c:pt>
                <c:pt idx="273">
                  <c:v>2280771</c:v>
                </c:pt>
                <c:pt idx="274">
                  <c:v>2311309</c:v>
                </c:pt>
                <c:pt idx="275">
                  <c:v>2325249</c:v>
                </c:pt>
                <c:pt idx="276">
                  <c:v>2332558</c:v>
                </c:pt>
                <c:pt idx="277">
                  <c:v>2358509</c:v>
                </c:pt>
                <c:pt idx="278">
                  <c:v>2373655</c:v>
                </c:pt>
                <c:pt idx="279">
                  <c:v>2390832</c:v>
                </c:pt>
                <c:pt idx="280">
                  <c:v>2401839</c:v>
                </c:pt>
                <c:pt idx="281">
                  <c:v>2418916</c:v>
                </c:pt>
                <c:pt idx="282">
                  <c:v>2410828</c:v>
                </c:pt>
                <c:pt idx="283">
                  <c:v>2438441</c:v>
                </c:pt>
                <c:pt idx="284">
                  <c:v>2472095</c:v>
                </c:pt>
                <c:pt idx="285">
                  <c:v>2475345</c:v>
                </c:pt>
                <c:pt idx="286">
                  <c:v>2505539</c:v>
                </c:pt>
                <c:pt idx="287">
                  <c:v>2518145</c:v>
                </c:pt>
                <c:pt idx="288">
                  <c:v>2533079</c:v>
                </c:pt>
                <c:pt idx="289">
                  <c:v>2550510</c:v>
                </c:pt>
                <c:pt idx="290">
                  <c:v>2579870</c:v>
                </c:pt>
                <c:pt idx="291">
                  <c:v>2556429</c:v>
                </c:pt>
                <c:pt idx="292">
                  <c:v>2603073</c:v>
                </c:pt>
                <c:pt idx="293">
                  <c:v>2634576</c:v>
                </c:pt>
                <c:pt idx="294">
                  <c:v>2632014</c:v>
                </c:pt>
                <c:pt idx="295">
                  <c:v>2644135</c:v>
                </c:pt>
                <c:pt idx="296">
                  <c:v>2654872</c:v>
                </c:pt>
                <c:pt idx="297">
                  <c:v>2675122</c:v>
                </c:pt>
                <c:pt idx="298">
                  <c:v>2672118</c:v>
                </c:pt>
                <c:pt idx="299">
                  <c:v>2659209</c:v>
                </c:pt>
                <c:pt idx="300">
                  <c:v>2672536</c:v>
                </c:pt>
                <c:pt idx="301">
                  <c:v>2680750</c:v>
                </c:pt>
                <c:pt idx="302">
                  <c:v>2693668</c:v>
                </c:pt>
                <c:pt idx="303">
                  <c:v>2703386</c:v>
                </c:pt>
                <c:pt idx="304">
                  <c:v>2699759</c:v>
                </c:pt>
                <c:pt idx="305">
                  <c:v>2704957</c:v>
                </c:pt>
                <c:pt idx="306">
                  <c:v>2718918</c:v>
                </c:pt>
                <c:pt idx="307">
                  <c:v>2783841</c:v>
                </c:pt>
                <c:pt idx="308">
                  <c:v>2729198</c:v>
                </c:pt>
                <c:pt idx="309">
                  <c:v>2747198</c:v>
                </c:pt>
                <c:pt idx="310">
                  <c:v>2777584</c:v>
                </c:pt>
                <c:pt idx="311">
                  <c:v>2788298</c:v>
                </c:pt>
                <c:pt idx="312">
                  <c:v>2803305</c:v>
                </c:pt>
                <c:pt idx="313">
                  <c:v>2844287</c:v>
                </c:pt>
                <c:pt idx="314">
                  <c:v>2808554</c:v>
                </c:pt>
                <c:pt idx="315">
                  <c:v>2847056</c:v>
                </c:pt>
                <c:pt idx="316">
                  <c:v>2905318</c:v>
                </c:pt>
                <c:pt idx="317">
                  <c:v>2882647</c:v>
                </c:pt>
                <c:pt idx="318">
                  <c:v>2939022</c:v>
                </c:pt>
                <c:pt idx="319">
                  <c:v>2924434</c:v>
                </c:pt>
                <c:pt idx="320">
                  <c:v>2978440</c:v>
                </c:pt>
                <c:pt idx="321">
                  <c:v>3063786</c:v>
                </c:pt>
                <c:pt idx="322">
                  <c:v>3084463</c:v>
                </c:pt>
                <c:pt idx="323">
                  <c:v>3145282</c:v>
                </c:pt>
                <c:pt idx="324">
                  <c:v>3197451</c:v>
                </c:pt>
                <c:pt idx="325">
                  <c:v>3197335</c:v>
                </c:pt>
                <c:pt idx="326">
                  <c:v>3290821</c:v>
                </c:pt>
                <c:pt idx="327">
                  <c:v>3333465</c:v>
                </c:pt>
                <c:pt idx="328">
                  <c:v>3350134</c:v>
                </c:pt>
                <c:pt idx="329">
                  <c:v>3433440</c:v>
                </c:pt>
                <c:pt idx="330">
                  <c:v>3502339</c:v>
                </c:pt>
                <c:pt idx="331">
                  <c:v>3482493</c:v>
                </c:pt>
                <c:pt idx="332">
                  <c:v>3520087</c:v>
                </c:pt>
                <c:pt idx="333">
                  <c:v>3511383</c:v>
                </c:pt>
                <c:pt idx="334">
                  <c:v>3495263</c:v>
                </c:pt>
                <c:pt idx="335">
                  <c:v>3516052</c:v>
                </c:pt>
                <c:pt idx="336">
                  <c:v>3474377</c:v>
                </c:pt>
                <c:pt idx="337">
                  <c:v>3521635</c:v>
                </c:pt>
                <c:pt idx="338">
                  <c:v>3419866</c:v>
                </c:pt>
                <c:pt idx="339">
                  <c:v>3460703</c:v>
                </c:pt>
                <c:pt idx="340">
                  <c:v>3436556</c:v>
                </c:pt>
                <c:pt idx="341">
                  <c:v>3446355</c:v>
                </c:pt>
                <c:pt idx="342">
                  <c:v>3434783</c:v>
                </c:pt>
                <c:pt idx="343">
                  <c:v>3440223</c:v>
                </c:pt>
                <c:pt idx="344">
                  <c:v>3455948</c:v>
                </c:pt>
                <c:pt idx="345">
                  <c:v>3430676</c:v>
                </c:pt>
                <c:pt idx="346">
                  <c:v>3476190</c:v>
                </c:pt>
                <c:pt idx="347">
                  <c:v>3480870</c:v>
                </c:pt>
                <c:pt idx="348">
                  <c:v>3509343</c:v>
                </c:pt>
                <c:pt idx="349">
                  <c:v>3514077</c:v>
                </c:pt>
                <c:pt idx="350">
                  <c:v>3634380</c:v>
                </c:pt>
                <c:pt idx="351">
                  <c:v>3636359</c:v>
                </c:pt>
                <c:pt idx="352">
                  <c:v>3586215</c:v>
                </c:pt>
                <c:pt idx="353">
                  <c:v>3559483</c:v>
                </c:pt>
                <c:pt idx="354">
                  <c:v>3527334</c:v>
                </c:pt>
                <c:pt idx="355">
                  <c:v>3576198</c:v>
                </c:pt>
                <c:pt idx="356">
                  <c:v>3599288</c:v>
                </c:pt>
                <c:pt idx="357">
                  <c:v>3574443</c:v>
                </c:pt>
                <c:pt idx="358">
                  <c:v>3564783</c:v>
                </c:pt>
                <c:pt idx="359">
                  <c:v>3575704</c:v>
                </c:pt>
                <c:pt idx="360">
                  <c:v>3561084</c:v>
                </c:pt>
                <c:pt idx="361">
                  <c:v>3563011</c:v>
                </c:pt>
                <c:pt idx="362">
                  <c:v>3593335</c:v>
                </c:pt>
                <c:pt idx="363">
                  <c:v>3523096</c:v>
                </c:pt>
                <c:pt idx="364">
                  <c:v>3595867</c:v>
                </c:pt>
                <c:pt idx="365">
                  <c:v>3623048</c:v>
                </c:pt>
                <c:pt idx="366">
                  <c:v>3588799</c:v>
                </c:pt>
                <c:pt idx="367">
                  <c:v>3654804</c:v>
                </c:pt>
                <c:pt idx="368">
                  <c:v>3538287</c:v>
                </c:pt>
                <c:pt idx="369">
                  <c:v>3581059</c:v>
                </c:pt>
                <c:pt idx="370">
                  <c:v>3625196</c:v>
                </c:pt>
                <c:pt idx="371">
                  <c:v>3569965</c:v>
                </c:pt>
                <c:pt idx="372">
                  <c:v>3577579</c:v>
                </c:pt>
                <c:pt idx="373">
                  <c:v>3568843</c:v>
                </c:pt>
                <c:pt idx="374">
                  <c:v>3492019</c:v>
                </c:pt>
                <c:pt idx="375">
                  <c:v>3526163</c:v>
                </c:pt>
                <c:pt idx="376">
                  <c:v>3556729</c:v>
                </c:pt>
                <c:pt idx="377">
                  <c:v>3406936</c:v>
                </c:pt>
                <c:pt idx="378">
                  <c:v>3450373</c:v>
                </c:pt>
                <c:pt idx="379">
                  <c:v>3414255</c:v>
                </c:pt>
                <c:pt idx="380">
                  <c:v>3454224</c:v>
                </c:pt>
                <c:pt idx="381">
                  <c:v>3439424</c:v>
                </c:pt>
                <c:pt idx="382">
                  <c:v>3423262</c:v>
                </c:pt>
                <c:pt idx="383">
                  <c:v>3384384</c:v>
                </c:pt>
                <c:pt idx="384">
                  <c:v>3421291</c:v>
                </c:pt>
                <c:pt idx="385">
                  <c:v>3432817</c:v>
                </c:pt>
                <c:pt idx="386">
                  <c:v>3393010</c:v>
                </c:pt>
                <c:pt idx="387">
                  <c:v>3406559</c:v>
                </c:pt>
                <c:pt idx="388">
                  <c:v>3400505</c:v>
                </c:pt>
                <c:pt idx="389">
                  <c:v>3483506</c:v>
                </c:pt>
                <c:pt idx="390">
                  <c:v>3494992</c:v>
                </c:pt>
                <c:pt idx="391">
                  <c:v>3484642</c:v>
                </c:pt>
                <c:pt idx="392">
                  <c:v>3503728</c:v>
                </c:pt>
                <c:pt idx="393">
                  <c:v>3548649</c:v>
                </c:pt>
                <c:pt idx="394">
                  <c:v>3479224</c:v>
                </c:pt>
                <c:pt idx="395">
                  <c:v>3580866</c:v>
                </c:pt>
                <c:pt idx="396">
                  <c:v>3596357</c:v>
                </c:pt>
                <c:pt idx="397">
                  <c:v>3590215</c:v>
                </c:pt>
                <c:pt idx="398">
                  <c:v>3624579</c:v>
                </c:pt>
                <c:pt idx="399">
                  <c:v>3632283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375520"/>
        <c:axId val="357377480"/>
      </c:lineChart>
      <c:catAx>
        <c:axId val="3573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77480"/>
        <c:crosses val="autoZero"/>
        <c:auto val="1"/>
        <c:lblAlgn val="ctr"/>
        <c:lblOffset val="100"/>
        <c:noMultiLvlLbl val="0"/>
      </c:catAx>
      <c:valAx>
        <c:axId val="35737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75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231215</xdr:colOff>
      <xdr:row>3</xdr:row>
      <xdr:rowOff>102348</xdr:rowOff>
    </xdr:from>
    <xdr:to>
      <xdr:col>16</xdr:col>
      <xdr:colOff>299945</xdr:colOff>
      <xdr:row>16</xdr:row>
      <xdr:rowOff>127747</xdr:rowOff>
    </xdr:to>
    <xdr:graphicFrame macro="">
      <xdr:nvGraphicFramePr>
        <xdr:cNvPr id="10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9"/>
  <sheetViews>
    <sheetView tabSelected="1" zoomScale="115" zoomScaleNormal="115" workbookViewId="0">
      <pane ySplit="1" topLeftCell="A412" activePane="bottomLeft" state="frozen"/>
      <selection pane="bottomLeft" activeCell="I420" sqref="I420"/>
    </sheetView>
  </sheetViews>
  <sheetFormatPr defaultColWidth="9.1796875" defaultRowHeight="16.5" customHeight="1" x14ac:dyDescent="0.3"/>
  <cols>
    <col min="1" max="1" width="9.26953125" style="2" customWidth="1"/>
    <col min="2" max="2" width="11.26953125" style="3" customWidth="1"/>
    <col min="3" max="3" width="10.54296875" style="3" customWidth="1"/>
    <col min="4" max="4" width="18.26953125" style="3" customWidth="1"/>
    <col min="5" max="6" width="10.36328125" style="1" bestFit="1" customWidth="1"/>
    <col min="7" max="7" width="9.90625" style="1" bestFit="1" customWidth="1"/>
    <col min="8" max="8" width="18.26953125" style="1" bestFit="1" customWidth="1"/>
    <col min="9" max="9" width="12.90625" style="1" bestFit="1" customWidth="1"/>
    <col min="10" max="10" width="11.54296875" style="1" bestFit="1" customWidth="1"/>
    <col min="11" max="11" width="11.26953125" style="1" bestFit="1" customWidth="1"/>
    <col min="12" max="16384" width="9.1796875" style="1"/>
  </cols>
  <sheetData>
    <row r="1" spans="1:6" ht="16.5" customHeight="1" x14ac:dyDescent="0.3">
      <c r="A1" s="6" t="s">
        <v>1</v>
      </c>
      <c r="B1" s="7" t="s">
        <v>2</v>
      </c>
      <c r="C1" s="7" t="s">
        <v>0</v>
      </c>
      <c r="D1" s="7" t="s">
        <v>3</v>
      </c>
    </row>
    <row r="2" spans="1:6" ht="16.5" customHeight="1" x14ac:dyDescent="0.3">
      <c r="A2" s="2">
        <f>DATE(80,10,31)</f>
        <v>29525</v>
      </c>
      <c r="B2" s="3">
        <v>38923</v>
      </c>
      <c r="C2" s="3">
        <v>55843</v>
      </c>
      <c r="D2" s="3">
        <v>16921</v>
      </c>
    </row>
    <row r="3" spans="1:6" ht="16.5" customHeight="1" x14ac:dyDescent="0.3">
      <c r="A3" s="2">
        <f>DATE(80,11,30)</f>
        <v>29555</v>
      </c>
      <c r="B3" s="3">
        <f>78098-38923</f>
        <v>39175</v>
      </c>
      <c r="C3" s="3">
        <f>103926-55843</f>
        <v>48083</v>
      </c>
      <c r="D3" s="3">
        <f>25828-16921</f>
        <v>8907</v>
      </c>
    </row>
    <row r="4" spans="1:6" ht="16.5" customHeight="1" x14ac:dyDescent="0.3">
      <c r="A4" s="2">
        <f>DATE(80,12,31)</f>
        <v>29586</v>
      </c>
      <c r="B4" s="3">
        <f>127002-78098</f>
        <v>48904</v>
      </c>
      <c r="C4" s="3">
        <f>154795-103926</f>
        <v>50869</v>
      </c>
      <c r="D4" s="3">
        <f>27793-25828</f>
        <v>1965</v>
      </c>
    </row>
    <row r="5" spans="1:6" ht="16.5" customHeight="1" x14ac:dyDescent="0.3">
      <c r="A5" s="2">
        <f>DATE(81,1,31)</f>
        <v>29617</v>
      </c>
      <c r="B5" s="3">
        <f>178149-127002</f>
        <v>51147</v>
      </c>
      <c r="C5" s="3">
        <f>218134-154795</f>
        <v>63339</v>
      </c>
      <c r="D5" s="3">
        <f>39985-27793</f>
        <v>12192</v>
      </c>
    </row>
    <row r="6" spans="1:6" ht="16.5" customHeight="1" x14ac:dyDescent="0.3">
      <c r="A6" s="2">
        <f>DATE(81,2,28)</f>
        <v>29645</v>
      </c>
      <c r="B6" s="3">
        <f>216278-178149</f>
        <v>38129</v>
      </c>
      <c r="C6" s="3">
        <f>271883-218134</f>
        <v>53749</v>
      </c>
      <c r="D6" s="3">
        <f>55605-39985</f>
        <v>15620</v>
      </c>
    </row>
    <row r="7" spans="1:6" ht="16.5" customHeight="1" x14ac:dyDescent="0.3">
      <c r="A7" s="2">
        <f>DATE(81,3,31)</f>
        <v>29676</v>
      </c>
      <c r="B7" s="3">
        <f>260635-216278</f>
        <v>44357</v>
      </c>
      <c r="C7" s="3">
        <f>325821-271883</f>
        <v>53938</v>
      </c>
      <c r="D7" s="3">
        <f>65187-55605</f>
        <v>9582</v>
      </c>
    </row>
    <row r="8" spans="1:6" ht="16.5" customHeight="1" x14ac:dyDescent="0.3">
      <c r="A8" s="2">
        <f>DATE(81,4,30)</f>
        <v>29706</v>
      </c>
      <c r="B8" s="3">
        <f>334823-260635</f>
        <v>74188</v>
      </c>
      <c r="C8" s="3">
        <f>382820-325821</f>
        <v>56999</v>
      </c>
      <c r="D8" s="3">
        <f>47997-65187</f>
        <v>-17190</v>
      </c>
    </row>
    <row r="9" spans="1:6" ht="16.5" customHeight="1" x14ac:dyDescent="0.3">
      <c r="A9" s="2">
        <f>DATE(81,5,31)</f>
        <v>29737</v>
      </c>
      <c r="B9" s="3">
        <f>373066-334823</f>
        <v>38243</v>
      </c>
      <c r="C9" s="3">
        <f>437234-382820</f>
        <v>54414</v>
      </c>
      <c r="D9" s="3">
        <f>64168-47997</f>
        <v>16171</v>
      </c>
    </row>
    <row r="10" spans="1:6" ht="16.5" customHeight="1" x14ac:dyDescent="0.3">
      <c r="A10" s="2">
        <f>DATE(81,6,30)</f>
        <v>29767</v>
      </c>
      <c r="B10" s="3">
        <f>443495-373066</f>
        <v>70429</v>
      </c>
      <c r="C10" s="3">
        <f>492300-437234</f>
        <v>55066</v>
      </c>
      <c r="D10" s="3">
        <f>48805-64168</f>
        <v>-15363</v>
      </c>
    </row>
    <row r="11" spans="1:6" ht="16.5" customHeight="1" x14ac:dyDescent="0.3">
      <c r="A11" s="2">
        <f>DATE(81,7,31)</f>
        <v>29798</v>
      </c>
      <c r="B11" s="3">
        <f>491324-443495</f>
        <v>47829</v>
      </c>
      <c r="C11" s="3">
        <f>550472-492300</f>
        <v>58172</v>
      </c>
      <c r="D11" s="3">
        <f>59148-48805</f>
        <v>10343</v>
      </c>
    </row>
    <row r="12" spans="1:6" ht="16.5" customHeight="1" x14ac:dyDescent="0.3">
      <c r="A12" s="2">
        <f>DATE(81,8,31)</f>
        <v>29829</v>
      </c>
      <c r="B12" s="3">
        <f>538993-491324</f>
        <v>47669</v>
      </c>
      <c r="C12" s="3">
        <f>603260-550472</f>
        <v>52788</v>
      </c>
      <c r="D12" s="3">
        <f>64267-59148</f>
        <v>5119</v>
      </c>
    </row>
    <row r="13" spans="1:6" ht="16.5" customHeight="1" x14ac:dyDescent="0.3">
      <c r="A13" s="2">
        <f>DATE(81,9,30)</f>
        <v>29859</v>
      </c>
      <c r="B13" s="3">
        <f>599272-538993</f>
        <v>60279</v>
      </c>
      <c r="C13" s="3">
        <f>657204-603260</f>
        <v>53944</v>
      </c>
      <c r="D13" s="3">
        <f>57932-64267</f>
        <v>-6335</v>
      </c>
      <c r="E13" s="16">
        <f t="shared" ref="E13:F16" si="0">SUM(B2:B13)</f>
        <v>599272</v>
      </c>
      <c r="F13" s="16">
        <f t="shared" si="0"/>
        <v>657204</v>
      </c>
    </row>
    <row r="14" spans="1:6" ht="16.5" customHeight="1" x14ac:dyDescent="0.3">
      <c r="A14" s="2">
        <f>DATE(81,10,31)</f>
        <v>29890</v>
      </c>
      <c r="B14" s="3">
        <v>45467</v>
      </c>
      <c r="C14" s="3">
        <v>63573</v>
      </c>
      <c r="D14" s="3">
        <v>18105</v>
      </c>
      <c r="E14" s="16">
        <f t="shared" si="0"/>
        <v>605816</v>
      </c>
      <c r="F14" s="16">
        <f t="shared" si="0"/>
        <v>664934</v>
      </c>
    </row>
    <row r="15" spans="1:6" ht="16.5" customHeight="1" x14ac:dyDescent="0.3">
      <c r="A15" s="2">
        <f>DATE(81,11,30)</f>
        <v>29920</v>
      </c>
      <c r="B15" s="3">
        <v>44317</v>
      </c>
      <c r="C15" s="3">
        <v>54959</v>
      </c>
      <c r="D15" s="3">
        <v>10642</v>
      </c>
      <c r="E15" s="16">
        <f t="shared" si="0"/>
        <v>610958</v>
      </c>
      <c r="F15" s="16">
        <f t="shared" si="0"/>
        <v>671810</v>
      </c>
    </row>
    <row r="16" spans="1:6" ht="16.5" customHeight="1" x14ac:dyDescent="0.3">
      <c r="A16" s="2">
        <f>DATE(81,12,31)</f>
        <v>29951</v>
      </c>
      <c r="B16" s="3">
        <v>57407</v>
      </c>
      <c r="C16" s="3">
        <v>76875</v>
      </c>
      <c r="D16" s="3">
        <v>19468</v>
      </c>
      <c r="E16" s="16">
        <f t="shared" si="0"/>
        <v>619461</v>
      </c>
      <c r="F16" s="16">
        <f t="shared" si="0"/>
        <v>697816</v>
      </c>
    </row>
    <row r="17" spans="1:9" ht="16.5" customHeight="1" x14ac:dyDescent="0.3">
      <c r="A17" s="2">
        <f>DATE(82,1,31)</f>
        <v>29982</v>
      </c>
      <c r="B17" s="3">
        <v>55269</v>
      </c>
      <c r="C17" s="3">
        <v>45930</v>
      </c>
      <c r="D17" s="3">
        <v>-9339</v>
      </c>
      <c r="E17" s="16">
        <f t="shared" ref="E17:E80" si="1">SUM(B6:B17)</f>
        <v>623583</v>
      </c>
      <c r="F17" s="16">
        <f t="shared" ref="F17:F80" si="2">SUM(C6:C17)</f>
        <v>680407</v>
      </c>
      <c r="G17" s="16">
        <f t="shared" ref="G17:G80" si="3">SUM(D6:D17)</f>
        <v>56823</v>
      </c>
    </row>
    <row r="18" spans="1:9" ht="16.5" customHeight="1" x14ac:dyDescent="0.3">
      <c r="A18" s="2">
        <f>DATE(82,2,28)</f>
        <v>30010</v>
      </c>
      <c r="B18" s="3">
        <v>43042</v>
      </c>
      <c r="C18" s="3">
        <v>57822</v>
      </c>
      <c r="D18" s="3">
        <v>14780</v>
      </c>
      <c r="E18" s="16">
        <f t="shared" si="1"/>
        <v>628496</v>
      </c>
      <c r="F18" s="16">
        <f t="shared" si="2"/>
        <v>684480</v>
      </c>
      <c r="G18" s="16">
        <f t="shared" si="3"/>
        <v>55983</v>
      </c>
    </row>
    <row r="19" spans="1:9" ht="16.5" customHeight="1" x14ac:dyDescent="0.3">
      <c r="A19" s="2">
        <f>DATE(82,3,31)</f>
        <v>30041</v>
      </c>
      <c r="B19" s="3">
        <v>45291</v>
      </c>
      <c r="C19" s="3">
        <v>63546</v>
      </c>
      <c r="D19" s="3">
        <v>18255</v>
      </c>
      <c r="E19" s="16">
        <f t="shared" si="1"/>
        <v>629430</v>
      </c>
      <c r="F19" s="16">
        <f t="shared" si="2"/>
        <v>694088</v>
      </c>
      <c r="G19" s="16">
        <f t="shared" si="3"/>
        <v>64656</v>
      </c>
    </row>
    <row r="20" spans="1:9" ht="16.5" customHeight="1" x14ac:dyDescent="0.3">
      <c r="A20" s="2">
        <f>DATE(82,4,30)</f>
        <v>30071</v>
      </c>
      <c r="B20" s="3">
        <v>75777</v>
      </c>
      <c r="C20" s="3">
        <v>66073</v>
      </c>
      <c r="D20" s="3">
        <v>-9704</v>
      </c>
      <c r="E20" s="16">
        <f t="shared" si="1"/>
        <v>631019</v>
      </c>
      <c r="F20" s="16">
        <f t="shared" si="2"/>
        <v>703162</v>
      </c>
      <c r="G20" s="16">
        <f t="shared" si="3"/>
        <v>72142</v>
      </c>
    </row>
    <row r="21" spans="1:9" ht="16.5" customHeight="1" x14ac:dyDescent="0.3">
      <c r="A21" s="2">
        <f>DATE(82,5,31)</f>
        <v>30102</v>
      </c>
      <c r="B21" s="3">
        <v>36753</v>
      </c>
      <c r="C21" s="3">
        <v>55683</v>
      </c>
      <c r="D21" s="3">
        <v>18930</v>
      </c>
      <c r="E21" s="16">
        <f t="shared" si="1"/>
        <v>629529</v>
      </c>
      <c r="F21" s="16">
        <f t="shared" si="2"/>
        <v>704431</v>
      </c>
      <c r="G21" s="16">
        <f t="shared" si="3"/>
        <v>74901</v>
      </c>
    </row>
    <row r="22" spans="1:9" ht="16.5" customHeight="1" x14ac:dyDescent="0.3">
      <c r="A22" s="2">
        <f>DATE(82,6,30)</f>
        <v>30132</v>
      </c>
      <c r="B22" s="3">
        <v>66353</v>
      </c>
      <c r="C22" s="3">
        <v>59629</v>
      </c>
      <c r="D22" s="3">
        <v>-6724</v>
      </c>
      <c r="E22" s="16">
        <f t="shared" si="1"/>
        <v>625453</v>
      </c>
      <c r="F22" s="16">
        <f t="shared" si="2"/>
        <v>708994</v>
      </c>
      <c r="G22" s="16">
        <f t="shared" si="3"/>
        <v>83540</v>
      </c>
    </row>
    <row r="23" spans="1:9" ht="16.5" customHeight="1" x14ac:dyDescent="0.3">
      <c r="A23" s="2">
        <f>DATE(82,7,31)</f>
        <v>30163</v>
      </c>
      <c r="B23" s="3">
        <v>44675</v>
      </c>
      <c r="C23" s="3">
        <v>64506</v>
      </c>
      <c r="D23" s="3">
        <v>19831</v>
      </c>
      <c r="E23" s="16">
        <f t="shared" si="1"/>
        <v>622299</v>
      </c>
      <c r="F23" s="16">
        <f t="shared" si="2"/>
        <v>715328</v>
      </c>
      <c r="G23" s="16">
        <f t="shared" si="3"/>
        <v>93028</v>
      </c>
    </row>
    <row r="24" spans="1:9" ht="16.5" customHeight="1" x14ac:dyDescent="0.3">
      <c r="A24" s="2">
        <f>DATE(82,8,31)</f>
        <v>30194</v>
      </c>
      <c r="B24" s="3">
        <v>44924</v>
      </c>
      <c r="C24" s="3">
        <v>59628</v>
      </c>
      <c r="D24" s="3">
        <v>14704</v>
      </c>
      <c r="E24" s="16">
        <f t="shared" si="1"/>
        <v>619554</v>
      </c>
      <c r="F24" s="16">
        <f t="shared" si="2"/>
        <v>722168</v>
      </c>
      <c r="G24" s="16">
        <f t="shared" si="3"/>
        <v>102613</v>
      </c>
    </row>
    <row r="25" spans="1:9" ht="16.5" customHeight="1" x14ac:dyDescent="0.3">
      <c r="A25" s="2">
        <f>DATE(82,9,30)</f>
        <v>30224</v>
      </c>
      <c r="B25" s="3">
        <v>59694</v>
      </c>
      <c r="C25" s="3">
        <v>61403</v>
      </c>
      <c r="D25" s="3">
        <v>1708</v>
      </c>
      <c r="E25" s="16">
        <f t="shared" si="1"/>
        <v>618969</v>
      </c>
      <c r="F25" s="16">
        <f t="shared" si="2"/>
        <v>729627</v>
      </c>
      <c r="G25" s="16">
        <f t="shared" si="3"/>
        <v>110656</v>
      </c>
    </row>
    <row r="26" spans="1:9" ht="16.5" customHeight="1" x14ac:dyDescent="0.3">
      <c r="A26" s="2">
        <f>DATE(82,10,31)</f>
        <v>30255</v>
      </c>
      <c r="B26" s="3">
        <v>40539</v>
      </c>
      <c r="C26" s="3">
        <v>66708</v>
      </c>
      <c r="D26" s="3">
        <v>26169</v>
      </c>
      <c r="E26" s="16">
        <f t="shared" si="1"/>
        <v>614041</v>
      </c>
      <c r="F26" s="16">
        <f t="shared" si="2"/>
        <v>732762</v>
      </c>
      <c r="G26" s="16">
        <f t="shared" si="3"/>
        <v>118720</v>
      </c>
    </row>
    <row r="27" spans="1:9" ht="16.5" customHeight="1" x14ac:dyDescent="0.3">
      <c r="A27" s="2">
        <f>DATE(82,11,30)</f>
        <v>30285</v>
      </c>
      <c r="B27" s="3">
        <v>42007</v>
      </c>
      <c r="C27" s="3">
        <v>66166</v>
      </c>
      <c r="D27" s="3">
        <v>24158</v>
      </c>
      <c r="E27" s="16">
        <f t="shared" si="1"/>
        <v>611731</v>
      </c>
      <c r="F27" s="16">
        <f t="shared" si="2"/>
        <v>743969</v>
      </c>
      <c r="G27" s="16">
        <f t="shared" si="3"/>
        <v>132236</v>
      </c>
      <c r="H27" s="18">
        <f>(E27-E15)/E15</f>
        <v>1.2652260875542999E-3</v>
      </c>
      <c r="I27" s="18">
        <f>(F27-F15)/F15</f>
        <v>0.10740983313734538</v>
      </c>
    </row>
    <row r="28" spans="1:9" ht="16.5" customHeight="1" x14ac:dyDescent="0.3">
      <c r="A28" s="2">
        <f>DATE(82,12,31)</f>
        <v>30316</v>
      </c>
      <c r="B28" s="3">
        <v>54498</v>
      </c>
      <c r="C28" s="3">
        <v>72436</v>
      </c>
      <c r="D28" s="3">
        <v>17938</v>
      </c>
      <c r="E28" s="16">
        <f t="shared" si="1"/>
        <v>608822</v>
      </c>
      <c r="F28" s="16">
        <f t="shared" si="2"/>
        <v>739530</v>
      </c>
      <c r="G28" s="16">
        <f t="shared" si="3"/>
        <v>130706</v>
      </c>
      <c r="H28" s="18">
        <f t="shared" ref="H28:H91" si="4">(E28-E16)/E16</f>
        <v>-1.7174608248138303E-2</v>
      </c>
      <c r="I28" s="18">
        <f t="shared" ref="I28:I91" si="5">(F28-F16)/F16</f>
        <v>5.9777935730909004E-2</v>
      </c>
    </row>
    <row r="29" spans="1:9" ht="16.5" customHeight="1" x14ac:dyDescent="0.3">
      <c r="A29" s="2">
        <f>DATE(83,1,31)</f>
        <v>30347</v>
      </c>
      <c r="B29" s="3">
        <v>57505</v>
      </c>
      <c r="C29" s="3">
        <v>67087</v>
      </c>
      <c r="D29" s="3">
        <v>9582</v>
      </c>
      <c r="E29" s="16">
        <f t="shared" si="1"/>
        <v>611058</v>
      </c>
      <c r="F29" s="16">
        <f t="shared" si="2"/>
        <v>760687</v>
      </c>
      <c r="G29" s="16">
        <f t="shared" si="3"/>
        <v>149627</v>
      </c>
      <c r="H29" s="18">
        <f t="shared" si="4"/>
        <v>-2.0085537931598521E-2</v>
      </c>
      <c r="I29" s="18">
        <f t="shared" si="5"/>
        <v>0.11798820411900524</v>
      </c>
    </row>
    <row r="30" spans="1:9" ht="16.5" customHeight="1" x14ac:dyDescent="0.3">
      <c r="A30" s="2">
        <f>DATE(83,2,28)</f>
        <v>30375</v>
      </c>
      <c r="B30" s="3">
        <v>38816</v>
      </c>
      <c r="C30" s="3">
        <v>64152</v>
      </c>
      <c r="D30" s="3">
        <v>25336</v>
      </c>
      <c r="E30" s="16">
        <f t="shared" si="1"/>
        <v>606832</v>
      </c>
      <c r="F30" s="16">
        <f t="shared" si="2"/>
        <v>767017</v>
      </c>
      <c r="G30" s="16">
        <f t="shared" si="3"/>
        <v>160183</v>
      </c>
      <c r="H30" s="18">
        <f t="shared" si="4"/>
        <v>-3.4469590896362111E-2</v>
      </c>
      <c r="I30" s="18">
        <f t="shared" si="5"/>
        <v>0.12058350864890136</v>
      </c>
    </row>
    <row r="31" spans="1:9" ht="16.5" customHeight="1" x14ac:dyDescent="0.3">
      <c r="A31" s="2">
        <f>DATE(83,3,31)</f>
        <v>30406</v>
      </c>
      <c r="B31" s="3">
        <v>43504</v>
      </c>
      <c r="C31" s="3">
        <v>69540</v>
      </c>
      <c r="D31" s="3">
        <v>26036</v>
      </c>
      <c r="E31" s="16">
        <f t="shared" si="1"/>
        <v>605045</v>
      </c>
      <c r="F31" s="16">
        <f t="shared" si="2"/>
        <v>773011</v>
      </c>
      <c r="G31" s="16">
        <f t="shared" si="3"/>
        <v>167964</v>
      </c>
      <c r="H31" s="18">
        <f t="shared" si="4"/>
        <v>-3.8741400950065931E-2</v>
      </c>
      <c r="I31" s="18">
        <f t="shared" si="5"/>
        <v>0.1137074837772732</v>
      </c>
    </row>
    <row r="32" spans="1:9" ht="16.5" customHeight="1" x14ac:dyDescent="0.3">
      <c r="A32" s="2">
        <f>DATE(83,4,30)</f>
        <v>30436</v>
      </c>
      <c r="B32" s="3">
        <v>66234</v>
      </c>
      <c r="C32" s="3">
        <v>69542</v>
      </c>
      <c r="D32" s="3">
        <v>3308</v>
      </c>
      <c r="E32" s="16">
        <f t="shared" si="1"/>
        <v>595502</v>
      </c>
      <c r="F32" s="16">
        <f t="shared" si="2"/>
        <v>776480</v>
      </c>
      <c r="G32" s="16">
        <f t="shared" si="3"/>
        <v>180976</v>
      </c>
      <c r="H32" s="18">
        <f t="shared" si="4"/>
        <v>-5.6285151477213836E-2</v>
      </c>
      <c r="I32" s="18">
        <f t="shared" si="5"/>
        <v>0.10426900202229358</v>
      </c>
    </row>
    <row r="33" spans="1:9" ht="16.5" customHeight="1" x14ac:dyDescent="0.3">
      <c r="A33" s="2">
        <f>DATE(83,5,31)</f>
        <v>30467</v>
      </c>
      <c r="B33" s="3">
        <v>33755</v>
      </c>
      <c r="C33" s="3">
        <v>63040</v>
      </c>
      <c r="D33" s="3">
        <v>29285</v>
      </c>
      <c r="E33" s="16">
        <f t="shared" si="1"/>
        <v>592504</v>
      </c>
      <c r="F33" s="16">
        <f t="shared" si="2"/>
        <v>783837</v>
      </c>
      <c r="G33" s="16">
        <f t="shared" si="3"/>
        <v>191331</v>
      </c>
      <c r="H33" s="18">
        <f t="shared" si="4"/>
        <v>-5.8813811595653256E-2</v>
      </c>
      <c r="I33" s="18">
        <f t="shared" si="5"/>
        <v>0.1127236024536115</v>
      </c>
    </row>
    <row r="34" spans="1:9" ht="16.5" customHeight="1" x14ac:dyDescent="0.3">
      <c r="A34" s="2">
        <f>DATE(83,6,30)</f>
        <v>30497</v>
      </c>
      <c r="B34" s="3">
        <v>66517</v>
      </c>
      <c r="C34" s="3">
        <v>63116</v>
      </c>
      <c r="D34" s="3">
        <v>-3401</v>
      </c>
      <c r="E34" s="16">
        <f t="shared" si="1"/>
        <v>592668</v>
      </c>
      <c r="F34" s="16">
        <f t="shared" si="2"/>
        <v>787324</v>
      </c>
      <c r="G34" s="16">
        <f t="shared" si="3"/>
        <v>194654</v>
      </c>
      <c r="H34" s="18">
        <f t="shared" si="4"/>
        <v>-5.2418007428216028E-2</v>
      </c>
      <c r="I34" s="18">
        <f t="shared" si="5"/>
        <v>0.11048048361481197</v>
      </c>
    </row>
    <row r="35" spans="1:9" ht="16.5" customHeight="1" x14ac:dyDescent="0.3">
      <c r="A35" s="2">
        <f>DATE(83,7,31)</f>
        <v>30528</v>
      </c>
      <c r="B35" s="3">
        <v>43948</v>
      </c>
      <c r="C35" s="3">
        <v>65360</v>
      </c>
      <c r="D35" s="3">
        <v>21412</v>
      </c>
      <c r="E35" s="16">
        <f t="shared" si="1"/>
        <v>591941</v>
      </c>
      <c r="F35" s="16">
        <f t="shared" si="2"/>
        <v>788178</v>
      </c>
      <c r="G35" s="16">
        <f t="shared" si="3"/>
        <v>196235</v>
      </c>
      <c r="H35" s="18">
        <f t="shared" si="4"/>
        <v>-4.878362330648129E-2</v>
      </c>
      <c r="I35" s="18">
        <f t="shared" si="5"/>
        <v>0.10184139303927708</v>
      </c>
    </row>
    <row r="36" spans="1:9" ht="16.5" customHeight="1" x14ac:dyDescent="0.3">
      <c r="A36" s="2">
        <f>DATE(83,8,31)</f>
        <v>30559</v>
      </c>
      <c r="B36" s="3">
        <f>537006-487323</f>
        <v>49683</v>
      </c>
      <c r="C36" s="3">
        <f>734306-667146</f>
        <v>67160</v>
      </c>
      <c r="D36" s="3">
        <f>197300-179823</f>
        <v>17477</v>
      </c>
      <c r="E36" s="16">
        <f t="shared" si="1"/>
        <v>596700</v>
      </c>
      <c r="F36" s="16">
        <f t="shared" si="2"/>
        <v>795710</v>
      </c>
      <c r="G36" s="16">
        <f t="shared" si="3"/>
        <v>199008</v>
      </c>
      <c r="H36" s="18">
        <f t="shared" si="4"/>
        <v>-3.6887825758529523E-2</v>
      </c>
      <c r="I36" s="18">
        <f t="shared" si="5"/>
        <v>0.10183503007610417</v>
      </c>
    </row>
    <row r="37" spans="1:9" ht="16.5" customHeight="1" x14ac:dyDescent="0.3">
      <c r="A37" s="2">
        <f>DATE(83,9,30)</f>
        <v>30589</v>
      </c>
      <c r="B37" s="3">
        <f>600562-537006</f>
        <v>63556</v>
      </c>
      <c r="C37" s="3">
        <f>795916-734306</f>
        <v>61610</v>
      </c>
      <c r="D37" s="3">
        <f>195354-197300</f>
        <v>-1946</v>
      </c>
      <c r="E37" s="16">
        <f t="shared" si="1"/>
        <v>600562</v>
      </c>
      <c r="F37" s="16">
        <f t="shared" si="2"/>
        <v>795917</v>
      </c>
      <c r="G37" s="16">
        <f t="shared" si="3"/>
        <v>195354</v>
      </c>
      <c r="H37" s="18">
        <f t="shared" si="4"/>
        <v>-2.9738161361877572E-2</v>
      </c>
      <c r="I37" s="18">
        <f t="shared" si="5"/>
        <v>9.0854642166476846E-2</v>
      </c>
    </row>
    <row r="38" spans="1:9" ht="16.5" customHeight="1" x14ac:dyDescent="0.3">
      <c r="A38" s="2">
        <f>DATE(83,10,31)</f>
        <v>30620</v>
      </c>
      <c r="B38" s="3">
        <v>45157</v>
      </c>
      <c r="C38" s="3">
        <v>70226</v>
      </c>
      <c r="D38" s="3">
        <v>25069</v>
      </c>
      <c r="E38" s="16">
        <f t="shared" si="1"/>
        <v>605180</v>
      </c>
      <c r="F38" s="16">
        <f t="shared" si="2"/>
        <v>799435</v>
      </c>
      <c r="G38" s="16">
        <f t="shared" si="3"/>
        <v>194254</v>
      </c>
      <c r="H38" s="18">
        <f t="shared" si="4"/>
        <v>-1.4430632482195815E-2</v>
      </c>
      <c r="I38" s="18">
        <f t="shared" si="5"/>
        <v>9.098861567603124E-2</v>
      </c>
    </row>
    <row r="39" spans="1:9" ht="16.5" customHeight="1" x14ac:dyDescent="0.3">
      <c r="A39" s="2">
        <f>DATE(83,11,30)</f>
        <v>30650</v>
      </c>
      <c r="B39" s="3">
        <v>46202</v>
      </c>
      <c r="C39" s="3">
        <v>67794</v>
      </c>
      <c r="D39" s="3">
        <v>21591</v>
      </c>
      <c r="E39" s="16">
        <f t="shared" si="1"/>
        <v>609375</v>
      </c>
      <c r="F39" s="16">
        <f t="shared" si="2"/>
        <v>801063</v>
      </c>
      <c r="G39" s="16">
        <f t="shared" si="3"/>
        <v>191687</v>
      </c>
      <c r="H39" s="18">
        <f t="shared" si="4"/>
        <v>-3.8513660416097926E-3</v>
      </c>
      <c r="I39" s="18">
        <f t="shared" si="5"/>
        <v>7.6742444913699359E-2</v>
      </c>
    </row>
    <row r="40" spans="1:9" ht="16.5" customHeight="1" x14ac:dyDescent="0.3">
      <c r="A40" s="2">
        <f>DATE(83,12,31)</f>
        <v>30681</v>
      </c>
      <c r="B40" s="3">
        <v>58044</v>
      </c>
      <c r="C40" s="3">
        <v>74705</v>
      </c>
      <c r="D40" s="3">
        <v>16661</v>
      </c>
      <c r="E40" s="16">
        <f t="shared" si="1"/>
        <v>612921</v>
      </c>
      <c r="F40" s="16">
        <f t="shared" si="2"/>
        <v>803332</v>
      </c>
      <c r="G40" s="16">
        <f t="shared" si="3"/>
        <v>190410</v>
      </c>
      <c r="H40" s="18">
        <f t="shared" si="4"/>
        <v>6.7326739178281995E-3</v>
      </c>
      <c r="I40" s="18">
        <f t="shared" si="5"/>
        <v>8.6273714386164185E-2</v>
      </c>
    </row>
    <row r="41" spans="1:9" ht="16.5" customHeight="1" x14ac:dyDescent="0.3">
      <c r="A41" s="2">
        <f>DATE(84,1,31)</f>
        <v>30712</v>
      </c>
      <c r="B41" s="3">
        <v>62537</v>
      </c>
      <c r="C41" s="3">
        <v>68052</v>
      </c>
      <c r="D41" s="3">
        <v>5515</v>
      </c>
      <c r="E41" s="16">
        <f t="shared" si="1"/>
        <v>617953</v>
      </c>
      <c r="F41" s="16">
        <f t="shared" si="2"/>
        <v>804297</v>
      </c>
      <c r="G41" s="16">
        <f t="shared" si="3"/>
        <v>186343</v>
      </c>
      <c r="H41" s="18">
        <f t="shared" si="4"/>
        <v>1.1283707929525511E-2</v>
      </c>
      <c r="I41" s="18">
        <f t="shared" si="5"/>
        <v>5.7329755865421654E-2</v>
      </c>
    </row>
    <row r="42" spans="1:9" ht="16.5" customHeight="1" x14ac:dyDescent="0.3">
      <c r="A42" s="2">
        <f>DATE(84,2,28)</f>
        <v>30740</v>
      </c>
      <c r="B42" s="3">
        <v>47886</v>
      </c>
      <c r="C42" s="3">
        <v>68267</v>
      </c>
      <c r="D42" s="3">
        <v>20381</v>
      </c>
      <c r="E42" s="16">
        <f t="shared" si="1"/>
        <v>627023</v>
      </c>
      <c r="F42" s="16">
        <f t="shared" si="2"/>
        <v>808412</v>
      </c>
      <c r="G42" s="16">
        <f t="shared" si="3"/>
        <v>181388</v>
      </c>
      <c r="H42" s="18">
        <f t="shared" si="4"/>
        <v>3.3272800379676747E-2</v>
      </c>
      <c r="I42" s="18">
        <f t="shared" si="5"/>
        <v>5.3968816858035742E-2</v>
      </c>
    </row>
    <row r="43" spans="1:9" ht="16.5" customHeight="1" x14ac:dyDescent="0.3">
      <c r="A43" s="2">
        <f>DATE(84,3,31)</f>
        <v>30772</v>
      </c>
      <c r="B43" s="3">
        <v>44464</v>
      </c>
      <c r="C43" s="3">
        <v>73020</v>
      </c>
      <c r="D43" s="3">
        <v>28555</v>
      </c>
      <c r="E43" s="16">
        <f t="shared" si="1"/>
        <v>627983</v>
      </c>
      <c r="F43" s="16">
        <f t="shared" si="2"/>
        <v>811892</v>
      </c>
      <c r="G43" s="16">
        <f t="shared" si="3"/>
        <v>183907</v>
      </c>
      <c r="H43" s="18">
        <f t="shared" si="4"/>
        <v>3.7911229743242236E-2</v>
      </c>
      <c r="I43" s="18">
        <f t="shared" si="5"/>
        <v>5.0298119949133968E-2</v>
      </c>
    </row>
    <row r="44" spans="1:9" ht="16.5" customHeight="1" x14ac:dyDescent="0.3">
      <c r="A44" s="2">
        <f>DATE(84,4,30)</f>
        <v>30802</v>
      </c>
      <c r="B44" s="3">
        <v>80180</v>
      </c>
      <c r="C44" s="3">
        <v>68687</v>
      </c>
      <c r="D44" s="3">
        <v>-11493</v>
      </c>
      <c r="E44" s="16">
        <f t="shared" si="1"/>
        <v>641929</v>
      </c>
      <c r="F44" s="16">
        <f t="shared" si="2"/>
        <v>811037</v>
      </c>
      <c r="G44" s="16">
        <f t="shared" si="3"/>
        <v>169106</v>
      </c>
      <c r="H44" s="18">
        <f t="shared" si="4"/>
        <v>7.7962794415467954E-2</v>
      </c>
      <c r="I44" s="18">
        <f t="shared" si="5"/>
        <v>4.4504687821965795E-2</v>
      </c>
    </row>
    <row r="45" spans="1:9" ht="16.5" customHeight="1" x14ac:dyDescent="0.3">
      <c r="A45" s="2">
        <f>DATE(84,5,31)</f>
        <v>30833</v>
      </c>
      <c r="B45" s="3">
        <v>37459</v>
      </c>
      <c r="C45" s="3">
        <v>71391</v>
      </c>
      <c r="D45" s="3">
        <v>33932</v>
      </c>
      <c r="E45" s="16">
        <f t="shared" si="1"/>
        <v>645633</v>
      </c>
      <c r="F45" s="16">
        <f t="shared" si="2"/>
        <v>819388</v>
      </c>
      <c r="G45" s="16">
        <f t="shared" si="3"/>
        <v>173753</v>
      </c>
      <c r="H45" s="18">
        <f t="shared" si="4"/>
        <v>8.9668592954646714E-2</v>
      </c>
      <c r="I45" s="18">
        <f t="shared" si="5"/>
        <v>4.5355092959378035E-2</v>
      </c>
    </row>
    <row r="46" spans="1:9" ht="16.5" customHeight="1" x14ac:dyDescent="0.3">
      <c r="A46" s="2">
        <f>DATE(84,6,30)</f>
        <v>30863</v>
      </c>
      <c r="B46" s="3">
        <v>69282</v>
      </c>
      <c r="C46" s="3">
        <v>71283</v>
      </c>
      <c r="D46" s="3">
        <v>2000</v>
      </c>
      <c r="E46" s="16">
        <f t="shared" si="1"/>
        <v>648398</v>
      </c>
      <c r="F46" s="16">
        <f t="shared" si="2"/>
        <v>827555</v>
      </c>
      <c r="G46" s="16">
        <f t="shared" si="3"/>
        <v>179154</v>
      </c>
      <c r="H46" s="18">
        <f t="shared" si="4"/>
        <v>9.4032409375906914E-2</v>
      </c>
      <c r="I46" s="18">
        <f t="shared" si="5"/>
        <v>5.109840421478324E-2</v>
      </c>
    </row>
    <row r="47" spans="1:9" ht="16.5" customHeight="1" x14ac:dyDescent="0.3">
      <c r="A47" s="2">
        <f>DATE(84,7,31)</f>
        <v>30894</v>
      </c>
      <c r="B47" s="3">
        <v>52017</v>
      </c>
      <c r="C47" s="3">
        <v>68432</v>
      </c>
      <c r="D47" s="3">
        <v>16416</v>
      </c>
      <c r="E47" s="16">
        <f t="shared" si="1"/>
        <v>656467</v>
      </c>
      <c r="F47" s="16">
        <f t="shared" si="2"/>
        <v>830627</v>
      </c>
      <c r="G47" s="16">
        <f t="shared" si="3"/>
        <v>174158</v>
      </c>
      <c r="H47" s="18">
        <f t="shared" si="4"/>
        <v>0.10900748554332274</v>
      </c>
      <c r="I47" s="18">
        <f t="shared" si="5"/>
        <v>5.3857123644658951E-2</v>
      </c>
    </row>
    <row r="48" spans="1:9" ht="16.5" customHeight="1" x14ac:dyDescent="0.3">
      <c r="A48" s="2">
        <f>DATE(84,8,31)</f>
        <v>30925</v>
      </c>
      <c r="B48" s="3">
        <v>55209</v>
      </c>
      <c r="C48" s="3">
        <v>88707</v>
      </c>
      <c r="D48" s="3">
        <v>33498</v>
      </c>
      <c r="E48" s="16">
        <f t="shared" si="1"/>
        <v>661993</v>
      </c>
      <c r="F48" s="16">
        <f t="shared" si="2"/>
        <v>852174</v>
      </c>
      <c r="G48" s="16">
        <f t="shared" si="3"/>
        <v>190179</v>
      </c>
      <c r="H48" s="18">
        <f t="shared" si="4"/>
        <v>0.10942349589408414</v>
      </c>
      <c r="I48" s="18">
        <f t="shared" si="5"/>
        <v>7.0960525819708187E-2</v>
      </c>
    </row>
    <row r="49" spans="1:9" ht="16.5" customHeight="1" x14ac:dyDescent="0.3">
      <c r="A49" s="2">
        <f>DATE(84,9,30)</f>
        <v>30955</v>
      </c>
      <c r="B49" s="3">
        <v>68019</v>
      </c>
      <c r="C49" s="3">
        <v>51234</v>
      </c>
      <c r="D49" s="3">
        <v>-16785</v>
      </c>
      <c r="E49" s="16">
        <f t="shared" si="1"/>
        <v>666456</v>
      </c>
      <c r="F49" s="16">
        <f t="shared" si="2"/>
        <v>841798</v>
      </c>
      <c r="G49" s="16">
        <f t="shared" si="3"/>
        <v>175340</v>
      </c>
      <c r="H49" s="18">
        <f t="shared" si="4"/>
        <v>0.10972056174050306</v>
      </c>
      <c r="I49" s="18">
        <f t="shared" si="5"/>
        <v>5.7645458006299652E-2</v>
      </c>
    </row>
    <row r="50" spans="1:9" ht="16.5" customHeight="1" x14ac:dyDescent="0.3">
      <c r="A50" s="2">
        <f>DATE(84,10,31)</f>
        <v>30986</v>
      </c>
      <c r="B50" s="3">
        <v>52251</v>
      </c>
      <c r="C50" s="3">
        <v>80260</v>
      </c>
      <c r="D50" s="3">
        <v>28009</v>
      </c>
      <c r="E50" s="16">
        <f t="shared" si="1"/>
        <v>673550</v>
      </c>
      <c r="F50" s="16">
        <f t="shared" si="2"/>
        <v>851832</v>
      </c>
      <c r="G50" s="16">
        <f t="shared" si="3"/>
        <v>178280</v>
      </c>
      <c r="H50" s="18">
        <f t="shared" si="4"/>
        <v>0.11297465216960244</v>
      </c>
      <c r="I50" s="18">
        <f t="shared" si="5"/>
        <v>6.5542539418464288E-2</v>
      </c>
    </row>
    <row r="51" spans="1:9" ht="16.5" customHeight="1" x14ac:dyDescent="0.3">
      <c r="A51" s="2">
        <f>DATE(84,11,30)</f>
        <v>31016</v>
      </c>
      <c r="B51" s="3">
        <v>51494</v>
      </c>
      <c r="C51" s="3">
        <v>80390</v>
      </c>
      <c r="D51" s="3">
        <v>28896</v>
      </c>
      <c r="E51" s="16">
        <f t="shared" si="1"/>
        <v>678842</v>
      </c>
      <c r="F51" s="16">
        <f t="shared" si="2"/>
        <v>864428</v>
      </c>
      <c r="G51" s="16">
        <f t="shared" si="3"/>
        <v>185585</v>
      </c>
      <c r="H51" s="18">
        <f t="shared" si="4"/>
        <v>0.11399712820512821</v>
      </c>
      <c r="I51" s="18">
        <f t="shared" si="5"/>
        <v>7.9101144354439046E-2</v>
      </c>
    </row>
    <row r="52" spans="1:9" ht="16.5" customHeight="1" x14ac:dyDescent="0.3">
      <c r="A52" s="2">
        <f>DATE(84,12,31)</f>
        <v>31047</v>
      </c>
      <c r="B52" s="3">
        <v>62404</v>
      </c>
      <c r="C52" s="3">
        <v>76971</v>
      </c>
      <c r="D52" s="3">
        <v>14568</v>
      </c>
      <c r="E52" s="16">
        <f t="shared" si="1"/>
        <v>683202</v>
      </c>
      <c r="F52" s="16">
        <f t="shared" si="2"/>
        <v>866694</v>
      </c>
      <c r="G52" s="16">
        <f t="shared" si="3"/>
        <v>183492</v>
      </c>
      <c r="H52" s="18">
        <f t="shared" si="4"/>
        <v>0.11466567469543383</v>
      </c>
      <c r="I52" s="18">
        <f t="shared" si="5"/>
        <v>7.8873989832348265E-2</v>
      </c>
    </row>
    <row r="53" spans="1:9" ht="16.5" customHeight="1" x14ac:dyDescent="0.3">
      <c r="A53" s="2">
        <f>DATE(85,1,31)</f>
        <v>31078</v>
      </c>
      <c r="B53" s="3">
        <v>70454</v>
      </c>
      <c r="C53" s="3">
        <v>78446</v>
      </c>
      <c r="D53" s="3">
        <v>7992</v>
      </c>
      <c r="E53" s="16">
        <f t="shared" si="1"/>
        <v>691119</v>
      </c>
      <c r="F53" s="16">
        <f t="shared" si="2"/>
        <v>877088</v>
      </c>
      <c r="G53" s="16">
        <f t="shared" si="3"/>
        <v>185969</v>
      </c>
      <c r="H53" s="18">
        <f t="shared" si="4"/>
        <v>0.11840059033615825</v>
      </c>
      <c r="I53" s="18">
        <f t="shared" si="5"/>
        <v>9.0502637707215117E-2</v>
      </c>
    </row>
    <row r="54" spans="1:9" ht="16.5" customHeight="1" x14ac:dyDescent="0.3">
      <c r="A54" s="2">
        <f>DATE(85,2,28)</f>
        <v>31106</v>
      </c>
      <c r="B54" s="3">
        <v>54049</v>
      </c>
      <c r="C54" s="3">
        <v>75101</v>
      </c>
      <c r="D54" s="3">
        <v>21053</v>
      </c>
      <c r="E54" s="16">
        <f t="shared" si="1"/>
        <v>697282</v>
      </c>
      <c r="F54" s="16">
        <f t="shared" si="2"/>
        <v>883922</v>
      </c>
      <c r="G54" s="16">
        <f t="shared" si="3"/>
        <v>186641</v>
      </c>
      <c r="H54" s="18">
        <f t="shared" si="4"/>
        <v>0.11205171102176475</v>
      </c>
      <c r="I54" s="18">
        <f t="shared" si="5"/>
        <v>9.3405342820245124E-2</v>
      </c>
    </row>
    <row r="55" spans="1:9" ht="16.5" customHeight="1" x14ac:dyDescent="0.3">
      <c r="A55" s="2">
        <f>DATE(85,3,31)</f>
        <v>31137</v>
      </c>
      <c r="B55" s="3">
        <v>49613</v>
      </c>
      <c r="C55" s="3">
        <v>79115</v>
      </c>
      <c r="D55" s="3">
        <v>29502</v>
      </c>
      <c r="E55" s="16">
        <f t="shared" si="1"/>
        <v>702431</v>
      </c>
      <c r="F55" s="16">
        <f t="shared" si="2"/>
        <v>890017</v>
      </c>
      <c r="G55" s="16">
        <f t="shared" si="3"/>
        <v>187588</v>
      </c>
      <c r="H55" s="18">
        <f t="shared" si="4"/>
        <v>0.11855097988321341</v>
      </c>
      <c r="I55" s="18">
        <f t="shared" si="5"/>
        <v>9.622585269962014E-2</v>
      </c>
    </row>
    <row r="56" spans="1:9" ht="16.5" customHeight="1" x14ac:dyDescent="0.3">
      <c r="A56" s="2">
        <f>DATE(85,4,30)</f>
        <v>31167</v>
      </c>
      <c r="B56" s="3">
        <v>94599</v>
      </c>
      <c r="C56" s="3">
        <v>83214</v>
      </c>
      <c r="D56" s="3">
        <v>-11386</v>
      </c>
      <c r="E56" s="16">
        <f t="shared" si="1"/>
        <v>716850</v>
      </c>
      <c r="F56" s="16">
        <f t="shared" si="2"/>
        <v>904544</v>
      </c>
      <c r="G56" s="16">
        <f t="shared" si="3"/>
        <v>187695</v>
      </c>
      <c r="H56" s="18">
        <f t="shared" si="4"/>
        <v>0.11671228438035983</v>
      </c>
      <c r="I56" s="18">
        <f t="shared" si="5"/>
        <v>0.11529313705786542</v>
      </c>
    </row>
    <row r="57" spans="1:9" ht="16.5" customHeight="1" x14ac:dyDescent="0.3">
      <c r="A57" s="2">
        <f>DATE(85,5,31)</f>
        <v>31198</v>
      </c>
      <c r="B57" s="3">
        <v>39794</v>
      </c>
      <c r="C57" s="3">
        <v>81791</v>
      </c>
      <c r="D57" s="3">
        <v>41997</v>
      </c>
      <c r="E57" s="16">
        <f t="shared" si="1"/>
        <v>719185</v>
      </c>
      <c r="F57" s="16">
        <f t="shared" si="2"/>
        <v>914944</v>
      </c>
      <c r="G57" s="16">
        <f t="shared" si="3"/>
        <v>195760</v>
      </c>
      <c r="H57" s="18">
        <f t="shared" si="4"/>
        <v>0.11392230570618292</v>
      </c>
      <c r="I57" s="18">
        <f t="shared" si="5"/>
        <v>0.11661874472167032</v>
      </c>
    </row>
    <row r="58" spans="1:9" ht="16.5" customHeight="1" x14ac:dyDescent="0.3">
      <c r="A58" s="2">
        <f>DATE(85,6,30)</f>
        <v>31228</v>
      </c>
      <c r="B58" s="3">
        <v>72151</v>
      </c>
      <c r="C58" s="3">
        <v>73559</v>
      </c>
      <c r="D58" s="3">
        <v>1408</v>
      </c>
      <c r="E58" s="16">
        <f t="shared" si="1"/>
        <v>722054</v>
      </c>
      <c r="F58" s="16">
        <f t="shared" si="2"/>
        <v>917220</v>
      </c>
      <c r="G58" s="16">
        <f t="shared" si="3"/>
        <v>195168</v>
      </c>
      <c r="H58" s="18">
        <f t="shared" si="4"/>
        <v>0.11359689573379313</v>
      </c>
      <c r="I58" s="18">
        <f t="shared" si="5"/>
        <v>0.10834929400462809</v>
      </c>
    </row>
    <row r="59" spans="1:9" ht="16.5" customHeight="1" x14ac:dyDescent="0.3">
      <c r="A59" s="2">
        <f>DATE(85,7,31)</f>
        <v>31259</v>
      </c>
      <c r="B59" s="3">
        <v>57650</v>
      </c>
      <c r="C59" s="3">
        <v>79183</v>
      </c>
      <c r="D59" s="3">
        <v>21533</v>
      </c>
      <c r="E59" s="16">
        <f t="shared" si="1"/>
        <v>727687</v>
      </c>
      <c r="F59" s="16">
        <f t="shared" si="2"/>
        <v>927971</v>
      </c>
      <c r="G59" s="16">
        <f t="shared" si="3"/>
        <v>200285</v>
      </c>
      <c r="H59" s="18">
        <f t="shared" si="4"/>
        <v>0.10848984031185116</v>
      </c>
      <c r="I59" s="18">
        <f t="shared" si="5"/>
        <v>0.11719339727699678</v>
      </c>
    </row>
    <row r="60" spans="1:9" ht="16.5" customHeight="1" x14ac:dyDescent="0.3">
      <c r="A60" s="2">
        <f>DATE(85,8,31)</f>
        <v>31290</v>
      </c>
      <c r="B60" s="3">
        <v>55781</v>
      </c>
      <c r="C60" s="3">
        <v>83378</v>
      </c>
      <c r="D60" s="3">
        <v>27597</v>
      </c>
      <c r="E60" s="16">
        <f t="shared" si="1"/>
        <v>728259</v>
      </c>
      <c r="F60" s="16">
        <f t="shared" si="2"/>
        <v>922642</v>
      </c>
      <c r="G60" s="16">
        <f t="shared" si="3"/>
        <v>194384</v>
      </c>
      <c r="H60" s="18">
        <f t="shared" si="4"/>
        <v>0.10010075635240856</v>
      </c>
      <c r="I60" s="18">
        <f t="shared" si="5"/>
        <v>8.2692032378364047E-2</v>
      </c>
    </row>
    <row r="61" spans="1:9" ht="16.5" customHeight="1" x14ac:dyDescent="0.3">
      <c r="A61" s="2">
        <f>DATE(85,9,30)</f>
        <v>31320</v>
      </c>
      <c r="B61" s="11">
        <v>73811</v>
      </c>
      <c r="C61" s="11">
        <v>74575</v>
      </c>
      <c r="D61" s="11">
        <v>764</v>
      </c>
      <c r="E61" s="16">
        <f t="shared" si="1"/>
        <v>734051</v>
      </c>
      <c r="F61" s="16">
        <f t="shared" si="2"/>
        <v>945983</v>
      </c>
      <c r="G61" s="16">
        <f t="shared" si="3"/>
        <v>211933</v>
      </c>
      <c r="H61" s="18">
        <f t="shared" si="4"/>
        <v>0.10142455015784987</v>
      </c>
      <c r="I61" s="18">
        <f t="shared" si="5"/>
        <v>0.12376484619825659</v>
      </c>
    </row>
    <row r="62" spans="1:9" ht="16.5" customHeight="1" x14ac:dyDescent="0.3">
      <c r="A62" s="2">
        <f>DATE(85,10,31)</f>
        <v>31351</v>
      </c>
      <c r="B62" s="3">
        <v>57886</v>
      </c>
      <c r="C62" s="3">
        <v>84973</v>
      </c>
      <c r="D62" s="3">
        <v>27087</v>
      </c>
      <c r="E62" s="16">
        <f t="shared" si="1"/>
        <v>739686</v>
      </c>
      <c r="F62" s="16">
        <f t="shared" si="2"/>
        <v>950696</v>
      </c>
      <c r="G62" s="16">
        <f t="shared" si="3"/>
        <v>211011</v>
      </c>
      <c r="H62" s="18">
        <f t="shared" si="4"/>
        <v>9.8190186326182163E-2</v>
      </c>
      <c r="I62" s="18">
        <f t="shared" si="5"/>
        <v>0.11606044384338696</v>
      </c>
    </row>
    <row r="63" spans="1:9" ht="16.5" customHeight="1" x14ac:dyDescent="0.3">
      <c r="A63" s="2">
        <f>DATE(85,11,30)</f>
        <v>31381</v>
      </c>
      <c r="B63" s="3">
        <v>51166</v>
      </c>
      <c r="C63" s="3">
        <v>84551</v>
      </c>
      <c r="D63" s="3">
        <v>33386</v>
      </c>
      <c r="E63" s="16">
        <f t="shared" si="1"/>
        <v>739358</v>
      </c>
      <c r="F63" s="16">
        <f t="shared" si="2"/>
        <v>954857</v>
      </c>
      <c r="G63" s="16">
        <f t="shared" si="3"/>
        <v>215501</v>
      </c>
      <c r="H63" s="18">
        <f t="shared" si="4"/>
        <v>8.9145927918425794E-2</v>
      </c>
      <c r="I63" s="18">
        <f t="shared" si="5"/>
        <v>0.10461137306982189</v>
      </c>
    </row>
    <row r="64" spans="1:9" ht="16.5" customHeight="1" x14ac:dyDescent="0.3">
      <c r="A64" s="2">
        <f>DATE(85,12,31)</f>
        <v>31412</v>
      </c>
      <c r="B64" s="3">
        <v>68196</v>
      </c>
      <c r="C64" s="3">
        <v>82853</v>
      </c>
      <c r="D64" s="3">
        <v>14656</v>
      </c>
      <c r="E64" s="16">
        <f t="shared" si="1"/>
        <v>745150</v>
      </c>
      <c r="F64" s="16">
        <f t="shared" si="2"/>
        <v>960739</v>
      </c>
      <c r="G64" s="16">
        <f t="shared" si="3"/>
        <v>215589</v>
      </c>
      <c r="H64" s="18">
        <f t="shared" si="4"/>
        <v>9.067303667143832E-2</v>
      </c>
      <c r="I64" s="18">
        <f t="shared" si="5"/>
        <v>0.10851003929876057</v>
      </c>
    </row>
    <row r="65" spans="1:9" ht="16.5" customHeight="1" x14ac:dyDescent="0.3">
      <c r="A65" s="2">
        <f>DATE(86,1,31)</f>
        <v>31443</v>
      </c>
      <c r="B65" s="3">
        <v>76698</v>
      </c>
      <c r="C65" s="3">
        <v>83189</v>
      </c>
      <c r="D65" s="3">
        <v>6492</v>
      </c>
      <c r="E65" s="16">
        <f t="shared" si="1"/>
        <v>751394</v>
      </c>
      <c r="F65" s="16">
        <f t="shared" si="2"/>
        <v>965482</v>
      </c>
      <c r="G65" s="16">
        <f t="shared" si="3"/>
        <v>214089</v>
      </c>
      <c r="H65" s="18">
        <f t="shared" si="4"/>
        <v>8.7213634699668224E-2</v>
      </c>
      <c r="I65" s="18">
        <f t="shared" si="5"/>
        <v>0.1007812214965887</v>
      </c>
    </row>
    <row r="66" spans="1:9" ht="16.5" customHeight="1" x14ac:dyDescent="0.3">
      <c r="A66" s="2">
        <f>DATE(86,2,28)</f>
        <v>31471</v>
      </c>
      <c r="B66" s="3">
        <v>53370</v>
      </c>
      <c r="C66" s="3">
        <v>77950</v>
      </c>
      <c r="D66" s="3">
        <v>24580</v>
      </c>
      <c r="E66" s="16">
        <f t="shared" si="1"/>
        <v>750715</v>
      </c>
      <c r="F66" s="16">
        <f t="shared" si="2"/>
        <v>968331</v>
      </c>
      <c r="G66" s="16">
        <f t="shared" si="3"/>
        <v>217616</v>
      </c>
      <c r="H66" s="18">
        <f t="shared" si="4"/>
        <v>7.6630402046804588E-2</v>
      </c>
      <c r="I66" s="18">
        <f t="shared" si="5"/>
        <v>9.5493720034120655E-2</v>
      </c>
    </row>
    <row r="67" spans="1:9" ht="16.5" customHeight="1" x14ac:dyDescent="0.3">
      <c r="A67" s="2">
        <f>DATE(86,3,31)</f>
        <v>31502</v>
      </c>
      <c r="B67" s="3">
        <v>49557</v>
      </c>
      <c r="C67" s="3">
        <v>79700</v>
      </c>
      <c r="D67" s="3">
        <v>30142</v>
      </c>
      <c r="E67" s="16">
        <f t="shared" si="1"/>
        <v>750659</v>
      </c>
      <c r="F67" s="16">
        <f t="shared" si="2"/>
        <v>968916</v>
      </c>
      <c r="G67" s="16">
        <f t="shared" si="3"/>
        <v>218256</v>
      </c>
      <c r="H67" s="18">
        <f t="shared" si="4"/>
        <v>6.8658700996966249E-2</v>
      </c>
      <c r="I67" s="18">
        <f t="shared" si="5"/>
        <v>8.8648868504758893E-2</v>
      </c>
    </row>
    <row r="68" spans="1:9" ht="16.5" customHeight="1" x14ac:dyDescent="0.3">
      <c r="A68" s="2">
        <f>DATE(86,4,30)</f>
        <v>31532</v>
      </c>
      <c r="B68" s="3">
        <v>91438</v>
      </c>
      <c r="C68" s="3">
        <v>81510</v>
      </c>
      <c r="D68" s="3">
        <v>-9928</v>
      </c>
      <c r="E68" s="16">
        <f t="shared" si="1"/>
        <v>747498</v>
      </c>
      <c r="F68" s="16">
        <f t="shared" si="2"/>
        <v>967212</v>
      </c>
      <c r="G68" s="16">
        <f t="shared" si="3"/>
        <v>219714</v>
      </c>
      <c r="H68" s="18">
        <f t="shared" si="4"/>
        <v>4.2753714166143542E-2</v>
      </c>
      <c r="I68" s="18">
        <f t="shared" si="5"/>
        <v>6.9281317437294376E-2</v>
      </c>
    </row>
    <row r="69" spans="1:9" ht="16.5" customHeight="1" x14ac:dyDescent="0.3">
      <c r="A69" s="2">
        <f>DATE(86,5,31)</f>
        <v>31563</v>
      </c>
      <c r="B69" s="3">
        <v>46246</v>
      </c>
      <c r="C69" s="3">
        <v>85642</v>
      </c>
      <c r="D69" s="3">
        <v>39396</v>
      </c>
      <c r="E69" s="16">
        <f t="shared" si="1"/>
        <v>753950</v>
      </c>
      <c r="F69" s="16">
        <f t="shared" si="2"/>
        <v>971063</v>
      </c>
      <c r="G69" s="16">
        <f t="shared" si="3"/>
        <v>217113</v>
      </c>
      <c r="H69" s="18">
        <f t="shared" si="4"/>
        <v>4.8339439782531614E-2</v>
      </c>
      <c r="I69" s="18">
        <f t="shared" si="5"/>
        <v>6.1335994334079463E-2</v>
      </c>
    </row>
    <row r="70" spans="1:9" ht="16.5" customHeight="1" x14ac:dyDescent="0.3">
      <c r="A70" s="2">
        <f>DATE(86,6,30)</f>
        <v>31593</v>
      </c>
      <c r="B70" s="3">
        <v>77024</v>
      </c>
      <c r="C70" s="3">
        <v>78067</v>
      </c>
      <c r="D70" s="3">
        <v>1044</v>
      </c>
      <c r="E70" s="16">
        <f t="shared" si="1"/>
        <v>758823</v>
      </c>
      <c r="F70" s="16">
        <f t="shared" si="2"/>
        <v>975571</v>
      </c>
      <c r="G70" s="16">
        <f t="shared" si="3"/>
        <v>216749</v>
      </c>
      <c r="H70" s="18">
        <f t="shared" si="4"/>
        <v>5.092278416849709E-2</v>
      </c>
      <c r="I70" s="18">
        <f t="shared" si="5"/>
        <v>6.3617234687425042E-2</v>
      </c>
    </row>
    <row r="71" spans="1:9" ht="16.5" customHeight="1" x14ac:dyDescent="0.3">
      <c r="A71" s="2">
        <f>DATE(86,7,31)</f>
        <v>31624</v>
      </c>
      <c r="B71" s="3">
        <v>62974</v>
      </c>
      <c r="C71" s="3">
        <v>85278</v>
      </c>
      <c r="D71" s="3">
        <v>22304</v>
      </c>
      <c r="E71" s="16">
        <f t="shared" si="1"/>
        <v>764147</v>
      </c>
      <c r="F71" s="16">
        <f t="shared" si="2"/>
        <v>981666</v>
      </c>
      <c r="G71" s="16">
        <f t="shared" si="3"/>
        <v>217520</v>
      </c>
      <c r="H71" s="18">
        <f t="shared" si="4"/>
        <v>5.0103959532051552E-2</v>
      </c>
      <c r="I71" s="18">
        <f t="shared" si="5"/>
        <v>5.786279959179759E-2</v>
      </c>
    </row>
    <row r="72" spans="1:9" ht="16.5" customHeight="1" x14ac:dyDescent="0.3">
      <c r="A72" s="2">
        <f>DATE(86,8,31)</f>
        <v>31655</v>
      </c>
      <c r="B72" s="3">
        <v>56523</v>
      </c>
      <c r="C72" s="3">
        <v>84579</v>
      </c>
      <c r="D72" s="3">
        <v>28056</v>
      </c>
      <c r="E72" s="16">
        <f t="shared" si="1"/>
        <v>764889</v>
      </c>
      <c r="F72" s="16">
        <f t="shared" si="2"/>
        <v>982867</v>
      </c>
      <c r="G72" s="16">
        <f t="shared" si="3"/>
        <v>217979</v>
      </c>
      <c r="H72" s="18">
        <f t="shared" si="4"/>
        <v>5.029803957108666E-2</v>
      </c>
      <c r="I72" s="18">
        <f t="shared" si="5"/>
        <v>6.527450517101975E-2</v>
      </c>
    </row>
    <row r="73" spans="1:9" ht="16.5" customHeight="1" x14ac:dyDescent="0.3">
      <c r="A73" s="2">
        <f>DATE(86,9,30)</f>
        <v>31685</v>
      </c>
      <c r="B73" s="3">
        <v>78013</v>
      </c>
      <c r="C73" s="3">
        <v>81939</v>
      </c>
      <c r="D73" s="3">
        <v>3926</v>
      </c>
      <c r="E73" s="16">
        <f t="shared" si="1"/>
        <v>769091</v>
      </c>
      <c r="F73" s="16">
        <f t="shared" si="2"/>
        <v>990231</v>
      </c>
      <c r="G73" s="16">
        <f t="shared" si="3"/>
        <v>221141</v>
      </c>
      <c r="H73" s="18">
        <f t="shared" si="4"/>
        <v>4.7735102874323448E-2</v>
      </c>
      <c r="I73" s="18">
        <f t="shared" si="5"/>
        <v>4.6774624913978373E-2</v>
      </c>
    </row>
    <row r="74" spans="1:9" ht="16.5" customHeight="1" x14ac:dyDescent="0.3">
      <c r="A74" s="2">
        <f>DATE(86,10,31)</f>
        <v>31716</v>
      </c>
      <c r="B74" s="3">
        <v>59012</v>
      </c>
      <c r="C74" s="3">
        <v>84302</v>
      </c>
      <c r="D74" s="3">
        <v>25290</v>
      </c>
      <c r="E74" s="16">
        <f t="shared" si="1"/>
        <v>770217</v>
      </c>
      <c r="F74" s="16">
        <f t="shared" si="2"/>
        <v>989560</v>
      </c>
      <c r="G74" s="16">
        <f t="shared" si="3"/>
        <v>219344</v>
      </c>
      <c r="H74" s="18">
        <f t="shared" si="4"/>
        <v>4.1275622358676517E-2</v>
      </c>
      <c r="I74" s="18">
        <f t="shared" si="5"/>
        <v>4.0879524053956257E-2</v>
      </c>
    </row>
    <row r="75" spans="1:9" ht="16.5" customHeight="1" x14ac:dyDescent="0.3">
      <c r="A75" s="2">
        <f>DATE(86,11,30)</f>
        <v>31746</v>
      </c>
      <c r="B75" s="3">
        <v>52967</v>
      </c>
      <c r="C75" s="3">
        <v>80054</v>
      </c>
      <c r="D75" s="3">
        <v>27087</v>
      </c>
      <c r="E75" s="16">
        <f t="shared" si="1"/>
        <v>772018</v>
      </c>
      <c r="F75" s="16">
        <f t="shared" si="2"/>
        <v>985063</v>
      </c>
      <c r="G75" s="16">
        <f t="shared" si="3"/>
        <v>213045</v>
      </c>
      <c r="H75" s="18">
        <f t="shared" si="4"/>
        <v>4.4173458595159587E-2</v>
      </c>
      <c r="I75" s="18">
        <f t="shared" si="5"/>
        <v>3.1634056198991053E-2</v>
      </c>
    </row>
    <row r="76" spans="1:9" ht="16.5" customHeight="1" x14ac:dyDescent="0.3">
      <c r="A76" s="2">
        <f>DATE(86,12,31)</f>
        <v>31777</v>
      </c>
      <c r="B76" s="3">
        <v>78035</v>
      </c>
      <c r="C76" s="3">
        <v>90404</v>
      </c>
      <c r="D76" s="3">
        <v>12369</v>
      </c>
      <c r="E76" s="16">
        <f t="shared" si="1"/>
        <v>781857</v>
      </c>
      <c r="F76" s="16">
        <f t="shared" si="2"/>
        <v>992614</v>
      </c>
      <c r="G76" s="16">
        <f t="shared" si="3"/>
        <v>210758</v>
      </c>
      <c r="H76" s="18">
        <f t="shared" si="4"/>
        <v>4.9261222572636383E-2</v>
      </c>
      <c r="I76" s="18">
        <f t="shared" si="5"/>
        <v>3.3177585171414919E-2</v>
      </c>
    </row>
    <row r="77" spans="1:9" ht="16.5" customHeight="1" x14ac:dyDescent="0.3">
      <c r="A77" s="2">
        <f>DATE(87,1,31)</f>
        <v>31808</v>
      </c>
      <c r="B77" s="3">
        <v>81771</v>
      </c>
      <c r="C77" s="3">
        <v>83928</v>
      </c>
      <c r="D77" s="3">
        <v>2157</v>
      </c>
      <c r="E77" s="16">
        <f t="shared" si="1"/>
        <v>786930</v>
      </c>
      <c r="F77" s="16">
        <f t="shared" si="2"/>
        <v>993353</v>
      </c>
      <c r="G77" s="16">
        <f t="shared" si="3"/>
        <v>206423</v>
      </c>
      <c r="H77" s="18">
        <f t="shared" si="4"/>
        <v>4.7293430610305644E-2</v>
      </c>
      <c r="I77" s="18">
        <f t="shared" si="5"/>
        <v>2.8867446518940798E-2</v>
      </c>
    </row>
    <row r="78" spans="1:9" ht="16.5" customHeight="1" x14ac:dyDescent="0.3">
      <c r="A78" s="2">
        <f>DATE(87,2,28)</f>
        <v>31836</v>
      </c>
      <c r="B78" s="3">
        <v>55463</v>
      </c>
      <c r="C78" s="3">
        <v>83842</v>
      </c>
      <c r="D78" s="3">
        <v>28379</v>
      </c>
      <c r="E78" s="16">
        <f t="shared" si="1"/>
        <v>789023</v>
      </c>
      <c r="F78" s="16">
        <f t="shared" si="2"/>
        <v>999245</v>
      </c>
      <c r="G78" s="16">
        <f t="shared" si="3"/>
        <v>210222</v>
      </c>
      <c r="H78" s="18">
        <f t="shared" si="4"/>
        <v>5.1028685986026653E-2</v>
      </c>
      <c r="I78" s="18">
        <f t="shared" si="5"/>
        <v>3.1925033898532629E-2</v>
      </c>
    </row>
    <row r="79" spans="1:9" ht="16.5" customHeight="1" x14ac:dyDescent="0.3">
      <c r="A79" s="2">
        <f>DATE(87,3,31)</f>
        <v>31867</v>
      </c>
      <c r="B79" s="3">
        <v>56515</v>
      </c>
      <c r="C79" s="3">
        <v>84446</v>
      </c>
      <c r="D79" s="3">
        <v>27931</v>
      </c>
      <c r="E79" s="16">
        <f t="shared" si="1"/>
        <v>795981</v>
      </c>
      <c r="F79" s="16">
        <f t="shared" si="2"/>
        <v>1003991</v>
      </c>
      <c r="G79" s="16">
        <f t="shared" si="3"/>
        <v>208011</v>
      </c>
      <c r="H79" s="18">
        <f t="shared" si="4"/>
        <v>6.0376282706262101E-2</v>
      </c>
      <c r="I79" s="18">
        <f t="shared" si="5"/>
        <v>3.6200248525155951E-2</v>
      </c>
    </row>
    <row r="80" spans="1:9" ht="16.5" customHeight="1" x14ac:dyDescent="0.3">
      <c r="A80" s="2">
        <f>DATE(87,4,30)</f>
        <v>31897</v>
      </c>
      <c r="B80" s="3">
        <v>122897</v>
      </c>
      <c r="C80" s="3">
        <v>84155</v>
      </c>
      <c r="D80" s="3">
        <v>-38742</v>
      </c>
      <c r="E80" s="16">
        <f t="shared" si="1"/>
        <v>827440</v>
      </c>
      <c r="F80" s="16">
        <f t="shared" si="2"/>
        <v>1006636</v>
      </c>
      <c r="G80" s="16">
        <f t="shared" si="3"/>
        <v>179197</v>
      </c>
      <c r="H80" s="18">
        <f t="shared" si="4"/>
        <v>0.10694610554141951</v>
      </c>
      <c r="I80" s="18">
        <f t="shared" si="5"/>
        <v>4.0760453757811108E-2</v>
      </c>
    </row>
    <row r="81" spans="1:9" ht="16.5" customHeight="1" x14ac:dyDescent="0.3">
      <c r="A81" s="2">
        <f>DATE(87,5,31)</f>
        <v>31928</v>
      </c>
      <c r="B81" s="3">
        <v>47691</v>
      </c>
      <c r="C81" s="3">
        <v>83328</v>
      </c>
      <c r="D81" s="3">
        <v>35637</v>
      </c>
      <c r="E81" s="16">
        <f t="shared" ref="E81:E144" si="6">SUM(B70:B81)</f>
        <v>828885</v>
      </c>
      <c r="F81" s="16">
        <f t="shared" ref="F81:F144" si="7">SUM(C70:C81)</f>
        <v>1004322</v>
      </c>
      <c r="G81" s="16">
        <f t="shared" ref="G81:G144" si="8">SUM(D70:D81)</f>
        <v>175438</v>
      </c>
      <c r="H81" s="18">
        <f t="shared" si="4"/>
        <v>9.938987996551496E-2</v>
      </c>
      <c r="I81" s="18">
        <f t="shared" si="5"/>
        <v>3.4250094998985646E-2</v>
      </c>
    </row>
    <row r="82" spans="1:9" ht="16.5" customHeight="1" x14ac:dyDescent="0.3">
      <c r="A82" s="2">
        <f>DATE(87,6,30)</f>
        <v>31958</v>
      </c>
      <c r="B82" s="3">
        <v>82945</v>
      </c>
      <c r="C82" s="3">
        <v>83568</v>
      </c>
      <c r="D82" s="3">
        <v>623</v>
      </c>
      <c r="E82" s="16">
        <f t="shared" si="6"/>
        <v>834806</v>
      </c>
      <c r="F82" s="16">
        <f t="shared" si="7"/>
        <v>1009823</v>
      </c>
      <c r="G82" s="16">
        <f t="shared" si="8"/>
        <v>175017</v>
      </c>
      <c r="H82" s="18">
        <f t="shared" si="4"/>
        <v>0.10013270551894184</v>
      </c>
      <c r="I82" s="18">
        <f t="shared" si="5"/>
        <v>3.5109694732623251E-2</v>
      </c>
    </row>
    <row r="83" spans="1:9" ht="16.5" customHeight="1" x14ac:dyDescent="0.3">
      <c r="A83" s="2">
        <f>DATE(87,7,31)</f>
        <v>31989</v>
      </c>
      <c r="B83" s="3">
        <v>64223</v>
      </c>
      <c r="C83" s="3">
        <v>86562</v>
      </c>
      <c r="D83" s="3">
        <v>22339</v>
      </c>
      <c r="E83" s="16">
        <f t="shared" si="6"/>
        <v>836055</v>
      </c>
      <c r="F83" s="16">
        <f t="shared" si="7"/>
        <v>1011107</v>
      </c>
      <c r="G83" s="16">
        <f t="shared" si="8"/>
        <v>175052</v>
      </c>
      <c r="H83" s="18">
        <f t="shared" si="4"/>
        <v>9.4102312774898028E-2</v>
      </c>
      <c r="I83" s="18">
        <f t="shared" si="5"/>
        <v>2.9990852285808004E-2</v>
      </c>
    </row>
    <row r="84" spans="1:9" ht="16.5" customHeight="1" x14ac:dyDescent="0.3">
      <c r="A84" s="2">
        <f>DATE(87,8,31)</f>
        <v>32020</v>
      </c>
      <c r="B84" s="3">
        <v>60213</v>
      </c>
      <c r="C84" s="3">
        <v>82009</v>
      </c>
      <c r="D84" s="3">
        <v>21796</v>
      </c>
      <c r="E84" s="16">
        <f t="shared" si="6"/>
        <v>839745</v>
      </c>
      <c r="F84" s="16">
        <f t="shared" si="7"/>
        <v>1008537</v>
      </c>
      <c r="G84" s="16">
        <f t="shared" si="8"/>
        <v>168792</v>
      </c>
      <c r="H84" s="18">
        <f t="shared" si="4"/>
        <v>9.7865180437945898E-2</v>
      </c>
      <c r="I84" s="18">
        <f t="shared" si="5"/>
        <v>2.6117470624204494E-2</v>
      </c>
    </row>
    <row r="85" spans="1:9" ht="16.5" customHeight="1" x14ac:dyDescent="0.3">
      <c r="A85" s="2">
        <f>DATE(87,9,30)</f>
        <v>32050</v>
      </c>
      <c r="B85" s="3">
        <v>92410</v>
      </c>
      <c r="C85" s="3">
        <v>77206</v>
      </c>
      <c r="D85" s="3">
        <v>-15204</v>
      </c>
      <c r="E85" s="16">
        <f t="shared" si="6"/>
        <v>854142</v>
      </c>
      <c r="F85" s="16">
        <f t="shared" si="7"/>
        <v>1003804</v>
      </c>
      <c r="G85" s="16">
        <f t="shared" si="8"/>
        <v>149662</v>
      </c>
      <c r="H85" s="18">
        <f t="shared" si="4"/>
        <v>0.11058639354770762</v>
      </c>
      <c r="I85" s="18">
        <f t="shared" si="5"/>
        <v>1.3706902732796691E-2</v>
      </c>
    </row>
    <row r="86" spans="1:9" ht="16.5" customHeight="1" x14ac:dyDescent="0.3">
      <c r="A86" s="2">
        <f>DATE(87,10,31)</f>
        <v>32081</v>
      </c>
      <c r="B86" s="3">
        <v>62295</v>
      </c>
      <c r="C86" s="3">
        <v>93105</v>
      </c>
      <c r="D86" s="3">
        <v>30810</v>
      </c>
      <c r="E86" s="16">
        <f t="shared" si="6"/>
        <v>857425</v>
      </c>
      <c r="F86" s="16">
        <f t="shared" si="7"/>
        <v>1012607</v>
      </c>
      <c r="G86" s="16">
        <f t="shared" si="8"/>
        <v>155182</v>
      </c>
      <c r="H86" s="18">
        <f t="shared" si="4"/>
        <v>0.11322523392758145</v>
      </c>
      <c r="I86" s="18">
        <f t="shared" si="5"/>
        <v>2.3290149157201179E-2</v>
      </c>
    </row>
    <row r="87" spans="1:9" ht="16.5" customHeight="1" x14ac:dyDescent="0.3">
      <c r="A87" s="2">
        <f>DATE(87,11,30)</f>
        <v>32111</v>
      </c>
      <c r="B87" s="3">
        <v>56915</v>
      </c>
      <c r="C87" s="3">
        <v>83937</v>
      </c>
      <c r="D87" s="3">
        <v>27022</v>
      </c>
      <c r="E87" s="16">
        <f t="shared" si="6"/>
        <v>861373</v>
      </c>
      <c r="F87" s="16">
        <f t="shared" si="7"/>
        <v>1016490</v>
      </c>
      <c r="G87" s="16">
        <f t="shared" si="8"/>
        <v>155117</v>
      </c>
      <c r="H87" s="18">
        <f t="shared" si="4"/>
        <v>0.11574212000238336</v>
      </c>
      <c r="I87" s="18">
        <f t="shared" si="5"/>
        <v>3.1903543225154124E-2</v>
      </c>
    </row>
    <row r="88" spans="1:9" ht="16.5" customHeight="1" x14ac:dyDescent="0.3">
      <c r="A88" s="2">
        <f>DATE(87,12,31)</f>
        <v>32142</v>
      </c>
      <c r="B88" s="3">
        <v>85469</v>
      </c>
      <c r="C88" s="3">
        <v>109833</v>
      </c>
      <c r="D88" s="3">
        <v>24363</v>
      </c>
      <c r="E88" s="16">
        <f t="shared" si="6"/>
        <v>868807</v>
      </c>
      <c r="F88" s="16">
        <f t="shared" si="7"/>
        <v>1035919</v>
      </c>
      <c r="G88" s="16">
        <f t="shared" si="8"/>
        <v>167111</v>
      </c>
      <c r="H88" s="18">
        <f t="shared" si="4"/>
        <v>0.11120959459338473</v>
      </c>
      <c r="I88" s="18">
        <f t="shared" si="5"/>
        <v>4.3627230726143294E-2</v>
      </c>
    </row>
    <row r="89" spans="1:9" ht="16.5" customHeight="1" x14ac:dyDescent="0.3">
      <c r="A89" s="2">
        <f>DATE(88,1,31)</f>
        <v>32173</v>
      </c>
      <c r="B89" s="3">
        <v>81740</v>
      </c>
      <c r="C89" s="3">
        <v>65844</v>
      </c>
      <c r="D89" s="3">
        <v>-15896</v>
      </c>
      <c r="E89" s="16">
        <f t="shared" si="6"/>
        <v>868776</v>
      </c>
      <c r="F89" s="16">
        <f t="shared" si="7"/>
        <v>1017835</v>
      </c>
      <c r="G89" s="16">
        <f t="shared" si="8"/>
        <v>149058</v>
      </c>
      <c r="H89" s="18">
        <f t="shared" si="4"/>
        <v>0.10400670961839045</v>
      </c>
      <c r="I89" s="18">
        <f t="shared" si="5"/>
        <v>2.4645820770662595E-2</v>
      </c>
    </row>
    <row r="90" spans="1:9" ht="16.5" customHeight="1" x14ac:dyDescent="0.3">
      <c r="A90" s="2">
        <f>DATE(88,2,28)</f>
        <v>32201</v>
      </c>
      <c r="B90" s="3">
        <v>60279</v>
      </c>
      <c r="C90" s="3">
        <v>84344</v>
      </c>
      <c r="D90" s="3">
        <v>24065</v>
      </c>
      <c r="E90" s="16">
        <f t="shared" si="6"/>
        <v>873592</v>
      </c>
      <c r="F90" s="16">
        <f t="shared" si="7"/>
        <v>1018337</v>
      </c>
      <c r="G90" s="16">
        <f t="shared" si="8"/>
        <v>144744</v>
      </c>
      <c r="H90" s="18">
        <f t="shared" si="4"/>
        <v>0.10718191991868424</v>
      </c>
      <c r="I90" s="18">
        <f t="shared" si="5"/>
        <v>1.910642535114011E-2</v>
      </c>
    </row>
    <row r="91" spans="1:9" ht="16.5" customHeight="1" x14ac:dyDescent="0.3">
      <c r="A91" s="2">
        <f>DATE(88,3,31)</f>
        <v>32233</v>
      </c>
      <c r="B91" s="3">
        <v>65664</v>
      </c>
      <c r="C91" s="3">
        <v>94947</v>
      </c>
      <c r="D91" s="3">
        <v>29283</v>
      </c>
      <c r="E91" s="16">
        <f t="shared" si="6"/>
        <v>882741</v>
      </c>
      <c r="F91" s="16">
        <f t="shared" si="7"/>
        <v>1028838</v>
      </c>
      <c r="G91" s="16">
        <f t="shared" si="8"/>
        <v>146096</v>
      </c>
      <c r="H91" s="18">
        <f t="shared" si="4"/>
        <v>0.10899757657532026</v>
      </c>
      <c r="I91" s="18">
        <f t="shared" si="5"/>
        <v>2.4748229814809095E-2</v>
      </c>
    </row>
    <row r="92" spans="1:9" ht="16.5" customHeight="1" x14ac:dyDescent="0.3">
      <c r="A92" s="2">
        <f>DATE(88,4,30)</f>
        <v>32263</v>
      </c>
      <c r="B92" s="3">
        <v>109266</v>
      </c>
      <c r="C92" s="3">
        <v>95497</v>
      </c>
      <c r="D92" s="3">
        <v>-13769</v>
      </c>
      <c r="E92" s="16">
        <f t="shared" si="6"/>
        <v>869110</v>
      </c>
      <c r="F92" s="16">
        <f t="shared" si="7"/>
        <v>1040180</v>
      </c>
      <c r="G92" s="16">
        <f t="shared" si="8"/>
        <v>171069</v>
      </c>
      <c r="H92" s="18">
        <f t="shared" ref="H92:H155" si="9">(E92-E80)/E80</f>
        <v>5.0360146959296144E-2</v>
      </c>
      <c r="I92" s="18">
        <f t="shared" ref="I92:I155" si="10">(F92-F80)/F80</f>
        <v>3.3322869438406733E-2</v>
      </c>
    </row>
    <row r="93" spans="1:9" ht="16.5" customHeight="1" x14ac:dyDescent="0.3">
      <c r="A93" s="2">
        <f>DATE(88,5,31)</f>
        <v>32294</v>
      </c>
      <c r="B93" s="3">
        <v>59635</v>
      </c>
      <c r="C93" s="3">
        <v>82218</v>
      </c>
      <c r="D93" s="3">
        <v>22583</v>
      </c>
      <c r="E93" s="16">
        <f t="shared" si="6"/>
        <v>881054</v>
      </c>
      <c r="F93" s="16">
        <f t="shared" si="7"/>
        <v>1039070</v>
      </c>
      <c r="G93" s="16">
        <f t="shared" si="8"/>
        <v>158015</v>
      </c>
      <c r="H93" s="18">
        <f t="shared" si="9"/>
        <v>6.2938767138987911E-2</v>
      </c>
      <c r="I93" s="18">
        <f t="shared" si="10"/>
        <v>3.4598465432401165E-2</v>
      </c>
    </row>
    <row r="94" spans="1:9" ht="16.5" customHeight="1" x14ac:dyDescent="0.3">
      <c r="A94" s="2">
        <f>DATE(88,6,30)</f>
        <v>32324</v>
      </c>
      <c r="B94" s="11">
        <v>99140</v>
      </c>
      <c r="C94" s="11">
        <v>90006</v>
      </c>
      <c r="D94" s="11">
        <v>-9134</v>
      </c>
      <c r="E94" s="16">
        <f t="shared" si="6"/>
        <v>897249</v>
      </c>
      <c r="F94" s="16">
        <f t="shared" si="7"/>
        <v>1045508</v>
      </c>
      <c r="G94" s="16">
        <f t="shared" si="8"/>
        <v>148258</v>
      </c>
      <c r="H94" s="18">
        <f t="shared" si="9"/>
        <v>7.4799414474740242E-2</v>
      </c>
      <c r="I94" s="18">
        <f t="shared" si="10"/>
        <v>3.5337876043623484E-2</v>
      </c>
    </row>
    <row r="95" spans="1:9" ht="16.5" customHeight="1" x14ac:dyDescent="0.3">
      <c r="A95" s="2">
        <f>DATE(88,7,31)</f>
        <v>32355</v>
      </c>
      <c r="B95" s="3">
        <v>60631</v>
      </c>
      <c r="C95" s="3">
        <v>83549</v>
      </c>
      <c r="D95" s="3">
        <v>22918</v>
      </c>
      <c r="E95" s="16">
        <f t="shared" si="6"/>
        <v>893657</v>
      </c>
      <c r="F95" s="16">
        <f t="shared" si="7"/>
        <v>1042495</v>
      </c>
      <c r="G95" s="16">
        <f t="shared" si="8"/>
        <v>148837</v>
      </c>
      <c r="H95" s="18">
        <f t="shared" si="9"/>
        <v>6.8897381153153803E-2</v>
      </c>
      <c r="I95" s="18">
        <f t="shared" si="10"/>
        <v>3.1043203142694098E-2</v>
      </c>
    </row>
    <row r="96" spans="1:9" ht="16.5" customHeight="1" x14ac:dyDescent="0.3">
      <c r="A96" s="2">
        <f>DATE(88,8,31)</f>
        <v>32386</v>
      </c>
      <c r="B96" s="3">
        <v>69390</v>
      </c>
      <c r="C96" s="3">
        <v>92468</v>
      </c>
      <c r="D96" s="3">
        <v>23079</v>
      </c>
      <c r="E96" s="16">
        <f t="shared" si="6"/>
        <v>902834</v>
      </c>
      <c r="F96" s="16">
        <f t="shared" si="7"/>
        <v>1052954</v>
      </c>
      <c r="G96" s="16">
        <f t="shared" si="8"/>
        <v>150120</v>
      </c>
      <c r="H96" s="18">
        <f t="shared" si="9"/>
        <v>7.5128759325747696E-2</v>
      </c>
      <c r="I96" s="18">
        <f t="shared" si="10"/>
        <v>4.4041021796919697E-2</v>
      </c>
    </row>
    <row r="97" spans="1:9" ht="16.5" customHeight="1" x14ac:dyDescent="0.3">
      <c r="A97" s="2">
        <f>DATE(88,9,30)</f>
        <v>32416</v>
      </c>
      <c r="B97" s="3">
        <v>97742</v>
      </c>
      <c r="C97" s="3">
        <v>87569</v>
      </c>
      <c r="D97" s="3">
        <v>-10173</v>
      </c>
      <c r="E97" s="16">
        <f t="shared" si="6"/>
        <v>908166</v>
      </c>
      <c r="F97" s="16">
        <f t="shared" si="7"/>
        <v>1063317</v>
      </c>
      <c r="G97" s="16">
        <f t="shared" si="8"/>
        <v>155151</v>
      </c>
      <c r="H97" s="18">
        <f t="shared" si="9"/>
        <v>6.3249436276403684E-2</v>
      </c>
      <c r="I97" s="18">
        <f t="shared" si="10"/>
        <v>5.9287470462361179E-2</v>
      </c>
    </row>
    <row r="98" spans="1:9" ht="16.5" customHeight="1" x14ac:dyDescent="0.3">
      <c r="A98" s="2">
        <f>DATE(88,10,31)</f>
        <v>32447</v>
      </c>
      <c r="B98" s="3">
        <v>63582</v>
      </c>
      <c r="C98" s="3">
        <v>90587</v>
      </c>
      <c r="D98" s="3">
        <v>27005</v>
      </c>
      <c r="E98" s="16">
        <f t="shared" si="6"/>
        <v>909453</v>
      </c>
      <c r="F98" s="16">
        <f t="shared" si="7"/>
        <v>1060799</v>
      </c>
      <c r="G98" s="16">
        <f t="shared" si="8"/>
        <v>151346</v>
      </c>
      <c r="H98" s="18">
        <f t="shared" si="9"/>
        <v>6.0679359710761875E-2</v>
      </c>
      <c r="I98" s="18">
        <f t="shared" si="10"/>
        <v>4.7592007560682478E-2</v>
      </c>
    </row>
    <row r="99" spans="1:9" ht="16.5" customHeight="1" x14ac:dyDescent="0.3">
      <c r="A99" s="2">
        <f>DATE(88,11,30)</f>
        <v>32477</v>
      </c>
      <c r="B99" s="3">
        <v>64330</v>
      </c>
      <c r="C99" s="3">
        <v>93470</v>
      </c>
      <c r="D99" s="3">
        <v>29140</v>
      </c>
      <c r="E99" s="16">
        <f t="shared" si="6"/>
        <v>916868</v>
      </c>
      <c r="F99" s="16">
        <f t="shared" si="7"/>
        <v>1070332</v>
      </c>
      <c r="G99" s="16">
        <f t="shared" si="8"/>
        <v>153464</v>
      </c>
      <c r="H99" s="18">
        <f t="shared" si="9"/>
        <v>6.4426212569931959E-2</v>
      </c>
      <c r="I99" s="18">
        <f t="shared" si="10"/>
        <v>5.2968548633041151E-2</v>
      </c>
    </row>
    <row r="100" spans="1:9" ht="16.5" customHeight="1" x14ac:dyDescent="0.3">
      <c r="A100" s="2">
        <f>DATE(88,12,31)</f>
        <v>32508</v>
      </c>
      <c r="B100" s="3">
        <v>93655</v>
      </c>
      <c r="C100" s="3">
        <v>106446</v>
      </c>
      <c r="D100" s="3">
        <v>12790</v>
      </c>
      <c r="E100" s="16">
        <f t="shared" si="6"/>
        <v>925054</v>
      </c>
      <c r="F100" s="16">
        <f t="shared" si="7"/>
        <v>1066945</v>
      </c>
      <c r="G100" s="16">
        <f t="shared" si="8"/>
        <v>141891</v>
      </c>
      <c r="H100" s="18">
        <f t="shared" si="9"/>
        <v>6.4740500479393004E-2</v>
      </c>
      <c r="I100" s="18">
        <f t="shared" si="10"/>
        <v>2.995021811550903E-2</v>
      </c>
    </row>
    <row r="101" spans="1:9" ht="16.5" customHeight="1" x14ac:dyDescent="0.3">
      <c r="A101" s="2">
        <f>DATE(89,1,31)</f>
        <v>32539</v>
      </c>
      <c r="B101" s="3">
        <v>89306</v>
      </c>
      <c r="C101" s="3">
        <v>86509</v>
      </c>
      <c r="D101" s="3">
        <v>-2797</v>
      </c>
      <c r="E101" s="16">
        <f t="shared" si="6"/>
        <v>932620</v>
      </c>
      <c r="F101" s="16">
        <f t="shared" si="7"/>
        <v>1087610</v>
      </c>
      <c r="G101" s="16">
        <f t="shared" si="8"/>
        <v>154990</v>
      </c>
      <c r="H101" s="18">
        <f t="shared" si="9"/>
        <v>7.3487297070821481E-2</v>
      </c>
      <c r="I101" s="18">
        <f t="shared" si="10"/>
        <v>6.8552368507665787E-2</v>
      </c>
    </row>
    <row r="102" spans="1:9" ht="16.5" customHeight="1" x14ac:dyDescent="0.3">
      <c r="A102" s="2">
        <f>DATE(89,2,28)</f>
        <v>32567</v>
      </c>
      <c r="B102" s="3">
        <v>61897</v>
      </c>
      <c r="C102" s="3">
        <v>89769</v>
      </c>
      <c r="D102" s="3">
        <v>27871</v>
      </c>
      <c r="E102" s="16">
        <f t="shared" si="6"/>
        <v>934238</v>
      </c>
      <c r="F102" s="16">
        <f t="shared" si="7"/>
        <v>1093035</v>
      </c>
      <c r="G102" s="16">
        <f t="shared" si="8"/>
        <v>158796</v>
      </c>
      <c r="H102" s="18">
        <f t="shared" si="9"/>
        <v>6.9421423273106894E-2</v>
      </c>
      <c r="I102" s="18">
        <f t="shared" si="10"/>
        <v>7.335292737080161E-2</v>
      </c>
    </row>
    <row r="103" spans="1:9" ht="16.5" customHeight="1" x14ac:dyDescent="0.3">
      <c r="A103" s="2">
        <f>DATE(89,3,31)</f>
        <v>32598</v>
      </c>
      <c r="B103" s="3">
        <v>68205</v>
      </c>
      <c r="C103" s="3">
        <v>103988</v>
      </c>
      <c r="D103" s="3">
        <v>35784</v>
      </c>
      <c r="E103" s="16">
        <f t="shared" si="6"/>
        <v>936779</v>
      </c>
      <c r="F103" s="16">
        <f t="shared" si="7"/>
        <v>1102076</v>
      </c>
      <c r="G103" s="16">
        <f t="shared" si="8"/>
        <v>165297</v>
      </c>
      <c r="H103" s="18">
        <f t="shared" si="9"/>
        <v>6.1216143806620514E-2</v>
      </c>
      <c r="I103" s="18">
        <f t="shared" si="10"/>
        <v>7.1185162289884321E-2</v>
      </c>
    </row>
    <row r="104" spans="1:9" ht="16.5" customHeight="1" x14ac:dyDescent="0.3">
      <c r="A104" s="2">
        <f>DATE(89,4,30)</f>
        <v>32628</v>
      </c>
      <c r="B104" s="3">
        <v>128892</v>
      </c>
      <c r="C104" s="3">
        <v>88237</v>
      </c>
      <c r="D104" s="3">
        <v>-40654</v>
      </c>
      <c r="E104" s="16">
        <f t="shared" si="6"/>
        <v>956405</v>
      </c>
      <c r="F104" s="16">
        <f t="shared" si="7"/>
        <v>1094816</v>
      </c>
      <c r="G104" s="16">
        <f t="shared" si="8"/>
        <v>138412</v>
      </c>
      <c r="H104" s="18">
        <f t="shared" si="9"/>
        <v>0.10044183129868486</v>
      </c>
      <c r="I104" s="18">
        <f t="shared" si="10"/>
        <v>5.2525524428464303E-2</v>
      </c>
    </row>
    <row r="105" spans="1:9" ht="16.5" customHeight="1" x14ac:dyDescent="0.3">
      <c r="A105" s="2">
        <f>DATE(89,5,31)</f>
        <v>32659</v>
      </c>
      <c r="B105" s="3">
        <v>71025</v>
      </c>
      <c r="C105" s="3">
        <v>96458</v>
      </c>
      <c r="D105" s="3">
        <v>25433</v>
      </c>
      <c r="E105" s="16">
        <f t="shared" si="6"/>
        <v>967795</v>
      </c>
      <c r="F105" s="16">
        <f t="shared" si="7"/>
        <v>1109056</v>
      </c>
      <c r="G105" s="16">
        <f t="shared" si="8"/>
        <v>141262</v>
      </c>
      <c r="H105" s="18">
        <f t="shared" si="9"/>
        <v>9.845140025469494E-2</v>
      </c>
      <c r="I105" s="18">
        <f t="shared" si="10"/>
        <v>6.7354461200881552E-2</v>
      </c>
    </row>
    <row r="106" spans="1:9" ht="16.5" customHeight="1" x14ac:dyDescent="0.3">
      <c r="A106" s="2">
        <f>DATE(89,6,30)</f>
        <v>32689</v>
      </c>
      <c r="B106" s="3">
        <v>108249</v>
      </c>
      <c r="C106" s="3">
        <v>100464</v>
      </c>
      <c r="D106" s="3">
        <v>-7785</v>
      </c>
      <c r="E106" s="16">
        <f t="shared" si="6"/>
        <v>976904</v>
      </c>
      <c r="F106" s="16">
        <f t="shared" si="7"/>
        <v>1119514</v>
      </c>
      <c r="G106" s="16">
        <f t="shared" si="8"/>
        <v>142611</v>
      </c>
      <c r="H106" s="18">
        <f t="shared" si="9"/>
        <v>8.8776916998514352E-2</v>
      </c>
      <c r="I106" s="18">
        <f t="shared" si="10"/>
        <v>7.0784728572139091E-2</v>
      </c>
    </row>
    <row r="107" spans="1:9" ht="16.5" customHeight="1" x14ac:dyDescent="0.3">
      <c r="A107" s="2">
        <f>DATE(89,7,31)</f>
        <v>32720</v>
      </c>
      <c r="B107" s="3">
        <v>66191</v>
      </c>
      <c r="C107" s="3">
        <v>84428</v>
      </c>
      <c r="D107" s="3">
        <v>18237</v>
      </c>
      <c r="E107" s="16">
        <f t="shared" si="6"/>
        <v>982464</v>
      </c>
      <c r="F107" s="16">
        <f t="shared" si="7"/>
        <v>1120393</v>
      </c>
      <c r="G107" s="16">
        <f t="shared" si="8"/>
        <v>137930</v>
      </c>
      <c r="H107" s="18">
        <f t="shared" si="9"/>
        <v>9.9374816064776536E-2</v>
      </c>
      <c r="I107" s="18">
        <f t="shared" si="10"/>
        <v>7.4722660540338326E-2</v>
      </c>
    </row>
    <row r="108" spans="1:9" ht="16.5" customHeight="1" x14ac:dyDescent="0.3">
      <c r="A108" s="2">
        <f>DATE(89,8,31)</f>
        <v>32751</v>
      </c>
      <c r="B108" s="3">
        <v>76136</v>
      </c>
      <c r="C108" s="3">
        <v>98286</v>
      </c>
      <c r="D108" s="3">
        <v>22150</v>
      </c>
      <c r="E108" s="16">
        <f t="shared" si="6"/>
        <v>989210</v>
      </c>
      <c r="F108" s="16">
        <f t="shared" si="7"/>
        <v>1126211</v>
      </c>
      <c r="G108" s="16">
        <f t="shared" si="8"/>
        <v>137001</v>
      </c>
      <c r="H108" s="18">
        <f t="shared" si="9"/>
        <v>9.5672072606924424E-2</v>
      </c>
      <c r="I108" s="18">
        <f t="shared" si="10"/>
        <v>6.9572839839157269E-2</v>
      </c>
    </row>
    <row r="109" spans="1:9" ht="16.5" customHeight="1" x14ac:dyDescent="0.3">
      <c r="A109" s="2">
        <f>DATE(89,9,30)</f>
        <v>32781</v>
      </c>
      <c r="B109" s="3">
        <v>99233</v>
      </c>
      <c r="C109" s="3">
        <v>105378</v>
      </c>
      <c r="D109" s="3">
        <v>6146</v>
      </c>
      <c r="E109" s="16">
        <f t="shared" si="6"/>
        <v>990701</v>
      </c>
      <c r="F109" s="16">
        <f t="shared" si="7"/>
        <v>1144020</v>
      </c>
      <c r="G109" s="16">
        <f t="shared" si="8"/>
        <v>153320</v>
      </c>
      <c r="H109" s="18">
        <f t="shared" si="9"/>
        <v>9.08809622910349E-2</v>
      </c>
      <c r="I109" s="18">
        <f t="shared" si="10"/>
        <v>7.5897404066708238E-2</v>
      </c>
    </row>
    <row r="110" spans="1:9" ht="16.5" customHeight="1" x14ac:dyDescent="0.3">
      <c r="A110" s="2">
        <f>DATE(89,10,31)</f>
        <v>32812</v>
      </c>
      <c r="B110" s="3">
        <v>68420</v>
      </c>
      <c r="C110" s="3">
        <v>94503</v>
      </c>
      <c r="D110" s="3">
        <v>26084</v>
      </c>
      <c r="E110" s="16">
        <f t="shared" si="6"/>
        <v>995539</v>
      </c>
      <c r="F110" s="16">
        <f t="shared" si="7"/>
        <v>1147936</v>
      </c>
      <c r="G110" s="16">
        <f t="shared" si="8"/>
        <v>152399</v>
      </c>
      <c r="H110" s="18">
        <f t="shared" si="9"/>
        <v>9.4656898157463878E-2</v>
      </c>
      <c r="I110" s="18">
        <f t="shared" si="10"/>
        <v>8.214279990837095E-2</v>
      </c>
    </row>
    <row r="111" spans="1:9" ht="16.5" customHeight="1" x14ac:dyDescent="0.3">
      <c r="A111" s="2">
        <f>DATE(89,11,30)</f>
        <v>32842</v>
      </c>
      <c r="B111" s="3">
        <v>71174</v>
      </c>
      <c r="C111" s="3">
        <v>100906</v>
      </c>
      <c r="D111" s="3">
        <v>29732</v>
      </c>
      <c r="E111" s="16">
        <f t="shared" si="6"/>
        <v>1002383</v>
      </c>
      <c r="F111" s="16">
        <f t="shared" si="7"/>
        <v>1155372</v>
      </c>
      <c r="G111" s="16">
        <f t="shared" si="8"/>
        <v>152991</v>
      </c>
      <c r="H111" s="18">
        <f t="shared" si="9"/>
        <v>9.3268605731686563E-2</v>
      </c>
      <c r="I111" s="18">
        <f t="shared" si="10"/>
        <v>7.9451983122993619E-2</v>
      </c>
    </row>
    <row r="112" spans="1:9" ht="16.5" customHeight="1" x14ac:dyDescent="0.3">
      <c r="A112" s="2">
        <f>DATE(89,12,31)</f>
        <v>32873</v>
      </c>
      <c r="B112" s="3">
        <v>89122</v>
      </c>
      <c r="C112" s="3">
        <v>103893</v>
      </c>
      <c r="D112" s="3">
        <v>14772</v>
      </c>
      <c r="E112" s="16">
        <f t="shared" si="6"/>
        <v>997850</v>
      </c>
      <c r="F112" s="16">
        <f t="shared" si="7"/>
        <v>1152819</v>
      </c>
      <c r="G112" s="16">
        <f t="shared" si="8"/>
        <v>154973</v>
      </c>
      <c r="H112" s="18">
        <f t="shared" si="9"/>
        <v>7.8693784362858815E-2</v>
      </c>
      <c r="I112" s="18">
        <f t="shared" si="10"/>
        <v>8.0485873217457315E-2</v>
      </c>
    </row>
    <row r="113" spans="1:9" ht="16.5" customHeight="1" x14ac:dyDescent="0.3">
      <c r="A113" s="2">
        <f>DATE(90,1,31)</f>
        <v>32904</v>
      </c>
      <c r="B113" s="3">
        <v>99524</v>
      </c>
      <c r="C113" s="3">
        <v>91242</v>
      </c>
      <c r="D113" s="3">
        <v>-8282</v>
      </c>
      <c r="E113" s="16">
        <f t="shared" si="6"/>
        <v>1008068</v>
      </c>
      <c r="F113" s="16">
        <f t="shared" si="7"/>
        <v>1157552</v>
      </c>
      <c r="G113" s="16">
        <f t="shared" si="8"/>
        <v>149488</v>
      </c>
      <c r="H113" s="18">
        <f t="shared" si="9"/>
        <v>8.0898972786343851E-2</v>
      </c>
      <c r="I113" s="18">
        <f t="shared" si="10"/>
        <v>6.4307978043600181E-2</v>
      </c>
    </row>
    <row r="114" spans="1:9" ht="16.5" customHeight="1" x14ac:dyDescent="0.3">
      <c r="A114" s="2">
        <f>DATE(90,2,28)</f>
        <v>32932</v>
      </c>
      <c r="B114" s="3">
        <v>65141</v>
      </c>
      <c r="C114" s="3">
        <v>100348</v>
      </c>
      <c r="D114" s="3">
        <v>35207</v>
      </c>
      <c r="E114" s="16">
        <f t="shared" si="6"/>
        <v>1011312</v>
      </c>
      <c r="F114" s="16">
        <f t="shared" si="7"/>
        <v>1168131</v>
      </c>
      <c r="G114" s="16">
        <f t="shared" si="8"/>
        <v>156824</v>
      </c>
      <c r="H114" s="18">
        <f t="shared" si="9"/>
        <v>8.2499320301679016E-2</v>
      </c>
      <c r="I114" s="18">
        <f t="shared" si="10"/>
        <v>6.8704112860063948E-2</v>
      </c>
    </row>
    <row r="115" spans="1:9" ht="16.5" customHeight="1" x14ac:dyDescent="0.3">
      <c r="A115" s="2">
        <f>DATE(90,3,31)</f>
        <v>32963</v>
      </c>
      <c r="B115" s="3">
        <v>64805</v>
      </c>
      <c r="C115" s="3">
        <v>118128</v>
      </c>
      <c r="D115" s="3">
        <v>53324</v>
      </c>
      <c r="E115" s="16">
        <f t="shared" si="6"/>
        <v>1007912</v>
      </c>
      <c r="F115" s="16">
        <f t="shared" si="7"/>
        <v>1182271</v>
      </c>
      <c r="G115" s="16">
        <f t="shared" si="8"/>
        <v>174364</v>
      </c>
      <c r="H115" s="18">
        <f t="shared" si="9"/>
        <v>7.5933597999101182E-2</v>
      </c>
      <c r="I115" s="18">
        <f t="shared" si="10"/>
        <v>7.2767213876356984E-2</v>
      </c>
    </row>
    <row r="116" spans="1:9" ht="16.5" customHeight="1" x14ac:dyDescent="0.3">
      <c r="A116" s="2">
        <f>DATE(90,4,30)</f>
        <v>32993</v>
      </c>
      <c r="B116" s="3">
        <v>139604</v>
      </c>
      <c r="C116" s="3">
        <v>97775</v>
      </c>
      <c r="D116" s="3">
        <v>-41829</v>
      </c>
      <c r="E116" s="16">
        <f t="shared" si="6"/>
        <v>1018624</v>
      </c>
      <c r="F116" s="16">
        <f t="shared" si="7"/>
        <v>1191809</v>
      </c>
      <c r="G116" s="16">
        <f t="shared" si="8"/>
        <v>173189</v>
      </c>
      <c r="H116" s="18">
        <f t="shared" si="9"/>
        <v>6.5055076039962148E-2</v>
      </c>
      <c r="I116" s="18">
        <f t="shared" si="10"/>
        <v>8.8592969046853529E-2</v>
      </c>
    </row>
    <row r="117" spans="1:9" ht="16.5" customHeight="1" x14ac:dyDescent="0.3">
      <c r="A117" s="2">
        <f>DATE(90,5,31)</f>
        <v>33024</v>
      </c>
      <c r="B117" s="3">
        <v>69186</v>
      </c>
      <c r="C117" s="3">
        <v>111668</v>
      </c>
      <c r="D117" s="3">
        <v>42482</v>
      </c>
      <c r="E117" s="16">
        <f t="shared" si="6"/>
        <v>1016785</v>
      </c>
      <c r="F117" s="16">
        <f t="shared" si="7"/>
        <v>1207019</v>
      </c>
      <c r="G117" s="16">
        <f t="shared" si="8"/>
        <v>190238</v>
      </c>
      <c r="H117" s="18">
        <f t="shared" si="9"/>
        <v>5.0620224324366213E-2</v>
      </c>
      <c r="I117" s="18">
        <f t="shared" si="10"/>
        <v>8.8330075307288355E-2</v>
      </c>
    </row>
    <row r="118" spans="1:9" ht="16.5" customHeight="1" x14ac:dyDescent="0.3">
      <c r="A118" s="2">
        <f>DATE(90,6,30)</f>
        <v>33054</v>
      </c>
      <c r="B118" s="3">
        <v>110601</v>
      </c>
      <c r="C118" s="3">
        <v>121706</v>
      </c>
      <c r="D118" s="3">
        <v>11105</v>
      </c>
      <c r="E118" s="16">
        <f t="shared" si="6"/>
        <v>1019137</v>
      </c>
      <c r="F118" s="16">
        <f t="shared" si="7"/>
        <v>1228261</v>
      </c>
      <c r="G118" s="16">
        <f t="shared" si="8"/>
        <v>209128</v>
      </c>
      <c r="H118" s="18">
        <f t="shared" si="9"/>
        <v>4.3231474126423884E-2</v>
      </c>
      <c r="I118" s="18">
        <f t="shared" si="10"/>
        <v>9.7137686531834355E-2</v>
      </c>
    </row>
    <row r="119" spans="1:9" ht="16.5" customHeight="1" x14ac:dyDescent="0.3">
      <c r="A119" s="2">
        <f>DATE(90,7,31)</f>
        <v>33085</v>
      </c>
      <c r="B119" s="3">
        <v>72329</v>
      </c>
      <c r="C119" s="3">
        <v>98253</v>
      </c>
      <c r="D119" s="3">
        <v>25924</v>
      </c>
      <c r="E119" s="16">
        <f t="shared" si="6"/>
        <v>1025275</v>
      </c>
      <c r="F119" s="16">
        <f t="shared" si="7"/>
        <v>1242086</v>
      </c>
      <c r="G119" s="16">
        <f t="shared" si="8"/>
        <v>216815</v>
      </c>
      <c r="H119" s="18">
        <f t="shared" si="9"/>
        <v>4.357513354178881E-2</v>
      </c>
      <c r="I119" s="18">
        <f t="shared" si="10"/>
        <v>0.10861635158377463</v>
      </c>
    </row>
    <row r="120" spans="1:9" ht="16.5" customHeight="1" x14ac:dyDescent="0.3">
      <c r="A120" s="2">
        <f>DATE(90,8,31)</f>
        <v>33116</v>
      </c>
      <c r="B120" s="3">
        <v>78462</v>
      </c>
      <c r="C120" s="3">
        <v>131181</v>
      </c>
      <c r="D120" s="3">
        <v>52719</v>
      </c>
      <c r="E120" s="16">
        <f t="shared" si="6"/>
        <v>1027601</v>
      </c>
      <c r="F120" s="16">
        <f t="shared" si="7"/>
        <v>1274981</v>
      </c>
      <c r="G120" s="16">
        <f t="shared" si="8"/>
        <v>247384</v>
      </c>
      <c r="H120" s="18">
        <f t="shared" si="9"/>
        <v>3.8809757281062666E-2</v>
      </c>
      <c r="I120" s="18">
        <f t="shared" si="10"/>
        <v>0.13209780405270416</v>
      </c>
    </row>
    <row r="121" spans="1:9" ht="16.5" customHeight="1" x14ac:dyDescent="0.3">
      <c r="A121" s="2">
        <f>DATE(90,9,30)</f>
        <v>33146</v>
      </c>
      <c r="B121" s="3">
        <v>102939</v>
      </c>
      <c r="C121" s="3">
        <v>82171</v>
      </c>
      <c r="D121" s="3">
        <v>-20768</v>
      </c>
      <c r="E121" s="16">
        <f t="shared" si="6"/>
        <v>1031307</v>
      </c>
      <c r="F121" s="16">
        <f t="shared" si="7"/>
        <v>1251774</v>
      </c>
      <c r="G121" s="16">
        <f t="shared" si="8"/>
        <v>220470</v>
      </c>
      <c r="H121" s="18">
        <f t="shared" si="9"/>
        <v>4.0987139409367712E-2</v>
      </c>
      <c r="I121" s="18">
        <f t="shared" si="10"/>
        <v>9.4188912781245082E-2</v>
      </c>
    </row>
    <row r="122" spans="1:9" ht="16.5" customHeight="1" x14ac:dyDescent="0.3">
      <c r="A122" s="2">
        <f>DATE(90,10,31)</f>
        <v>33177</v>
      </c>
      <c r="B122" s="3">
        <v>76986</v>
      </c>
      <c r="C122" s="3">
        <v>108350</v>
      </c>
      <c r="D122" s="3">
        <v>31364</v>
      </c>
      <c r="E122" s="16">
        <f t="shared" si="6"/>
        <v>1039873</v>
      </c>
      <c r="F122" s="16">
        <f t="shared" si="7"/>
        <v>1265621</v>
      </c>
      <c r="G122" s="16">
        <f t="shared" si="8"/>
        <v>225750</v>
      </c>
      <c r="H122" s="18">
        <f t="shared" si="9"/>
        <v>4.4532660197139438E-2</v>
      </c>
      <c r="I122" s="18">
        <f t="shared" si="10"/>
        <v>0.10251878153485909</v>
      </c>
    </row>
    <row r="123" spans="1:9" ht="16.5" customHeight="1" x14ac:dyDescent="0.3">
      <c r="A123" s="2">
        <f>DATE(90,11,30)</f>
        <v>33207</v>
      </c>
      <c r="B123" s="3">
        <v>70507</v>
      </c>
      <c r="C123" s="3">
        <v>118230</v>
      </c>
      <c r="D123" s="3">
        <v>47723</v>
      </c>
      <c r="E123" s="16">
        <f t="shared" si="6"/>
        <v>1039206</v>
      </c>
      <c r="F123" s="16">
        <f t="shared" si="7"/>
        <v>1282945</v>
      </c>
      <c r="G123" s="16">
        <f t="shared" si="8"/>
        <v>243741</v>
      </c>
      <c r="H123" s="18">
        <f t="shared" si="9"/>
        <v>3.6735459400249207E-2</v>
      </c>
      <c r="I123" s="18">
        <f t="shared" si="10"/>
        <v>0.11041725089408433</v>
      </c>
    </row>
    <row r="124" spans="1:9" ht="16.5" customHeight="1" x14ac:dyDescent="0.3">
      <c r="A124" s="2">
        <f>DATE(90,12,31)</f>
        <v>33238</v>
      </c>
      <c r="B124" s="3">
        <v>101900</v>
      </c>
      <c r="C124" s="3">
        <v>109287</v>
      </c>
      <c r="D124" s="3">
        <v>7387</v>
      </c>
      <c r="E124" s="16">
        <f t="shared" si="6"/>
        <v>1051984</v>
      </c>
      <c r="F124" s="16">
        <f t="shared" si="7"/>
        <v>1288339</v>
      </c>
      <c r="G124" s="16">
        <f t="shared" si="8"/>
        <v>236356</v>
      </c>
      <c r="H124" s="18">
        <f t="shared" si="9"/>
        <v>5.4250638873578193E-2</v>
      </c>
      <c r="I124" s="18">
        <f t="shared" si="10"/>
        <v>0.11755531440755226</v>
      </c>
    </row>
    <row r="125" spans="1:9" ht="16.5" customHeight="1" x14ac:dyDescent="0.3">
      <c r="A125" s="2">
        <f>DATE(91,1,31)</f>
        <v>33269</v>
      </c>
      <c r="B125" s="3">
        <v>100713</v>
      </c>
      <c r="C125" s="3">
        <v>99062</v>
      </c>
      <c r="D125" s="3">
        <v>-1650</v>
      </c>
      <c r="E125" s="16">
        <f t="shared" si="6"/>
        <v>1053173</v>
      </c>
      <c r="F125" s="16">
        <f t="shared" si="7"/>
        <v>1296159</v>
      </c>
      <c r="G125" s="16">
        <f t="shared" si="8"/>
        <v>242988</v>
      </c>
      <c r="H125" s="18">
        <f t="shared" si="9"/>
        <v>4.4744005364717461E-2</v>
      </c>
      <c r="I125" s="18">
        <f t="shared" si="10"/>
        <v>0.1197414889352703</v>
      </c>
    </row>
    <row r="126" spans="1:9" ht="16.5" customHeight="1" x14ac:dyDescent="0.3">
      <c r="A126" s="2">
        <f>DATE(91,2,28)</f>
        <v>33297</v>
      </c>
      <c r="B126" s="3">
        <v>67657</v>
      </c>
      <c r="C126" s="3">
        <v>93848</v>
      </c>
      <c r="D126" s="3">
        <v>26191</v>
      </c>
      <c r="E126" s="16">
        <f t="shared" si="6"/>
        <v>1055689</v>
      </c>
      <c r="F126" s="16">
        <f t="shared" si="7"/>
        <v>1289659</v>
      </c>
      <c r="G126" s="16">
        <f t="shared" si="8"/>
        <v>233972</v>
      </c>
      <c r="H126" s="18">
        <f t="shared" si="9"/>
        <v>4.3880622399417785E-2</v>
      </c>
      <c r="I126" s="18">
        <f t="shared" si="10"/>
        <v>0.10403627675320662</v>
      </c>
    </row>
    <row r="127" spans="1:9" ht="16.5" customHeight="1" x14ac:dyDescent="0.3">
      <c r="A127" s="2">
        <f>DATE(91,3,31)</f>
        <v>33328</v>
      </c>
      <c r="B127" s="3">
        <v>64805</v>
      </c>
      <c r="C127" s="3">
        <v>105978</v>
      </c>
      <c r="D127" s="3">
        <v>41173</v>
      </c>
      <c r="E127" s="16">
        <f t="shared" si="6"/>
        <v>1055689</v>
      </c>
      <c r="F127" s="16">
        <f t="shared" si="7"/>
        <v>1277509</v>
      </c>
      <c r="G127" s="16">
        <f t="shared" si="8"/>
        <v>221821</v>
      </c>
      <c r="H127" s="18">
        <f t="shared" si="9"/>
        <v>4.7401955726293563E-2</v>
      </c>
      <c r="I127" s="18">
        <f t="shared" si="10"/>
        <v>8.055513499020106E-2</v>
      </c>
    </row>
    <row r="128" spans="1:9" ht="16.5" customHeight="1" x14ac:dyDescent="0.3">
      <c r="A128" s="2">
        <f>DATE(91,4,30)</f>
        <v>33358</v>
      </c>
      <c r="B128" s="3">
        <v>140380</v>
      </c>
      <c r="C128" s="3">
        <v>110371</v>
      </c>
      <c r="D128" s="3">
        <v>-30009</v>
      </c>
      <c r="E128" s="16">
        <f t="shared" si="6"/>
        <v>1056465</v>
      </c>
      <c r="F128" s="16">
        <f t="shared" si="7"/>
        <v>1290105</v>
      </c>
      <c r="G128" s="16">
        <f t="shared" si="8"/>
        <v>233641</v>
      </c>
      <c r="H128" s="18">
        <f t="shared" si="9"/>
        <v>3.7149134518723301E-2</v>
      </c>
      <c r="I128" s="18">
        <f t="shared" si="10"/>
        <v>8.2476302830403192E-2</v>
      </c>
    </row>
    <row r="129" spans="1:9" ht="16.5" customHeight="1" x14ac:dyDescent="0.3">
      <c r="A129" s="2">
        <f>DATE(91,5,31)</f>
        <v>33389</v>
      </c>
      <c r="B129" s="3">
        <v>63560</v>
      </c>
      <c r="C129" s="3">
        <v>116926</v>
      </c>
      <c r="D129" s="3">
        <v>53367</v>
      </c>
      <c r="E129" s="16">
        <f t="shared" si="6"/>
        <v>1050839</v>
      </c>
      <c r="F129" s="16">
        <f t="shared" si="7"/>
        <v>1295363</v>
      </c>
      <c r="G129" s="16">
        <f t="shared" si="8"/>
        <v>244526</v>
      </c>
      <c r="H129" s="18">
        <f t="shared" si="9"/>
        <v>3.3491839474421831E-2</v>
      </c>
      <c r="I129" s="18">
        <f t="shared" si="10"/>
        <v>7.3191888445832257E-2</v>
      </c>
    </row>
    <row r="130" spans="1:9" ht="16.5" customHeight="1" x14ac:dyDescent="0.3">
      <c r="A130" s="2">
        <f>DATE(91,6,30)</f>
        <v>33419</v>
      </c>
      <c r="B130" s="3">
        <v>103389</v>
      </c>
      <c r="C130" s="3">
        <v>105968</v>
      </c>
      <c r="D130" s="3">
        <v>2579</v>
      </c>
      <c r="E130" s="16">
        <f t="shared" si="6"/>
        <v>1043627</v>
      </c>
      <c r="F130" s="16">
        <f t="shared" si="7"/>
        <v>1279625</v>
      </c>
      <c r="G130" s="16">
        <f t="shared" si="8"/>
        <v>236000</v>
      </c>
      <c r="H130" s="18">
        <f t="shared" si="9"/>
        <v>2.4030135300749555E-2</v>
      </c>
      <c r="I130" s="18">
        <f t="shared" si="10"/>
        <v>4.1818473435206359E-2</v>
      </c>
    </row>
    <row r="131" spans="1:9" ht="16.5" customHeight="1" x14ac:dyDescent="0.3">
      <c r="A131" s="2">
        <f>DATE(91,7,31)</f>
        <v>33450</v>
      </c>
      <c r="B131" s="3">
        <v>78593</v>
      </c>
      <c r="C131" s="3">
        <v>119424</v>
      </c>
      <c r="D131" s="3">
        <v>40831</v>
      </c>
      <c r="E131" s="16">
        <f t="shared" si="6"/>
        <v>1049891</v>
      </c>
      <c r="F131" s="16">
        <f t="shared" si="7"/>
        <v>1300796</v>
      </c>
      <c r="G131" s="16">
        <f t="shared" si="8"/>
        <v>250907</v>
      </c>
      <c r="H131" s="18">
        <f t="shared" si="9"/>
        <v>2.4009168271927044E-2</v>
      </c>
      <c r="I131" s="18">
        <f t="shared" si="10"/>
        <v>4.7267258466805039E-2</v>
      </c>
    </row>
    <row r="132" spans="1:9" ht="16.5" customHeight="1" x14ac:dyDescent="0.3">
      <c r="A132" s="2">
        <f>DATE(91,8,31)</f>
        <v>33481</v>
      </c>
      <c r="B132" s="3">
        <v>76426</v>
      </c>
      <c r="C132" s="3">
        <v>120075</v>
      </c>
      <c r="D132" s="3">
        <v>43649</v>
      </c>
      <c r="E132" s="16">
        <f t="shared" si="6"/>
        <v>1047855</v>
      </c>
      <c r="F132" s="16">
        <f t="shared" si="7"/>
        <v>1289690</v>
      </c>
      <c r="G132" s="16">
        <f t="shared" si="8"/>
        <v>241837</v>
      </c>
      <c r="H132" s="18">
        <f t="shared" si="9"/>
        <v>1.9709984711965053E-2</v>
      </c>
      <c r="I132" s="18">
        <f t="shared" si="10"/>
        <v>1.1536642506829514E-2</v>
      </c>
    </row>
    <row r="133" spans="1:9" ht="16.5" customHeight="1" x14ac:dyDescent="0.3">
      <c r="A133" s="2">
        <f>DATE(91,9,30)</f>
        <v>33511</v>
      </c>
      <c r="B133" s="3">
        <v>109350</v>
      </c>
      <c r="C133" s="3">
        <v>116237</v>
      </c>
      <c r="D133" s="3">
        <v>6887</v>
      </c>
      <c r="E133" s="16">
        <f t="shared" si="6"/>
        <v>1054266</v>
      </c>
      <c r="F133" s="16">
        <f t="shared" si="7"/>
        <v>1323756</v>
      </c>
      <c r="G133" s="16">
        <f t="shared" si="8"/>
        <v>269492</v>
      </c>
      <c r="H133" s="18">
        <f t="shared" si="9"/>
        <v>2.2262042243483271E-2</v>
      </c>
      <c r="I133" s="18">
        <f t="shared" si="10"/>
        <v>5.7503990336913849E-2</v>
      </c>
    </row>
    <row r="134" spans="1:9" ht="16.5" customHeight="1" x14ac:dyDescent="0.3">
      <c r="A134" s="2">
        <f>DATE(91,10,31)</f>
        <v>33542</v>
      </c>
      <c r="B134" s="3">
        <v>78065</v>
      </c>
      <c r="C134" s="3">
        <v>114659</v>
      </c>
      <c r="D134" s="3">
        <v>36594</v>
      </c>
      <c r="E134" s="16">
        <f t="shared" si="6"/>
        <v>1055345</v>
      </c>
      <c r="F134" s="16">
        <f t="shared" si="7"/>
        <v>1330065</v>
      </c>
      <c r="G134" s="16">
        <f t="shared" si="8"/>
        <v>274722</v>
      </c>
      <c r="H134" s="18">
        <f t="shared" si="9"/>
        <v>1.4878739999980767E-2</v>
      </c>
      <c r="I134" s="18">
        <f t="shared" si="10"/>
        <v>5.0918876978179088E-2</v>
      </c>
    </row>
    <row r="135" spans="1:9" ht="16.5" customHeight="1" x14ac:dyDescent="0.3">
      <c r="A135" s="2">
        <f>DATE(91,11,30)</f>
        <v>33572</v>
      </c>
      <c r="B135" s="3">
        <v>73095</v>
      </c>
      <c r="C135" s="3">
        <v>117779</v>
      </c>
      <c r="D135" s="3">
        <v>44684</v>
      </c>
      <c r="E135" s="16">
        <f t="shared" si="6"/>
        <v>1057933</v>
      </c>
      <c r="F135" s="16">
        <f t="shared" si="7"/>
        <v>1329614</v>
      </c>
      <c r="G135" s="16">
        <f t="shared" si="8"/>
        <v>271683</v>
      </c>
      <c r="H135" s="18">
        <f t="shared" si="9"/>
        <v>1.8020488719272212E-2</v>
      </c>
      <c r="I135" s="18">
        <f t="shared" si="10"/>
        <v>3.6376461968361855E-2</v>
      </c>
    </row>
    <row r="136" spans="1:9" ht="16.5" customHeight="1" x14ac:dyDescent="0.3">
      <c r="A136" s="2">
        <f>DATE(91,12,31)</f>
        <v>33603</v>
      </c>
      <c r="B136" s="3">
        <v>103636</v>
      </c>
      <c r="C136" s="3">
        <v>106170</v>
      </c>
      <c r="D136" s="3">
        <v>2534</v>
      </c>
      <c r="E136" s="16">
        <f t="shared" si="6"/>
        <v>1059669</v>
      </c>
      <c r="F136" s="16">
        <f t="shared" si="7"/>
        <v>1326497</v>
      </c>
      <c r="G136" s="16">
        <f t="shared" si="8"/>
        <v>266830</v>
      </c>
      <c r="H136" s="18">
        <f t="shared" si="9"/>
        <v>7.3052441862233647E-3</v>
      </c>
      <c r="I136" s="18">
        <f t="shared" si="10"/>
        <v>2.9617980981713664E-2</v>
      </c>
    </row>
    <row r="137" spans="1:9" ht="16.5" customHeight="1" x14ac:dyDescent="0.3">
      <c r="A137" s="2">
        <f>DATE(92,1,31)</f>
        <v>33634</v>
      </c>
      <c r="B137" s="3">
        <v>104031</v>
      </c>
      <c r="C137" s="3">
        <v>119699</v>
      </c>
      <c r="D137" s="3">
        <v>15668</v>
      </c>
      <c r="E137" s="16">
        <f t="shared" si="6"/>
        <v>1062987</v>
      </c>
      <c r="F137" s="16">
        <f t="shared" si="7"/>
        <v>1347134</v>
      </c>
      <c r="G137" s="16">
        <f t="shared" si="8"/>
        <v>284148</v>
      </c>
      <c r="H137" s="18">
        <f t="shared" si="9"/>
        <v>9.318507025911223E-3</v>
      </c>
      <c r="I137" s="18">
        <f t="shared" si="10"/>
        <v>3.9327736797723119E-2</v>
      </c>
    </row>
    <row r="138" spans="1:9" ht="16.5" customHeight="1" x14ac:dyDescent="0.3">
      <c r="A138" s="2">
        <f>DATE(92,2,28)</f>
        <v>33662</v>
      </c>
      <c r="B138" s="3">
        <v>62747</v>
      </c>
      <c r="C138" s="3">
        <v>111927</v>
      </c>
      <c r="D138" s="3">
        <v>49180</v>
      </c>
      <c r="E138" s="16">
        <f t="shared" si="6"/>
        <v>1058077</v>
      </c>
      <c r="F138" s="16">
        <f t="shared" si="7"/>
        <v>1365213</v>
      </c>
      <c r="G138" s="16">
        <f t="shared" si="8"/>
        <v>307137</v>
      </c>
      <c r="H138" s="18">
        <f t="shared" si="9"/>
        <v>2.2620298212825936E-3</v>
      </c>
      <c r="I138" s="18">
        <f t="shared" si="10"/>
        <v>5.8584478532697402E-2</v>
      </c>
    </row>
    <row r="139" spans="1:9" ht="16.5" customHeight="1" x14ac:dyDescent="0.3">
      <c r="A139" s="2">
        <f>DATE(92,3,31)</f>
        <v>33694</v>
      </c>
      <c r="B139" s="3">
        <v>72127</v>
      </c>
      <c r="C139" s="3">
        <v>122839</v>
      </c>
      <c r="D139" s="3">
        <v>50712</v>
      </c>
      <c r="E139" s="16">
        <f t="shared" si="6"/>
        <v>1065399</v>
      </c>
      <c r="F139" s="16">
        <f t="shared" si="7"/>
        <v>1382074</v>
      </c>
      <c r="G139" s="16">
        <f t="shared" si="8"/>
        <v>316676</v>
      </c>
      <c r="H139" s="18">
        <f t="shared" si="9"/>
        <v>9.197784574813227E-3</v>
      </c>
      <c r="I139" s="18">
        <f t="shared" si="10"/>
        <v>8.1850695376705765E-2</v>
      </c>
    </row>
    <row r="140" spans="1:9" ht="16.5" customHeight="1" x14ac:dyDescent="0.3">
      <c r="A140" s="2">
        <f>DATE(92,4,30)</f>
        <v>33724</v>
      </c>
      <c r="B140" s="3">
        <v>138351</v>
      </c>
      <c r="C140" s="3">
        <v>123748</v>
      </c>
      <c r="D140" s="3">
        <v>-14603</v>
      </c>
      <c r="E140" s="16">
        <f t="shared" si="6"/>
        <v>1063370</v>
      </c>
      <c r="F140" s="16">
        <f t="shared" si="7"/>
        <v>1395451</v>
      </c>
      <c r="G140" s="16">
        <f t="shared" si="8"/>
        <v>332082</v>
      </c>
      <c r="H140" s="18">
        <f t="shared" si="9"/>
        <v>6.5359477124183009E-3</v>
      </c>
      <c r="I140" s="18">
        <f t="shared" si="10"/>
        <v>8.165691939803349E-2</v>
      </c>
    </row>
    <row r="141" spans="1:9" ht="16.5" customHeight="1" x14ac:dyDescent="0.3">
      <c r="A141" s="2">
        <f>DATE(92,5,31)</f>
        <v>33755</v>
      </c>
      <c r="B141" s="3">
        <v>62184</v>
      </c>
      <c r="C141" s="3">
        <v>108957</v>
      </c>
      <c r="D141" s="3">
        <v>46773</v>
      </c>
      <c r="E141" s="16">
        <f t="shared" si="6"/>
        <v>1061994</v>
      </c>
      <c r="F141" s="16">
        <f t="shared" si="7"/>
        <v>1387482</v>
      </c>
      <c r="G141" s="16">
        <f t="shared" si="8"/>
        <v>325488</v>
      </c>
      <c r="H141" s="18">
        <f t="shared" si="9"/>
        <v>1.0615327371747718E-2</v>
      </c>
      <c r="I141" s="18">
        <f t="shared" si="10"/>
        <v>7.1114428928416198E-2</v>
      </c>
    </row>
    <row r="142" spans="1:9" ht="16.5" customHeight="1" x14ac:dyDescent="0.3">
      <c r="A142" s="2">
        <f>DATE(92,6,30)</f>
        <v>33785</v>
      </c>
      <c r="B142" s="3">
        <v>120878</v>
      </c>
      <c r="C142" s="3">
        <v>117096</v>
      </c>
      <c r="D142" s="3">
        <v>-3782</v>
      </c>
      <c r="E142" s="16">
        <f t="shared" si="6"/>
        <v>1079483</v>
      </c>
      <c r="F142" s="16">
        <f t="shared" si="7"/>
        <v>1398610</v>
      </c>
      <c r="G142" s="16">
        <f t="shared" si="8"/>
        <v>319127</v>
      </c>
      <c r="H142" s="18">
        <f t="shared" si="9"/>
        <v>3.4357102681321965E-2</v>
      </c>
      <c r="I142" s="18">
        <f t="shared" si="10"/>
        <v>9.2984272736153173E-2</v>
      </c>
    </row>
    <row r="143" spans="1:9" ht="16.5" customHeight="1" x14ac:dyDescent="0.3">
      <c r="A143" s="2">
        <f>DATE(92,7,31)</f>
        <v>33816</v>
      </c>
      <c r="B143" s="3">
        <v>79050</v>
      </c>
      <c r="C143" s="3">
        <v>122197</v>
      </c>
      <c r="D143" s="3">
        <v>43147</v>
      </c>
      <c r="E143" s="16">
        <f t="shared" si="6"/>
        <v>1079940</v>
      </c>
      <c r="F143" s="16">
        <f t="shared" si="7"/>
        <v>1401383</v>
      </c>
      <c r="G143" s="16">
        <f t="shared" si="8"/>
        <v>321443</v>
      </c>
      <c r="H143" s="18">
        <f t="shared" si="9"/>
        <v>2.8621066377366795E-2</v>
      </c>
      <c r="I143" s="18">
        <f t="shared" si="10"/>
        <v>7.7327267304019995E-2</v>
      </c>
    </row>
    <row r="144" spans="1:9" ht="16.5" customHeight="1" x14ac:dyDescent="0.3">
      <c r="A144" s="2">
        <f>DATE(92,8,31)</f>
        <v>33847</v>
      </c>
      <c r="B144" s="3">
        <v>78101</v>
      </c>
      <c r="C144" s="3">
        <v>102843</v>
      </c>
      <c r="D144" s="3">
        <v>24742</v>
      </c>
      <c r="E144" s="16">
        <f t="shared" si="6"/>
        <v>1081615</v>
      </c>
      <c r="F144" s="16">
        <f t="shared" si="7"/>
        <v>1384151</v>
      </c>
      <c r="G144" s="16">
        <f t="shared" si="8"/>
        <v>302536</v>
      </c>
      <c r="H144" s="18">
        <f t="shared" si="9"/>
        <v>3.2218198128557862E-2</v>
      </c>
      <c r="I144" s="18">
        <f t="shared" si="10"/>
        <v>7.3243182470206017E-2</v>
      </c>
    </row>
    <row r="145" spans="1:9" ht="16.5" customHeight="1" x14ac:dyDescent="0.3">
      <c r="A145" s="2">
        <f>DATE(92,9,30)</f>
        <v>33877</v>
      </c>
      <c r="B145" s="3">
        <v>118189</v>
      </c>
      <c r="C145" s="3">
        <v>112879</v>
      </c>
      <c r="D145" s="3">
        <v>-5310</v>
      </c>
      <c r="E145" s="16">
        <f t="shared" ref="E145:E208" si="11">SUM(B134:B145)</f>
        <v>1090454</v>
      </c>
      <c r="F145" s="16">
        <f t="shared" ref="F145:F208" si="12">SUM(C134:C145)</f>
        <v>1380793</v>
      </c>
      <c r="G145" s="16">
        <f t="shared" ref="G145:G208" si="13">SUM(D134:D145)</f>
        <v>290339</v>
      </c>
      <c r="H145" s="18">
        <f t="shared" si="9"/>
        <v>3.4325303101873719E-2</v>
      </c>
      <c r="I145" s="18">
        <f t="shared" si="10"/>
        <v>4.3087245685760819E-2</v>
      </c>
    </row>
    <row r="146" spans="1:9" ht="16.5" customHeight="1" x14ac:dyDescent="0.3">
      <c r="A146" s="2">
        <f>DATE(92,10,31)</f>
        <v>33908</v>
      </c>
      <c r="B146" s="3">
        <v>76829</v>
      </c>
      <c r="C146" s="3">
        <v>125620</v>
      </c>
      <c r="D146" s="3">
        <v>48792</v>
      </c>
      <c r="E146" s="16">
        <f t="shared" si="11"/>
        <v>1089218</v>
      </c>
      <c r="F146" s="16">
        <f t="shared" si="12"/>
        <v>1391754</v>
      </c>
      <c r="G146" s="16">
        <f t="shared" si="13"/>
        <v>302537</v>
      </c>
      <c r="H146" s="18">
        <f t="shared" si="9"/>
        <v>3.2096612955952793E-2</v>
      </c>
      <c r="I146" s="18">
        <f t="shared" si="10"/>
        <v>4.6380440053681589E-2</v>
      </c>
    </row>
    <row r="147" spans="1:9" ht="16.5" customHeight="1" x14ac:dyDescent="0.3">
      <c r="A147" s="2">
        <f>DATE(92,11,30)</f>
        <v>33938</v>
      </c>
      <c r="B147" s="3">
        <v>74629</v>
      </c>
      <c r="C147" s="3">
        <v>107355</v>
      </c>
      <c r="D147" s="3">
        <v>32726</v>
      </c>
      <c r="E147" s="16">
        <f t="shared" si="11"/>
        <v>1090752</v>
      </c>
      <c r="F147" s="16">
        <f t="shared" si="12"/>
        <v>1381330</v>
      </c>
      <c r="G147" s="16">
        <f t="shared" si="13"/>
        <v>290579</v>
      </c>
      <c r="H147" s="18">
        <f t="shared" si="9"/>
        <v>3.1021813290633717E-2</v>
      </c>
      <c r="I147" s="18">
        <f t="shared" si="10"/>
        <v>3.8895498994445006E-2</v>
      </c>
    </row>
    <row r="148" spans="1:9" ht="16.5" customHeight="1" x14ac:dyDescent="0.3">
      <c r="A148" s="2">
        <f>DATE(92,12,31)</f>
        <v>33969</v>
      </c>
      <c r="B148" s="3">
        <v>113686</v>
      </c>
      <c r="C148" s="3">
        <v>152633</v>
      </c>
      <c r="D148" s="3">
        <v>38947</v>
      </c>
      <c r="E148" s="16">
        <f t="shared" si="11"/>
        <v>1100802</v>
      </c>
      <c r="F148" s="16">
        <f t="shared" si="12"/>
        <v>1427793</v>
      </c>
      <c r="G148" s="16">
        <f t="shared" si="13"/>
        <v>326992</v>
      </c>
      <c r="H148" s="18">
        <f t="shared" si="9"/>
        <v>3.8816838088119969E-2</v>
      </c>
      <c r="I148" s="18">
        <f t="shared" si="10"/>
        <v>7.6363534934492883E-2</v>
      </c>
    </row>
    <row r="149" spans="1:9" ht="16.5" customHeight="1" x14ac:dyDescent="0.3">
      <c r="A149" s="2">
        <f>DATE(93,1,31)</f>
        <v>34000</v>
      </c>
      <c r="B149" s="3">
        <v>112716</v>
      </c>
      <c r="C149" s="3">
        <v>82899</v>
      </c>
      <c r="D149" s="3">
        <v>-29817</v>
      </c>
      <c r="E149" s="16">
        <f t="shared" si="11"/>
        <v>1109487</v>
      </c>
      <c r="F149" s="16">
        <f t="shared" si="12"/>
        <v>1390993</v>
      </c>
      <c r="G149" s="16">
        <f t="shared" si="13"/>
        <v>281507</v>
      </c>
      <c r="H149" s="18">
        <f t="shared" si="9"/>
        <v>4.3744655390893776E-2</v>
      </c>
      <c r="I149" s="18">
        <f t="shared" si="10"/>
        <v>3.2557266018079865E-2</v>
      </c>
    </row>
    <row r="150" spans="1:9" ht="16.5" customHeight="1" x14ac:dyDescent="0.3">
      <c r="A150" s="2">
        <f>DATE(93,2,28)</f>
        <v>34028</v>
      </c>
      <c r="B150" s="3">
        <v>65979</v>
      </c>
      <c r="C150" s="3">
        <v>114477</v>
      </c>
      <c r="D150" s="3">
        <v>48498</v>
      </c>
      <c r="E150" s="16">
        <f t="shared" si="11"/>
        <v>1112719</v>
      </c>
      <c r="F150" s="16">
        <f t="shared" si="12"/>
        <v>1393543</v>
      </c>
      <c r="G150" s="16">
        <f t="shared" si="13"/>
        <v>280825</v>
      </c>
      <c r="H150" s="18">
        <f t="shared" si="9"/>
        <v>5.1642744337132361E-2</v>
      </c>
      <c r="I150" s="18">
        <f t="shared" si="10"/>
        <v>2.0751340633293119E-2</v>
      </c>
    </row>
    <row r="151" spans="1:9" ht="16.5" customHeight="1" x14ac:dyDescent="0.3">
      <c r="A151" s="2">
        <f>DATE(93,3,31)</f>
        <v>34059</v>
      </c>
      <c r="B151" s="3">
        <v>83288</v>
      </c>
      <c r="C151" s="3">
        <v>127263</v>
      </c>
      <c r="D151" s="3">
        <v>43974</v>
      </c>
      <c r="E151" s="16">
        <f t="shared" si="11"/>
        <v>1123880</v>
      </c>
      <c r="F151" s="16">
        <f t="shared" si="12"/>
        <v>1397967</v>
      </c>
      <c r="G151" s="16">
        <f t="shared" si="13"/>
        <v>274087</v>
      </c>
      <c r="H151" s="18">
        <f t="shared" si="9"/>
        <v>5.4891172227494116E-2</v>
      </c>
      <c r="I151" s="18">
        <f t="shared" si="10"/>
        <v>1.1499384258729995E-2</v>
      </c>
    </row>
    <row r="152" spans="1:9" ht="16.5" customHeight="1" x14ac:dyDescent="0.3">
      <c r="A152" s="2">
        <f>DATE(93,4,30)</f>
        <v>34089</v>
      </c>
      <c r="B152" s="3">
        <v>132017</v>
      </c>
      <c r="C152" s="3">
        <v>124200</v>
      </c>
      <c r="D152" s="3">
        <v>-7817</v>
      </c>
      <c r="E152" s="16">
        <f t="shared" si="11"/>
        <v>1117546</v>
      </c>
      <c r="F152" s="16">
        <f t="shared" si="12"/>
        <v>1398419</v>
      </c>
      <c r="G152" s="16">
        <f t="shared" si="13"/>
        <v>280873</v>
      </c>
      <c r="H152" s="18">
        <f t="shared" si="9"/>
        <v>5.094745949199244E-2</v>
      </c>
      <c r="I152" s="18">
        <f t="shared" si="10"/>
        <v>2.1269109413372452E-3</v>
      </c>
    </row>
    <row r="153" spans="1:9" ht="16.5" customHeight="1" x14ac:dyDescent="0.3">
      <c r="A153" s="2">
        <f>DATE(93,5,31)</f>
        <v>34120</v>
      </c>
      <c r="B153" s="3">
        <v>70642</v>
      </c>
      <c r="C153" s="3">
        <v>107605</v>
      </c>
      <c r="D153" s="3">
        <v>36963</v>
      </c>
      <c r="E153" s="16">
        <f t="shared" si="11"/>
        <v>1126004</v>
      </c>
      <c r="F153" s="16">
        <f t="shared" si="12"/>
        <v>1397067</v>
      </c>
      <c r="G153" s="16">
        <f t="shared" si="13"/>
        <v>271063</v>
      </c>
      <c r="H153" s="18">
        <f t="shared" si="9"/>
        <v>6.0273410207590625E-2</v>
      </c>
      <c r="I153" s="18">
        <f t="shared" si="10"/>
        <v>6.9081977279705246E-3</v>
      </c>
    </row>
    <row r="154" spans="1:9" ht="16.5" customHeight="1" x14ac:dyDescent="0.3">
      <c r="A154" s="2">
        <f>DATE(93,6,30)</f>
        <v>34150</v>
      </c>
      <c r="B154" s="3">
        <v>128570</v>
      </c>
      <c r="C154" s="3">
        <v>117471</v>
      </c>
      <c r="D154" s="3">
        <v>-11099</v>
      </c>
      <c r="E154" s="16">
        <f t="shared" si="11"/>
        <v>1133696</v>
      </c>
      <c r="F154" s="16">
        <f t="shared" si="12"/>
        <v>1397442</v>
      </c>
      <c r="G154" s="16">
        <f t="shared" si="13"/>
        <v>263746</v>
      </c>
      <c r="H154" s="18">
        <f t="shared" si="9"/>
        <v>5.0221263326981527E-2</v>
      </c>
      <c r="I154" s="18">
        <f t="shared" si="10"/>
        <v>-8.3511486404358611E-4</v>
      </c>
    </row>
    <row r="155" spans="1:9" ht="16.5" customHeight="1" x14ac:dyDescent="0.3">
      <c r="A155" s="2">
        <f>DATE(93,7,31)</f>
        <v>34181</v>
      </c>
      <c r="B155" s="3">
        <v>80630</v>
      </c>
      <c r="C155" s="3">
        <v>120207</v>
      </c>
      <c r="D155" s="3">
        <v>39577</v>
      </c>
      <c r="E155" s="16">
        <f t="shared" si="11"/>
        <v>1135276</v>
      </c>
      <c r="F155" s="16">
        <f t="shared" si="12"/>
        <v>1395452</v>
      </c>
      <c r="G155" s="16">
        <f t="shared" si="13"/>
        <v>260176</v>
      </c>
      <c r="H155" s="18">
        <f t="shared" si="9"/>
        <v>5.1239883697242437E-2</v>
      </c>
      <c r="I155" s="18">
        <f t="shared" si="10"/>
        <v>-4.232247715292679E-3</v>
      </c>
    </row>
    <row r="156" spans="1:9" ht="16.5" customHeight="1" x14ac:dyDescent="0.3">
      <c r="A156" s="2">
        <f>DATE(93,8,31)</f>
        <v>34212</v>
      </c>
      <c r="B156" s="3">
        <v>86737</v>
      </c>
      <c r="C156" s="3">
        <v>109815</v>
      </c>
      <c r="D156" s="3">
        <v>23078</v>
      </c>
      <c r="E156" s="16">
        <f t="shared" si="11"/>
        <v>1143912</v>
      </c>
      <c r="F156" s="16">
        <f t="shared" si="12"/>
        <v>1402424</v>
      </c>
      <c r="G156" s="16">
        <f t="shared" si="13"/>
        <v>258512</v>
      </c>
      <c r="H156" s="18">
        <f t="shared" ref="H156:H219" si="14">(E156-E144)/E144</f>
        <v>5.7596279637394082E-2</v>
      </c>
      <c r="I156" s="18">
        <f t="shared" ref="I156:I219" si="15">(F156-F144)/F144</f>
        <v>1.3201594334722152E-2</v>
      </c>
    </row>
    <row r="157" spans="1:9" ht="16.5" customHeight="1" x14ac:dyDescent="0.3">
      <c r="A157" s="2">
        <f>DATE(93,9,30)</f>
        <v>34242</v>
      </c>
      <c r="B157" s="3">
        <v>127504</v>
      </c>
      <c r="C157" s="3">
        <v>118987</v>
      </c>
      <c r="D157" s="3">
        <v>-8517</v>
      </c>
      <c r="E157" s="16">
        <f t="shared" si="11"/>
        <v>1153227</v>
      </c>
      <c r="F157" s="16">
        <f t="shared" si="12"/>
        <v>1408532</v>
      </c>
      <c r="G157" s="16">
        <f t="shared" si="13"/>
        <v>255305</v>
      </c>
      <c r="H157" s="18">
        <f t="shared" si="14"/>
        <v>5.7565931254321592E-2</v>
      </c>
      <c r="I157" s="18">
        <f t="shared" si="15"/>
        <v>2.0089180637503232E-2</v>
      </c>
    </row>
    <row r="158" spans="1:9" ht="16.5" customHeight="1" x14ac:dyDescent="0.3">
      <c r="A158" s="2">
        <f>DATE(93,10,31)</f>
        <v>34273</v>
      </c>
      <c r="B158" s="3">
        <v>78662</v>
      </c>
      <c r="C158" s="3">
        <v>124085</v>
      </c>
      <c r="D158" s="3">
        <v>45422</v>
      </c>
      <c r="E158" s="16">
        <f t="shared" si="11"/>
        <v>1155060</v>
      </c>
      <c r="F158" s="16">
        <f t="shared" si="12"/>
        <v>1406997</v>
      </c>
      <c r="G158" s="16">
        <f t="shared" si="13"/>
        <v>251935</v>
      </c>
      <c r="H158" s="18">
        <f t="shared" si="14"/>
        <v>6.0448872493844209E-2</v>
      </c>
      <c r="I158" s="18">
        <f t="shared" si="15"/>
        <v>1.0952366582025272E-2</v>
      </c>
    </row>
    <row r="159" spans="1:9" ht="16.5" customHeight="1" x14ac:dyDescent="0.3">
      <c r="A159" s="2">
        <f>DATE(93,11,30)</f>
        <v>34303</v>
      </c>
      <c r="B159" s="3">
        <v>83102</v>
      </c>
      <c r="C159" s="3">
        <v>121483</v>
      </c>
      <c r="D159" s="3">
        <v>38381</v>
      </c>
      <c r="E159" s="16">
        <f t="shared" si="11"/>
        <v>1163533</v>
      </c>
      <c r="F159" s="16">
        <f t="shared" si="12"/>
        <v>1421125</v>
      </c>
      <c r="G159" s="16">
        <f t="shared" si="13"/>
        <v>257590</v>
      </c>
      <c r="H159" s="18">
        <f t="shared" si="14"/>
        <v>6.6725525142287162E-2</v>
      </c>
      <c r="I159" s="18">
        <f t="shared" si="15"/>
        <v>2.8809191141870517E-2</v>
      </c>
    </row>
    <row r="160" spans="1:9" ht="16.5" customHeight="1" x14ac:dyDescent="0.3">
      <c r="A160" s="2">
        <f>DATE(93,12,31)</f>
        <v>34334</v>
      </c>
      <c r="B160" s="3">
        <v>125403</v>
      </c>
      <c r="C160" s="3">
        <v>133108</v>
      </c>
      <c r="D160" s="3">
        <v>7705</v>
      </c>
      <c r="E160" s="16">
        <f t="shared" si="11"/>
        <v>1175250</v>
      </c>
      <c r="F160" s="16">
        <f t="shared" si="12"/>
        <v>1401600</v>
      </c>
      <c r="G160" s="16">
        <f t="shared" si="13"/>
        <v>226348</v>
      </c>
      <c r="H160" s="18">
        <f t="shared" si="14"/>
        <v>6.7630691077959521E-2</v>
      </c>
      <c r="I160" s="18">
        <f t="shared" si="15"/>
        <v>-1.8345096242942779E-2</v>
      </c>
    </row>
    <row r="161" spans="1:9" ht="16.5" customHeight="1" x14ac:dyDescent="0.3">
      <c r="A161" s="2">
        <f>DATE(94,1,31)</f>
        <v>34365</v>
      </c>
      <c r="B161" s="3">
        <v>122961</v>
      </c>
      <c r="C161" s="3">
        <v>107713</v>
      </c>
      <c r="D161" s="3">
        <v>-15248</v>
      </c>
      <c r="E161" s="16">
        <f t="shared" si="11"/>
        <v>1185495</v>
      </c>
      <c r="F161" s="16">
        <f t="shared" si="12"/>
        <v>1426414</v>
      </c>
      <c r="G161" s="16">
        <f t="shared" si="13"/>
        <v>240917</v>
      </c>
      <c r="H161" s="18">
        <f t="shared" si="14"/>
        <v>6.8507337174748328E-2</v>
      </c>
      <c r="I161" s="18">
        <f t="shared" si="15"/>
        <v>2.5464542237092495E-2</v>
      </c>
    </row>
    <row r="162" spans="1:9" ht="16.5" customHeight="1" x14ac:dyDescent="0.3">
      <c r="A162" s="2">
        <f>DATE(94,2,28)</f>
        <v>34393</v>
      </c>
      <c r="B162" s="3">
        <v>73186</v>
      </c>
      <c r="C162" s="3">
        <v>114752</v>
      </c>
      <c r="D162" s="3">
        <v>41566</v>
      </c>
      <c r="E162" s="16">
        <f t="shared" si="11"/>
        <v>1192702</v>
      </c>
      <c r="F162" s="16">
        <f t="shared" si="12"/>
        <v>1426689</v>
      </c>
      <c r="G162" s="16">
        <f t="shared" si="13"/>
        <v>233985</v>
      </c>
      <c r="H162" s="18">
        <f t="shared" si="14"/>
        <v>7.1880681465850763E-2</v>
      </c>
      <c r="I162" s="18">
        <f t="shared" si="15"/>
        <v>2.3785416022325825E-2</v>
      </c>
    </row>
    <row r="163" spans="1:9" ht="16.5" customHeight="1" x14ac:dyDescent="0.3">
      <c r="A163" s="2">
        <f>DATE(94,3,31)</f>
        <v>34424</v>
      </c>
      <c r="B163" s="3">
        <v>93107</v>
      </c>
      <c r="C163" s="3">
        <v>125422</v>
      </c>
      <c r="D163" s="3">
        <v>32315</v>
      </c>
      <c r="E163" s="16">
        <f t="shared" si="11"/>
        <v>1202521</v>
      </c>
      <c r="F163" s="16">
        <f t="shared" si="12"/>
        <v>1424848</v>
      </c>
      <c r="G163" s="16">
        <f t="shared" si="13"/>
        <v>222326</v>
      </c>
      <c r="H163" s="18">
        <f t="shared" si="14"/>
        <v>6.9972772893903259E-2</v>
      </c>
      <c r="I163" s="18">
        <f t="shared" si="15"/>
        <v>1.9228637013606185E-2</v>
      </c>
    </row>
    <row r="164" spans="1:9" ht="16.5" customHeight="1" x14ac:dyDescent="0.3">
      <c r="A164" s="2">
        <f>DATE(94,4,30)</f>
        <v>34454</v>
      </c>
      <c r="B164" s="3">
        <v>141321</v>
      </c>
      <c r="C164" s="3">
        <v>123867</v>
      </c>
      <c r="D164" s="3">
        <v>-17454</v>
      </c>
      <c r="E164" s="16">
        <f t="shared" si="11"/>
        <v>1211825</v>
      </c>
      <c r="F164" s="16">
        <f t="shared" si="12"/>
        <v>1424515</v>
      </c>
      <c r="G164" s="16">
        <f t="shared" si="13"/>
        <v>212689</v>
      </c>
      <c r="H164" s="18">
        <f t="shared" si="14"/>
        <v>8.4362522884964014E-2</v>
      </c>
      <c r="I164" s="18">
        <f t="shared" si="15"/>
        <v>1.866107368392449E-2</v>
      </c>
    </row>
    <row r="165" spans="1:9" ht="16.5" customHeight="1" x14ac:dyDescent="0.3">
      <c r="A165" s="2">
        <f>DATE(94,5,31)</f>
        <v>34485</v>
      </c>
      <c r="B165" s="3">
        <v>83541</v>
      </c>
      <c r="C165" s="3">
        <v>115597</v>
      </c>
      <c r="D165" s="3">
        <v>32057</v>
      </c>
      <c r="E165" s="16">
        <f t="shared" si="11"/>
        <v>1224724</v>
      </c>
      <c r="F165" s="16">
        <f t="shared" si="12"/>
        <v>1432507</v>
      </c>
      <c r="G165" s="16">
        <f t="shared" si="13"/>
        <v>207783</v>
      </c>
      <c r="H165" s="18">
        <f t="shared" si="14"/>
        <v>8.7672867947183139E-2</v>
      </c>
      <c r="I165" s="18">
        <f t="shared" si="15"/>
        <v>2.5367430481143712E-2</v>
      </c>
    </row>
    <row r="166" spans="1:9" ht="16.5" customHeight="1" x14ac:dyDescent="0.3">
      <c r="A166" s="2">
        <f>DATE(94,6,30)</f>
        <v>34515</v>
      </c>
      <c r="B166" s="3">
        <v>138119</v>
      </c>
      <c r="C166" s="3">
        <v>123269</v>
      </c>
      <c r="D166" s="3">
        <v>-14850</v>
      </c>
      <c r="E166" s="16">
        <f t="shared" si="11"/>
        <v>1234273</v>
      </c>
      <c r="F166" s="16">
        <f t="shared" si="12"/>
        <v>1438305</v>
      </c>
      <c r="G166" s="16">
        <f t="shared" si="13"/>
        <v>204032</v>
      </c>
      <c r="H166" s="18">
        <f t="shared" si="14"/>
        <v>8.8716022637461894E-2</v>
      </c>
      <c r="I166" s="18">
        <f t="shared" si="15"/>
        <v>2.9241285148149262E-2</v>
      </c>
    </row>
    <row r="167" spans="1:9" ht="16.5" customHeight="1" x14ac:dyDescent="0.3">
      <c r="A167" s="2">
        <f>DATE(94,7,31)</f>
        <v>34546</v>
      </c>
      <c r="B167" s="3">
        <v>84822</v>
      </c>
      <c r="C167" s="3">
        <v>118020</v>
      </c>
      <c r="D167" s="3">
        <v>33198</v>
      </c>
      <c r="E167" s="16">
        <f t="shared" si="11"/>
        <v>1238465</v>
      </c>
      <c r="F167" s="16">
        <f t="shared" si="12"/>
        <v>1436118</v>
      </c>
      <c r="G167" s="16">
        <f t="shared" si="13"/>
        <v>197653</v>
      </c>
      <c r="H167" s="18">
        <f t="shared" si="14"/>
        <v>9.0893315810428477E-2</v>
      </c>
      <c r="I167" s="18">
        <f t="shared" si="15"/>
        <v>2.9141812115357605E-2</v>
      </c>
    </row>
    <row r="168" spans="1:9" ht="16.5" customHeight="1" x14ac:dyDescent="0.3">
      <c r="A168" s="2">
        <f>DATE(94,8,31)</f>
        <v>34577</v>
      </c>
      <c r="B168" s="3">
        <v>97333</v>
      </c>
      <c r="C168" s="3">
        <v>121608</v>
      </c>
      <c r="D168" s="3">
        <v>24275</v>
      </c>
      <c r="E168" s="16">
        <f t="shared" si="11"/>
        <v>1249061</v>
      </c>
      <c r="F168" s="16">
        <f t="shared" si="12"/>
        <v>1447911</v>
      </c>
      <c r="G168" s="16">
        <f t="shared" si="13"/>
        <v>198850</v>
      </c>
      <c r="H168" s="18">
        <f t="shared" si="14"/>
        <v>9.1920532348642198E-2</v>
      </c>
      <c r="I168" s="18">
        <f t="shared" si="15"/>
        <v>3.2434556168462601E-2</v>
      </c>
    </row>
    <row r="169" spans="1:9" ht="16.5" customHeight="1" x14ac:dyDescent="0.3">
      <c r="A169" s="2">
        <f>DATE(94,9,30)</f>
        <v>34607</v>
      </c>
      <c r="B169" s="3">
        <v>135894</v>
      </c>
      <c r="C169" s="3">
        <v>131628</v>
      </c>
      <c r="D169" s="3">
        <v>-4266</v>
      </c>
      <c r="E169" s="16">
        <f t="shared" si="11"/>
        <v>1257451</v>
      </c>
      <c r="F169" s="16">
        <f t="shared" si="12"/>
        <v>1460552</v>
      </c>
      <c r="G169" s="16">
        <f t="shared" si="13"/>
        <v>203101</v>
      </c>
      <c r="H169" s="18">
        <f t="shared" si="14"/>
        <v>9.0375962408094854E-2</v>
      </c>
      <c r="I169" s="18">
        <f t="shared" si="15"/>
        <v>3.6932068281018818E-2</v>
      </c>
    </row>
    <row r="170" spans="1:9" ht="16.5" customHeight="1" x14ac:dyDescent="0.3">
      <c r="A170" s="2">
        <f>DATE(94,10,31)</f>
        <v>34638</v>
      </c>
      <c r="B170" s="3">
        <v>89098</v>
      </c>
      <c r="C170" s="3">
        <v>120441</v>
      </c>
      <c r="D170" s="3">
        <v>31343</v>
      </c>
      <c r="E170" s="16">
        <f t="shared" si="11"/>
        <v>1267887</v>
      </c>
      <c r="F170" s="16">
        <f t="shared" si="12"/>
        <v>1456908</v>
      </c>
      <c r="G170" s="16">
        <f t="shared" si="13"/>
        <v>189022</v>
      </c>
      <c r="H170" s="18">
        <f t="shared" si="14"/>
        <v>9.7680639966754967E-2</v>
      </c>
      <c r="I170" s="18">
        <f t="shared" si="15"/>
        <v>3.5473423184271179E-2</v>
      </c>
    </row>
    <row r="171" spans="1:9" ht="16.5" customHeight="1" x14ac:dyDescent="0.3">
      <c r="A171" s="2">
        <f>DATE(94,11,30)</f>
        <v>34668</v>
      </c>
      <c r="B171" s="11">
        <v>87748</v>
      </c>
      <c r="C171" s="11">
        <v>124991</v>
      </c>
      <c r="D171" s="11">
        <v>37243</v>
      </c>
      <c r="E171" s="16">
        <f t="shared" si="11"/>
        <v>1272533</v>
      </c>
      <c r="F171" s="16">
        <f t="shared" si="12"/>
        <v>1460416</v>
      </c>
      <c r="G171" s="16">
        <f t="shared" si="13"/>
        <v>187884</v>
      </c>
      <c r="H171" s="18">
        <f t="shared" si="14"/>
        <v>9.3680196436199056E-2</v>
      </c>
      <c r="I171" s="18">
        <f t="shared" si="15"/>
        <v>2.7647814231682645E-2</v>
      </c>
    </row>
    <row r="172" spans="1:9" ht="16.5" customHeight="1" x14ac:dyDescent="0.3">
      <c r="A172" s="2">
        <f>DATE(94,12,31)</f>
        <v>34699</v>
      </c>
      <c r="B172" s="3">
        <v>130886</v>
      </c>
      <c r="C172" s="3">
        <v>135689</v>
      </c>
      <c r="D172" s="3">
        <v>4803</v>
      </c>
      <c r="E172" s="16">
        <f t="shared" si="11"/>
        <v>1278016</v>
      </c>
      <c r="F172" s="16">
        <f t="shared" si="12"/>
        <v>1462997</v>
      </c>
      <c r="G172" s="16">
        <f t="shared" si="13"/>
        <v>184982</v>
      </c>
      <c r="H172" s="18">
        <f t="shared" si="14"/>
        <v>8.7441820889172517E-2</v>
      </c>
      <c r="I172" s="18">
        <f t="shared" si="15"/>
        <v>4.3804937214611872E-2</v>
      </c>
    </row>
    <row r="173" spans="1:9" ht="16.5" customHeight="1" x14ac:dyDescent="0.3">
      <c r="A173" s="2">
        <f>DATE(95,1,31)</f>
        <v>34730</v>
      </c>
      <c r="B173" s="3">
        <v>131877</v>
      </c>
      <c r="C173" s="3">
        <v>116243</v>
      </c>
      <c r="D173" s="3">
        <v>-15634</v>
      </c>
      <c r="E173" s="16">
        <f t="shared" si="11"/>
        <v>1286932</v>
      </c>
      <c r="F173" s="16">
        <f t="shared" si="12"/>
        <v>1471527</v>
      </c>
      <c r="G173" s="16">
        <f t="shared" si="13"/>
        <v>184596</v>
      </c>
      <c r="H173" s="18">
        <f t="shared" si="14"/>
        <v>8.5565101497686619E-2</v>
      </c>
      <c r="I173" s="18">
        <f t="shared" si="15"/>
        <v>3.1626862888333961E-2</v>
      </c>
    </row>
    <row r="174" spans="1:9" ht="16.5" customHeight="1" x14ac:dyDescent="0.3">
      <c r="A174" s="2">
        <f>DATE(95,2,28)</f>
        <v>34758</v>
      </c>
      <c r="B174" s="3">
        <v>82620</v>
      </c>
      <c r="C174" s="3">
        <v>120977</v>
      </c>
      <c r="D174" s="3">
        <v>38357</v>
      </c>
      <c r="E174" s="16">
        <f t="shared" si="11"/>
        <v>1296366</v>
      </c>
      <c r="F174" s="16">
        <f t="shared" si="12"/>
        <v>1477752</v>
      </c>
      <c r="G174" s="16">
        <f t="shared" si="13"/>
        <v>181387</v>
      </c>
      <c r="H174" s="18">
        <f t="shared" si="14"/>
        <v>8.6915256283631614E-2</v>
      </c>
      <c r="I174" s="18">
        <f t="shared" si="15"/>
        <v>3.5791262146129953E-2</v>
      </c>
    </row>
    <row r="175" spans="1:9" ht="16.5" customHeight="1" x14ac:dyDescent="0.3">
      <c r="A175" s="2">
        <f>DATE(95,3,31)</f>
        <v>34789</v>
      </c>
      <c r="B175" s="3">
        <v>92608</v>
      </c>
      <c r="C175" s="3">
        <v>143152</v>
      </c>
      <c r="D175" s="3">
        <v>50544</v>
      </c>
      <c r="E175" s="16">
        <f t="shared" si="11"/>
        <v>1295867</v>
      </c>
      <c r="F175" s="16">
        <f t="shared" si="12"/>
        <v>1495482</v>
      </c>
      <c r="G175" s="16">
        <f t="shared" si="13"/>
        <v>199616</v>
      </c>
      <c r="H175" s="18">
        <f t="shared" si="14"/>
        <v>7.7625255608841759E-2</v>
      </c>
      <c r="I175" s="18">
        <f t="shared" si="15"/>
        <v>4.9573007085668086E-2</v>
      </c>
    </row>
    <row r="176" spans="1:9" ht="16.5" customHeight="1" x14ac:dyDescent="0.3">
      <c r="A176" s="2">
        <f>DATE(95,4,30)</f>
        <v>34819</v>
      </c>
      <c r="B176" s="3">
        <v>165472</v>
      </c>
      <c r="C176" s="3">
        <v>115751</v>
      </c>
      <c r="D176" s="3">
        <v>-49722</v>
      </c>
      <c r="E176" s="16">
        <f t="shared" si="11"/>
        <v>1320018</v>
      </c>
      <c r="F176" s="16">
        <f t="shared" si="12"/>
        <v>1487366</v>
      </c>
      <c r="G176" s="16">
        <f t="shared" si="13"/>
        <v>167348</v>
      </c>
      <c r="H176" s="18">
        <f t="shared" si="14"/>
        <v>8.9281043054896536E-2</v>
      </c>
      <c r="I176" s="18">
        <f t="shared" si="15"/>
        <v>4.4120981527046049E-2</v>
      </c>
    </row>
    <row r="177" spans="1:9" ht="16.5" customHeight="1" x14ac:dyDescent="0.3">
      <c r="A177" s="2">
        <f>DATE(95,5,31)</f>
        <v>34850</v>
      </c>
      <c r="B177" s="3">
        <v>90481</v>
      </c>
      <c r="C177" s="3">
        <v>130035</v>
      </c>
      <c r="D177" s="3">
        <v>39555</v>
      </c>
      <c r="E177" s="16">
        <f t="shared" si="11"/>
        <v>1326958</v>
      </c>
      <c r="F177" s="16">
        <f t="shared" si="12"/>
        <v>1501804</v>
      </c>
      <c r="G177" s="16">
        <f t="shared" si="13"/>
        <v>174846</v>
      </c>
      <c r="H177" s="18">
        <f t="shared" si="14"/>
        <v>8.3475133989372299E-2</v>
      </c>
      <c r="I177" s="18">
        <f t="shared" si="15"/>
        <v>4.8374632724307802E-2</v>
      </c>
    </row>
    <row r="178" spans="1:9" ht="16.5" customHeight="1" x14ac:dyDescent="0.3">
      <c r="A178" s="2">
        <f>DATE(95,6,30)</f>
        <v>34880</v>
      </c>
      <c r="B178" s="3">
        <v>147945</v>
      </c>
      <c r="C178" s="3">
        <v>135131</v>
      </c>
      <c r="D178" s="3">
        <v>-12813</v>
      </c>
      <c r="E178" s="16">
        <f t="shared" si="11"/>
        <v>1336784</v>
      </c>
      <c r="F178" s="16">
        <f t="shared" si="12"/>
        <v>1513666</v>
      </c>
      <c r="G178" s="16">
        <f t="shared" si="13"/>
        <v>176883</v>
      </c>
      <c r="H178" s="18">
        <f t="shared" si="14"/>
        <v>8.3053749049035341E-2</v>
      </c>
      <c r="I178" s="18">
        <f t="shared" si="15"/>
        <v>5.2395701885205155E-2</v>
      </c>
    </row>
    <row r="179" spans="1:9" ht="16.5" customHeight="1" x14ac:dyDescent="0.3">
      <c r="A179" s="2">
        <f>DATE(95,7,31)</f>
        <v>34911</v>
      </c>
      <c r="B179" s="3">
        <v>92823</v>
      </c>
      <c r="C179" s="3">
        <v>106406</v>
      </c>
      <c r="D179" s="3">
        <v>13582</v>
      </c>
      <c r="E179" s="16">
        <f t="shared" si="11"/>
        <v>1344785</v>
      </c>
      <c r="F179" s="16">
        <f t="shared" si="12"/>
        <v>1502052</v>
      </c>
      <c r="G179" s="16">
        <f t="shared" si="13"/>
        <v>157267</v>
      </c>
      <c r="H179" s="18">
        <f t="shared" si="14"/>
        <v>8.5848207256563572E-2</v>
      </c>
      <c r="I179" s="18">
        <f t="shared" si="15"/>
        <v>4.5911269129695467E-2</v>
      </c>
    </row>
    <row r="180" spans="1:9" ht="16.5" customHeight="1" x14ac:dyDescent="0.3">
      <c r="A180" s="2">
        <f>DATE(95,8,31)</f>
        <v>34942</v>
      </c>
      <c r="B180" s="3">
        <v>96640</v>
      </c>
      <c r="C180" s="3">
        <v>130489</v>
      </c>
      <c r="D180" s="3">
        <v>33849</v>
      </c>
      <c r="E180" s="16">
        <f t="shared" si="11"/>
        <v>1344092</v>
      </c>
      <c r="F180" s="16">
        <f t="shared" si="12"/>
        <v>1510933</v>
      </c>
      <c r="G180" s="16">
        <f t="shared" si="13"/>
        <v>166841</v>
      </c>
      <c r="H180" s="18">
        <f t="shared" si="14"/>
        <v>7.6081952762915503E-2</v>
      </c>
      <c r="I180" s="18">
        <f t="shared" si="15"/>
        <v>4.3526155958480875E-2</v>
      </c>
    </row>
    <row r="181" spans="1:9" ht="16.5" customHeight="1" x14ac:dyDescent="0.3">
      <c r="A181" s="2">
        <f>DATE(95,9,30)</f>
        <v>34972</v>
      </c>
      <c r="B181" s="3">
        <v>143298</v>
      </c>
      <c r="C181" s="3">
        <v>136107</v>
      </c>
      <c r="D181" s="3">
        <v>-7191</v>
      </c>
      <c r="E181" s="16">
        <f t="shared" si="11"/>
        <v>1351496</v>
      </c>
      <c r="F181" s="16">
        <f t="shared" si="12"/>
        <v>1515412</v>
      </c>
      <c r="G181" s="16">
        <f t="shared" si="13"/>
        <v>163916</v>
      </c>
      <c r="H181" s="18">
        <f t="shared" si="14"/>
        <v>7.4790190631682671E-2</v>
      </c>
      <c r="I181" s="18">
        <f t="shared" si="15"/>
        <v>3.7561141267137353E-2</v>
      </c>
    </row>
    <row r="182" spans="1:9" ht="16.5" customHeight="1" x14ac:dyDescent="0.3">
      <c r="A182" s="2">
        <f>DATE(95,10,31)</f>
        <v>35003</v>
      </c>
      <c r="B182" s="3">
        <v>95593</v>
      </c>
      <c r="C182" s="3">
        <v>118352</v>
      </c>
      <c r="D182" s="3">
        <v>22758</v>
      </c>
      <c r="E182" s="16">
        <f t="shared" si="11"/>
        <v>1357991</v>
      </c>
      <c r="F182" s="16">
        <f t="shared" si="12"/>
        <v>1513323</v>
      </c>
      <c r="G182" s="16">
        <f t="shared" si="13"/>
        <v>155331</v>
      </c>
      <c r="H182" s="18">
        <f t="shared" si="14"/>
        <v>7.1066270101357618E-2</v>
      </c>
      <c r="I182" s="18">
        <f t="shared" si="15"/>
        <v>3.872241761319177E-2</v>
      </c>
    </row>
    <row r="183" spans="1:9" ht="16.5" customHeight="1" x14ac:dyDescent="0.3">
      <c r="A183" s="2">
        <f>DATE(95,11,30)</f>
        <v>35033</v>
      </c>
      <c r="B183" s="3">
        <v>90086</v>
      </c>
      <c r="C183" s="3">
        <v>128538</v>
      </c>
      <c r="D183" s="3">
        <v>38452</v>
      </c>
      <c r="E183" s="16">
        <f t="shared" si="11"/>
        <v>1360329</v>
      </c>
      <c r="F183" s="16">
        <f t="shared" si="12"/>
        <v>1516870</v>
      </c>
      <c r="G183" s="16">
        <f t="shared" si="13"/>
        <v>156540</v>
      </c>
      <c r="H183" s="18">
        <f t="shared" si="14"/>
        <v>6.8993102732895731E-2</v>
      </c>
      <c r="I183" s="18">
        <f t="shared" si="15"/>
        <v>3.8656108944300799E-2</v>
      </c>
    </row>
    <row r="184" spans="1:9" ht="16.5" customHeight="1" x14ac:dyDescent="0.3">
      <c r="A184" s="2">
        <f>DATE(95,12,31)</f>
        <v>35064</v>
      </c>
      <c r="B184" s="3">
        <v>138347</v>
      </c>
      <c r="C184" s="3">
        <v>133064</v>
      </c>
      <c r="D184" s="3">
        <v>-5283</v>
      </c>
      <c r="E184" s="16">
        <f t="shared" si="11"/>
        <v>1367790</v>
      </c>
      <c r="F184" s="16">
        <f t="shared" si="12"/>
        <v>1514245</v>
      </c>
      <c r="G184" s="16">
        <f t="shared" si="13"/>
        <v>146454</v>
      </c>
      <c r="H184" s="18">
        <f t="shared" si="14"/>
        <v>7.0244816966297766E-2</v>
      </c>
      <c r="I184" s="18">
        <f t="shared" si="15"/>
        <v>3.5029463491722812E-2</v>
      </c>
    </row>
    <row r="185" spans="1:9" ht="16.5" customHeight="1" x14ac:dyDescent="0.3">
      <c r="A185" s="2">
        <f>DATE(96,1,31)</f>
        <v>35095</v>
      </c>
      <c r="B185" s="3">
        <v>142999</v>
      </c>
      <c r="C185" s="3">
        <v>123543</v>
      </c>
      <c r="D185" s="3">
        <v>-19456</v>
      </c>
      <c r="E185" s="16">
        <f t="shared" si="11"/>
        <v>1378912</v>
      </c>
      <c r="F185" s="16">
        <f t="shared" si="12"/>
        <v>1521545</v>
      </c>
      <c r="G185" s="16">
        <f t="shared" si="13"/>
        <v>142632</v>
      </c>
      <c r="H185" s="18">
        <f t="shared" si="14"/>
        <v>7.1472307783161812E-2</v>
      </c>
      <c r="I185" s="18">
        <f t="shared" si="15"/>
        <v>3.3990541797737993E-2</v>
      </c>
    </row>
    <row r="186" spans="1:9" ht="16.5" customHeight="1" x14ac:dyDescent="0.3">
      <c r="A186" s="2">
        <f>DATE(96,2,28)</f>
        <v>35123</v>
      </c>
      <c r="B186" s="3">
        <v>89428</v>
      </c>
      <c r="C186" s="3">
        <v>133775</v>
      </c>
      <c r="D186" s="3">
        <v>44346</v>
      </c>
      <c r="E186" s="16">
        <f t="shared" si="11"/>
        <v>1385720</v>
      </c>
      <c r="F186" s="16">
        <f t="shared" si="12"/>
        <v>1534343</v>
      </c>
      <c r="G186" s="16">
        <f t="shared" si="13"/>
        <v>148621</v>
      </c>
      <c r="H186" s="18">
        <f t="shared" si="14"/>
        <v>6.8926522293858372E-2</v>
      </c>
      <c r="I186" s="18">
        <f t="shared" si="15"/>
        <v>3.8295329662893368E-2</v>
      </c>
    </row>
    <row r="187" spans="1:9" ht="16.5" customHeight="1" x14ac:dyDescent="0.3">
      <c r="A187" s="2">
        <f>DATE(96,3,31)</f>
        <v>35155</v>
      </c>
      <c r="B187" s="3">
        <v>89087</v>
      </c>
      <c r="C187" s="3">
        <v>136158</v>
      </c>
      <c r="D187" s="3">
        <v>47071</v>
      </c>
      <c r="E187" s="16">
        <f t="shared" si="11"/>
        <v>1382199</v>
      </c>
      <c r="F187" s="16">
        <f t="shared" si="12"/>
        <v>1527349</v>
      </c>
      <c r="G187" s="16">
        <f t="shared" si="13"/>
        <v>145148</v>
      </c>
      <c r="H187" s="18">
        <f t="shared" si="14"/>
        <v>6.6621034411710467E-2</v>
      </c>
      <c r="I187" s="18">
        <f t="shared" si="15"/>
        <v>2.1308848919612541E-2</v>
      </c>
    </row>
    <row r="188" spans="1:9" ht="16.5" customHeight="1" x14ac:dyDescent="0.3">
      <c r="A188" s="2">
        <f>DATE(96,4,30)</f>
        <v>35185</v>
      </c>
      <c r="B188" s="3">
        <v>203468</v>
      </c>
      <c r="C188" s="3">
        <v>131064</v>
      </c>
      <c r="D188" s="3">
        <v>-72404</v>
      </c>
      <c r="E188" s="16">
        <f t="shared" si="11"/>
        <v>1420195</v>
      </c>
      <c r="F188" s="16">
        <f t="shared" si="12"/>
        <v>1542662</v>
      </c>
      <c r="G188" s="16">
        <f t="shared" si="13"/>
        <v>122466</v>
      </c>
      <c r="H188" s="18">
        <f t="shared" si="14"/>
        <v>7.5890631794414923E-2</v>
      </c>
      <c r="I188" s="18">
        <f t="shared" si="15"/>
        <v>3.7177130578485727E-2</v>
      </c>
    </row>
    <row r="189" spans="1:9" ht="16.5" customHeight="1" x14ac:dyDescent="0.3">
      <c r="A189" s="2">
        <f>DATE(96,5,31)</f>
        <v>35216</v>
      </c>
      <c r="B189" s="3">
        <v>90122</v>
      </c>
      <c r="C189" s="3">
        <v>143173</v>
      </c>
      <c r="D189" s="3">
        <v>53051</v>
      </c>
      <c r="E189" s="16">
        <f t="shared" si="11"/>
        <v>1419836</v>
      </c>
      <c r="F189" s="16">
        <f t="shared" si="12"/>
        <v>1555800</v>
      </c>
      <c r="G189" s="16">
        <f t="shared" si="13"/>
        <v>135962</v>
      </c>
      <c r="H189" s="18">
        <f t="shared" si="14"/>
        <v>6.9993172353608774E-2</v>
      </c>
      <c r="I189" s="18">
        <f t="shared" si="15"/>
        <v>3.5954092544699577E-2</v>
      </c>
    </row>
    <row r="190" spans="1:9" ht="16.5" customHeight="1" x14ac:dyDescent="0.3">
      <c r="A190" s="2">
        <f>DATE(96,6,30)</f>
        <v>35246</v>
      </c>
      <c r="B190" s="3">
        <v>151995</v>
      </c>
      <c r="C190" s="3">
        <v>117655</v>
      </c>
      <c r="D190" s="3">
        <v>-34340</v>
      </c>
      <c r="E190" s="16">
        <f t="shared" si="11"/>
        <v>1423886</v>
      </c>
      <c r="F190" s="16">
        <f t="shared" si="12"/>
        <v>1538324</v>
      </c>
      <c r="G190" s="16">
        <f t="shared" si="13"/>
        <v>114435</v>
      </c>
      <c r="H190" s="18">
        <f t="shared" si="14"/>
        <v>6.5157871428742409E-2</v>
      </c>
      <c r="I190" s="18">
        <f t="shared" si="15"/>
        <v>1.6290251614292716E-2</v>
      </c>
    </row>
    <row r="191" spans="1:9" ht="16.5" customHeight="1" x14ac:dyDescent="0.3">
      <c r="A191" s="2">
        <f>DATE(96,7,31)</f>
        <v>35277</v>
      </c>
      <c r="B191" s="3">
        <v>103893</v>
      </c>
      <c r="C191" s="3">
        <v>130749</v>
      </c>
      <c r="D191" s="3">
        <v>26856</v>
      </c>
      <c r="E191" s="16">
        <f t="shared" si="11"/>
        <v>1434956</v>
      </c>
      <c r="F191" s="16">
        <f t="shared" si="12"/>
        <v>1562667</v>
      </c>
      <c r="G191" s="16">
        <f t="shared" si="13"/>
        <v>127709</v>
      </c>
      <c r="H191" s="18">
        <f t="shared" si="14"/>
        <v>6.7052354093777078E-2</v>
      </c>
      <c r="I191" s="18">
        <f t="shared" si="15"/>
        <v>4.0354794640931203E-2</v>
      </c>
    </row>
    <row r="192" spans="1:9" ht="16.5" customHeight="1" x14ac:dyDescent="0.3">
      <c r="A192" s="2">
        <f>DATE(96,8,31)</f>
        <v>35308</v>
      </c>
      <c r="B192" s="3">
        <v>99996</v>
      </c>
      <c r="C192" s="3">
        <v>141828</v>
      </c>
      <c r="D192" s="3">
        <v>41831</v>
      </c>
      <c r="E192" s="16">
        <f t="shared" si="11"/>
        <v>1438312</v>
      </c>
      <c r="F192" s="16">
        <f t="shared" si="12"/>
        <v>1574006</v>
      </c>
      <c r="G192" s="16">
        <f t="shared" si="13"/>
        <v>135691</v>
      </c>
      <c r="H192" s="18">
        <f t="shared" si="14"/>
        <v>7.0099368198010256E-2</v>
      </c>
      <c r="I192" s="18">
        <f t="shared" si="15"/>
        <v>4.1744405608984646E-2</v>
      </c>
    </row>
    <row r="193" spans="1:9" ht="16.5" customHeight="1" x14ac:dyDescent="0.3">
      <c r="A193" s="10">
        <f>DATE(96,9,30)</f>
        <v>35338</v>
      </c>
      <c r="B193" s="14">
        <v>157670</v>
      </c>
      <c r="C193" s="14">
        <v>122412</v>
      </c>
      <c r="D193" s="14">
        <v>-35257</v>
      </c>
      <c r="E193" s="16">
        <f t="shared" si="11"/>
        <v>1452684</v>
      </c>
      <c r="F193" s="16">
        <f t="shared" si="12"/>
        <v>1560311</v>
      </c>
      <c r="G193" s="16">
        <f t="shared" si="13"/>
        <v>107625</v>
      </c>
      <c r="H193" s="18">
        <f t="shared" si="14"/>
        <v>7.4871105796835508E-2</v>
      </c>
      <c r="I193" s="18">
        <f t="shared" si="15"/>
        <v>2.962824631189406E-2</v>
      </c>
    </row>
    <row r="194" spans="1:9" ht="16.5" customHeight="1" x14ac:dyDescent="0.3">
      <c r="A194" s="2">
        <f>DATE(96,10,31)</f>
        <v>35369</v>
      </c>
      <c r="B194" s="3">
        <v>99656</v>
      </c>
      <c r="C194" s="3">
        <v>139461</v>
      </c>
      <c r="D194" s="3">
        <v>39805</v>
      </c>
      <c r="E194" s="16">
        <f t="shared" si="11"/>
        <v>1456747</v>
      </c>
      <c r="F194" s="16">
        <f t="shared" si="12"/>
        <v>1581420</v>
      </c>
      <c r="G194" s="16">
        <f t="shared" si="13"/>
        <v>124672</v>
      </c>
      <c r="H194" s="18">
        <f t="shared" si="14"/>
        <v>7.2722131442697333E-2</v>
      </c>
      <c r="I194" s="18">
        <f t="shared" si="15"/>
        <v>4.4998324878429787E-2</v>
      </c>
    </row>
    <row r="195" spans="1:9" ht="16.5" customHeight="1" x14ac:dyDescent="0.3">
      <c r="A195" s="2">
        <f>DATE(96,11,30)</f>
        <v>35399</v>
      </c>
      <c r="B195" s="3">
        <v>97850</v>
      </c>
      <c r="C195" s="3">
        <v>135728</v>
      </c>
      <c r="D195" s="3">
        <v>37878</v>
      </c>
      <c r="E195" s="16">
        <f t="shared" si="11"/>
        <v>1464511</v>
      </c>
      <c r="F195" s="16">
        <f t="shared" si="12"/>
        <v>1588610</v>
      </c>
      <c r="G195" s="16">
        <f t="shared" si="13"/>
        <v>124098</v>
      </c>
      <c r="H195" s="18">
        <f t="shared" si="14"/>
        <v>7.6585884738177304E-2</v>
      </c>
      <c r="I195" s="18">
        <f t="shared" si="15"/>
        <v>4.7294758285152977E-2</v>
      </c>
    </row>
    <row r="196" spans="1:9" ht="16.5" customHeight="1" x14ac:dyDescent="0.3">
      <c r="A196" s="2">
        <f>DATE(96,12,31)</f>
        <v>35430</v>
      </c>
      <c r="B196" s="3">
        <v>148488</v>
      </c>
      <c r="C196" s="3">
        <v>129999</v>
      </c>
      <c r="D196" s="3">
        <v>-18490</v>
      </c>
      <c r="E196" s="16">
        <f t="shared" si="11"/>
        <v>1474652</v>
      </c>
      <c r="F196" s="16">
        <f t="shared" si="12"/>
        <v>1585545</v>
      </c>
      <c r="G196" s="16">
        <f t="shared" si="13"/>
        <v>110891</v>
      </c>
      <c r="H196" s="18">
        <f t="shared" si="14"/>
        <v>7.8127490331118085E-2</v>
      </c>
      <c r="I196" s="18">
        <f t="shared" si="15"/>
        <v>4.7086171656502085E-2</v>
      </c>
    </row>
    <row r="197" spans="1:9" ht="16.5" customHeight="1" x14ac:dyDescent="0.3">
      <c r="A197" s="2">
        <f>DATE(97,1,31)</f>
        <v>35461</v>
      </c>
      <c r="B197" s="3">
        <v>150718</v>
      </c>
      <c r="C197" s="3">
        <v>137354</v>
      </c>
      <c r="D197" s="3">
        <v>-13364</v>
      </c>
      <c r="E197" s="16">
        <f t="shared" si="11"/>
        <v>1482371</v>
      </c>
      <c r="F197" s="16">
        <f t="shared" si="12"/>
        <v>1599356</v>
      </c>
      <c r="G197" s="16">
        <f t="shared" si="13"/>
        <v>116983</v>
      </c>
      <c r="H197" s="18">
        <f t="shared" si="14"/>
        <v>7.5029443503283749E-2</v>
      </c>
      <c r="I197" s="18">
        <f t="shared" si="15"/>
        <v>5.1139466791977888E-2</v>
      </c>
    </row>
    <row r="198" spans="1:9" ht="16.5" customHeight="1" x14ac:dyDescent="0.3">
      <c r="A198" s="2">
        <f>DATE(97,2,28)</f>
        <v>35489</v>
      </c>
      <c r="B198" s="3">
        <v>90293</v>
      </c>
      <c r="C198" s="3">
        <v>134303</v>
      </c>
      <c r="D198" s="3">
        <v>44010</v>
      </c>
      <c r="E198" s="16">
        <f t="shared" si="11"/>
        <v>1483236</v>
      </c>
      <c r="F198" s="16">
        <f t="shared" si="12"/>
        <v>1599884</v>
      </c>
      <c r="G198" s="16">
        <f t="shared" si="13"/>
        <v>116647</v>
      </c>
      <c r="H198" s="18">
        <f t="shared" si="14"/>
        <v>7.037208093987242E-2</v>
      </c>
      <c r="I198" s="18">
        <f t="shared" si="15"/>
        <v>4.2716002875497851E-2</v>
      </c>
    </row>
    <row r="199" spans="1:9" ht="16.5" customHeight="1" x14ac:dyDescent="0.3">
      <c r="A199" s="2">
        <f>DATE(97,3,31)</f>
        <v>35520</v>
      </c>
      <c r="B199" s="3">
        <v>108074</v>
      </c>
      <c r="C199" s="3">
        <v>129397</v>
      </c>
      <c r="D199" s="3">
        <v>21323</v>
      </c>
      <c r="E199" s="16">
        <f t="shared" si="11"/>
        <v>1502223</v>
      </c>
      <c r="F199" s="16">
        <f t="shared" si="12"/>
        <v>1593123</v>
      </c>
      <c r="G199" s="16">
        <f t="shared" si="13"/>
        <v>90899</v>
      </c>
      <c r="H199" s="18">
        <f t="shared" si="14"/>
        <v>8.6835542494242871E-2</v>
      </c>
      <c r="I199" s="18">
        <f t="shared" si="15"/>
        <v>4.3064158879208357E-2</v>
      </c>
    </row>
    <row r="200" spans="1:9" ht="16.5" customHeight="1" x14ac:dyDescent="0.3">
      <c r="A200" s="2">
        <f>DATE(97,4,30)</f>
        <v>35550</v>
      </c>
      <c r="B200" s="3">
        <v>228588</v>
      </c>
      <c r="C200" s="3">
        <v>134649</v>
      </c>
      <c r="D200" s="3">
        <v>-93939</v>
      </c>
      <c r="E200" s="16">
        <f t="shared" si="11"/>
        <v>1527343</v>
      </c>
      <c r="F200" s="16">
        <f t="shared" si="12"/>
        <v>1596708</v>
      </c>
      <c r="G200" s="16">
        <f t="shared" si="13"/>
        <v>69364</v>
      </c>
      <c r="H200" s="18">
        <f t="shared" si="14"/>
        <v>7.5445977489006791E-2</v>
      </c>
      <c r="I200" s="18">
        <f t="shared" si="15"/>
        <v>3.5034245998151248E-2</v>
      </c>
    </row>
    <row r="201" spans="1:9" ht="16.5" customHeight="1" x14ac:dyDescent="0.3">
      <c r="A201" s="2">
        <f>DATE(97,5,31)</f>
        <v>35581</v>
      </c>
      <c r="B201" s="3">
        <v>94493</v>
      </c>
      <c r="C201" s="3">
        <v>142988</v>
      </c>
      <c r="D201" s="3">
        <v>48494</v>
      </c>
      <c r="E201" s="16">
        <f t="shared" si="11"/>
        <v>1531714</v>
      </c>
      <c r="F201" s="16">
        <f t="shared" si="12"/>
        <v>1596523</v>
      </c>
      <c r="G201" s="16">
        <f t="shared" si="13"/>
        <v>64807</v>
      </c>
      <c r="H201" s="18">
        <f t="shared" si="14"/>
        <v>7.8796424375772972E-2</v>
      </c>
      <c r="I201" s="18">
        <f t="shared" si="15"/>
        <v>2.6174958220851009E-2</v>
      </c>
    </row>
    <row r="202" spans="1:9" ht="16.5" customHeight="1" x14ac:dyDescent="0.3">
      <c r="A202" s="2">
        <f>DATE(97,6,30)</f>
        <v>35611</v>
      </c>
      <c r="B202" s="3">
        <v>173361</v>
      </c>
      <c r="C202" s="3">
        <v>118726</v>
      </c>
      <c r="D202" s="3">
        <v>-54635</v>
      </c>
      <c r="E202" s="16">
        <f t="shared" si="11"/>
        <v>1553080</v>
      </c>
      <c r="F202" s="16">
        <f t="shared" si="12"/>
        <v>1597594</v>
      </c>
      <c r="G202" s="16">
        <f t="shared" si="13"/>
        <v>44512</v>
      </c>
      <c r="H202" s="18">
        <f t="shared" si="14"/>
        <v>9.0733387363876039E-2</v>
      </c>
      <c r="I202" s="18">
        <f t="shared" si="15"/>
        <v>3.8528944487637197E-2</v>
      </c>
    </row>
    <row r="203" spans="1:9" ht="16.5" customHeight="1" x14ac:dyDescent="0.3">
      <c r="A203" s="2">
        <f>DATE(97,7,31)</f>
        <v>35642</v>
      </c>
      <c r="B203" s="3">
        <v>109178</v>
      </c>
      <c r="C203" s="3">
        <v>134802</v>
      </c>
      <c r="D203" s="3">
        <v>25624</v>
      </c>
      <c r="E203" s="16">
        <f t="shared" si="11"/>
        <v>1558365</v>
      </c>
      <c r="F203" s="16">
        <f t="shared" si="12"/>
        <v>1601647</v>
      </c>
      <c r="G203" s="16">
        <f t="shared" si="13"/>
        <v>43280</v>
      </c>
      <c r="H203" s="18">
        <f t="shared" si="14"/>
        <v>8.6001940129174698E-2</v>
      </c>
      <c r="I203" s="18">
        <f t="shared" si="15"/>
        <v>2.4944533928213754E-2</v>
      </c>
    </row>
    <row r="204" spans="1:9" ht="16.5" customHeight="1" x14ac:dyDescent="0.3">
      <c r="A204" s="2">
        <f>DATE(97,8,31)</f>
        <v>35673</v>
      </c>
      <c r="B204" s="3">
        <v>103483</v>
      </c>
      <c r="C204" s="3">
        <v>138672</v>
      </c>
      <c r="D204" s="3">
        <v>35189</v>
      </c>
      <c r="E204" s="16">
        <f t="shared" si="11"/>
        <v>1561852</v>
      </c>
      <c r="F204" s="16">
        <f t="shared" si="12"/>
        <v>1598491</v>
      </c>
      <c r="G204" s="16">
        <f t="shared" si="13"/>
        <v>36638</v>
      </c>
      <c r="H204" s="18">
        <f t="shared" si="14"/>
        <v>8.58923515899193E-2</v>
      </c>
      <c r="I204" s="18">
        <f t="shared" si="15"/>
        <v>1.5555849215314299E-2</v>
      </c>
    </row>
    <row r="205" spans="1:9" ht="16.5" customHeight="1" x14ac:dyDescent="0.3">
      <c r="A205" s="2">
        <f>DATE(97,9,30)</f>
        <v>35703</v>
      </c>
      <c r="B205" s="3">
        <v>174772</v>
      </c>
      <c r="C205" s="11">
        <v>124832</v>
      </c>
      <c r="D205" s="11">
        <v>-49940</v>
      </c>
      <c r="E205" s="16">
        <f t="shared" si="11"/>
        <v>1578954</v>
      </c>
      <c r="F205" s="16">
        <f t="shared" si="12"/>
        <v>1600911</v>
      </c>
      <c r="G205" s="16">
        <f t="shared" si="13"/>
        <v>21955</v>
      </c>
      <c r="H205" s="18">
        <f t="shared" si="14"/>
        <v>8.6921863254499951E-2</v>
      </c>
      <c r="I205" s="18">
        <f t="shared" si="15"/>
        <v>2.6020453614696043E-2</v>
      </c>
    </row>
    <row r="206" spans="1:9" ht="16.5" customHeight="1" x14ac:dyDescent="0.3">
      <c r="A206" s="2">
        <f>DATE(97,10,31)</f>
        <v>35734</v>
      </c>
      <c r="B206" s="3">
        <v>114898</v>
      </c>
      <c r="C206" s="12">
        <v>150866</v>
      </c>
      <c r="D206" s="11">
        <v>35968</v>
      </c>
      <c r="E206" s="16">
        <f t="shared" si="11"/>
        <v>1594196</v>
      </c>
      <c r="F206" s="16">
        <f t="shared" si="12"/>
        <v>1612316</v>
      </c>
      <c r="G206" s="16">
        <f t="shared" si="13"/>
        <v>18118</v>
      </c>
      <c r="H206" s="18">
        <f t="shared" si="14"/>
        <v>9.4353377765665561E-2</v>
      </c>
      <c r="I206" s="18">
        <f t="shared" si="15"/>
        <v>1.9536871925231753E-2</v>
      </c>
    </row>
    <row r="207" spans="1:9" ht="16.5" customHeight="1" x14ac:dyDescent="0.3">
      <c r="A207" s="2">
        <f>DATE(97,11,30)</f>
        <v>35764</v>
      </c>
      <c r="B207" s="3">
        <v>103481</v>
      </c>
      <c r="C207" s="3">
        <v>120830</v>
      </c>
      <c r="D207" s="3">
        <v>17349</v>
      </c>
      <c r="E207" s="16">
        <f t="shared" si="11"/>
        <v>1599827</v>
      </c>
      <c r="F207" s="16">
        <f t="shared" si="12"/>
        <v>1597418</v>
      </c>
      <c r="G207" s="16">
        <f t="shared" si="13"/>
        <v>-2411</v>
      </c>
      <c r="H207" s="18">
        <f t="shared" si="14"/>
        <v>9.2396711257204625E-2</v>
      </c>
      <c r="I207" s="18">
        <f t="shared" si="15"/>
        <v>5.5444696936315391E-3</v>
      </c>
    </row>
    <row r="208" spans="1:9" ht="16.5" customHeight="1" x14ac:dyDescent="0.3">
      <c r="A208" s="2">
        <f>DATE(97,12,31)</f>
        <v>35795</v>
      </c>
      <c r="B208" s="3">
        <v>167998</v>
      </c>
      <c r="C208" s="3">
        <v>154359</v>
      </c>
      <c r="D208" s="3">
        <v>-13639</v>
      </c>
      <c r="E208" s="16">
        <f t="shared" si="11"/>
        <v>1619337</v>
      </c>
      <c r="F208" s="16">
        <f t="shared" si="12"/>
        <v>1621778</v>
      </c>
      <c r="G208" s="16">
        <f t="shared" si="13"/>
        <v>2440</v>
      </c>
      <c r="H208" s="18">
        <f t="shared" si="14"/>
        <v>9.8114673834911556E-2</v>
      </c>
      <c r="I208" s="18">
        <f t="shared" si="15"/>
        <v>2.2852079253505891E-2</v>
      </c>
    </row>
    <row r="209" spans="1:9" ht="16.5" customHeight="1" x14ac:dyDescent="0.3">
      <c r="A209" s="2">
        <f>DATE(98,1,31)</f>
        <v>35826</v>
      </c>
      <c r="B209" s="3">
        <v>162610</v>
      </c>
      <c r="C209" s="3">
        <v>137231</v>
      </c>
      <c r="D209" s="3">
        <v>-25379</v>
      </c>
      <c r="E209" s="16">
        <f t="shared" ref="E209:E272" si="16">SUM(B198:B209)</f>
        <v>1631229</v>
      </c>
      <c r="F209" s="16">
        <f t="shared" ref="F209:F272" si="17">SUM(C198:C209)</f>
        <v>1621655</v>
      </c>
      <c r="G209" s="16">
        <f t="shared" ref="G209:G272" si="18">SUM(D198:D209)</f>
        <v>-9575</v>
      </c>
      <c r="H209" s="18">
        <f t="shared" si="14"/>
        <v>0.10041885600838117</v>
      </c>
      <c r="I209" s="18">
        <f t="shared" si="15"/>
        <v>1.394248685095751E-2</v>
      </c>
    </row>
    <row r="210" spans="1:9" ht="16.5" customHeight="1" x14ac:dyDescent="0.3">
      <c r="A210" s="2">
        <f>DATE(98,2,28)</f>
        <v>35854</v>
      </c>
      <c r="B210" s="3">
        <v>97952</v>
      </c>
      <c r="C210" s="3">
        <v>139701</v>
      </c>
      <c r="D210" s="3">
        <v>41750</v>
      </c>
      <c r="E210" s="16">
        <f t="shared" si="16"/>
        <v>1638888</v>
      </c>
      <c r="F210" s="16">
        <f t="shared" si="17"/>
        <v>1627053</v>
      </c>
      <c r="G210" s="16">
        <f t="shared" si="18"/>
        <v>-11835</v>
      </c>
      <c r="H210" s="18">
        <f t="shared" si="14"/>
        <v>0.10494081858854558</v>
      </c>
      <c r="I210" s="18">
        <f t="shared" si="15"/>
        <v>1.6981856184573381E-2</v>
      </c>
    </row>
    <row r="211" spans="1:9" ht="16.5" customHeight="1" x14ac:dyDescent="0.3">
      <c r="A211" s="2">
        <f>DATE(98,3,31)</f>
        <v>35885</v>
      </c>
      <c r="B211" s="3">
        <v>117930</v>
      </c>
      <c r="C211" s="3">
        <v>131743</v>
      </c>
      <c r="D211" s="3">
        <v>13813</v>
      </c>
      <c r="E211" s="16">
        <f t="shared" si="16"/>
        <v>1648744</v>
      </c>
      <c r="F211" s="16">
        <f t="shared" si="17"/>
        <v>1629399</v>
      </c>
      <c r="G211" s="16">
        <f t="shared" si="18"/>
        <v>-19345</v>
      </c>
      <c r="H211" s="18">
        <f t="shared" si="14"/>
        <v>9.7536118139583808E-2</v>
      </c>
      <c r="I211" s="18">
        <f t="shared" si="15"/>
        <v>2.2770369896109716E-2</v>
      </c>
    </row>
    <row r="212" spans="1:9" ht="16.5" customHeight="1" x14ac:dyDescent="0.3">
      <c r="A212" s="2">
        <f>DATE(98,4,30)</f>
        <v>35915</v>
      </c>
      <c r="B212" s="3">
        <v>261002</v>
      </c>
      <c r="C212" s="3">
        <v>136400</v>
      </c>
      <c r="D212" s="3">
        <v>-124603</v>
      </c>
      <c r="E212" s="16">
        <f t="shared" si="16"/>
        <v>1681158</v>
      </c>
      <c r="F212" s="16">
        <f t="shared" si="17"/>
        <v>1631150</v>
      </c>
      <c r="G212" s="16">
        <f t="shared" si="18"/>
        <v>-50009</v>
      </c>
      <c r="H212" s="18">
        <f t="shared" si="14"/>
        <v>0.1007075686338956</v>
      </c>
      <c r="I212" s="18">
        <f t="shared" si="15"/>
        <v>2.1570631574464462E-2</v>
      </c>
    </row>
    <row r="213" spans="1:9" ht="16.5" customHeight="1" x14ac:dyDescent="0.3">
      <c r="A213" s="2">
        <f>DATE(98,5,31)</f>
        <v>35946</v>
      </c>
      <c r="B213" s="3">
        <v>95278</v>
      </c>
      <c r="C213" s="3">
        <v>134057</v>
      </c>
      <c r="D213" s="11">
        <v>38779</v>
      </c>
      <c r="E213" s="16">
        <f t="shared" si="16"/>
        <v>1681943</v>
      </c>
      <c r="F213" s="16">
        <f t="shared" si="17"/>
        <v>1622219</v>
      </c>
      <c r="G213" s="16">
        <f t="shared" si="18"/>
        <v>-59724</v>
      </c>
      <c r="H213" s="18">
        <f t="shared" si="14"/>
        <v>9.8079014750795515E-2</v>
      </c>
      <c r="I213" s="18">
        <f t="shared" si="15"/>
        <v>1.6094976395579642E-2</v>
      </c>
    </row>
    <row r="214" spans="1:9" ht="16.5" customHeight="1" x14ac:dyDescent="0.3">
      <c r="A214" s="2">
        <f>DATE(98,6,30)</f>
        <v>35976</v>
      </c>
      <c r="B214" s="11">
        <v>187858</v>
      </c>
      <c r="C214" s="11">
        <v>136752</v>
      </c>
      <c r="D214" s="3">
        <v>-51106</v>
      </c>
      <c r="E214" s="16">
        <f t="shared" si="16"/>
        <v>1696440</v>
      </c>
      <c r="F214" s="16">
        <f t="shared" si="17"/>
        <v>1640245</v>
      </c>
      <c r="G214" s="16">
        <f t="shared" si="18"/>
        <v>-56195</v>
      </c>
      <c r="H214" s="18">
        <f t="shared" si="14"/>
        <v>9.2306899837741777E-2</v>
      </c>
      <c r="I214" s="18">
        <f t="shared" si="15"/>
        <v>2.6697020644794608E-2</v>
      </c>
    </row>
    <row r="215" spans="1:9" ht="16.5" customHeight="1" x14ac:dyDescent="0.3">
      <c r="A215" s="2">
        <f>DATE(98,7,31)</f>
        <v>36007</v>
      </c>
      <c r="B215" s="3">
        <v>119723</v>
      </c>
      <c r="C215" s="3">
        <v>143807</v>
      </c>
      <c r="D215" s="3">
        <v>24084</v>
      </c>
      <c r="E215" s="16">
        <f t="shared" si="16"/>
        <v>1706985</v>
      </c>
      <c r="F215" s="16">
        <f t="shared" si="17"/>
        <v>1649250</v>
      </c>
      <c r="G215" s="16">
        <f t="shared" si="18"/>
        <v>-57735</v>
      </c>
      <c r="H215" s="18">
        <f t="shared" si="14"/>
        <v>9.5369185011213678E-2</v>
      </c>
      <c r="I215" s="18">
        <f t="shared" si="15"/>
        <v>2.9721280656723983E-2</v>
      </c>
    </row>
    <row r="216" spans="1:9" ht="16.5" customHeight="1" x14ac:dyDescent="0.3">
      <c r="A216" s="2">
        <f>DATE(98,8,31)</f>
        <v>36038</v>
      </c>
      <c r="B216" s="3">
        <v>111741</v>
      </c>
      <c r="C216" s="3">
        <v>122907</v>
      </c>
      <c r="D216" s="3">
        <v>11166</v>
      </c>
      <c r="E216" s="16">
        <f t="shared" si="16"/>
        <v>1715243</v>
      </c>
      <c r="F216" s="16">
        <f t="shared" si="17"/>
        <v>1633485</v>
      </c>
      <c r="G216" s="16">
        <f t="shared" si="18"/>
        <v>-81758</v>
      </c>
      <c r="H216" s="18">
        <f t="shared" si="14"/>
        <v>9.8210970053500588E-2</v>
      </c>
      <c r="I216" s="18">
        <f t="shared" si="15"/>
        <v>2.1891896795164938E-2</v>
      </c>
    </row>
    <row r="217" spans="1:9" ht="16.5" customHeight="1" x14ac:dyDescent="0.3">
      <c r="A217" s="10">
        <f>DATE(98,9,30)</f>
        <v>36068</v>
      </c>
      <c r="B217" s="13">
        <v>180995</v>
      </c>
      <c r="C217" s="13">
        <v>143569</v>
      </c>
      <c r="D217" s="13">
        <v>-37425</v>
      </c>
      <c r="E217" s="16">
        <f t="shared" si="16"/>
        <v>1721466</v>
      </c>
      <c r="F217" s="16">
        <f t="shared" si="17"/>
        <v>1652222</v>
      </c>
      <c r="G217" s="16">
        <f t="shared" si="18"/>
        <v>-69243</v>
      </c>
      <c r="H217" s="18">
        <f t="shared" si="14"/>
        <v>9.0257220919672143E-2</v>
      </c>
      <c r="I217" s="18">
        <f t="shared" si="15"/>
        <v>3.2051125890196271E-2</v>
      </c>
    </row>
    <row r="218" spans="1:9" ht="16.5" customHeight="1" x14ac:dyDescent="0.3">
      <c r="A218" s="4">
        <v>36069</v>
      </c>
      <c r="B218" s="5">
        <v>119974</v>
      </c>
      <c r="C218" s="9">
        <v>152413</v>
      </c>
      <c r="D218" s="11">
        <v>32440</v>
      </c>
      <c r="E218" s="16">
        <f t="shared" si="16"/>
        <v>1726542</v>
      </c>
      <c r="F218" s="16">
        <f t="shared" si="17"/>
        <v>1653769</v>
      </c>
      <c r="G218" s="16">
        <f t="shared" si="18"/>
        <v>-72771</v>
      </c>
      <c r="H218" s="18">
        <f t="shared" si="14"/>
        <v>8.3017395602548241E-2</v>
      </c>
      <c r="I218" s="18">
        <f t="shared" si="15"/>
        <v>2.5710220577107715E-2</v>
      </c>
    </row>
    <row r="219" spans="1:9" ht="16.5" customHeight="1" x14ac:dyDescent="0.3">
      <c r="A219" s="4">
        <v>36100</v>
      </c>
      <c r="B219" s="5">
        <v>113978</v>
      </c>
      <c r="C219" s="9">
        <v>130915</v>
      </c>
      <c r="D219" s="9">
        <v>16937</v>
      </c>
      <c r="E219" s="16">
        <f t="shared" si="16"/>
        <v>1737039</v>
      </c>
      <c r="F219" s="16">
        <f t="shared" si="17"/>
        <v>1663854</v>
      </c>
      <c r="G219" s="16">
        <f t="shared" si="18"/>
        <v>-73183</v>
      </c>
      <c r="H219" s="18">
        <f t="shared" si="14"/>
        <v>8.5766773532388194E-2</v>
      </c>
      <c r="I219" s="18">
        <f t="shared" si="15"/>
        <v>4.1589615241596128E-2</v>
      </c>
    </row>
    <row r="220" spans="1:9" ht="16.5" customHeight="1" x14ac:dyDescent="0.3">
      <c r="A220" s="4">
        <v>36130</v>
      </c>
      <c r="B220" s="5">
        <v>178646</v>
      </c>
      <c r="C220" s="9">
        <v>183803</v>
      </c>
      <c r="D220" s="9">
        <v>5156</v>
      </c>
      <c r="E220" s="16">
        <f t="shared" si="16"/>
        <v>1747687</v>
      </c>
      <c r="F220" s="16">
        <f t="shared" si="17"/>
        <v>1693298</v>
      </c>
      <c r="G220" s="16">
        <f t="shared" si="18"/>
        <v>-54388</v>
      </c>
      <c r="H220" s="18">
        <f t="shared" ref="H220:H283" si="19">(E220-E208)/E208</f>
        <v>7.926083329164961E-2</v>
      </c>
      <c r="I220" s="18">
        <f t="shared" ref="I220:I283" si="20">(F220-F208)/F208</f>
        <v>4.4099747314367319E-2</v>
      </c>
    </row>
    <row r="221" spans="1:9" ht="16.5" customHeight="1" x14ac:dyDescent="0.3">
      <c r="A221" s="4">
        <v>36161</v>
      </c>
      <c r="B221" s="9">
        <v>171728</v>
      </c>
      <c r="C221" s="9">
        <v>101223</v>
      </c>
      <c r="D221" s="9">
        <v>-70505</v>
      </c>
      <c r="E221" s="16">
        <f t="shared" si="16"/>
        <v>1756805</v>
      </c>
      <c r="F221" s="16">
        <f t="shared" si="17"/>
        <v>1657290</v>
      </c>
      <c r="G221" s="16">
        <f t="shared" si="18"/>
        <v>-99514</v>
      </c>
      <c r="H221" s="18">
        <f t="shared" si="19"/>
        <v>7.6982446977095179E-2</v>
      </c>
      <c r="I221" s="18">
        <f t="shared" si="20"/>
        <v>2.1974464358941945E-2</v>
      </c>
    </row>
    <row r="222" spans="1:9" ht="16.5" customHeight="1" x14ac:dyDescent="0.3">
      <c r="A222" s="4">
        <v>36192</v>
      </c>
      <c r="B222" s="9">
        <v>99502</v>
      </c>
      <c r="C222" s="9">
        <v>141839</v>
      </c>
      <c r="D222" s="9">
        <v>42337</v>
      </c>
      <c r="E222" s="16">
        <f t="shared" si="16"/>
        <v>1758355</v>
      </c>
      <c r="F222" s="16">
        <f t="shared" si="17"/>
        <v>1659428</v>
      </c>
      <c r="G222" s="16">
        <f t="shared" si="18"/>
        <v>-98927</v>
      </c>
      <c r="H222" s="18">
        <f t="shared" si="19"/>
        <v>7.2895158180424774E-2</v>
      </c>
      <c r="I222" s="18">
        <f t="shared" si="20"/>
        <v>1.989793817410988E-2</v>
      </c>
    </row>
    <row r="223" spans="1:9" ht="16.5" customHeight="1" x14ac:dyDescent="0.3">
      <c r="A223" s="4">
        <v>36220</v>
      </c>
      <c r="B223" s="9">
        <v>130416</v>
      </c>
      <c r="C223" s="9">
        <v>152825</v>
      </c>
      <c r="D223" s="9">
        <v>22409</v>
      </c>
      <c r="E223" s="16">
        <f t="shared" si="16"/>
        <v>1770841</v>
      </c>
      <c r="F223" s="16">
        <f t="shared" si="17"/>
        <v>1680510</v>
      </c>
      <c r="G223" s="16">
        <f t="shared" si="18"/>
        <v>-90331</v>
      </c>
      <c r="H223" s="18">
        <f t="shared" si="19"/>
        <v>7.405455304158802E-2</v>
      </c>
      <c r="I223" s="18">
        <f t="shared" si="20"/>
        <v>3.1368007467784134E-2</v>
      </c>
    </row>
    <row r="224" spans="1:9" ht="16.5" customHeight="1" x14ac:dyDescent="0.3">
      <c r="A224" s="4">
        <v>36251</v>
      </c>
      <c r="B224" s="9">
        <v>266229</v>
      </c>
      <c r="C224" s="9">
        <v>152770</v>
      </c>
      <c r="D224" s="5">
        <v>-113459</v>
      </c>
      <c r="E224" s="16">
        <f t="shared" si="16"/>
        <v>1776068</v>
      </c>
      <c r="F224" s="16">
        <f t="shared" si="17"/>
        <v>1696880</v>
      </c>
      <c r="G224" s="16">
        <f t="shared" si="18"/>
        <v>-79187</v>
      </c>
      <c r="H224" s="18">
        <f t="shared" si="19"/>
        <v>5.6455133901751053E-2</v>
      </c>
      <c r="I224" s="18">
        <f t="shared" si="20"/>
        <v>4.0296723170769086E-2</v>
      </c>
    </row>
    <row r="225" spans="1:9" ht="16.5" customHeight="1" x14ac:dyDescent="0.3">
      <c r="A225" s="4">
        <v>36281</v>
      </c>
      <c r="B225" s="9">
        <v>98663</v>
      </c>
      <c r="C225" s="9">
        <v>122631</v>
      </c>
      <c r="D225" s="5">
        <v>23969</v>
      </c>
      <c r="E225" s="16">
        <f t="shared" si="16"/>
        <v>1779453</v>
      </c>
      <c r="F225" s="16">
        <f t="shared" si="17"/>
        <v>1685454</v>
      </c>
      <c r="G225" s="16">
        <f t="shared" si="18"/>
        <v>-93997</v>
      </c>
      <c r="H225" s="18">
        <f t="shared" si="19"/>
        <v>5.797461626226335E-2</v>
      </c>
      <c r="I225" s="18">
        <f t="shared" si="20"/>
        <v>3.8980556879188319E-2</v>
      </c>
    </row>
    <row r="226" spans="1:9" ht="16.5" customHeight="1" x14ac:dyDescent="0.3">
      <c r="A226" s="4">
        <v>36312</v>
      </c>
      <c r="B226" s="9">
        <v>199507</v>
      </c>
      <c r="C226" s="9">
        <v>145939</v>
      </c>
      <c r="D226" s="5">
        <v>-53568</v>
      </c>
      <c r="E226" s="16">
        <f t="shared" si="16"/>
        <v>1791102</v>
      </c>
      <c r="F226" s="16">
        <f t="shared" si="17"/>
        <v>1694641</v>
      </c>
      <c r="G226" s="16">
        <f t="shared" si="18"/>
        <v>-96459</v>
      </c>
      <c r="H226" s="18">
        <f t="shared" si="19"/>
        <v>5.5800381976374054E-2</v>
      </c>
      <c r="I226" s="18">
        <f t="shared" si="20"/>
        <v>3.3163338403714077E-2</v>
      </c>
    </row>
    <row r="227" spans="1:9" ht="16.5" customHeight="1" x14ac:dyDescent="0.3">
      <c r="A227" s="4">
        <v>36342</v>
      </c>
      <c r="B227" s="9">
        <v>121923</v>
      </c>
      <c r="C227" s="9">
        <v>147086</v>
      </c>
      <c r="D227" s="5">
        <v>25164</v>
      </c>
      <c r="E227" s="16">
        <f t="shared" si="16"/>
        <v>1793302</v>
      </c>
      <c r="F227" s="16">
        <f t="shared" si="17"/>
        <v>1697920</v>
      </c>
      <c r="G227" s="16">
        <f t="shared" si="18"/>
        <v>-95379</v>
      </c>
      <c r="H227" s="18">
        <f t="shared" si="19"/>
        <v>5.0566935268909805E-2</v>
      </c>
      <c r="I227" s="18">
        <f t="shared" si="20"/>
        <v>2.9510383507654996E-2</v>
      </c>
    </row>
    <row r="228" spans="1:9" ht="16.5" customHeight="1" x14ac:dyDescent="0.3">
      <c r="A228" s="4">
        <v>36373</v>
      </c>
      <c r="B228" s="9">
        <v>126324</v>
      </c>
      <c r="C228" s="9">
        <v>129127</v>
      </c>
      <c r="D228" s="9">
        <v>2803</v>
      </c>
      <c r="E228" s="16">
        <f t="shared" si="16"/>
        <v>1807885</v>
      </c>
      <c r="F228" s="16">
        <f t="shared" si="17"/>
        <v>1704140</v>
      </c>
      <c r="G228" s="16">
        <f t="shared" si="18"/>
        <v>-103742</v>
      </c>
      <c r="H228" s="18">
        <f t="shared" si="19"/>
        <v>5.4011006020721265E-2</v>
      </c>
      <c r="I228" s="18">
        <f t="shared" si="20"/>
        <v>4.3254146808816729E-2</v>
      </c>
    </row>
    <row r="229" spans="1:9" ht="16.5" customHeight="1" x14ac:dyDescent="0.3">
      <c r="A229" s="4">
        <v>36404</v>
      </c>
      <c r="B229" s="9">
        <v>200413</v>
      </c>
      <c r="C229" s="9">
        <v>142371</v>
      </c>
      <c r="D229" s="9">
        <v>-58042</v>
      </c>
      <c r="E229" s="16">
        <f t="shared" si="16"/>
        <v>1827303</v>
      </c>
      <c r="F229" s="16">
        <f t="shared" si="17"/>
        <v>1702942</v>
      </c>
      <c r="G229" s="16">
        <f t="shared" si="18"/>
        <v>-124359</v>
      </c>
      <c r="H229" s="18">
        <f t="shared" si="19"/>
        <v>6.1480737929183613E-2</v>
      </c>
      <c r="I229" s="18">
        <f t="shared" si="20"/>
        <v>3.0698053893484047E-2</v>
      </c>
    </row>
    <row r="230" spans="1:9" ht="16.5" customHeight="1" x14ac:dyDescent="0.3">
      <c r="A230" s="4">
        <v>36434</v>
      </c>
      <c r="B230" s="5">
        <v>121035</v>
      </c>
      <c r="C230" s="9">
        <v>147361</v>
      </c>
      <c r="D230" s="9">
        <v>26326</v>
      </c>
      <c r="E230" s="16">
        <f t="shared" si="16"/>
        <v>1828364</v>
      </c>
      <c r="F230" s="16">
        <f t="shared" si="17"/>
        <v>1697890</v>
      </c>
      <c r="G230" s="16">
        <f t="shared" si="18"/>
        <v>-130473</v>
      </c>
      <c r="H230" s="18">
        <f t="shared" si="19"/>
        <v>5.8974528276752029E-2</v>
      </c>
      <c r="I230" s="18">
        <f t="shared" si="20"/>
        <v>2.6679058562592478E-2</v>
      </c>
    </row>
    <row r="231" spans="1:9" ht="16.5" customHeight="1" x14ac:dyDescent="0.3">
      <c r="A231" s="4">
        <v>36465</v>
      </c>
      <c r="B231" s="5">
        <v>121375</v>
      </c>
      <c r="C231" s="9">
        <v>148406</v>
      </c>
      <c r="D231" s="5">
        <v>27031</v>
      </c>
      <c r="E231" s="16">
        <f t="shared" si="16"/>
        <v>1835761</v>
      </c>
      <c r="F231" s="16">
        <f t="shared" si="17"/>
        <v>1715381</v>
      </c>
      <c r="G231" s="16">
        <f t="shared" si="18"/>
        <v>-120379</v>
      </c>
      <c r="H231" s="18">
        <f t="shared" si="19"/>
        <v>5.6833496542104123E-2</v>
      </c>
      <c r="I231" s="18">
        <f t="shared" si="20"/>
        <v>3.0968462377107608E-2</v>
      </c>
    </row>
    <row r="232" spans="1:9" ht="16.5" customHeight="1" x14ac:dyDescent="0.3">
      <c r="A232" s="4">
        <v>36495</v>
      </c>
      <c r="B232" s="5">
        <v>201196</v>
      </c>
      <c r="C232" s="5">
        <v>168114</v>
      </c>
      <c r="D232" s="5">
        <v>-33081</v>
      </c>
      <c r="E232" s="16">
        <f t="shared" si="16"/>
        <v>1858311</v>
      </c>
      <c r="F232" s="16">
        <f t="shared" si="17"/>
        <v>1699692</v>
      </c>
      <c r="G232" s="16">
        <f t="shared" si="18"/>
        <v>-158616</v>
      </c>
      <c r="H232" s="18">
        <f t="shared" si="19"/>
        <v>6.3297375330937405E-2</v>
      </c>
      <c r="I232" s="18">
        <f t="shared" si="20"/>
        <v>3.7760630438351665E-3</v>
      </c>
    </row>
    <row r="233" spans="1:9" ht="16.5" customHeight="1" x14ac:dyDescent="0.3">
      <c r="A233" s="4">
        <v>36526</v>
      </c>
      <c r="B233" s="5">
        <v>189478</v>
      </c>
      <c r="C233" s="5">
        <v>127326</v>
      </c>
      <c r="D233" s="5">
        <v>-62152</v>
      </c>
      <c r="E233" s="16">
        <f t="shared" si="16"/>
        <v>1876061</v>
      </c>
      <c r="F233" s="16">
        <f t="shared" si="17"/>
        <v>1725795</v>
      </c>
      <c r="G233" s="16">
        <f t="shared" si="18"/>
        <v>-150263</v>
      </c>
      <c r="H233" s="18">
        <f t="shared" si="19"/>
        <v>6.7882320462430382E-2</v>
      </c>
      <c r="I233" s="18">
        <f t="shared" si="20"/>
        <v>4.1335553825824087E-2</v>
      </c>
    </row>
    <row r="234" spans="1:9" ht="16.5" customHeight="1" x14ac:dyDescent="0.3">
      <c r="A234" s="4">
        <v>36557</v>
      </c>
      <c r="B234" s="5">
        <v>108675</v>
      </c>
      <c r="C234" s="5">
        <v>150409</v>
      </c>
      <c r="D234" s="5">
        <v>41734</v>
      </c>
      <c r="E234" s="16">
        <f t="shared" si="16"/>
        <v>1885234</v>
      </c>
      <c r="F234" s="16">
        <f t="shared" si="17"/>
        <v>1734365</v>
      </c>
      <c r="G234" s="16">
        <f t="shared" si="18"/>
        <v>-150866</v>
      </c>
      <c r="H234" s="18">
        <f t="shared" si="19"/>
        <v>7.2157783837734704E-2</v>
      </c>
      <c r="I234" s="18">
        <f t="shared" si="20"/>
        <v>4.515833166609217E-2</v>
      </c>
    </row>
    <row r="235" spans="1:9" ht="16.5" customHeight="1" x14ac:dyDescent="0.3">
      <c r="A235" s="4">
        <v>36586</v>
      </c>
      <c r="B235" s="5">
        <v>135582</v>
      </c>
      <c r="C235" s="5">
        <v>170962</v>
      </c>
      <c r="D235" s="5">
        <v>35380</v>
      </c>
      <c r="E235" s="16">
        <f t="shared" si="16"/>
        <v>1890400</v>
      </c>
      <c r="F235" s="16">
        <f t="shared" si="17"/>
        <v>1752502</v>
      </c>
      <c r="G235" s="16">
        <f t="shared" si="18"/>
        <v>-137895</v>
      </c>
      <c r="H235" s="18">
        <f t="shared" si="19"/>
        <v>6.751537828636224E-2</v>
      </c>
      <c r="I235" s="18">
        <f t="shared" si="20"/>
        <v>4.2839376141766486E-2</v>
      </c>
    </row>
    <row r="236" spans="1:9" ht="16.5" customHeight="1" x14ac:dyDescent="0.3">
      <c r="A236" s="4">
        <v>36617</v>
      </c>
      <c r="B236" s="9">
        <v>295151</v>
      </c>
      <c r="C236" s="9">
        <v>135653</v>
      </c>
      <c r="D236" s="5">
        <v>-159497</v>
      </c>
      <c r="E236" s="16">
        <f t="shared" si="16"/>
        <v>1919322</v>
      </c>
      <c r="F236" s="16">
        <f t="shared" si="17"/>
        <v>1735385</v>
      </c>
      <c r="G236" s="16">
        <f t="shared" si="18"/>
        <v>-183933</v>
      </c>
      <c r="H236" s="18">
        <f t="shared" si="19"/>
        <v>8.0657947781278647E-2</v>
      </c>
      <c r="I236" s="18">
        <f t="shared" si="20"/>
        <v>2.2691645844137475E-2</v>
      </c>
    </row>
    <row r="237" spans="1:9" ht="16.5" customHeight="1" x14ac:dyDescent="0.3">
      <c r="A237" s="4">
        <v>36647</v>
      </c>
      <c r="B237" s="5">
        <v>146002</v>
      </c>
      <c r="C237" s="5">
        <v>149612</v>
      </c>
      <c r="D237" s="5">
        <v>3611</v>
      </c>
      <c r="E237" s="16">
        <f t="shared" si="16"/>
        <v>1966661</v>
      </c>
      <c r="F237" s="16">
        <f t="shared" si="17"/>
        <v>1762366</v>
      </c>
      <c r="G237" s="16">
        <f t="shared" si="18"/>
        <v>-204291</v>
      </c>
      <c r="H237" s="18">
        <f t="shared" si="19"/>
        <v>0.10520536367074601</v>
      </c>
      <c r="I237" s="18">
        <f t="shared" si="20"/>
        <v>4.5632808726906816E-2</v>
      </c>
    </row>
    <row r="238" spans="1:9" ht="16.5" customHeight="1" x14ac:dyDescent="0.3">
      <c r="A238" s="4">
        <v>36678</v>
      </c>
      <c r="B238" s="5">
        <v>214875</v>
      </c>
      <c r="C238" s="9">
        <v>158986</v>
      </c>
      <c r="D238" s="5">
        <v>-55888</v>
      </c>
      <c r="E238" s="16">
        <f t="shared" si="16"/>
        <v>1982029</v>
      </c>
      <c r="F238" s="16">
        <f t="shared" si="17"/>
        <v>1775413</v>
      </c>
      <c r="G238" s="16">
        <f t="shared" si="18"/>
        <v>-206611</v>
      </c>
      <c r="H238" s="18">
        <f t="shared" si="19"/>
        <v>0.10659750254312708</v>
      </c>
      <c r="I238" s="18">
        <f t="shared" si="20"/>
        <v>4.7663192381159195E-2</v>
      </c>
    </row>
    <row r="239" spans="1:9" ht="16.5" customHeight="1" x14ac:dyDescent="0.3">
      <c r="A239" s="4">
        <v>36708</v>
      </c>
      <c r="B239" s="5">
        <v>134074</v>
      </c>
      <c r="C239" s="9">
        <v>129013</v>
      </c>
      <c r="D239" s="5">
        <v>-5061</v>
      </c>
      <c r="E239" s="16">
        <f t="shared" si="16"/>
        <v>1994180</v>
      </c>
      <c r="F239" s="16">
        <f t="shared" si="17"/>
        <v>1757340</v>
      </c>
      <c r="G239" s="16">
        <f t="shared" si="18"/>
        <v>-236836</v>
      </c>
      <c r="H239" s="18">
        <f t="shared" si="19"/>
        <v>0.11201571179868199</v>
      </c>
      <c r="I239" s="18">
        <f t="shared" si="20"/>
        <v>3.4995759517527328E-2</v>
      </c>
    </row>
    <row r="240" spans="1:9" ht="16.5" customHeight="1" x14ac:dyDescent="0.3">
      <c r="A240" s="4">
        <v>36739</v>
      </c>
      <c r="B240" s="5">
        <v>138128</v>
      </c>
      <c r="C240" s="5">
        <v>148555</v>
      </c>
      <c r="D240" s="5">
        <v>10427</v>
      </c>
      <c r="E240" s="16">
        <f t="shared" si="16"/>
        <v>2005984</v>
      </c>
      <c r="F240" s="16">
        <f t="shared" si="17"/>
        <v>1776768</v>
      </c>
      <c r="G240" s="16">
        <f t="shared" si="18"/>
        <v>-229212</v>
      </c>
      <c r="H240" s="18">
        <f t="shared" si="19"/>
        <v>0.1095750006222741</v>
      </c>
      <c r="I240" s="18">
        <f t="shared" si="20"/>
        <v>4.2618564202471627E-2</v>
      </c>
    </row>
    <row r="241" spans="1:9" ht="16.5" customHeight="1" x14ac:dyDescent="0.3">
      <c r="A241" s="4">
        <v>36770</v>
      </c>
      <c r="B241" s="9">
        <v>219490</v>
      </c>
      <c r="C241" s="9">
        <v>153743</v>
      </c>
      <c r="D241" s="5">
        <v>-65747</v>
      </c>
      <c r="E241" s="16">
        <f t="shared" si="16"/>
        <v>2025061</v>
      </c>
      <c r="F241" s="16">
        <f t="shared" si="17"/>
        <v>1788140</v>
      </c>
      <c r="G241" s="16">
        <f t="shared" si="18"/>
        <v>-236917</v>
      </c>
      <c r="H241" s="18">
        <f t="shared" si="19"/>
        <v>0.10822397817986398</v>
      </c>
      <c r="I241" s="18">
        <f t="shared" si="20"/>
        <v>5.0029889450139815E-2</v>
      </c>
    </row>
    <row r="242" spans="1:9" ht="16.5" customHeight="1" x14ac:dyDescent="0.3">
      <c r="A242" s="4">
        <v>36800</v>
      </c>
      <c r="B242" s="9">
        <v>135836</v>
      </c>
      <c r="C242" s="9">
        <v>147156</v>
      </c>
      <c r="D242" s="5">
        <v>11321</v>
      </c>
      <c r="E242" s="16">
        <f t="shared" si="16"/>
        <v>2039862</v>
      </c>
      <c r="F242" s="16">
        <f t="shared" si="17"/>
        <v>1787935</v>
      </c>
      <c r="G242" s="16">
        <f t="shared" si="18"/>
        <v>-251922</v>
      </c>
      <c r="H242" s="18">
        <f t="shared" si="19"/>
        <v>0.1156760907565452</v>
      </c>
      <c r="I242" s="18">
        <f t="shared" si="20"/>
        <v>5.3033470955126658E-2</v>
      </c>
    </row>
    <row r="243" spans="1:9" ht="16.5" customHeight="1" x14ac:dyDescent="0.3">
      <c r="A243" s="4">
        <v>36831</v>
      </c>
      <c r="B243" s="5">
        <v>125666</v>
      </c>
      <c r="C243" s="5">
        <v>149356</v>
      </c>
      <c r="D243" s="5">
        <v>23690</v>
      </c>
      <c r="E243" s="16">
        <f t="shared" si="16"/>
        <v>2044153</v>
      </c>
      <c r="F243" s="16">
        <f t="shared" si="17"/>
        <v>1788885</v>
      </c>
      <c r="G243" s="16">
        <f t="shared" si="18"/>
        <v>-255263</v>
      </c>
      <c r="H243" s="18">
        <f t="shared" si="19"/>
        <v>0.11351804510500005</v>
      </c>
      <c r="I243" s="18">
        <f t="shared" si="20"/>
        <v>4.2849955782418014E-2</v>
      </c>
    </row>
    <row r="244" spans="1:9" ht="16.5" customHeight="1" x14ac:dyDescent="0.3">
      <c r="A244" s="4">
        <v>36861</v>
      </c>
      <c r="B244" s="5">
        <v>200489</v>
      </c>
      <c r="C244" s="5">
        <v>167823</v>
      </c>
      <c r="D244" s="5">
        <v>-32666</v>
      </c>
      <c r="E244" s="16">
        <f t="shared" si="16"/>
        <v>2043446</v>
      </c>
      <c r="F244" s="16">
        <f t="shared" si="17"/>
        <v>1788594</v>
      </c>
      <c r="G244" s="16">
        <f t="shared" si="18"/>
        <v>-254848</v>
      </c>
      <c r="H244" s="18">
        <f t="shared" si="19"/>
        <v>9.9625412538590155E-2</v>
      </c>
      <c r="I244" s="18">
        <f t="shared" si="20"/>
        <v>5.2304770511363237E-2</v>
      </c>
    </row>
    <row r="245" spans="1:9" ht="16.5" customHeight="1" x14ac:dyDescent="0.3">
      <c r="A245" s="4">
        <v>36892</v>
      </c>
      <c r="B245" s="5">
        <v>219215</v>
      </c>
      <c r="C245" s="5">
        <v>142836</v>
      </c>
      <c r="D245" s="5">
        <v>-76379</v>
      </c>
      <c r="E245" s="16">
        <f t="shared" si="16"/>
        <v>2073183</v>
      </c>
      <c r="F245" s="16">
        <f t="shared" si="17"/>
        <v>1804104</v>
      </c>
      <c r="G245" s="16">
        <f t="shared" si="18"/>
        <v>-269075</v>
      </c>
      <c r="H245" s="18">
        <f t="shared" si="19"/>
        <v>0.10507227643450825</v>
      </c>
      <c r="I245" s="18">
        <f t="shared" si="20"/>
        <v>4.5375609501707909E-2</v>
      </c>
    </row>
    <row r="246" spans="1:9" ht="16.5" customHeight="1" x14ac:dyDescent="0.3">
      <c r="A246" s="4">
        <v>36923</v>
      </c>
      <c r="B246" s="5">
        <v>110481</v>
      </c>
      <c r="C246" s="5">
        <v>158649</v>
      </c>
      <c r="D246" s="5">
        <v>48168</v>
      </c>
      <c r="E246" s="16">
        <f t="shared" si="16"/>
        <v>2074989</v>
      </c>
      <c r="F246" s="16">
        <f t="shared" si="17"/>
        <v>1812344</v>
      </c>
      <c r="G246" s="16">
        <f t="shared" si="18"/>
        <v>-262641</v>
      </c>
      <c r="H246" s="18">
        <f t="shared" si="19"/>
        <v>0.10065328760249391</v>
      </c>
      <c r="I246" s="18">
        <f t="shared" si="20"/>
        <v>4.4961124100174991E-2</v>
      </c>
    </row>
    <row r="247" spans="1:9" ht="16.5" customHeight="1" x14ac:dyDescent="0.3">
      <c r="A247" s="4">
        <v>36951</v>
      </c>
      <c r="B247" s="9">
        <v>130074</v>
      </c>
      <c r="C247" s="9">
        <v>180736</v>
      </c>
      <c r="D247" s="5">
        <v>50662</v>
      </c>
      <c r="E247" s="16">
        <f t="shared" si="16"/>
        <v>2069481</v>
      </c>
      <c r="F247" s="16">
        <f t="shared" si="17"/>
        <v>1822118</v>
      </c>
      <c r="G247" s="16">
        <f t="shared" si="18"/>
        <v>-247359</v>
      </c>
      <c r="H247" s="18">
        <f t="shared" si="19"/>
        <v>9.4731802793059663E-2</v>
      </c>
      <c r="I247" s="18">
        <f t="shared" si="20"/>
        <v>3.9723777776002535E-2</v>
      </c>
    </row>
    <row r="248" spans="1:9" ht="16.5" customHeight="1" x14ac:dyDescent="0.3">
      <c r="A248" s="4">
        <v>36982</v>
      </c>
      <c r="B248" s="5">
        <v>331796</v>
      </c>
      <c r="C248" s="5">
        <v>141999</v>
      </c>
      <c r="D248" s="5">
        <v>-189796</v>
      </c>
      <c r="E248" s="16">
        <f t="shared" si="16"/>
        <v>2106126</v>
      </c>
      <c r="F248" s="16">
        <f t="shared" si="17"/>
        <v>1828464</v>
      </c>
      <c r="G248" s="16">
        <f t="shared" si="18"/>
        <v>-277658</v>
      </c>
      <c r="H248" s="18">
        <f t="shared" si="19"/>
        <v>9.7328118992019055E-2</v>
      </c>
      <c r="I248" s="18">
        <f t="shared" si="20"/>
        <v>5.3635936694162965E-2</v>
      </c>
    </row>
    <row r="249" spans="1:9" ht="16.5" customHeight="1" x14ac:dyDescent="0.3">
      <c r="A249" s="4">
        <v>37012</v>
      </c>
      <c r="B249" s="9">
        <v>125590</v>
      </c>
      <c r="C249" s="9">
        <v>153508</v>
      </c>
      <c r="D249" s="5">
        <v>27919</v>
      </c>
      <c r="E249" s="16">
        <f t="shared" si="16"/>
        <v>2085714</v>
      </c>
      <c r="F249" s="16">
        <f t="shared" si="17"/>
        <v>1832360</v>
      </c>
      <c r="G249" s="16">
        <f t="shared" si="18"/>
        <v>-253350</v>
      </c>
      <c r="H249" s="18">
        <f t="shared" si="19"/>
        <v>6.0535598153418406E-2</v>
      </c>
      <c r="I249" s="18">
        <f t="shared" si="20"/>
        <v>3.9715927338589148E-2</v>
      </c>
    </row>
    <row r="250" spans="1:9" ht="16.5" customHeight="1" x14ac:dyDescent="0.3">
      <c r="A250" s="4">
        <v>37043</v>
      </c>
      <c r="B250" s="5">
        <v>202887</v>
      </c>
      <c r="C250" s="5">
        <v>171025</v>
      </c>
      <c r="D250" s="5">
        <v>-31862</v>
      </c>
      <c r="E250" s="16">
        <f t="shared" si="16"/>
        <v>2073726</v>
      </c>
      <c r="F250" s="16">
        <f t="shared" si="17"/>
        <v>1844399</v>
      </c>
      <c r="G250" s="16">
        <f t="shared" si="18"/>
        <v>-229324</v>
      </c>
      <c r="H250" s="18">
        <f t="shared" si="19"/>
        <v>4.6264207032288632E-2</v>
      </c>
      <c r="I250" s="18">
        <f t="shared" si="20"/>
        <v>3.8856311179426985E-2</v>
      </c>
    </row>
    <row r="251" spans="1:9" ht="16.5" customHeight="1" x14ac:dyDescent="0.3">
      <c r="A251" s="4">
        <v>37073</v>
      </c>
      <c r="B251" s="5">
        <v>127842</v>
      </c>
      <c r="C251" s="9">
        <v>125022</v>
      </c>
      <c r="D251" s="5">
        <v>-2820</v>
      </c>
      <c r="E251" s="16">
        <f t="shared" si="16"/>
        <v>2067494</v>
      </c>
      <c r="F251" s="16">
        <f t="shared" si="17"/>
        <v>1840408</v>
      </c>
      <c r="G251" s="16">
        <f t="shared" si="18"/>
        <v>-227083</v>
      </c>
      <c r="H251" s="18">
        <f t="shared" si="19"/>
        <v>3.6763983191086064E-2</v>
      </c>
      <c r="I251" s="18">
        <f t="shared" si="20"/>
        <v>4.7269168174627563E-2</v>
      </c>
    </row>
    <row r="252" spans="1:9" ht="16.5" customHeight="1" x14ac:dyDescent="0.3">
      <c r="A252" s="4">
        <v>37104</v>
      </c>
      <c r="B252" s="5">
        <v>122559</v>
      </c>
      <c r="C252" s="5">
        <v>202549</v>
      </c>
      <c r="D252" s="5">
        <v>79990</v>
      </c>
      <c r="E252" s="16">
        <f t="shared" si="16"/>
        <v>2051925</v>
      </c>
      <c r="F252" s="16">
        <f t="shared" si="17"/>
        <v>1894402</v>
      </c>
      <c r="G252" s="16">
        <f t="shared" si="18"/>
        <v>-157520</v>
      </c>
      <c r="H252" s="18">
        <f t="shared" si="19"/>
        <v>2.2901977283966372E-2</v>
      </c>
      <c r="I252" s="18">
        <f t="shared" si="20"/>
        <v>6.6206730422880194E-2</v>
      </c>
    </row>
    <row r="253" spans="1:9" ht="16.5" customHeight="1" x14ac:dyDescent="0.3">
      <c r="A253" s="4">
        <v>37135</v>
      </c>
      <c r="B253" s="9">
        <v>158611</v>
      </c>
      <c r="C253" s="9">
        <v>123110</v>
      </c>
      <c r="D253" s="5">
        <v>-35501</v>
      </c>
      <c r="E253" s="16">
        <f t="shared" si="16"/>
        <v>1991046</v>
      </c>
      <c r="F253" s="16">
        <f t="shared" si="17"/>
        <v>1863769</v>
      </c>
      <c r="G253" s="16">
        <f t="shared" si="18"/>
        <v>-127274</v>
      </c>
      <c r="H253" s="18">
        <f t="shared" si="19"/>
        <v>-1.6797024879744365E-2</v>
      </c>
      <c r="I253" s="18">
        <f t="shared" si="20"/>
        <v>4.2294786761662956E-2</v>
      </c>
    </row>
    <row r="254" spans="1:9" ht="16.5" customHeight="1" x14ac:dyDescent="0.3">
      <c r="A254" s="4">
        <v>37165</v>
      </c>
      <c r="B254" s="5">
        <v>157163</v>
      </c>
      <c r="C254" s="9">
        <v>164819</v>
      </c>
      <c r="D254" s="5">
        <v>7656</v>
      </c>
      <c r="E254" s="16">
        <f t="shared" si="16"/>
        <v>2012373</v>
      </c>
      <c r="F254" s="16">
        <f t="shared" si="17"/>
        <v>1881432</v>
      </c>
      <c r="G254" s="16">
        <f t="shared" si="18"/>
        <v>-130939</v>
      </c>
      <c r="H254" s="18">
        <f t="shared" si="19"/>
        <v>-1.3475911605785098E-2</v>
      </c>
      <c r="I254" s="18">
        <f t="shared" si="20"/>
        <v>5.2293288066959931E-2</v>
      </c>
    </row>
    <row r="255" spans="1:9" ht="16.5" customHeight="1" x14ac:dyDescent="0.3">
      <c r="A255" s="4">
        <v>37196</v>
      </c>
      <c r="B255" s="5">
        <v>121233</v>
      </c>
      <c r="C255" s="5">
        <v>175500</v>
      </c>
      <c r="D255" s="5">
        <v>54267</v>
      </c>
      <c r="E255" s="16">
        <f t="shared" si="16"/>
        <v>2007940</v>
      </c>
      <c r="F255" s="16">
        <f t="shared" si="17"/>
        <v>1907576</v>
      </c>
      <c r="G255" s="16">
        <f t="shared" si="18"/>
        <v>-100362</v>
      </c>
      <c r="H255" s="18">
        <f t="shared" si="19"/>
        <v>-1.771540584290902E-2</v>
      </c>
      <c r="I255" s="18">
        <f t="shared" si="20"/>
        <v>6.6349150448463706E-2</v>
      </c>
    </row>
    <row r="256" spans="1:9" ht="16.5" customHeight="1" x14ac:dyDescent="0.3">
      <c r="A256" s="4">
        <v>37226</v>
      </c>
      <c r="B256" s="5">
        <v>187914</v>
      </c>
      <c r="C256" s="5">
        <v>161347</v>
      </c>
      <c r="D256" s="5">
        <v>-26567</v>
      </c>
      <c r="E256" s="16">
        <f t="shared" si="16"/>
        <v>1995365</v>
      </c>
      <c r="F256" s="16">
        <f t="shared" si="17"/>
        <v>1901100</v>
      </c>
      <c r="G256" s="16">
        <f t="shared" si="18"/>
        <v>-94263</v>
      </c>
      <c r="H256" s="18">
        <f t="shared" si="19"/>
        <v>-2.352937146369417E-2</v>
      </c>
      <c r="I256" s="18">
        <f t="shared" si="20"/>
        <v>6.2901921844756278E-2</v>
      </c>
    </row>
    <row r="257" spans="1:9" ht="16.5" customHeight="1" x14ac:dyDescent="0.3">
      <c r="A257" s="4">
        <v>37257</v>
      </c>
      <c r="B257" s="5">
        <v>203452</v>
      </c>
      <c r="C257" s="9">
        <v>159723</v>
      </c>
      <c r="D257" s="5">
        <v>-43729</v>
      </c>
      <c r="E257" s="16">
        <f t="shared" si="16"/>
        <v>1979602</v>
      </c>
      <c r="F257" s="16">
        <f t="shared" si="17"/>
        <v>1917987</v>
      </c>
      <c r="G257" s="16">
        <f t="shared" si="18"/>
        <v>-61613</v>
      </c>
      <c r="H257" s="18">
        <f t="shared" si="19"/>
        <v>-4.5138803472727682E-2</v>
      </c>
      <c r="I257" s="18">
        <f t="shared" si="20"/>
        <v>6.3124409679264609E-2</v>
      </c>
    </row>
    <row r="258" spans="1:9" ht="16.5" customHeight="1" x14ac:dyDescent="0.3">
      <c r="A258" s="4">
        <v>37288</v>
      </c>
      <c r="B258" s="5">
        <v>97962</v>
      </c>
      <c r="C258" s="5">
        <v>174018</v>
      </c>
      <c r="D258" s="5">
        <v>76056</v>
      </c>
      <c r="E258" s="16">
        <f t="shared" si="16"/>
        <v>1967083</v>
      </c>
      <c r="F258" s="16">
        <f t="shared" si="17"/>
        <v>1933356</v>
      </c>
      <c r="G258" s="16">
        <f t="shared" si="18"/>
        <v>-33725</v>
      </c>
      <c r="H258" s="18">
        <f t="shared" si="19"/>
        <v>-5.2003167245705882E-2</v>
      </c>
      <c r="I258" s="18">
        <f t="shared" si="20"/>
        <v>6.677098828919896E-2</v>
      </c>
    </row>
    <row r="259" spans="1:9" ht="16.5" customHeight="1" x14ac:dyDescent="0.3">
      <c r="A259" s="4">
        <v>37316</v>
      </c>
      <c r="B259" s="5">
        <v>111220</v>
      </c>
      <c r="C259" s="5">
        <v>175458</v>
      </c>
      <c r="D259" s="5">
        <v>64238</v>
      </c>
      <c r="E259" s="16">
        <f t="shared" si="16"/>
        <v>1948229</v>
      </c>
      <c r="F259" s="16">
        <f t="shared" si="17"/>
        <v>1928078</v>
      </c>
      <c r="G259" s="16">
        <f t="shared" si="18"/>
        <v>-20149</v>
      </c>
      <c r="H259" s="18">
        <f t="shared" si="19"/>
        <v>-5.8590535501413153E-2</v>
      </c>
      <c r="I259" s="18">
        <f t="shared" si="20"/>
        <v>5.8152106504628133E-2</v>
      </c>
    </row>
    <row r="260" spans="1:9" ht="16.5" customHeight="1" x14ac:dyDescent="0.3">
      <c r="A260" s="4">
        <v>37347</v>
      </c>
      <c r="B260" s="5">
        <v>237426</v>
      </c>
      <c r="C260" s="5">
        <v>170257</v>
      </c>
      <c r="D260" s="5">
        <v>-67170</v>
      </c>
      <c r="E260" s="16">
        <f t="shared" si="16"/>
        <v>1853859</v>
      </c>
      <c r="F260" s="16">
        <f t="shared" si="17"/>
        <v>1956336</v>
      </c>
      <c r="G260" s="16">
        <f t="shared" si="18"/>
        <v>102477</v>
      </c>
      <c r="H260" s="18">
        <f t="shared" si="19"/>
        <v>-0.11977773409568089</v>
      </c>
      <c r="I260" s="18">
        <f t="shared" si="20"/>
        <v>6.9934108628881941E-2</v>
      </c>
    </row>
    <row r="261" spans="1:9" ht="16.5" customHeight="1" x14ac:dyDescent="0.3">
      <c r="A261" s="4">
        <v>37377</v>
      </c>
      <c r="B261" s="5">
        <v>102496</v>
      </c>
      <c r="C261" s="5">
        <v>183127</v>
      </c>
      <c r="D261" s="5">
        <v>80631</v>
      </c>
      <c r="E261" s="16">
        <f t="shared" si="16"/>
        <v>1830765</v>
      </c>
      <c r="F261" s="16">
        <f t="shared" si="17"/>
        <v>1985955</v>
      </c>
      <c r="G261" s="16">
        <f t="shared" si="18"/>
        <v>155189</v>
      </c>
      <c r="H261" s="18">
        <f t="shared" si="19"/>
        <v>-0.12223583866244365</v>
      </c>
      <c r="I261" s="18">
        <f t="shared" si="20"/>
        <v>8.3823593616974834E-2</v>
      </c>
    </row>
    <row r="262" spans="1:9" ht="16.5" customHeight="1" x14ac:dyDescent="0.3">
      <c r="A262" s="4">
        <v>37408</v>
      </c>
      <c r="B262" s="5">
        <v>182633</v>
      </c>
      <c r="C262" s="5">
        <v>153562</v>
      </c>
      <c r="D262" s="5">
        <v>-29071</v>
      </c>
      <c r="E262" s="16">
        <f t="shared" si="16"/>
        <v>1810511</v>
      </c>
      <c r="F262" s="16">
        <f t="shared" si="17"/>
        <v>1968492</v>
      </c>
      <c r="G262" s="16">
        <f t="shared" si="18"/>
        <v>157980</v>
      </c>
      <c r="H262" s="18">
        <f t="shared" si="19"/>
        <v>-0.12692853347067068</v>
      </c>
      <c r="I262" s="18">
        <f t="shared" si="20"/>
        <v>6.7280995055842036E-2</v>
      </c>
    </row>
    <row r="263" spans="1:9" ht="16.5" customHeight="1" x14ac:dyDescent="0.3">
      <c r="A263" s="4">
        <v>37438</v>
      </c>
      <c r="B263" s="5">
        <v>134409</v>
      </c>
      <c r="C263" s="5">
        <v>163568</v>
      </c>
      <c r="D263" s="5">
        <v>29159</v>
      </c>
      <c r="E263" s="16">
        <f t="shared" si="16"/>
        <v>1817078</v>
      </c>
      <c r="F263" s="16">
        <f t="shared" si="17"/>
        <v>2007038</v>
      </c>
      <c r="G263" s="16">
        <f t="shared" si="18"/>
        <v>189959</v>
      </c>
      <c r="H263" s="18">
        <f t="shared" si="19"/>
        <v>-0.1211205449689334</v>
      </c>
      <c r="I263" s="18">
        <f t="shared" si="20"/>
        <v>9.053970641292583E-2</v>
      </c>
    </row>
    <row r="264" spans="1:9" ht="16.5" customHeight="1" x14ac:dyDescent="0.3">
      <c r="A264" s="4">
        <v>37469</v>
      </c>
      <c r="B264" s="5">
        <v>124619</v>
      </c>
      <c r="C264" s="5">
        <v>179328</v>
      </c>
      <c r="D264" s="5">
        <v>54709</v>
      </c>
      <c r="E264" s="16">
        <f t="shared" si="16"/>
        <v>1819138</v>
      </c>
      <c r="F264" s="16">
        <f t="shared" si="17"/>
        <v>1983817</v>
      </c>
      <c r="G264" s="16">
        <f t="shared" si="18"/>
        <v>164678</v>
      </c>
      <c r="H264" s="18">
        <f t="shared" si="19"/>
        <v>-0.11344810361002473</v>
      </c>
      <c r="I264" s="18">
        <f t="shared" si="20"/>
        <v>4.7199591216647789E-2</v>
      </c>
    </row>
    <row r="265" spans="1:9" ht="16.5" customHeight="1" x14ac:dyDescent="0.3">
      <c r="A265" s="4">
        <v>37500</v>
      </c>
      <c r="B265" s="9">
        <v>192698</v>
      </c>
      <c r="C265" s="9">
        <v>150310</v>
      </c>
      <c r="D265" s="5">
        <v>-42388</v>
      </c>
      <c r="E265" s="16">
        <f t="shared" si="16"/>
        <v>1853225</v>
      </c>
      <c r="F265" s="16">
        <f t="shared" si="17"/>
        <v>2011017</v>
      </c>
      <c r="G265" s="16">
        <f t="shared" si="18"/>
        <v>157791</v>
      </c>
      <c r="H265" s="18">
        <f t="shared" si="19"/>
        <v>-6.9220399729589377E-2</v>
      </c>
      <c r="I265" s="18">
        <f t="shared" si="20"/>
        <v>7.9005499072041657E-2</v>
      </c>
    </row>
    <row r="266" spans="1:9" ht="16.5" customHeight="1" x14ac:dyDescent="0.3">
      <c r="A266" s="4">
        <v>37530</v>
      </c>
      <c r="B266" s="9">
        <v>124543</v>
      </c>
      <c r="C266" s="9">
        <v>178615</v>
      </c>
      <c r="D266" s="5">
        <v>54072</v>
      </c>
      <c r="E266" s="16">
        <f t="shared" si="16"/>
        <v>1820605</v>
      </c>
      <c r="F266" s="16">
        <f t="shared" si="17"/>
        <v>2024813</v>
      </c>
      <c r="G266" s="16">
        <f t="shared" si="18"/>
        <v>204207</v>
      </c>
      <c r="H266" s="18">
        <f t="shared" si="19"/>
        <v>-9.5294460818148519E-2</v>
      </c>
      <c r="I266" s="18">
        <f t="shared" si="20"/>
        <v>7.6208441229871721E-2</v>
      </c>
    </row>
    <row r="267" spans="1:9" ht="16.5" customHeight="1" x14ac:dyDescent="0.3">
      <c r="A267" s="4">
        <v>37561</v>
      </c>
      <c r="B267" s="9">
        <v>120017</v>
      </c>
      <c r="C267" s="9">
        <v>178901</v>
      </c>
      <c r="D267" s="5">
        <v>58883</v>
      </c>
      <c r="E267" s="16">
        <f t="shared" si="16"/>
        <v>1819389</v>
      </c>
      <c r="F267" s="16">
        <f t="shared" si="17"/>
        <v>2028214</v>
      </c>
      <c r="G267" s="16">
        <f t="shared" si="18"/>
        <v>208823</v>
      </c>
      <c r="H267" s="18">
        <f t="shared" si="19"/>
        <v>-9.3902706256163038E-2</v>
      </c>
      <c r="I267" s="18">
        <f t="shared" si="20"/>
        <v>6.3241516982809595E-2</v>
      </c>
    </row>
    <row r="268" spans="1:9" ht="16.5" customHeight="1" x14ac:dyDescent="0.3">
      <c r="A268" s="4">
        <v>37591</v>
      </c>
      <c r="B268" s="9">
        <v>182787</v>
      </c>
      <c r="C268" s="5">
        <v>178069</v>
      </c>
      <c r="D268" s="5">
        <v>-4719</v>
      </c>
      <c r="E268" s="16">
        <f t="shared" si="16"/>
        <v>1814262</v>
      </c>
      <c r="F268" s="16">
        <f t="shared" si="17"/>
        <v>2044936</v>
      </c>
      <c r="G268" s="16">
        <f t="shared" si="18"/>
        <v>230671</v>
      </c>
      <c r="H268" s="18">
        <f t="shared" si="19"/>
        <v>-9.0761840565510565E-2</v>
      </c>
      <c r="I268" s="18">
        <f t="shared" si="20"/>
        <v>7.5659355110199361E-2</v>
      </c>
    </row>
    <row r="269" spans="1:9" ht="16.5" customHeight="1" x14ac:dyDescent="0.3">
      <c r="A269" s="4">
        <v>37622</v>
      </c>
      <c r="B269" s="9">
        <v>187884</v>
      </c>
      <c r="C269" s="9">
        <v>177251</v>
      </c>
      <c r="D269" s="5">
        <v>-10633</v>
      </c>
      <c r="E269" s="16">
        <f t="shared" si="16"/>
        <v>1798694</v>
      </c>
      <c r="F269" s="16">
        <f t="shared" si="17"/>
        <v>2062464</v>
      </c>
      <c r="G269" s="16">
        <f t="shared" si="18"/>
        <v>263767</v>
      </c>
      <c r="H269" s="18">
        <f t="shared" si="19"/>
        <v>-9.1386046286071651E-2</v>
      </c>
      <c r="I269" s="18">
        <f t="shared" si="20"/>
        <v>7.5327413585180719E-2</v>
      </c>
    </row>
    <row r="270" spans="1:9" ht="16.5" customHeight="1" x14ac:dyDescent="0.3">
      <c r="A270" s="4">
        <v>37653</v>
      </c>
      <c r="B270" s="9">
        <v>89477</v>
      </c>
      <c r="C270" s="9">
        <v>186140</v>
      </c>
      <c r="D270" s="5">
        <v>96663</v>
      </c>
      <c r="E270" s="16">
        <f t="shared" si="16"/>
        <v>1790209</v>
      </c>
      <c r="F270" s="16">
        <f t="shared" si="17"/>
        <v>2074586</v>
      </c>
      <c r="G270" s="16">
        <f t="shared" si="18"/>
        <v>284374</v>
      </c>
      <c r="H270" s="18">
        <f t="shared" si="19"/>
        <v>-8.9916897253445843E-2</v>
      </c>
      <c r="I270" s="18">
        <f t="shared" si="20"/>
        <v>7.3049143561765131E-2</v>
      </c>
    </row>
    <row r="271" spans="1:9" ht="16.5" customHeight="1" x14ac:dyDescent="0.3">
      <c r="A271" s="4">
        <v>37681</v>
      </c>
      <c r="B271" s="9">
        <v>120358</v>
      </c>
      <c r="C271" s="9">
        <v>179234</v>
      </c>
      <c r="D271" s="5">
        <v>58877</v>
      </c>
      <c r="E271" s="16">
        <f t="shared" si="16"/>
        <v>1799347</v>
      </c>
      <c r="F271" s="16">
        <f t="shared" si="17"/>
        <v>2078362</v>
      </c>
      <c r="G271" s="16">
        <f t="shared" si="18"/>
        <v>279013</v>
      </c>
      <c r="H271" s="18">
        <f t="shared" si="19"/>
        <v>-7.641914785171558E-2</v>
      </c>
      <c r="I271" s="18">
        <f t="shared" si="20"/>
        <v>7.7944979404360196E-2</v>
      </c>
    </row>
    <row r="272" spans="1:9" ht="16.5" customHeight="1" x14ac:dyDescent="0.3">
      <c r="A272" s="4">
        <v>37712</v>
      </c>
      <c r="B272" s="9">
        <v>231160</v>
      </c>
      <c r="C272" s="9">
        <v>180094</v>
      </c>
      <c r="D272" s="5">
        <v>-51066</v>
      </c>
      <c r="E272" s="16">
        <f t="shared" si="16"/>
        <v>1793081</v>
      </c>
      <c r="F272" s="16">
        <f t="shared" si="17"/>
        <v>2088199</v>
      </c>
      <c r="G272" s="16">
        <f t="shared" si="18"/>
        <v>295117</v>
      </c>
      <c r="H272" s="18">
        <f t="shared" si="19"/>
        <v>-3.2784586098511266E-2</v>
      </c>
      <c r="I272" s="18">
        <f t="shared" si="20"/>
        <v>6.7403043240016031E-2</v>
      </c>
    </row>
    <row r="273" spans="1:9" ht="16.5" customHeight="1" x14ac:dyDescent="0.3">
      <c r="A273" s="4">
        <v>37742</v>
      </c>
      <c r="B273" s="9">
        <v>103411</v>
      </c>
      <c r="C273" s="9">
        <v>192278</v>
      </c>
      <c r="D273" s="5">
        <v>88867</v>
      </c>
      <c r="E273" s="16">
        <f t="shared" ref="E273:E336" si="21">SUM(B262:B273)</f>
        <v>1793996</v>
      </c>
      <c r="F273" s="16">
        <f t="shared" ref="F273:F336" si="22">SUM(C262:C273)</f>
        <v>2097350</v>
      </c>
      <c r="G273" s="16">
        <f t="shared" ref="G273:G336" si="23">SUM(D262:D273)</f>
        <v>303353</v>
      </c>
      <c r="H273" s="18">
        <f t="shared" si="19"/>
        <v>-2.0083953975523892E-2</v>
      </c>
      <c r="I273" s="18">
        <f t="shared" si="20"/>
        <v>5.6091401869629472E-2</v>
      </c>
    </row>
    <row r="274" spans="1:9" ht="16.5" customHeight="1" x14ac:dyDescent="0.3">
      <c r="A274" s="4">
        <v>37773</v>
      </c>
      <c r="B274" s="9">
        <v>193043</v>
      </c>
      <c r="C274" s="9">
        <v>171814</v>
      </c>
      <c r="D274" s="5">
        <v>-21230</v>
      </c>
      <c r="E274" s="16">
        <f t="shared" si="21"/>
        <v>1804406</v>
      </c>
      <c r="F274" s="16">
        <f t="shared" si="22"/>
        <v>2115602</v>
      </c>
      <c r="G274" s="16">
        <f t="shared" si="23"/>
        <v>311194</v>
      </c>
      <c r="H274" s="18">
        <f t="shared" si="19"/>
        <v>-3.3719761989847064E-3</v>
      </c>
      <c r="I274" s="18">
        <f t="shared" si="20"/>
        <v>7.4732333176868379E-2</v>
      </c>
    </row>
    <row r="275" spans="1:9" ht="16.5" customHeight="1" x14ac:dyDescent="0.3">
      <c r="A275" s="4">
        <v>37803</v>
      </c>
      <c r="B275" s="9">
        <v>123551</v>
      </c>
      <c r="C275" s="9">
        <v>177792</v>
      </c>
      <c r="D275" s="5">
        <v>54240</v>
      </c>
      <c r="E275" s="16">
        <f t="shared" si="21"/>
        <v>1793548</v>
      </c>
      <c r="F275" s="16">
        <f t="shared" si="22"/>
        <v>2129826</v>
      </c>
      <c r="G275" s="16">
        <f t="shared" si="23"/>
        <v>336275</v>
      </c>
      <c r="H275" s="18">
        <f t="shared" si="19"/>
        <v>-1.2949361557401498E-2</v>
      </c>
      <c r="I275" s="18">
        <f t="shared" si="20"/>
        <v>6.11787121120776E-2</v>
      </c>
    </row>
    <row r="276" spans="1:9" ht="16.5" customHeight="1" x14ac:dyDescent="0.3">
      <c r="A276" s="4">
        <v>37834</v>
      </c>
      <c r="B276" s="9">
        <v>114243</v>
      </c>
      <c r="C276" s="9">
        <v>190830</v>
      </c>
      <c r="D276" s="5">
        <v>76587</v>
      </c>
      <c r="E276" s="16">
        <f t="shared" si="21"/>
        <v>1783172</v>
      </c>
      <c r="F276" s="16">
        <f t="shared" si="22"/>
        <v>2141328</v>
      </c>
      <c r="G276" s="16">
        <f t="shared" si="23"/>
        <v>358153</v>
      </c>
      <c r="H276" s="18">
        <f t="shared" si="19"/>
        <v>-1.9770902482384514E-2</v>
      </c>
      <c r="I276" s="18">
        <f t="shared" si="20"/>
        <v>7.9397948500290097E-2</v>
      </c>
    </row>
    <row r="277" spans="1:9" ht="16.5" customHeight="1" x14ac:dyDescent="0.3">
      <c r="A277" s="4">
        <v>37865</v>
      </c>
      <c r="B277" s="9">
        <v>191632</v>
      </c>
      <c r="C277" s="9">
        <v>168229</v>
      </c>
      <c r="D277" s="5">
        <v>-23402</v>
      </c>
      <c r="E277" s="16">
        <f t="shared" si="21"/>
        <v>1782106</v>
      </c>
      <c r="F277" s="16">
        <f t="shared" si="22"/>
        <v>2159247</v>
      </c>
      <c r="G277" s="16">
        <f t="shared" si="23"/>
        <v>377139</v>
      </c>
      <c r="H277" s="18">
        <f t="shared" si="19"/>
        <v>-3.8375804341081086E-2</v>
      </c>
      <c r="I277" s="18">
        <f t="shared" si="20"/>
        <v>7.3708974116081571E-2</v>
      </c>
    </row>
    <row r="278" spans="1:9" ht="16.5" customHeight="1" x14ac:dyDescent="0.3">
      <c r="A278" s="4">
        <v>37895</v>
      </c>
      <c r="B278" s="9">
        <v>135825</v>
      </c>
      <c r="C278" s="9">
        <v>205370</v>
      </c>
      <c r="D278" s="5">
        <v>69545</v>
      </c>
      <c r="E278" s="16">
        <f t="shared" si="21"/>
        <v>1793388</v>
      </c>
      <c r="F278" s="16">
        <f t="shared" si="22"/>
        <v>2186002</v>
      </c>
      <c r="G278" s="16">
        <f t="shared" si="23"/>
        <v>392612</v>
      </c>
      <c r="H278" s="18">
        <f t="shared" si="19"/>
        <v>-1.4949426152295529E-2</v>
      </c>
      <c r="I278" s="18">
        <f t="shared" si="20"/>
        <v>7.9606857522151422E-2</v>
      </c>
    </row>
    <row r="279" spans="1:9" ht="16.5" customHeight="1" x14ac:dyDescent="0.3">
      <c r="A279" s="4">
        <v>37926</v>
      </c>
      <c r="B279" s="5">
        <v>118207</v>
      </c>
      <c r="C279" s="5">
        <v>161179</v>
      </c>
      <c r="D279" s="9">
        <v>42971</v>
      </c>
      <c r="E279" s="16">
        <f t="shared" si="21"/>
        <v>1791578</v>
      </c>
      <c r="F279" s="16">
        <f t="shared" si="22"/>
        <v>2168280</v>
      </c>
      <c r="G279" s="16">
        <f t="shared" si="23"/>
        <v>376700</v>
      </c>
      <c r="H279" s="18">
        <f t="shared" si="19"/>
        <v>-1.5285900926080129E-2</v>
      </c>
      <c r="I279" s="18">
        <f t="shared" si="20"/>
        <v>6.9058787682167666E-2</v>
      </c>
    </row>
    <row r="280" spans="1:9" ht="16.5" customHeight="1" x14ac:dyDescent="0.3">
      <c r="A280" s="4">
        <v>37956</v>
      </c>
      <c r="B280" s="5">
        <v>186730</v>
      </c>
      <c r="C280" s="9">
        <v>204370</v>
      </c>
      <c r="D280" s="9">
        <v>17640</v>
      </c>
      <c r="E280" s="16">
        <f t="shared" si="21"/>
        <v>1795521</v>
      </c>
      <c r="F280" s="16">
        <f t="shared" si="22"/>
        <v>2194581</v>
      </c>
      <c r="G280" s="16">
        <f t="shared" si="23"/>
        <v>399059</v>
      </c>
      <c r="H280" s="18">
        <f t="shared" si="19"/>
        <v>-1.0329820059065339E-2</v>
      </c>
      <c r="I280" s="18">
        <f t="shared" si="20"/>
        <v>7.3178329297347203E-2</v>
      </c>
    </row>
    <row r="281" spans="1:9" ht="16.5" customHeight="1" x14ac:dyDescent="0.3">
      <c r="A281" s="4">
        <v>37987</v>
      </c>
      <c r="B281" s="9">
        <v>185169</v>
      </c>
      <c r="C281" s="9">
        <v>186802</v>
      </c>
      <c r="D281" s="9">
        <v>1633</v>
      </c>
      <c r="E281" s="16">
        <f t="shared" si="21"/>
        <v>1792806</v>
      </c>
      <c r="F281" s="16">
        <f t="shared" si="22"/>
        <v>2204132</v>
      </c>
      <c r="G281" s="16">
        <f t="shared" si="23"/>
        <v>411325</v>
      </c>
      <c r="H281" s="18">
        <f t="shared" si="19"/>
        <v>-3.2734862072147904E-3</v>
      </c>
      <c r="I281" s="18">
        <f t="shared" si="20"/>
        <v>6.8688714081797303E-2</v>
      </c>
    </row>
    <row r="282" spans="1:9" ht="16.5" customHeight="1" x14ac:dyDescent="0.3">
      <c r="A282" s="4">
        <v>38018</v>
      </c>
      <c r="B282" s="9">
        <v>92009</v>
      </c>
      <c r="C282" s="9">
        <v>188709</v>
      </c>
      <c r="D282" s="9">
        <v>96701</v>
      </c>
      <c r="E282" s="16">
        <f t="shared" si="21"/>
        <v>1795338</v>
      </c>
      <c r="F282" s="16">
        <f t="shared" si="22"/>
        <v>2206701</v>
      </c>
      <c r="G282" s="16">
        <f t="shared" si="23"/>
        <v>411363</v>
      </c>
      <c r="H282" s="18">
        <f t="shared" si="19"/>
        <v>2.8650286083915341E-3</v>
      </c>
      <c r="I282" s="18">
        <f t="shared" si="20"/>
        <v>6.3682585344738654E-2</v>
      </c>
    </row>
    <row r="283" spans="1:9" ht="16.5" customHeight="1" x14ac:dyDescent="0.3">
      <c r="A283" s="4">
        <v>38047</v>
      </c>
      <c r="B283" s="9">
        <v>132425</v>
      </c>
      <c r="C283" s="9">
        <v>205337</v>
      </c>
      <c r="D283" s="9">
        <v>72913</v>
      </c>
      <c r="E283" s="16">
        <f t="shared" si="21"/>
        <v>1807405</v>
      </c>
      <c r="F283" s="16">
        <f t="shared" si="22"/>
        <v>2232804</v>
      </c>
      <c r="G283" s="16">
        <f t="shared" si="23"/>
        <v>425399</v>
      </c>
      <c r="H283" s="18">
        <f t="shared" si="19"/>
        <v>4.4782912912295402E-3</v>
      </c>
      <c r="I283" s="18">
        <f t="shared" si="20"/>
        <v>7.4309480254161689E-2</v>
      </c>
    </row>
    <row r="284" spans="1:9" ht="16.5" customHeight="1" x14ac:dyDescent="0.3">
      <c r="A284" s="4">
        <v>38078</v>
      </c>
      <c r="B284" s="5">
        <v>220091</v>
      </c>
      <c r="C284" s="9">
        <v>202513</v>
      </c>
      <c r="D284" s="9">
        <v>-17578</v>
      </c>
      <c r="E284" s="16">
        <f t="shared" si="21"/>
        <v>1796336</v>
      </c>
      <c r="F284" s="16">
        <f t="shared" si="22"/>
        <v>2255223</v>
      </c>
      <c r="G284" s="16">
        <f t="shared" si="23"/>
        <v>458887</v>
      </c>
      <c r="H284" s="18">
        <f t="shared" ref="H284:H347" si="24">(E284-E272)/E272</f>
        <v>1.81531118783814E-3</v>
      </c>
      <c r="I284" s="18">
        <f t="shared" ref="I284:I347" si="25">(F284-F272)/F272</f>
        <v>7.9984714100523949E-2</v>
      </c>
    </row>
    <row r="285" spans="1:9" ht="16.5" customHeight="1" x14ac:dyDescent="0.3">
      <c r="A285" s="4">
        <v>38108</v>
      </c>
      <c r="B285" s="5">
        <v>115450</v>
      </c>
      <c r="C285" s="9">
        <v>177913</v>
      </c>
      <c r="D285" s="9">
        <v>62463</v>
      </c>
      <c r="E285" s="16">
        <f t="shared" si="21"/>
        <v>1808375</v>
      </c>
      <c r="F285" s="16">
        <f t="shared" si="22"/>
        <v>2240858</v>
      </c>
      <c r="G285" s="16">
        <f t="shared" si="23"/>
        <v>432483</v>
      </c>
      <c r="H285" s="18">
        <f t="shared" si="24"/>
        <v>8.015068038055826E-3</v>
      </c>
      <c r="I285" s="18">
        <f t="shared" si="25"/>
        <v>6.8423486780937848E-2</v>
      </c>
    </row>
    <row r="286" spans="1:9" ht="16.5" customHeight="1" x14ac:dyDescent="0.3">
      <c r="A286" s="4">
        <v>38139</v>
      </c>
      <c r="B286" s="5">
        <v>214382</v>
      </c>
      <c r="C286" s="9">
        <v>195258</v>
      </c>
      <c r="D286" s="9">
        <v>-19124</v>
      </c>
      <c r="E286" s="16">
        <f t="shared" si="21"/>
        <v>1829714</v>
      </c>
      <c r="F286" s="16">
        <f t="shared" si="22"/>
        <v>2264302</v>
      </c>
      <c r="G286" s="16">
        <f t="shared" si="23"/>
        <v>434589</v>
      </c>
      <c r="H286" s="18">
        <f t="shared" si="24"/>
        <v>1.4025668280863619E-2</v>
      </c>
      <c r="I286" s="18">
        <f t="shared" si="25"/>
        <v>7.0287322473697789E-2</v>
      </c>
    </row>
    <row r="287" spans="1:9" ht="16.5" customHeight="1" x14ac:dyDescent="0.3">
      <c r="A287" s="4">
        <v>38169</v>
      </c>
      <c r="B287" s="5">
        <v>134415</v>
      </c>
      <c r="C287" s="5">
        <v>203575</v>
      </c>
      <c r="D287" s="5">
        <v>69160</v>
      </c>
      <c r="E287" s="16">
        <f t="shared" si="21"/>
        <v>1840578</v>
      </c>
      <c r="F287" s="16">
        <f t="shared" si="22"/>
        <v>2290085</v>
      </c>
      <c r="G287" s="16">
        <f t="shared" si="23"/>
        <v>449509</v>
      </c>
      <c r="H287" s="18">
        <f t="shared" si="24"/>
        <v>2.6221768249302498E-2</v>
      </c>
      <c r="I287" s="18">
        <f t="shared" si="25"/>
        <v>7.5245113920104273E-2</v>
      </c>
    </row>
    <row r="288" spans="1:9" ht="16.5" customHeight="1" x14ac:dyDescent="0.3">
      <c r="A288" s="4">
        <v>38200</v>
      </c>
      <c r="B288" s="5">
        <v>137729</v>
      </c>
      <c r="C288" s="9">
        <v>178861</v>
      </c>
      <c r="D288" s="9">
        <v>41132</v>
      </c>
      <c r="E288" s="16">
        <f t="shared" si="21"/>
        <v>1864064</v>
      </c>
      <c r="F288" s="16">
        <f t="shared" si="22"/>
        <v>2278116</v>
      </c>
      <c r="G288" s="16">
        <f t="shared" si="23"/>
        <v>414054</v>
      </c>
      <c r="H288" s="18">
        <f t="shared" si="24"/>
        <v>4.5364103967536505E-2</v>
      </c>
      <c r="I288" s="18">
        <f t="shared" si="25"/>
        <v>6.3879984757122685E-2</v>
      </c>
    </row>
    <row r="289" spans="1:9" ht="16.5" customHeight="1" x14ac:dyDescent="0.3">
      <c r="A289" s="4">
        <v>38231</v>
      </c>
      <c r="B289" s="9">
        <v>207351</v>
      </c>
      <c r="C289" s="9">
        <v>182740</v>
      </c>
      <c r="D289" s="9">
        <v>-24611</v>
      </c>
      <c r="E289" s="16">
        <f t="shared" si="21"/>
        <v>1879783</v>
      </c>
      <c r="F289" s="16">
        <f t="shared" si="22"/>
        <v>2292627</v>
      </c>
      <c r="G289" s="16">
        <f t="shared" si="23"/>
        <v>412845</v>
      </c>
      <c r="H289" s="18">
        <f t="shared" si="24"/>
        <v>5.4809871017773355E-2</v>
      </c>
      <c r="I289" s="18">
        <f t="shared" si="25"/>
        <v>6.1771534243187556E-2</v>
      </c>
    </row>
    <row r="290" spans="1:9" ht="16.5" customHeight="1" x14ac:dyDescent="0.3">
      <c r="A290" s="4">
        <v>38261</v>
      </c>
      <c r="B290" s="9">
        <v>136896</v>
      </c>
      <c r="C290" s="9">
        <v>193514</v>
      </c>
      <c r="D290" s="9">
        <v>56618</v>
      </c>
      <c r="E290" s="16">
        <f t="shared" si="21"/>
        <v>1880854</v>
      </c>
      <c r="F290" s="16">
        <f t="shared" si="22"/>
        <v>2280771</v>
      </c>
      <c r="G290" s="16">
        <f t="shared" si="23"/>
        <v>399918</v>
      </c>
      <c r="H290" s="18">
        <f t="shared" si="24"/>
        <v>4.877137574244949E-2</v>
      </c>
      <c r="I290" s="18">
        <f t="shared" si="25"/>
        <v>4.3352659329680396E-2</v>
      </c>
    </row>
    <row r="291" spans="1:9" ht="16.5" customHeight="1" x14ac:dyDescent="0.3">
      <c r="A291" s="4">
        <v>38292</v>
      </c>
      <c r="B291" s="9">
        <v>134547</v>
      </c>
      <c r="C291" s="9">
        <v>191717</v>
      </c>
      <c r="D291" s="9">
        <v>57170</v>
      </c>
      <c r="E291" s="16">
        <f t="shared" si="21"/>
        <v>1897194</v>
      </c>
      <c r="F291" s="16">
        <f t="shared" si="22"/>
        <v>2311309</v>
      </c>
      <c r="G291" s="16">
        <f t="shared" si="23"/>
        <v>414117</v>
      </c>
      <c r="H291" s="18">
        <f t="shared" si="24"/>
        <v>5.8951382524232827E-2</v>
      </c>
      <c r="I291" s="18">
        <f t="shared" si="25"/>
        <v>6.5964266607633701E-2</v>
      </c>
    </row>
    <row r="292" spans="1:9" ht="16.5" customHeight="1" x14ac:dyDescent="0.3">
      <c r="A292" s="4">
        <v>38322</v>
      </c>
      <c r="B292" s="5">
        <v>215749</v>
      </c>
      <c r="C292" s="5">
        <v>218310</v>
      </c>
      <c r="D292" s="5">
        <v>2561</v>
      </c>
      <c r="E292" s="16">
        <f t="shared" si="21"/>
        <v>1926213</v>
      </c>
      <c r="F292" s="16">
        <f t="shared" si="22"/>
        <v>2325249</v>
      </c>
      <c r="G292" s="16">
        <f t="shared" si="23"/>
        <v>399038</v>
      </c>
      <c r="H292" s="18">
        <f t="shared" si="24"/>
        <v>7.2787786943176933E-2</v>
      </c>
      <c r="I292" s="18">
        <f t="shared" si="25"/>
        <v>5.9541206271265447E-2</v>
      </c>
    </row>
    <row r="293" spans="1:9" ht="16.5" customHeight="1" x14ac:dyDescent="0.3">
      <c r="A293" s="4">
        <v>38353</v>
      </c>
      <c r="B293" s="5">
        <v>202217</v>
      </c>
      <c r="C293" s="9">
        <v>194111</v>
      </c>
      <c r="D293" s="9">
        <v>-8106</v>
      </c>
      <c r="E293" s="16">
        <f t="shared" si="21"/>
        <v>1943261</v>
      </c>
      <c r="F293" s="16">
        <f t="shared" si="22"/>
        <v>2332558</v>
      </c>
      <c r="G293" s="16">
        <f t="shared" si="23"/>
        <v>389299</v>
      </c>
      <c r="H293" s="18">
        <f t="shared" si="24"/>
        <v>8.3921517442489588E-2</v>
      </c>
      <c r="I293" s="18">
        <f t="shared" si="25"/>
        <v>5.8266020365386466E-2</v>
      </c>
    </row>
    <row r="294" spans="1:9" ht="16.5" customHeight="1" x14ac:dyDescent="0.3">
      <c r="A294" s="4">
        <v>38384</v>
      </c>
      <c r="B294" s="9">
        <v>100871</v>
      </c>
      <c r="C294" s="9">
        <v>214660</v>
      </c>
      <c r="D294" s="9">
        <v>113789</v>
      </c>
      <c r="E294" s="16">
        <f t="shared" si="21"/>
        <v>1952123</v>
      </c>
      <c r="F294" s="16">
        <f t="shared" si="22"/>
        <v>2358509</v>
      </c>
      <c r="G294" s="16">
        <f t="shared" si="23"/>
        <v>406387</v>
      </c>
      <c r="H294" s="18">
        <f t="shared" si="24"/>
        <v>8.7328959783617349E-2</v>
      </c>
      <c r="I294" s="18">
        <f t="shared" si="25"/>
        <v>6.8794095801832697E-2</v>
      </c>
    </row>
    <row r="295" spans="1:9" ht="16.5" customHeight="1" x14ac:dyDescent="0.3">
      <c r="A295" s="4">
        <v>38412</v>
      </c>
      <c r="B295" s="9">
        <v>148759</v>
      </c>
      <c r="C295" s="9">
        <v>220483</v>
      </c>
      <c r="D295" s="9">
        <v>71724</v>
      </c>
      <c r="E295" s="16">
        <f t="shared" si="21"/>
        <v>1968457</v>
      </c>
      <c r="F295" s="16">
        <f t="shared" si="22"/>
        <v>2373655</v>
      </c>
      <c r="G295" s="16">
        <f t="shared" si="23"/>
        <v>405198</v>
      </c>
      <c r="H295" s="18">
        <f t="shared" si="24"/>
        <v>8.9106758031542457E-2</v>
      </c>
      <c r="I295" s="18">
        <f t="shared" si="25"/>
        <v>6.3082563449366802E-2</v>
      </c>
    </row>
    <row r="296" spans="1:9" ht="16.5" customHeight="1" x14ac:dyDescent="0.3">
      <c r="A296" s="4">
        <v>38443</v>
      </c>
      <c r="B296" s="9">
        <v>277614</v>
      </c>
      <c r="C296" s="9">
        <v>219690</v>
      </c>
      <c r="D296" s="9">
        <v>-57924</v>
      </c>
      <c r="E296" s="16">
        <f t="shared" si="21"/>
        <v>2025980</v>
      </c>
      <c r="F296" s="16">
        <f t="shared" si="22"/>
        <v>2390832</v>
      </c>
      <c r="G296" s="16">
        <f t="shared" si="23"/>
        <v>364852</v>
      </c>
      <c r="H296" s="18">
        <f t="shared" si="24"/>
        <v>0.12784022588201763</v>
      </c>
      <c r="I296" s="18">
        <f t="shared" si="25"/>
        <v>6.0131082380766782E-2</v>
      </c>
    </row>
    <row r="297" spans="1:9" ht="16.5" customHeight="1" x14ac:dyDescent="0.3">
      <c r="A297" s="4">
        <v>38473</v>
      </c>
      <c r="B297" s="5">
        <v>152731</v>
      </c>
      <c r="C297" s="9">
        <v>188920</v>
      </c>
      <c r="D297" s="9">
        <v>36190</v>
      </c>
      <c r="E297" s="16">
        <f t="shared" si="21"/>
        <v>2063261</v>
      </c>
      <c r="F297" s="16">
        <f t="shared" si="22"/>
        <v>2401839</v>
      </c>
      <c r="G297" s="16">
        <f t="shared" si="23"/>
        <v>338579</v>
      </c>
      <c r="H297" s="18">
        <f t="shared" si="24"/>
        <v>0.1409475357710652</v>
      </c>
      <c r="I297" s="18">
        <f t="shared" si="25"/>
        <v>7.1839000954098828E-2</v>
      </c>
    </row>
    <row r="298" spans="1:9" ht="16.5" customHeight="1" x14ac:dyDescent="0.3">
      <c r="A298" s="2">
        <v>38508</v>
      </c>
      <c r="B298" s="9">
        <v>234808</v>
      </c>
      <c r="C298" s="9">
        <v>212335</v>
      </c>
      <c r="D298" s="9">
        <v>-22473</v>
      </c>
      <c r="E298" s="16">
        <f t="shared" si="21"/>
        <v>2083687</v>
      </c>
      <c r="F298" s="16">
        <f t="shared" si="22"/>
        <v>2418916</v>
      </c>
      <c r="G298" s="16">
        <f t="shared" si="23"/>
        <v>335230</v>
      </c>
      <c r="H298" s="18">
        <f t="shared" si="24"/>
        <v>0.13880475309255982</v>
      </c>
      <c r="I298" s="18">
        <f t="shared" si="25"/>
        <v>6.8283294366210862E-2</v>
      </c>
    </row>
    <row r="299" spans="1:9" ht="16.5" customHeight="1" x14ac:dyDescent="0.3">
      <c r="A299" s="2">
        <v>38538</v>
      </c>
      <c r="B299" s="3">
        <v>142092</v>
      </c>
      <c r="C299" s="9">
        <v>195487</v>
      </c>
      <c r="D299" s="9">
        <v>53395</v>
      </c>
      <c r="E299" s="16">
        <f t="shared" si="21"/>
        <v>2091364</v>
      </c>
      <c r="F299" s="16">
        <f t="shared" si="22"/>
        <v>2410828</v>
      </c>
      <c r="G299" s="16">
        <f t="shared" si="23"/>
        <v>319465</v>
      </c>
      <c r="H299" s="18">
        <f t="shared" si="24"/>
        <v>0.13625393762176882</v>
      </c>
      <c r="I299" s="18">
        <f t="shared" si="25"/>
        <v>5.2724243859944064E-2</v>
      </c>
    </row>
    <row r="300" spans="1:9" ht="16.5" customHeight="1" x14ac:dyDescent="0.3">
      <c r="A300" s="2">
        <v>38569</v>
      </c>
      <c r="B300" s="3">
        <v>155438</v>
      </c>
      <c r="C300" s="9">
        <v>206474</v>
      </c>
      <c r="D300" s="9">
        <v>51036</v>
      </c>
      <c r="E300" s="16">
        <f t="shared" si="21"/>
        <v>2109073</v>
      </c>
      <c r="F300" s="16">
        <f t="shared" si="22"/>
        <v>2438441</v>
      </c>
      <c r="G300" s="16">
        <f t="shared" si="23"/>
        <v>329369</v>
      </c>
      <c r="H300" s="18">
        <f t="shared" si="24"/>
        <v>0.13143808367094692</v>
      </c>
      <c r="I300" s="18">
        <f t="shared" si="25"/>
        <v>7.037613536799707E-2</v>
      </c>
    </row>
    <row r="301" spans="1:9" ht="16.5" customHeight="1" x14ac:dyDescent="0.3">
      <c r="A301" s="2">
        <v>38600</v>
      </c>
      <c r="B301" s="3">
        <v>251628</v>
      </c>
      <c r="C301" s="9">
        <v>216394</v>
      </c>
      <c r="D301" s="9">
        <v>-35234</v>
      </c>
      <c r="E301" s="16">
        <f t="shared" si="21"/>
        <v>2153350</v>
      </c>
      <c r="F301" s="16">
        <f t="shared" si="22"/>
        <v>2472095</v>
      </c>
      <c r="G301" s="16">
        <f t="shared" si="23"/>
        <v>318746</v>
      </c>
      <c r="H301" s="18">
        <f t="shared" si="24"/>
        <v>0.1455311597136478</v>
      </c>
      <c r="I301" s="18">
        <f t="shared" si="25"/>
        <v>7.8280505289347116E-2</v>
      </c>
    </row>
    <row r="302" spans="1:9" ht="16.5" customHeight="1" x14ac:dyDescent="0.3">
      <c r="A302" s="2">
        <v>38630</v>
      </c>
      <c r="B302" s="3">
        <v>149488</v>
      </c>
      <c r="C302" s="9">
        <v>196764</v>
      </c>
      <c r="D302" s="9">
        <v>47277</v>
      </c>
      <c r="E302" s="16">
        <f t="shared" si="21"/>
        <v>2165942</v>
      </c>
      <c r="F302" s="16">
        <f t="shared" si="22"/>
        <v>2475345</v>
      </c>
      <c r="G302" s="16">
        <f t="shared" si="23"/>
        <v>309405</v>
      </c>
      <c r="H302" s="18">
        <f t="shared" si="24"/>
        <v>0.15157370003200674</v>
      </c>
      <c r="I302" s="18">
        <f t="shared" si="25"/>
        <v>8.5310625222786499E-2</v>
      </c>
    </row>
    <row r="303" spans="1:9" ht="16.5" customHeight="1" x14ac:dyDescent="0.3">
      <c r="A303" s="2">
        <v>38661</v>
      </c>
      <c r="B303" s="3">
        <v>138840</v>
      </c>
      <c r="C303" s="9">
        <v>221911</v>
      </c>
      <c r="D303" s="9">
        <v>83072</v>
      </c>
      <c r="E303" s="16">
        <f t="shared" si="21"/>
        <v>2170235</v>
      </c>
      <c r="F303" s="16">
        <f t="shared" si="22"/>
        <v>2505539</v>
      </c>
      <c r="G303" s="16">
        <f t="shared" si="23"/>
        <v>335307</v>
      </c>
      <c r="H303" s="18">
        <f t="shared" si="24"/>
        <v>0.14391833412924562</v>
      </c>
      <c r="I303" s="18">
        <f t="shared" si="25"/>
        <v>8.4034631457758358E-2</v>
      </c>
    </row>
    <row r="304" spans="1:9" ht="16.5" customHeight="1" x14ac:dyDescent="0.3">
      <c r="A304" s="2">
        <v>38691</v>
      </c>
      <c r="B304" s="3">
        <v>241883</v>
      </c>
      <c r="C304" s="9">
        <v>230916</v>
      </c>
      <c r="D304" s="9">
        <v>-10967</v>
      </c>
      <c r="E304" s="16">
        <f t="shared" si="21"/>
        <v>2196369</v>
      </c>
      <c r="F304" s="16">
        <f t="shared" si="22"/>
        <v>2518145</v>
      </c>
      <c r="G304" s="16">
        <f t="shared" si="23"/>
        <v>321779</v>
      </c>
      <c r="H304" s="18">
        <f t="shared" si="24"/>
        <v>0.14025240199292602</v>
      </c>
      <c r="I304" s="18">
        <f t="shared" si="25"/>
        <v>8.29571370636005E-2</v>
      </c>
    </row>
    <row r="305" spans="1:9" ht="16.5" customHeight="1" x14ac:dyDescent="0.3">
      <c r="A305" s="2">
        <v>38723</v>
      </c>
      <c r="B305" s="3">
        <v>230010</v>
      </c>
      <c r="C305" s="9">
        <v>209045</v>
      </c>
      <c r="D305" s="9">
        <v>-20964</v>
      </c>
      <c r="E305" s="16">
        <f t="shared" si="21"/>
        <v>2224162</v>
      </c>
      <c r="F305" s="16">
        <f t="shared" si="22"/>
        <v>2533079</v>
      </c>
      <c r="G305" s="16">
        <f t="shared" si="23"/>
        <v>308921</v>
      </c>
      <c r="H305" s="18">
        <f t="shared" si="24"/>
        <v>0.14455134950992171</v>
      </c>
      <c r="I305" s="18">
        <f t="shared" si="25"/>
        <v>8.5966136747725033E-2</v>
      </c>
    </row>
    <row r="306" spans="1:9" ht="16.5" customHeight="1" x14ac:dyDescent="0.3">
      <c r="A306" s="2">
        <v>38754</v>
      </c>
      <c r="B306" s="3">
        <v>112853</v>
      </c>
      <c r="C306" s="9">
        <v>232091</v>
      </c>
      <c r="D306" s="9">
        <v>119237</v>
      </c>
      <c r="E306" s="16">
        <f t="shared" si="21"/>
        <v>2236144</v>
      </c>
      <c r="F306" s="16">
        <f t="shared" si="22"/>
        <v>2550510</v>
      </c>
      <c r="G306" s="16">
        <f t="shared" si="23"/>
        <v>314369</v>
      </c>
      <c r="H306" s="18">
        <f t="shared" si="24"/>
        <v>0.14549339360275967</v>
      </c>
      <c r="I306" s="18">
        <f t="shared" si="25"/>
        <v>8.1407787716731211E-2</v>
      </c>
    </row>
    <row r="307" spans="1:9" ht="16.5" customHeight="1" x14ac:dyDescent="0.3">
      <c r="A307" s="2">
        <v>38782</v>
      </c>
      <c r="B307" s="3">
        <v>164563</v>
      </c>
      <c r="C307" s="9">
        <v>249843</v>
      </c>
      <c r="D307" s="9">
        <v>85281</v>
      </c>
      <c r="E307" s="16">
        <f t="shared" si="21"/>
        <v>2251948</v>
      </c>
      <c r="F307" s="16">
        <f t="shared" si="22"/>
        <v>2579870</v>
      </c>
      <c r="G307" s="16">
        <f t="shared" si="23"/>
        <v>327926</v>
      </c>
      <c r="H307" s="18">
        <f t="shared" si="24"/>
        <v>0.14401686193805605</v>
      </c>
      <c r="I307" s="18">
        <f t="shared" si="25"/>
        <v>8.687656799324249E-2</v>
      </c>
    </row>
    <row r="308" spans="1:9" ht="16.5" customHeight="1" x14ac:dyDescent="0.3">
      <c r="A308" s="2">
        <v>38813</v>
      </c>
      <c r="B308" s="3">
        <v>315090</v>
      </c>
      <c r="C308" s="9">
        <v>196249</v>
      </c>
      <c r="D308" s="9">
        <v>-118841</v>
      </c>
      <c r="E308" s="16">
        <f t="shared" si="21"/>
        <v>2289424</v>
      </c>
      <c r="F308" s="16">
        <f t="shared" si="22"/>
        <v>2556429</v>
      </c>
      <c r="G308" s="16">
        <f t="shared" si="23"/>
        <v>267009</v>
      </c>
      <c r="H308" s="18">
        <f t="shared" si="24"/>
        <v>0.13003287297998994</v>
      </c>
      <c r="I308" s="18">
        <f t="shared" si="25"/>
        <v>6.9263335943303417E-2</v>
      </c>
    </row>
    <row r="309" spans="1:9" ht="16.5" customHeight="1" x14ac:dyDescent="0.3">
      <c r="A309" s="2">
        <v>38843</v>
      </c>
      <c r="B309" s="3">
        <v>192657</v>
      </c>
      <c r="C309" s="9">
        <v>235564</v>
      </c>
      <c r="D309" s="9">
        <v>42907</v>
      </c>
      <c r="E309" s="16">
        <f t="shared" si="21"/>
        <v>2329350</v>
      </c>
      <c r="F309" s="16">
        <f t="shared" si="22"/>
        <v>2603073</v>
      </c>
      <c r="G309" s="16">
        <f t="shared" si="23"/>
        <v>273726</v>
      </c>
      <c r="H309" s="18">
        <f t="shared" si="24"/>
        <v>0.12896526421039317</v>
      </c>
      <c r="I309" s="18">
        <f t="shared" si="25"/>
        <v>8.3783301045573827E-2</v>
      </c>
    </row>
    <row r="310" spans="1:9" ht="16.5" customHeight="1" x14ac:dyDescent="0.3">
      <c r="A310" s="2">
        <v>38874</v>
      </c>
      <c r="B310" s="3">
        <v>264355</v>
      </c>
      <c r="C310" s="9">
        <v>243838</v>
      </c>
      <c r="D310" s="9">
        <v>-20517</v>
      </c>
      <c r="E310" s="16">
        <f t="shared" si="21"/>
        <v>2358897</v>
      </c>
      <c r="F310" s="16">
        <f t="shared" si="22"/>
        <v>2634576</v>
      </c>
      <c r="G310" s="16">
        <f t="shared" si="23"/>
        <v>275682</v>
      </c>
      <c r="H310" s="18">
        <f t="shared" si="24"/>
        <v>0.13207837837448716</v>
      </c>
      <c r="I310" s="18">
        <f t="shared" si="25"/>
        <v>8.915563831071438E-2</v>
      </c>
    </row>
    <row r="311" spans="1:9" ht="16.5" customHeight="1" x14ac:dyDescent="0.3">
      <c r="A311" s="2">
        <v>38904</v>
      </c>
      <c r="B311" s="3">
        <v>159761</v>
      </c>
      <c r="C311" s="9">
        <v>192925</v>
      </c>
      <c r="D311" s="9">
        <v>33164</v>
      </c>
      <c r="E311" s="16">
        <f t="shared" si="21"/>
        <v>2376566</v>
      </c>
      <c r="F311" s="16">
        <f t="shared" si="22"/>
        <v>2632014</v>
      </c>
      <c r="G311" s="16">
        <f t="shared" si="23"/>
        <v>255451</v>
      </c>
      <c r="H311" s="18">
        <f t="shared" si="24"/>
        <v>0.13637128687306466</v>
      </c>
      <c r="I311" s="18">
        <f t="shared" si="25"/>
        <v>9.1746901894286942E-2</v>
      </c>
    </row>
    <row r="312" spans="1:9" ht="16.5" customHeight="1" x14ac:dyDescent="0.3">
      <c r="A312" s="2">
        <v>38935</v>
      </c>
      <c r="B312" s="3">
        <v>153878</v>
      </c>
      <c r="C312" s="9">
        <v>218595</v>
      </c>
      <c r="D312" s="9">
        <v>64717</v>
      </c>
      <c r="E312" s="16">
        <f t="shared" si="21"/>
        <v>2375006</v>
      </c>
      <c r="F312" s="16">
        <f t="shared" si="22"/>
        <v>2644135</v>
      </c>
      <c r="G312" s="16">
        <f t="shared" si="23"/>
        <v>269132</v>
      </c>
      <c r="H312" s="18">
        <f t="shared" si="24"/>
        <v>0.12608999309175167</v>
      </c>
      <c r="I312" s="18">
        <f t="shared" si="25"/>
        <v>8.4354716804712515E-2</v>
      </c>
    </row>
    <row r="313" spans="1:9" ht="16.5" customHeight="1" x14ac:dyDescent="0.3">
      <c r="A313" s="2">
        <v>38966</v>
      </c>
      <c r="B313" s="5">
        <v>283298</v>
      </c>
      <c r="C313" s="9">
        <v>227131</v>
      </c>
      <c r="D313" s="9">
        <v>-56167</v>
      </c>
      <c r="E313" s="16">
        <f t="shared" si="21"/>
        <v>2406676</v>
      </c>
      <c r="F313" s="16">
        <f t="shared" si="22"/>
        <v>2654872</v>
      </c>
      <c r="G313" s="16">
        <f t="shared" si="23"/>
        <v>248199</v>
      </c>
      <c r="H313" s="18">
        <f t="shared" si="24"/>
        <v>0.11764274270322986</v>
      </c>
      <c r="I313" s="18">
        <f t="shared" si="25"/>
        <v>7.3936074463157767E-2</v>
      </c>
    </row>
    <row r="314" spans="1:9" ht="16.5" customHeight="1" x14ac:dyDescent="0.3">
      <c r="A314" s="2">
        <v>38996</v>
      </c>
      <c r="B314" s="3">
        <v>167693</v>
      </c>
      <c r="C314" s="3">
        <v>217014</v>
      </c>
      <c r="D314" s="3">
        <v>49321</v>
      </c>
      <c r="E314" s="16">
        <f t="shared" si="21"/>
        <v>2424881</v>
      </c>
      <c r="F314" s="16">
        <f t="shared" si="22"/>
        <v>2675122</v>
      </c>
      <c r="G314" s="16">
        <f t="shared" si="23"/>
        <v>250243</v>
      </c>
      <c r="H314" s="18">
        <f t="shared" si="24"/>
        <v>0.11955029266711667</v>
      </c>
      <c r="I314" s="18">
        <f t="shared" si="25"/>
        <v>8.0706729768981703E-2</v>
      </c>
    </row>
    <row r="315" spans="1:9" ht="16.5" customHeight="1" x14ac:dyDescent="0.3">
      <c r="A315" s="2">
        <v>39027</v>
      </c>
      <c r="B315" s="3">
        <v>145866</v>
      </c>
      <c r="C315" s="3">
        <v>218907</v>
      </c>
      <c r="D315" s="3">
        <v>73042</v>
      </c>
      <c r="E315" s="16">
        <f t="shared" si="21"/>
        <v>2431907</v>
      </c>
      <c r="F315" s="16">
        <f t="shared" si="22"/>
        <v>2672118</v>
      </c>
      <c r="G315" s="16">
        <f t="shared" si="23"/>
        <v>240213</v>
      </c>
      <c r="H315" s="18">
        <f t="shared" si="24"/>
        <v>0.12057311765776517</v>
      </c>
      <c r="I315" s="18">
        <f t="shared" si="25"/>
        <v>6.6484297390701164E-2</v>
      </c>
    </row>
    <row r="316" spans="1:9" ht="16.5" customHeight="1" x14ac:dyDescent="0.3">
      <c r="A316" s="2">
        <v>39057</v>
      </c>
      <c r="B316" s="3">
        <v>259969</v>
      </c>
      <c r="C316" s="3">
        <v>218007</v>
      </c>
      <c r="D316" s="3">
        <v>-41961</v>
      </c>
      <c r="E316" s="16">
        <f t="shared" si="21"/>
        <v>2449993</v>
      </c>
      <c r="F316" s="16">
        <f t="shared" si="22"/>
        <v>2659209</v>
      </c>
      <c r="G316" s="16">
        <f t="shared" si="23"/>
        <v>209219</v>
      </c>
      <c r="H316" s="18">
        <f t="shared" si="24"/>
        <v>0.11547422131709198</v>
      </c>
      <c r="I316" s="18">
        <f t="shared" si="25"/>
        <v>5.6019013996414027E-2</v>
      </c>
    </row>
    <row r="317" spans="1:9" ht="16.5" customHeight="1" x14ac:dyDescent="0.3">
      <c r="A317" s="2">
        <v>39088</v>
      </c>
      <c r="B317" s="3">
        <v>260609</v>
      </c>
      <c r="C317" s="3">
        <v>222372</v>
      </c>
      <c r="D317" s="3">
        <v>-38236</v>
      </c>
      <c r="E317" s="16">
        <f t="shared" si="21"/>
        <v>2480592</v>
      </c>
      <c r="F317" s="16">
        <f t="shared" si="22"/>
        <v>2672536</v>
      </c>
      <c r="G317" s="16">
        <f t="shared" si="23"/>
        <v>191947</v>
      </c>
      <c r="H317" s="18">
        <f t="shared" si="24"/>
        <v>0.11529286086175378</v>
      </c>
      <c r="I317" s="18">
        <f t="shared" si="25"/>
        <v>5.5054342955746745E-2</v>
      </c>
    </row>
    <row r="318" spans="1:9" ht="16.5" customHeight="1" x14ac:dyDescent="0.3">
      <c r="A318" s="2">
        <v>39119</v>
      </c>
      <c r="B318" s="3">
        <v>120312</v>
      </c>
      <c r="C318" s="3">
        <v>240305</v>
      </c>
      <c r="D318" s="3">
        <v>119993</v>
      </c>
      <c r="E318" s="16">
        <f t="shared" si="21"/>
        <v>2488051</v>
      </c>
      <c r="F318" s="16">
        <f t="shared" si="22"/>
        <v>2680750</v>
      </c>
      <c r="G318" s="16">
        <f t="shared" si="23"/>
        <v>192703</v>
      </c>
      <c r="H318" s="18">
        <f t="shared" si="24"/>
        <v>0.11265240521182894</v>
      </c>
      <c r="I318" s="18">
        <f t="shared" si="25"/>
        <v>5.1064296944532662E-2</v>
      </c>
    </row>
    <row r="319" spans="1:9" ht="16.5" customHeight="1" x14ac:dyDescent="0.3">
      <c r="A319" s="2">
        <v>39147</v>
      </c>
      <c r="B319" s="3">
        <v>166490</v>
      </c>
      <c r="C319" s="3">
        <v>262761</v>
      </c>
      <c r="D319" s="3">
        <v>96270</v>
      </c>
      <c r="E319" s="16">
        <f t="shared" si="21"/>
        <v>2489978</v>
      </c>
      <c r="F319" s="16">
        <f t="shared" si="22"/>
        <v>2693668</v>
      </c>
      <c r="G319" s="16">
        <f t="shared" si="23"/>
        <v>203692</v>
      </c>
      <c r="H319" s="18">
        <f t="shared" si="24"/>
        <v>0.10569959874739558</v>
      </c>
      <c r="I319" s="18">
        <f t="shared" si="25"/>
        <v>4.4109974533600528E-2</v>
      </c>
    </row>
    <row r="320" spans="1:9" ht="16.5" customHeight="1" x14ac:dyDescent="0.3">
      <c r="A320" s="2">
        <v>39178</v>
      </c>
      <c r="B320" s="3">
        <v>383641</v>
      </c>
      <c r="C320" s="3">
        <v>205967</v>
      </c>
      <c r="D320" s="3">
        <v>-177674</v>
      </c>
      <c r="E320" s="16">
        <f t="shared" si="21"/>
        <v>2558529</v>
      </c>
      <c r="F320" s="16">
        <f t="shared" si="22"/>
        <v>2703386</v>
      </c>
      <c r="G320" s="16">
        <f t="shared" si="23"/>
        <v>144859</v>
      </c>
      <c r="H320" s="18">
        <f t="shared" si="24"/>
        <v>0.1175426657534821</v>
      </c>
      <c r="I320" s="18">
        <f t="shared" si="25"/>
        <v>5.7485265579446956E-2</v>
      </c>
    </row>
    <row r="321" spans="1:9" ht="16.5" customHeight="1" x14ac:dyDescent="0.3">
      <c r="A321" s="2">
        <v>39208</v>
      </c>
      <c r="B321" s="3">
        <v>164239</v>
      </c>
      <c r="C321" s="3">
        <v>231937</v>
      </c>
      <c r="D321" s="3">
        <v>67699</v>
      </c>
      <c r="E321" s="16">
        <f t="shared" si="21"/>
        <v>2530111</v>
      </c>
      <c r="F321" s="16">
        <f t="shared" si="22"/>
        <v>2699759</v>
      </c>
      <c r="G321" s="16">
        <f t="shared" si="23"/>
        <v>169651</v>
      </c>
      <c r="H321" s="18">
        <f t="shared" si="24"/>
        <v>8.6187563054070881E-2</v>
      </c>
      <c r="I321" s="18">
        <f t="shared" si="25"/>
        <v>3.71430228810333E-2</v>
      </c>
    </row>
    <row r="322" spans="1:9" ht="16.5" customHeight="1" x14ac:dyDescent="0.3">
      <c r="A322" s="2">
        <v>39239</v>
      </c>
      <c r="B322" s="3">
        <v>276517</v>
      </c>
      <c r="C322" s="3">
        <v>249036</v>
      </c>
      <c r="D322" s="3">
        <v>-27481</v>
      </c>
      <c r="E322" s="16">
        <f t="shared" si="21"/>
        <v>2542273</v>
      </c>
      <c r="F322" s="16">
        <f t="shared" si="22"/>
        <v>2704957</v>
      </c>
      <c r="G322" s="16">
        <f t="shared" si="23"/>
        <v>162687</v>
      </c>
      <c r="H322" s="18">
        <f t="shared" si="24"/>
        <v>7.7738027561186432E-2</v>
      </c>
      <c r="I322" s="18">
        <f t="shared" si="25"/>
        <v>2.671435555474581E-2</v>
      </c>
    </row>
    <row r="323" spans="1:9" ht="16.5" customHeight="1" x14ac:dyDescent="0.3">
      <c r="A323" s="2">
        <v>39269</v>
      </c>
      <c r="B323" s="3">
        <v>170439</v>
      </c>
      <c r="C323" s="3">
        <v>206886</v>
      </c>
      <c r="D323" s="3">
        <v>36447</v>
      </c>
      <c r="E323" s="16">
        <f t="shared" si="21"/>
        <v>2552951</v>
      </c>
      <c r="F323" s="16">
        <f t="shared" si="22"/>
        <v>2718918</v>
      </c>
      <c r="G323" s="16">
        <f t="shared" si="23"/>
        <v>165970</v>
      </c>
      <c r="H323" s="18">
        <f t="shared" si="24"/>
        <v>7.421843113130458E-2</v>
      </c>
      <c r="I323" s="18">
        <f t="shared" si="25"/>
        <v>3.3018061454080413E-2</v>
      </c>
    </row>
    <row r="324" spans="1:9" ht="16.5" customHeight="1" x14ac:dyDescent="0.3">
      <c r="A324" s="2">
        <v>39300</v>
      </c>
      <c r="B324" s="3">
        <v>166545</v>
      </c>
      <c r="C324" s="3">
        <v>283518</v>
      </c>
      <c r="D324" s="3">
        <v>116973</v>
      </c>
      <c r="E324" s="16">
        <f t="shared" si="21"/>
        <v>2565618</v>
      </c>
      <c r="F324" s="16">
        <f t="shared" si="22"/>
        <v>2783841</v>
      </c>
      <c r="G324" s="16">
        <f t="shared" si="23"/>
        <v>218226</v>
      </c>
      <c r="H324" s="18">
        <f t="shared" si="24"/>
        <v>8.0257481454783688E-2</v>
      </c>
      <c r="I324" s="18">
        <f t="shared" si="25"/>
        <v>5.2836182721381471E-2</v>
      </c>
    </row>
    <row r="325" spans="1:9" ht="16.5" customHeight="1" x14ac:dyDescent="0.3">
      <c r="A325" s="2">
        <v>39331</v>
      </c>
      <c r="B325" s="3">
        <v>285354</v>
      </c>
      <c r="C325" s="9">
        <v>172488</v>
      </c>
      <c r="D325" s="9">
        <v>-112866</v>
      </c>
      <c r="E325" s="16">
        <f t="shared" si="21"/>
        <v>2567674</v>
      </c>
      <c r="F325" s="16">
        <f t="shared" si="22"/>
        <v>2729198</v>
      </c>
      <c r="G325" s="16">
        <f t="shared" si="23"/>
        <v>161527</v>
      </c>
      <c r="H325" s="18">
        <f t="shared" si="24"/>
        <v>6.6896416468190986E-2</v>
      </c>
      <c r="I325" s="18">
        <f t="shared" si="25"/>
        <v>2.7996076647009725E-2</v>
      </c>
    </row>
    <row r="326" spans="1:9" ht="16.5" customHeight="1" x14ac:dyDescent="0.3">
      <c r="A326" s="2">
        <v>39361</v>
      </c>
      <c r="B326" s="3">
        <v>178175</v>
      </c>
      <c r="C326" s="9">
        <v>235014</v>
      </c>
      <c r="D326" s="9">
        <v>56838</v>
      </c>
      <c r="E326" s="16">
        <f t="shared" si="21"/>
        <v>2578156</v>
      </c>
      <c r="F326" s="16">
        <f t="shared" si="22"/>
        <v>2747198</v>
      </c>
      <c r="G326" s="16">
        <f t="shared" si="23"/>
        <v>169044</v>
      </c>
      <c r="H326" s="18">
        <f t="shared" si="24"/>
        <v>6.3209287383587068E-2</v>
      </c>
      <c r="I326" s="18">
        <f t="shared" si="25"/>
        <v>2.6943070259973188E-2</v>
      </c>
    </row>
    <row r="327" spans="1:9" ht="16.5" customHeight="1" x14ac:dyDescent="0.3">
      <c r="A327" s="2">
        <v>39392</v>
      </c>
      <c r="B327" s="3">
        <v>151055</v>
      </c>
      <c r="C327" s="3">
        <v>249293</v>
      </c>
      <c r="D327" s="3">
        <v>98238</v>
      </c>
      <c r="E327" s="16">
        <f t="shared" si="21"/>
        <v>2583345</v>
      </c>
      <c r="F327" s="16">
        <f t="shared" si="22"/>
        <v>2777584</v>
      </c>
      <c r="G327" s="16">
        <f t="shared" si="23"/>
        <v>194240</v>
      </c>
      <c r="H327" s="18">
        <f t="shared" si="24"/>
        <v>6.2271295736226757E-2</v>
      </c>
      <c r="I327" s="18">
        <f t="shared" si="25"/>
        <v>3.9469065363131418E-2</v>
      </c>
    </row>
    <row r="328" spans="1:9" ht="16.5" customHeight="1" x14ac:dyDescent="0.3">
      <c r="A328" s="2">
        <v>39422</v>
      </c>
      <c r="B328" s="3">
        <v>276982</v>
      </c>
      <c r="C328" s="3">
        <v>228721</v>
      </c>
      <c r="D328" s="3">
        <v>-48261</v>
      </c>
      <c r="E328" s="16">
        <f t="shared" si="21"/>
        <v>2600358</v>
      </c>
      <c r="F328" s="16">
        <f t="shared" si="22"/>
        <v>2788298</v>
      </c>
      <c r="G328" s="16">
        <f t="shared" si="23"/>
        <v>187940</v>
      </c>
      <c r="H328" s="18">
        <f t="shared" si="24"/>
        <v>6.1373644741025787E-2</v>
      </c>
      <c r="I328" s="18">
        <f t="shared" si="25"/>
        <v>4.8544134740819547E-2</v>
      </c>
    </row>
    <row r="329" spans="1:9" ht="16.5" customHeight="1" x14ac:dyDescent="0.3">
      <c r="A329" s="2">
        <v>39453</v>
      </c>
      <c r="B329" s="3">
        <v>255217</v>
      </c>
      <c r="C329" s="3">
        <v>237379</v>
      </c>
      <c r="D329" s="3">
        <v>-17839</v>
      </c>
      <c r="E329" s="16">
        <f t="shared" si="21"/>
        <v>2594966</v>
      </c>
      <c r="F329" s="16">
        <f t="shared" si="22"/>
        <v>2803305</v>
      </c>
      <c r="G329" s="16">
        <f t="shared" si="23"/>
        <v>208337</v>
      </c>
      <c r="H329" s="18">
        <f t="shared" si="24"/>
        <v>4.6107542070602504E-2</v>
      </c>
      <c r="I329" s="18">
        <f t="shared" si="25"/>
        <v>4.8930678576453224E-2</v>
      </c>
    </row>
    <row r="330" spans="1:9" ht="16.5" customHeight="1" x14ac:dyDescent="0.3">
      <c r="A330" s="2">
        <v>39484</v>
      </c>
      <c r="B330" s="3">
        <v>105723</v>
      </c>
      <c r="C330" s="3">
        <v>281287</v>
      </c>
      <c r="D330" s="3">
        <v>175563</v>
      </c>
      <c r="E330" s="16">
        <f t="shared" si="21"/>
        <v>2580377</v>
      </c>
      <c r="F330" s="16">
        <f t="shared" si="22"/>
        <v>2844287</v>
      </c>
      <c r="G330" s="16">
        <f t="shared" si="23"/>
        <v>263907</v>
      </c>
      <c r="H330" s="18">
        <f t="shared" si="24"/>
        <v>3.7107760250895176E-2</v>
      </c>
      <c r="I330" s="18">
        <f t="shared" si="25"/>
        <v>6.100419658677609E-2</v>
      </c>
    </row>
    <row r="331" spans="1:9" ht="16.5" customHeight="1" x14ac:dyDescent="0.3">
      <c r="A331" s="2">
        <v>39513</v>
      </c>
      <c r="B331" s="3">
        <v>178816</v>
      </c>
      <c r="C331" s="3">
        <v>227028</v>
      </c>
      <c r="D331" s="3">
        <v>48212</v>
      </c>
      <c r="E331" s="16">
        <f t="shared" si="21"/>
        <v>2592703</v>
      </c>
      <c r="F331" s="16">
        <f t="shared" si="22"/>
        <v>2808554</v>
      </c>
      <c r="G331" s="16">
        <f t="shared" si="23"/>
        <v>215849</v>
      </c>
      <c r="H331" s="18">
        <f t="shared" si="24"/>
        <v>4.1255384585727264E-2</v>
      </c>
      <c r="I331" s="18">
        <f t="shared" si="25"/>
        <v>4.2650393441211021E-2</v>
      </c>
    </row>
    <row r="332" spans="1:9" ht="16.5" customHeight="1" x14ac:dyDescent="0.3">
      <c r="A332" s="2">
        <v>39544</v>
      </c>
      <c r="B332" s="3">
        <v>403751</v>
      </c>
      <c r="C332" s="3">
        <v>244469</v>
      </c>
      <c r="D332" s="3">
        <v>-159282</v>
      </c>
      <c r="E332" s="16">
        <f t="shared" si="21"/>
        <v>2612813</v>
      </c>
      <c r="F332" s="16">
        <f t="shared" si="22"/>
        <v>2847056</v>
      </c>
      <c r="G332" s="16">
        <f t="shared" si="23"/>
        <v>234241</v>
      </c>
      <c r="H332" s="18">
        <f t="shared" si="24"/>
        <v>2.1216878917534255E-2</v>
      </c>
      <c r="I332" s="18">
        <f t="shared" si="25"/>
        <v>5.3144464016607322E-2</v>
      </c>
    </row>
    <row r="333" spans="1:9" ht="16.5" customHeight="1" x14ac:dyDescent="0.3">
      <c r="A333" s="2">
        <v>39576</v>
      </c>
      <c r="B333" s="3">
        <v>124272</v>
      </c>
      <c r="C333" s="3">
        <v>290199</v>
      </c>
      <c r="D333" s="3">
        <v>165927</v>
      </c>
      <c r="E333" s="16">
        <f t="shared" si="21"/>
        <v>2572846</v>
      </c>
      <c r="F333" s="16">
        <f t="shared" si="22"/>
        <v>2905318</v>
      </c>
      <c r="G333" s="16">
        <f t="shared" si="23"/>
        <v>332469</v>
      </c>
      <c r="H333" s="18">
        <f t="shared" si="24"/>
        <v>1.6890563299396744E-2</v>
      </c>
      <c r="I333" s="18">
        <f t="shared" si="25"/>
        <v>7.6139759141464106E-2</v>
      </c>
    </row>
    <row r="334" spans="1:9" ht="16.5" customHeight="1" x14ac:dyDescent="0.3">
      <c r="A334" s="2">
        <v>39607</v>
      </c>
      <c r="B334" s="3">
        <v>259912</v>
      </c>
      <c r="C334" s="9">
        <v>226365</v>
      </c>
      <c r="D334" s="9">
        <v>-33547</v>
      </c>
      <c r="E334" s="16">
        <f t="shared" si="21"/>
        <v>2556241</v>
      </c>
      <c r="F334" s="16">
        <f t="shared" si="22"/>
        <v>2882647</v>
      </c>
      <c r="G334" s="16">
        <f t="shared" si="23"/>
        <v>326403</v>
      </c>
      <c r="H334" s="18">
        <f t="shared" si="24"/>
        <v>5.4942958525697281E-3</v>
      </c>
      <c r="I334" s="18">
        <f t="shared" si="25"/>
        <v>6.5690508204012121E-2</v>
      </c>
    </row>
    <row r="335" spans="1:9" ht="16.5" customHeight="1" x14ac:dyDescent="0.3">
      <c r="A335" s="2">
        <v>39637</v>
      </c>
      <c r="B335" s="3">
        <v>160494</v>
      </c>
      <c r="C335" s="3">
        <v>263261</v>
      </c>
      <c r="D335" s="3">
        <v>102767</v>
      </c>
      <c r="E335" s="16">
        <f t="shared" si="21"/>
        <v>2546296</v>
      </c>
      <c r="F335" s="16">
        <f t="shared" si="22"/>
        <v>2939022</v>
      </c>
      <c r="G335" s="16">
        <f t="shared" si="23"/>
        <v>392723</v>
      </c>
      <c r="H335" s="18">
        <f t="shared" si="24"/>
        <v>-2.6067872042980847E-3</v>
      </c>
      <c r="I335" s="18">
        <f t="shared" si="25"/>
        <v>8.0952790779273226E-2</v>
      </c>
    </row>
    <row r="336" spans="1:9" ht="16.5" customHeight="1" x14ac:dyDescent="0.3">
      <c r="A336" s="2">
        <v>39668</v>
      </c>
      <c r="B336" s="3">
        <v>157016</v>
      </c>
      <c r="C336" s="3">
        <v>268930</v>
      </c>
      <c r="D336" s="3">
        <v>111914</v>
      </c>
      <c r="E336" s="16">
        <f t="shared" si="21"/>
        <v>2536767</v>
      </c>
      <c r="F336" s="16">
        <f t="shared" si="22"/>
        <v>2924434</v>
      </c>
      <c r="G336" s="16">
        <f t="shared" si="23"/>
        <v>387664</v>
      </c>
      <c r="H336" s="18">
        <f t="shared" si="24"/>
        <v>-1.1245243835988055E-2</v>
      </c>
      <c r="I336" s="18">
        <f t="shared" si="25"/>
        <v>5.0503243540130346E-2</v>
      </c>
    </row>
    <row r="337" spans="1:9" ht="16.5" customHeight="1" x14ac:dyDescent="0.3">
      <c r="A337" s="2">
        <v>39699</v>
      </c>
      <c r="B337" s="9">
        <v>272228</v>
      </c>
      <c r="C337" s="9">
        <v>226494</v>
      </c>
      <c r="D337" s="9">
        <v>-45734</v>
      </c>
      <c r="E337" s="16">
        <f t="shared" ref="E337:E400" si="26">SUM(B326:B337)</f>
        <v>2523641</v>
      </c>
      <c r="F337" s="16">
        <f t="shared" ref="F337:F400" si="27">SUM(C326:C337)</f>
        <v>2978440</v>
      </c>
      <c r="G337" s="16">
        <f t="shared" ref="G337:G400" si="28">SUM(D326:D337)</f>
        <v>454796</v>
      </c>
      <c r="H337" s="18">
        <f t="shared" si="24"/>
        <v>-1.714898386633194E-2</v>
      </c>
      <c r="I337" s="18">
        <f t="shared" si="25"/>
        <v>9.1324264490887069E-2</v>
      </c>
    </row>
    <row r="338" spans="1:9" ht="16.5" customHeight="1" x14ac:dyDescent="0.3">
      <c r="A338" s="2">
        <v>39729</v>
      </c>
      <c r="B338" s="9">
        <v>164827</v>
      </c>
      <c r="C338" s="9">
        <v>320360</v>
      </c>
      <c r="D338" s="9">
        <v>155533</v>
      </c>
      <c r="E338" s="16">
        <f t="shared" si="26"/>
        <v>2510293</v>
      </c>
      <c r="F338" s="16">
        <f t="shared" si="27"/>
        <v>3063786</v>
      </c>
      <c r="G338" s="16">
        <f t="shared" si="28"/>
        <v>553491</v>
      </c>
      <c r="H338" s="18">
        <f t="shared" si="24"/>
        <v>-2.6322301676081666E-2</v>
      </c>
      <c r="I338" s="18">
        <f t="shared" si="25"/>
        <v>0.11524032850926653</v>
      </c>
    </row>
    <row r="339" spans="1:9" ht="16.5" customHeight="1" x14ac:dyDescent="0.3">
      <c r="A339" s="2">
        <v>39760</v>
      </c>
      <c r="B339" s="9">
        <v>144769</v>
      </c>
      <c r="C339" s="9">
        <v>269970</v>
      </c>
      <c r="D339" s="9">
        <v>125201</v>
      </c>
      <c r="E339" s="16">
        <f t="shared" si="26"/>
        <v>2504007</v>
      </c>
      <c r="F339" s="16">
        <f t="shared" si="27"/>
        <v>3084463</v>
      </c>
      <c r="G339" s="16">
        <f t="shared" si="28"/>
        <v>580454</v>
      </c>
      <c r="H339" s="18">
        <f t="shared" si="24"/>
        <v>-3.0711345174570179E-2</v>
      </c>
      <c r="I339" s="18">
        <f t="shared" si="25"/>
        <v>0.11048414737412082</v>
      </c>
    </row>
    <row r="340" spans="1:9" ht="16.5" customHeight="1" x14ac:dyDescent="0.3">
      <c r="A340" s="2">
        <v>39790</v>
      </c>
      <c r="B340" s="9">
        <v>237786</v>
      </c>
      <c r="C340" s="9">
        <v>289540</v>
      </c>
      <c r="D340" s="9">
        <v>51754</v>
      </c>
      <c r="E340" s="16">
        <f t="shared" si="26"/>
        <v>2464811</v>
      </c>
      <c r="F340" s="16">
        <f t="shared" si="27"/>
        <v>3145282</v>
      </c>
      <c r="G340" s="16">
        <f t="shared" si="28"/>
        <v>680469</v>
      </c>
      <c r="H340" s="18">
        <f t="shared" si="24"/>
        <v>-5.2126284150105485E-2</v>
      </c>
      <c r="I340" s="18">
        <f t="shared" si="25"/>
        <v>0.12802935697690848</v>
      </c>
    </row>
    <row r="341" spans="1:9" ht="16.5" customHeight="1" x14ac:dyDescent="0.3">
      <c r="A341" s="2">
        <v>39821</v>
      </c>
      <c r="B341" s="9">
        <v>226090</v>
      </c>
      <c r="C341" s="9">
        <v>289548</v>
      </c>
      <c r="D341" s="9">
        <v>63457</v>
      </c>
      <c r="E341" s="16">
        <f t="shared" si="26"/>
        <v>2435684</v>
      </c>
      <c r="F341" s="16">
        <f t="shared" si="27"/>
        <v>3197451</v>
      </c>
      <c r="G341" s="16">
        <f t="shared" si="28"/>
        <v>761765</v>
      </c>
      <c r="H341" s="18">
        <f t="shared" si="24"/>
        <v>-6.1381151043982847E-2</v>
      </c>
      <c r="I341" s="18">
        <f t="shared" si="25"/>
        <v>0.14060046980260799</v>
      </c>
    </row>
    <row r="342" spans="1:9" ht="16.5" customHeight="1" x14ac:dyDescent="0.3">
      <c r="A342" s="2">
        <v>39852</v>
      </c>
      <c r="B342" s="9">
        <v>87312</v>
      </c>
      <c r="C342" s="9">
        <v>281171</v>
      </c>
      <c r="D342" s="9">
        <v>193859</v>
      </c>
      <c r="E342" s="16">
        <f t="shared" si="26"/>
        <v>2417273</v>
      </c>
      <c r="F342" s="16">
        <f t="shared" si="27"/>
        <v>3197335</v>
      </c>
      <c r="G342" s="16">
        <f t="shared" si="28"/>
        <v>780061</v>
      </c>
      <c r="H342" s="18">
        <f t="shared" si="24"/>
        <v>-6.3209368243477601E-2</v>
      </c>
      <c r="I342" s="18">
        <f t="shared" si="25"/>
        <v>0.12412530802974524</v>
      </c>
    </row>
    <row r="343" spans="1:9" ht="16.5" customHeight="1" x14ac:dyDescent="0.3">
      <c r="A343" s="2">
        <v>39880</v>
      </c>
      <c r="B343" s="9">
        <v>128926</v>
      </c>
      <c r="C343" s="9">
        <v>320514</v>
      </c>
      <c r="D343" s="9">
        <v>191589</v>
      </c>
      <c r="E343" s="16">
        <f t="shared" si="26"/>
        <v>2367383</v>
      </c>
      <c r="F343" s="16">
        <f t="shared" si="27"/>
        <v>3290821</v>
      </c>
      <c r="G343" s="16">
        <f t="shared" si="28"/>
        <v>923438</v>
      </c>
      <c r="H343" s="18">
        <f t="shared" si="24"/>
        <v>-8.690544192682309E-2</v>
      </c>
      <c r="I343" s="18">
        <f t="shared" si="25"/>
        <v>0.17171362914866511</v>
      </c>
    </row>
    <row r="344" spans="1:9" ht="16.5" customHeight="1" x14ac:dyDescent="0.3">
      <c r="A344" s="2">
        <v>39911</v>
      </c>
      <c r="B344" s="9">
        <v>266206</v>
      </c>
      <c r="C344" s="9">
        <v>287113</v>
      </c>
      <c r="D344" s="9">
        <v>20907</v>
      </c>
      <c r="E344" s="16">
        <f t="shared" si="26"/>
        <v>2229838</v>
      </c>
      <c r="F344" s="16">
        <f t="shared" si="27"/>
        <v>3333465</v>
      </c>
      <c r="G344" s="16">
        <f t="shared" si="28"/>
        <v>1103627</v>
      </c>
      <c r="H344" s="18">
        <f t="shared" si="24"/>
        <v>-0.14657574039933205</v>
      </c>
      <c r="I344" s="18">
        <f t="shared" si="25"/>
        <v>0.17084630579798923</v>
      </c>
    </row>
    <row r="345" spans="1:9" ht="16.5" customHeight="1" x14ac:dyDescent="0.3">
      <c r="A345" s="2">
        <v>39941</v>
      </c>
      <c r="B345" s="9">
        <v>117217</v>
      </c>
      <c r="C345" s="9">
        <v>306868</v>
      </c>
      <c r="D345" s="9">
        <v>189651</v>
      </c>
      <c r="E345" s="16">
        <f t="shared" si="26"/>
        <v>2222783</v>
      </c>
      <c r="F345" s="16">
        <f t="shared" si="27"/>
        <v>3350134</v>
      </c>
      <c r="G345" s="16">
        <f t="shared" si="28"/>
        <v>1127351</v>
      </c>
      <c r="H345" s="18">
        <f t="shared" si="24"/>
        <v>-0.13606061147849502</v>
      </c>
      <c r="I345" s="18">
        <f t="shared" si="25"/>
        <v>0.15310406640512331</v>
      </c>
    </row>
    <row r="346" spans="1:9" ht="16.5" customHeight="1" x14ac:dyDescent="0.3">
      <c r="A346" s="2">
        <v>39972</v>
      </c>
      <c r="B346" s="9">
        <v>215340</v>
      </c>
      <c r="C346" s="9">
        <v>309671</v>
      </c>
      <c r="D346" s="9">
        <v>94332</v>
      </c>
      <c r="E346" s="16">
        <f t="shared" si="26"/>
        <v>2178211</v>
      </c>
      <c r="F346" s="16">
        <f t="shared" si="27"/>
        <v>3433440</v>
      </c>
      <c r="G346" s="16">
        <f t="shared" si="28"/>
        <v>1255230</v>
      </c>
      <c r="H346" s="18">
        <f t="shared" si="24"/>
        <v>-0.14788511724833456</v>
      </c>
      <c r="I346" s="18">
        <f t="shared" si="25"/>
        <v>0.19107195574067862</v>
      </c>
    </row>
    <row r="347" spans="1:9" ht="16.5" customHeight="1" x14ac:dyDescent="0.3">
      <c r="A347" s="2">
        <v>40003</v>
      </c>
      <c r="B347" s="9">
        <v>151481</v>
      </c>
      <c r="C347" s="9">
        <v>332160</v>
      </c>
      <c r="D347" s="9">
        <v>180680</v>
      </c>
      <c r="E347" s="16">
        <f t="shared" si="26"/>
        <v>2169198</v>
      </c>
      <c r="F347" s="16">
        <f t="shared" si="27"/>
        <v>3502339</v>
      </c>
      <c r="G347" s="16">
        <f t="shared" si="28"/>
        <v>1333143</v>
      </c>
      <c r="H347" s="18">
        <f t="shared" si="24"/>
        <v>-0.14809668632397804</v>
      </c>
      <c r="I347" s="18">
        <f t="shared" si="25"/>
        <v>0.19166818077578188</v>
      </c>
    </row>
    <row r="348" spans="1:9" ht="16.5" customHeight="1" x14ac:dyDescent="0.3">
      <c r="A348" s="2">
        <v>40034</v>
      </c>
      <c r="B348" s="9">
        <v>145529</v>
      </c>
      <c r="C348" s="9">
        <v>249084</v>
      </c>
      <c r="D348" s="9">
        <v>103555</v>
      </c>
      <c r="E348" s="16">
        <f t="shared" si="26"/>
        <v>2157711</v>
      </c>
      <c r="F348" s="16">
        <f t="shared" si="27"/>
        <v>3482493</v>
      </c>
      <c r="G348" s="16">
        <f t="shared" si="28"/>
        <v>1324784</v>
      </c>
      <c r="H348" s="18">
        <f t="shared" ref="H348:H411" si="29">(E348-E336)/E336</f>
        <v>-0.14942483878101537</v>
      </c>
      <c r="I348" s="18">
        <f t="shared" ref="I348:I411" si="30">(F348-F336)/F336</f>
        <v>0.19082632741925445</v>
      </c>
    </row>
    <row r="349" spans="1:9" ht="16.5" customHeight="1" x14ac:dyDescent="0.3">
      <c r="A349" s="2">
        <v>40065</v>
      </c>
      <c r="B349" s="9">
        <v>218880</v>
      </c>
      <c r="C349" s="9">
        <v>264088</v>
      </c>
      <c r="D349" s="9">
        <v>45207</v>
      </c>
      <c r="E349" s="16">
        <f t="shared" si="26"/>
        <v>2104363</v>
      </c>
      <c r="F349" s="16">
        <f t="shared" si="27"/>
        <v>3520087</v>
      </c>
      <c r="G349" s="16">
        <f t="shared" si="28"/>
        <v>1415725</v>
      </c>
      <c r="H349" s="18">
        <f t="shared" si="29"/>
        <v>-0.16614011263884204</v>
      </c>
      <c r="I349" s="18">
        <f t="shared" si="30"/>
        <v>0.18185593800781616</v>
      </c>
    </row>
    <row r="350" spans="1:9" ht="16.5" customHeight="1" x14ac:dyDescent="0.3">
      <c r="A350" s="2">
        <v>40095</v>
      </c>
      <c r="B350" s="11">
        <v>135293</v>
      </c>
      <c r="C350" s="11">
        <v>311656</v>
      </c>
      <c r="D350" s="11">
        <v>176363</v>
      </c>
      <c r="E350" s="16">
        <f t="shared" si="26"/>
        <v>2074829</v>
      </c>
      <c r="F350" s="16">
        <f t="shared" si="27"/>
        <v>3511383</v>
      </c>
      <c r="G350" s="16">
        <f t="shared" si="28"/>
        <v>1436555</v>
      </c>
      <c r="H350" s="18">
        <f t="shared" si="29"/>
        <v>-0.17347138361936237</v>
      </c>
      <c r="I350" s="18">
        <f t="shared" si="30"/>
        <v>0.14609277540924856</v>
      </c>
    </row>
    <row r="351" spans="1:9" ht="16.5" customHeight="1" x14ac:dyDescent="0.3">
      <c r="A351" s="2">
        <v>40126</v>
      </c>
      <c r="B351" s="11">
        <v>133563</v>
      </c>
      <c r="C351" s="11">
        <v>253850</v>
      </c>
      <c r="D351" s="11">
        <v>120287</v>
      </c>
      <c r="E351" s="16">
        <f t="shared" si="26"/>
        <v>2063623</v>
      </c>
      <c r="F351" s="16">
        <f t="shared" si="27"/>
        <v>3495263</v>
      </c>
      <c r="G351" s="16">
        <f t="shared" si="28"/>
        <v>1431641</v>
      </c>
      <c r="H351" s="18">
        <f t="shared" si="29"/>
        <v>-0.17587171281869421</v>
      </c>
      <c r="I351" s="18">
        <f t="shared" si="30"/>
        <v>0.13318363682754503</v>
      </c>
    </row>
    <row r="352" spans="1:9" ht="16.5" customHeight="1" x14ac:dyDescent="0.3">
      <c r="A352" s="2">
        <v>40156</v>
      </c>
      <c r="B352" s="3">
        <v>218919</v>
      </c>
      <c r="C352" s="11">
        <v>310329</v>
      </c>
      <c r="D352" s="11">
        <v>91410</v>
      </c>
      <c r="E352" s="16">
        <f t="shared" si="26"/>
        <v>2044756</v>
      </c>
      <c r="F352" s="16">
        <f t="shared" si="27"/>
        <v>3516052</v>
      </c>
      <c r="G352" s="16">
        <f t="shared" si="28"/>
        <v>1471297</v>
      </c>
      <c r="H352" s="18">
        <f t="shared" si="29"/>
        <v>-0.1704207746557444</v>
      </c>
      <c r="I352" s="18">
        <f t="shared" si="30"/>
        <v>0.11788132192916247</v>
      </c>
    </row>
    <row r="353" spans="1:9" ht="16.5" customHeight="1" x14ac:dyDescent="0.3">
      <c r="A353" s="2">
        <v>40187</v>
      </c>
      <c r="B353" s="11">
        <v>205239</v>
      </c>
      <c r="C353" s="11">
        <v>247873</v>
      </c>
      <c r="D353" s="3">
        <v>42634</v>
      </c>
      <c r="E353" s="16">
        <f t="shared" si="26"/>
        <v>2023905</v>
      </c>
      <c r="F353" s="16">
        <f t="shared" si="27"/>
        <v>3474377</v>
      </c>
      <c r="G353" s="16">
        <f t="shared" si="28"/>
        <v>1450474</v>
      </c>
      <c r="H353" s="18">
        <f t="shared" si="29"/>
        <v>-0.16906092908603906</v>
      </c>
      <c r="I353" s="18">
        <f t="shared" si="30"/>
        <v>8.6608363974928784E-2</v>
      </c>
    </row>
    <row r="354" spans="1:9" ht="16.5" customHeight="1" x14ac:dyDescent="0.3">
      <c r="A354" s="2">
        <v>40218</v>
      </c>
      <c r="B354" s="3">
        <v>107520</v>
      </c>
      <c r="C354" s="3">
        <v>328429</v>
      </c>
      <c r="D354" s="3">
        <v>220909</v>
      </c>
      <c r="E354" s="16">
        <f t="shared" si="26"/>
        <v>2044113</v>
      </c>
      <c r="F354" s="16">
        <f t="shared" si="27"/>
        <v>3521635</v>
      </c>
      <c r="G354" s="16">
        <f t="shared" si="28"/>
        <v>1477524</v>
      </c>
      <c r="H354" s="18">
        <f t="shared" si="29"/>
        <v>-0.15437230300425314</v>
      </c>
      <c r="I354" s="18">
        <f t="shared" si="30"/>
        <v>0.10142822069004342</v>
      </c>
    </row>
    <row r="355" spans="1:9" ht="16.5" customHeight="1" x14ac:dyDescent="0.3">
      <c r="A355" s="2">
        <v>40246</v>
      </c>
      <c r="B355" s="3">
        <v>153358</v>
      </c>
      <c r="C355" s="3">
        <v>218745</v>
      </c>
      <c r="D355" s="3">
        <v>65387</v>
      </c>
      <c r="E355" s="16">
        <f t="shared" si="26"/>
        <v>2068545</v>
      </c>
      <c r="F355" s="16">
        <f t="shared" si="27"/>
        <v>3419866</v>
      </c>
      <c r="G355" s="16">
        <f t="shared" si="28"/>
        <v>1351322</v>
      </c>
      <c r="H355" s="18">
        <f t="shared" si="29"/>
        <v>-0.12623137025145487</v>
      </c>
      <c r="I355" s="18">
        <f t="shared" si="30"/>
        <v>3.9213618729186425E-2</v>
      </c>
    </row>
    <row r="356" spans="1:9" ht="16.5" customHeight="1" x14ac:dyDescent="0.3">
      <c r="A356" s="2">
        <v>40277</v>
      </c>
      <c r="B356" s="11">
        <v>245260</v>
      </c>
      <c r="C356" s="11">
        <v>327950</v>
      </c>
      <c r="D356" s="3">
        <v>82689</v>
      </c>
      <c r="E356" s="16">
        <f t="shared" si="26"/>
        <v>2047599</v>
      </c>
      <c r="F356" s="16">
        <f t="shared" si="27"/>
        <v>3460703</v>
      </c>
      <c r="G356" s="16">
        <f t="shared" si="28"/>
        <v>1413104</v>
      </c>
      <c r="H356" s="18">
        <f t="shared" si="29"/>
        <v>-8.1727461815611718E-2</v>
      </c>
      <c r="I356" s="18">
        <f t="shared" si="30"/>
        <v>3.8169892289254576E-2</v>
      </c>
    </row>
    <row r="357" spans="1:9" ht="16.5" customHeight="1" x14ac:dyDescent="0.3">
      <c r="A357" s="2">
        <v>40307</v>
      </c>
      <c r="B357" s="11">
        <v>146794</v>
      </c>
      <c r="C357" s="11">
        <v>282721</v>
      </c>
      <c r="D357" s="3">
        <v>135927</v>
      </c>
      <c r="E357" s="16">
        <f t="shared" si="26"/>
        <v>2077176</v>
      </c>
      <c r="F357" s="16">
        <f t="shared" si="27"/>
        <v>3436556</v>
      </c>
      <c r="G357" s="16">
        <f t="shared" si="28"/>
        <v>1359380</v>
      </c>
      <c r="H357" s="18">
        <f t="shared" si="29"/>
        <v>-6.550661940459325E-2</v>
      </c>
      <c r="I357" s="18">
        <f t="shared" si="30"/>
        <v>2.5796580077095423E-2</v>
      </c>
    </row>
    <row r="358" spans="1:9" ht="16.5" customHeight="1" x14ac:dyDescent="0.3">
      <c r="A358" s="2">
        <v>40338</v>
      </c>
      <c r="B358" s="3">
        <v>251048</v>
      </c>
      <c r="C358" s="3">
        <v>319470</v>
      </c>
      <c r="D358" s="3">
        <v>68422</v>
      </c>
      <c r="E358" s="16">
        <f t="shared" si="26"/>
        <v>2112884</v>
      </c>
      <c r="F358" s="16">
        <f t="shared" si="27"/>
        <v>3446355</v>
      </c>
      <c r="G358" s="16">
        <f t="shared" si="28"/>
        <v>1333470</v>
      </c>
      <c r="H358" s="18">
        <f t="shared" si="29"/>
        <v>-2.9991125744934719E-2</v>
      </c>
      <c r="I358" s="18">
        <f t="shared" si="30"/>
        <v>3.7615336222563958E-3</v>
      </c>
    </row>
    <row r="359" spans="1:9" ht="16.5" customHeight="1" x14ac:dyDescent="0.3">
      <c r="A359" s="2">
        <v>40368</v>
      </c>
      <c r="B359" s="3">
        <v>155546</v>
      </c>
      <c r="C359" s="3">
        <v>320588</v>
      </c>
      <c r="D359" s="3">
        <v>165043</v>
      </c>
      <c r="E359" s="16">
        <f t="shared" si="26"/>
        <v>2116949</v>
      </c>
      <c r="F359" s="16">
        <f t="shared" si="27"/>
        <v>3434783</v>
      </c>
      <c r="G359" s="16">
        <f t="shared" si="28"/>
        <v>1317833</v>
      </c>
      <c r="H359" s="18">
        <f t="shared" si="29"/>
        <v>-2.408678230387452E-2</v>
      </c>
      <c r="I359" s="18">
        <f t="shared" si="30"/>
        <v>-1.9288823840296444E-2</v>
      </c>
    </row>
    <row r="360" spans="1:9" ht="16.5" customHeight="1" x14ac:dyDescent="0.3">
      <c r="A360" s="2">
        <v>40399</v>
      </c>
      <c r="B360" s="3">
        <v>163998</v>
      </c>
      <c r="C360" s="3">
        <v>254524</v>
      </c>
      <c r="D360" s="3">
        <v>90526</v>
      </c>
      <c r="E360" s="16">
        <f t="shared" si="26"/>
        <v>2135418</v>
      </c>
      <c r="F360" s="16">
        <f t="shared" si="27"/>
        <v>3440223</v>
      </c>
      <c r="G360" s="16">
        <f t="shared" si="28"/>
        <v>1304804</v>
      </c>
      <c r="H360" s="18">
        <f t="shared" si="29"/>
        <v>-1.0331782152475471E-2</v>
      </c>
      <c r="I360" s="18">
        <f t="shared" si="30"/>
        <v>-1.2137856414930339E-2</v>
      </c>
    </row>
    <row r="361" spans="1:9" ht="16.5" customHeight="1" x14ac:dyDescent="0.3">
      <c r="A361" s="2">
        <v>40430</v>
      </c>
      <c r="B361" s="11">
        <v>245207</v>
      </c>
      <c r="C361" s="11">
        <v>279813</v>
      </c>
      <c r="D361" s="11">
        <v>34607</v>
      </c>
      <c r="E361" s="16">
        <f t="shared" si="26"/>
        <v>2161745</v>
      </c>
      <c r="F361" s="16">
        <f t="shared" si="27"/>
        <v>3455948</v>
      </c>
      <c r="G361" s="16">
        <f t="shared" si="28"/>
        <v>1294204</v>
      </c>
      <c r="H361" s="18">
        <f t="shared" si="29"/>
        <v>2.7268109161774846E-2</v>
      </c>
      <c r="I361" s="18">
        <f t="shared" si="30"/>
        <v>-1.8220856473149669E-2</v>
      </c>
    </row>
    <row r="362" spans="1:9" ht="16.5" customHeight="1" x14ac:dyDescent="0.3">
      <c r="A362" s="2">
        <v>40460</v>
      </c>
      <c r="B362" s="3">
        <v>145951</v>
      </c>
      <c r="C362" s="3">
        <v>286384</v>
      </c>
      <c r="D362" s="3">
        <v>140432</v>
      </c>
      <c r="E362" s="16">
        <f t="shared" si="26"/>
        <v>2172403</v>
      </c>
      <c r="F362" s="16">
        <f t="shared" si="27"/>
        <v>3430676</v>
      </c>
      <c r="G362" s="16">
        <f t="shared" si="28"/>
        <v>1258273</v>
      </c>
      <c r="H362" s="18">
        <f t="shared" si="29"/>
        <v>4.702748997628238E-2</v>
      </c>
      <c r="I362" s="18">
        <f t="shared" si="30"/>
        <v>-2.298439105047783E-2</v>
      </c>
    </row>
    <row r="363" spans="1:9" ht="16.5" customHeight="1" x14ac:dyDescent="0.3">
      <c r="A363" s="2">
        <v>40491</v>
      </c>
      <c r="B363" s="11">
        <v>148970</v>
      </c>
      <c r="C363" s="11">
        <v>299364</v>
      </c>
      <c r="D363" s="3">
        <v>150394</v>
      </c>
      <c r="E363" s="16">
        <f t="shared" si="26"/>
        <v>2187810</v>
      </c>
      <c r="F363" s="16">
        <f t="shared" si="27"/>
        <v>3476190</v>
      </c>
      <c r="G363" s="16">
        <f t="shared" si="28"/>
        <v>1288380</v>
      </c>
      <c r="H363" s="18">
        <f t="shared" si="29"/>
        <v>6.0179112173105259E-2</v>
      </c>
      <c r="I363" s="18">
        <f t="shared" si="30"/>
        <v>-5.4568139793772317E-3</v>
      </c>
    </row>
    <row r="364" spans="1:9" ht="16.5" customHeight="1" x14ac:dyDescent="0.3">
      <c r="A364" s="2">
        <v>40521</v>
      </c>
      <c r="B364" s="3">
        <v>236875</v>
      </c>
      <c r="C364" s="11">
        <v>315009</v>
      </c>
      <c r="D364" s="11">
        <v>78134</v>
      </c>
      <c r="E364" s="16">
        <f t="shared" si="26"/>
        <v>2205766</v>
      </c>
      <c r="F364" s="16">
        <f t="shared" si="27"/>
        <v>3480870</v>
      </c>
      <c r="G364" s="16">
        <f t="shared" si="28"/>
        <v>1275104</v>
      </c>
      <c r="H364" s="18">
        <f t="shared" si="29"/>
        <v>7.874289157239299E-2</v>
      </c>
      <c r="I364" s="18">
        <f t="shared" si="30"/>
        <v>-1.0006109124665961E-2</v>
      </c>
    </row>
    <row r="365" spans="1:9" ht="16.5" customHeight="1" x14ac:dyDescent="0.3">
      <c r="A365" s="2">
        <v>40552</v>
      </c>
      <c r="B365" s="11">
        <v>226550</v>
      </c>
      <c r="C365" s="11">
        <v>276346</v>
      </c>
      <c r="D365" s="3">
        <v>49796</v>
      </c>
      <c r="E365" s="16">
        <f t="shared" si="26"/>
        <v>2227077</v>
      </c>
      <c r="F365" s="16">
        <f t="shared" si="27"/>
        <v>3509343</v>
      </c>
      <c r="G365" s="16">
        <f t="shared" si="28"/>
        <v>1282266</v>
      </c>
      <c r="H365" s="18">
        <f t="shared" si="29"/>
        <v>0.10038613472470299</v>
      </c>
      <c r="I365" s="18">
        <f t="shared" si="30"/>
        <v>1.0063962546378818E-2</v>
      </c>
    </row>
    <row r="366" spans="1:9" ht="16.5" customHeight="1" x14ac:dyDescent="0.3">
      <c r="A366" s="2">
        <v>40583</v>
      </c>
      <c r="B366" s="3">
        <v>110656</v>
      </c>
      <c r="C366" s="11">
        <v>333163</v>
      </c>
      <c r="D366" s="11">
        <v>222507</v>
      </c>
      <c r="E366" s="16">
        <f t="shared" si="26"/>
        <v>2230213</v>
      </c>
      <c r="F366" s="16">
        <f t="shared" si="27"/>
        <v>3514077</v>
      </c>
      <c r="G366" s="16">
        <f t="shared" si="28"/>
        <v>1283864</v>
      </c>
      <c r="H366" s="18">
        <f t="shared" si="29"/>
        <v>9.1041933591733917E-2</v>
      </c>
      <c r="I366" s="18">
        <f t="shared" si="30"/>
        <v>-2.14616222294474E-3</v>
      </c>
    </row>
    <row r="367" spans="1:9" ht="16.5" customHeight="1" x14ac:dyDescent="0.3">
      <c r="A367" s="2">
        <v>40611</v>
      </c>
      <c r="B367" s="3">
        <v>150894</v>
      </c>
      <c r="C367" s="11">
        <v>339048</v>
      </c>
      <c r="D367" s="11">
        <v>188154</v>
      </c>
      <c r="E367" s="16">
        <f t="shared" si="26"/>
        <v>2227749</v>
      </c>
      <c r="F367" s="16">
        <f t="shared" si="27"/>
        <v>3634380</v>
      </c>
      <c r="G367" s="16">
        <f t="shared" si="28"/>
        <v>1406631</v>
      </c>
      <c r="H367" s="18">
        <f t="shared" si="29"/>
        <v>7.6964242982386175E-2</v>
      </c>
      <c r="I367" s="18">
        <f t="shared" si="30"/>
        <v>6.2725849492348537E-2</v>
      </c>
    </row>
    <row r="368" spans="1:9" ht="16.5" customHeight="1" x14ac:dyDescent="0.3">
      <c r="A368" s="2">
        <v>40642</v>
      </c>
      <c r="B368" s="3">
        <v>289543</v>
      </c>
      <c r="C368" s="11">
        <v>329929</v>
      </c>
      <c r="D368" s="11">
        <v>40387</v>
      </c>
      <c r="E368" s="16">
        <f t="shared" si="26"/>
        <v>2272032</v>
      </c>
      <c r="F368" s="16">
        <f t="shared" si="27"/>
        <v>3636359</v>
      </c>
      <c r="G368" s="16">
        <f t="shared" si="28"/>
        <v>1364329</v>
      </c>
      <c r="H368" s="18">
        <f t="shared" si="29"/>
        <v>0.10960788709117361</v>
      </c>
      <c r="I368" s="18">
        <f t="shared" si="30"/>
        <v>5.075731722716454E-2</v>
      </c>
    </row>
    <row r="369" spans="1:9" ht="16.5" customHeight="1" x14ac:dyDescent="0.3">
      <c r="A369" s="2">
        <v>40672</v>
      </c>
      <c r="B369" s="11">
        <v>174936</v>
      </c>
      <c r="C369" s="11">
        <v>232577</v>
      </c>
      <c r="D369" s="3">
        <v>57641</v>
      </c>
      <c r="E369" s="16">
        <f t="shared" si="26"/>
        <v>2300174</v>
      </c>
      <c r="F369" s="16">
        <f t="shared" si="27"/>
        <v>3586215</v>
      </c>
      <c r="G369" s="16">
        <f t="shared" si="28"/>
        <v>1286043</v>
      </c>
      <c r="H369" s="18">
        <f t="shared" si="29"/>
        <v>0.10735633379164788</v>
      </c>
      <c r="I369" s="18">
        <f t="shared" si="30"/>
        <v>4.3549123017346439E-2</v>
      </c>
    </row>
    <row r="370" spans="1:9" ht="16.5" customHeight="1" x14ac:dyDescent="0.3">
      <c r="A370" s="2">
        <v>40703</v>
      </c>
      <c r="B370" s="3">
        <v>249658</v>
      </c>
      <c r="C370" s="3">
        <v>292738</v>
      </c>
      <c r="D370" s="3">
        <v>43080</v>
      </c>
      <c r="E370" s="16">
        <f t="shared" si="26"/>
        <v>2298784</v>
      </c>
      <c r="F370" s="16">
        <f t="shared" si="27"/>
        <v>3559483</v>
      </c>
      <c r="G370" s="16">
        <f t="shared" si="28"/>
        <v>1260701</v>
      </c>
      <c r="H370" s="18">
        <f t="shared" si="29"/>
        <v>8.7984006694167782E-2</v>
      </c>
      <c r="I370" s="18">
        <f t="shared" si="30"/>
        <v>3.2825405392073653E-2</v>
      </c>
    </row>
    <row r="371" spans="1:9" ht="16.5" customHeight="1" x14ac:dyDescent="0.3">
      <c r="A371" s="2">
        <v>40733</v>
      </c>
      <c r="B371" s="3">
        <v>159063</v>
      </c>
      <c r="C371" s="3">
        <v>288439</v>
      </c>
      <c r="D371" s="3">
        <v>129376</v>
      </c>
      <c r="E371" s="16">
        <f t="shared" si="26"/>
        <v>2302301</v>
      </c>
      <c r="F371" s="16">
        <f t="shared" si="27"/>
        <v>3527334</v>
      </c>
      <c r="G371" s="16">
        <f t="shared" si="28"/>
        <v>1225034</v>
      </c>
      <c r="H371" s="18">
        <f t="shared" si="29"/>
        <v>8.7556195260254266E-2</v>
      </c>
      <c r="I371" s="18">
        <f t="shared" si="30"/>
        <v>2.6945224778392115E-2</v>
      </c>
    </row>
    <row r="372" spans="1:9" ht="16.5" customHeight="1" x14ac:dyDescent="0.3">
      <c r="A372" s="2">
        <v>40764</v>
      </c>
      <c r="B372" s="11">
        <v>169246</v>
      </c>
      <c r="C372" s="11">
        <v>303388</v>
      </c>
      <c r="D372" s="3">
        <v>134143</v>
      </c>
      <c r="E372" s="16">
        <f t="shared" si="26"/>
        <v>2307549</v>
      </c>
      <c r="F372" s="16">
        <f t="shared" si="27"/>
        <v>3576198</v>
      </c>
      <c r="G372" s="16">
        <f t="shared" si="28"/>
        <v>1268651</v>
      </c>
      <c r="H372" s="18">
        <f t="shared" si="29"/>
        <v>8.0607637474255631E-2</v>
      </c>
      <c r="I372" s="18">
        <f t="shared" si="30"/>
        <v>3.9525054044461654E-2</v>
      </c>
    </row>
    <row r="373" spans="1:9" ht="16.5" customHeight="1" x14ac:dyDescent="0.3">
      <c r="A373" s="2">
        <v>40795</v>
      </c>
      <c r="B373" s="3">
        <v>240153</v>
      </c>
      <c r="C373" s="11">
        <v>302903</v>
      </c>
      <c r="D373" s="11">
        <v>62750</v>
      </c>
      <c r="E373" s="16">
        <f t="shared" si="26"/>
        <v>2302495</v>
      </c>
      <c r="F373" s="16">
        <f t="shared" si="27"/>
        <v>3599288</v>
      </c>
      <c r="G373" s="16">
        <f t="shared" si="28"/>
        <v>1296794</v>
      </c>
      <c r="H373" s="18">
        <f t="shared" si="29"/>
        <v>6.5109437052011221E-2</v>
      </c>
      <c r="I373" s="18">
        <f t="shared" si="30"/>
        <v>4.1476318509422017E-2</v>
      </c>
    </row>
    <row r="374" spans="1:9" ht="16.5" customHeight="1" x14ac:dyDescent="0.3">
      <c r="A374" s="2">
        <v>40825</v>
      </c>
      <c r="B374" s="3">
        <v>163072</v>
      </c>
      <c r="C374" s="3">
        <v>261539</v>
      </c>
      <c r="D374" s="3">
        <v>98466</v>
      </c>
      <c r="E374" s="16">
        <f t="shared" si="26"/>
        <v>2319616</v>
      </c>
      <c r="F374" s="16">
        <f t="shared" si="27"/>
        <v>3574443</v>
      </c>
      <c r="G374" s="16">
        <f t="shared" si="28"/>
        <v>1254828</v>
      </c>
      <c r="H374" s="18">
        <f t="shared" si="29"/>
        <v>6.776505095969762E-2</v>
      </c>
      <c r="I374" s="18">
        <f t="shared" si="30"/>
        <v>4.1906318171695607E-2</v>
      </c>
    </row>
    <row r="375" spans="1:9" ht="16.5" customHeight="1" x14ac:dyDescent="0.3">
      <c r="A375" s="2">
        <v>40856</v>
      </c>
      <c r="B375" s="3">
        <v>152402</v>
      </c>
      <c r="C375" s="3">
        <v>289704</v>
      </c>
      <c r="D375" s="3">
        <v>137302</v>
      </c>
      <c r="E375" s="16">
        <f t="shared" si="26"/>
        <v>2323048</v>
      </c>
      <c r="F375" s="16">
        <f t="shared" si="27"/>
        <v>3564783</v>
      </c>
      <c r="G375" s="16">
        <f t="shared" si="28"/>
        <v>1241736</v>
      </c>
      <c r="H375" s="18">
        <f t="shared" si="29"/>
        <v>6.1814325741266378E-2</v>
      </c>
      <c r="I375" s="18">
        <f t="shared" si="30"/>
        <v>2.5485661025433017E-2</v>
      </c>
    </row>
    <row r="376" spans="1:9" ht="16.5" customHeight="1" x14ac:dyDescent="0.3">
      <c r="A376" s="2">
        <v>40886</v>
      </c>
      <c r="B376" s="3">
        <v>239963</v>
      </c>
      <c r="C376" s="3">
        <v>325930</v>
      </c>
      <c r="D376" s="3">
        <v>85967</v>
      </c>
      <c r="E376" s="16">
        <f t="shared" si="26"/>
        <v>2326136</v>
      </c>
      <c r="F376" s="16">
        <f t="shared" si="27"/>
        <v>3575704</v>
      </c>
      <c r="G376" s="16">
        <f t="shared" si="28"/>
        <v>1249569</v>
      </c>
      <c r="H376" s="18">
        <f t="shared" si="29"/>
        <v>5.4570611751201169E-2</v>
      </c>
      <c r="I376" s="18">
        <f t="shared" si="30"/>
        <v>2.7244338340702182E-2</v>
      </c>
    </row>
    <row r="377" spans="1:9" ht="16.5" customHeight="1" x14ac:dyDescent="0.3">
      <c r="A377" s="2">
        <v>40917</v>
      </c>
      <c r="B377" s="3">
        <v>234319</v>
      </c>
      <c r="C377" s="11">
        <v>261726</v>
      </c>
      <c r="D377" s="11">
        <v>27407</v>
      </c>
      <c r="E377" s="16">
        <f t="shared" si="26"/>
        <v>2333905</v>
      </c>
      <c r="F377" s="16">
        <f t="shared" si="27"/>
        <v>3561084</v>
      </c>
      <c r="G377" s="16">
        <f t="shared" si="28"/>
        <v>1227180</v>
      </c>
      <c r="H377" s="18">
        <f t="shared" si="29"/>
        <v>4.7967807130153112E-2</v>
      </c>
      <c r="I377" s="18">
        <f t="shared" si="30"/>
        <v>1.4743785375211257E-2</v>
      </c>
    </row>
    <row r="378" spans="1:9" ht="16.5" customHeight="1" x14ac:dyDescent="0.3">
      <c r="A378" s="2">
        <v>40948</v>
      </c>
      <c r="B378" s="3">
        <v>103413</v>
      </c>
      <c r="C378" s="11">
        <v>335090</v>
      </c>
      <c r="D378" s="11">
        <v>231677</v>
      </c>
      <c r="E378" s="16">
        <f t="shared" si="26"/>
        <v>2326662</v>
      </c>
      <c r="F378" s="16">
        <f t="shared" si="27"/>
        <v>3563011</v>
      </c>
      <c r="G378" s="16">
        <f t="shared" si="28"/>
        <v>1236350</v>
      </c>
      <c r="H378" s="18">
        <f t="shared" si="29"/>
        <v>4.3246541922228952E-2</v>
      </c>
      <c r="I378" s="18">
        <f t="shared" si="30"/>
        <v>1.3925135960310489E-2</v>
      </c>
    </row>
    <row r="379" spans="1:9" ht="16.5" customHeight="1" x14ac:dyDescent="0.3">
      <c r="A379" s="2">
        <v>40977</v>
      </c>
      <c r="B379" s="3">
        <v>171215</v>
      </c>
      <c r="C379" s="11">
        <v>369372</v>
      </c>
      <c r="D379" s="11">
        <v>198157</v>
      </c>
      <c r="E379" s="16">
        <f t="shared" si="26"/>
        <v>2346983</v>
      </c>
      <c r="F379" s="16">
        <f t="shared" si="27"/>
        <v>3593335</v>
      </c>
      <c r="G379" s="16">
        <f t="shared" si="28"/>
        <v>1246353</v>
      </c>
      <c r="H379" s="18">
        <f t="shared" si="29"/>
        <v>5.3522187643221926E-2</v>
      </c>
      <c r="I379" s="18">
        <f t="shared" si="30"/>
        <v>-1.1293535623682719E-2</v>
      </c>
    </row>
    <row r="380" spans="1:9" ht="16.5" customHeight="1" x14ac:dyDescent="0.3">
      <c r="A380" s="2">
        <v>41008</v>
      </c>
      <c r="B380" s="3">
        <v>318807</v>
      </c>
      <c r="C380" s="3">
        <v>259690</v>
      </c>
      <c r="D380" s="3">
        <v>-59117</v>
      </c>
      <c r="E380" s="16">
        <f t="shared" si="26"/>
        <v>2376247</v>
      </c>
      <c r="F380" s="16">
        <f t="shared" si="27"/>
        <v>3523096</v>
      </c>
      <c r="G380" s="16">
        <f t="shared" si="28"/>
        <v>1146849</v>
      </c>
      <c r="H380" s="18">
        <f t="shared" si="29"/>
        <v>4.5868632131941804E-2</v>
      </c>
      <c r="I380" s="18">
        <f t="shared" si="30"/>
        <v>-3.1147364712890008E-2</v>
      </c>
    </row>
    <row r="381" spans="1:9" ht="16.5" customHeight="1" x14ac:dyDescent="0.3">
      <c r="A381" s="2">
        <v>41038</v>
      </c>
      <c r="B381" s="3">
        <v>180713</v>
      </c>
      <c r="C381" s="3">
        <v>305348</v>
      </c>
      <c r="D381" s="3">
        <v>124636</v>
      </c>
      <c r="E381" s="16">
        <f t="shared" si="26"/>
        <v>2382024</v>
      </c>
      <c r="F381" s="16">
        <f t="shared" si="27"/>
        <v>3595867</v>
      </c>
      <c r="G381" s="16">
        <f t="shared" si="28"/>
        <v>1213844</v>
      </c>
      <c r="H381" s="18">
        <f t="shared" si="29"/>
        <v>3.5584264494773005E-2</v>
      </c>
      <c r="I381" s="18">
        <f t="shared" si="30"/>
        <v>2.691416995355828E-3</v>
      </c>
    </row>
    <row r="382" spans="1:9" ht="16.5" customHeight="1" x14ac:dyDescent="0.3">
      <c r="A382" s="2">
        <v>41069</v>
      </c>
      <c r="B382" s="3">
        <v>260177</v>
      </c>
      <c r="C382" s="3">
        <v>319919</v>
      </c>
      <c r="D382" s="3">
        <v>59741</v>
      </c>
      <c r="E382" s="16">
        <f t="shared" si="26"/>
        <v>2392543</v>
      </c>
      <c r="F382" s="16">
        <f t="shared" si="27"/>
        <v>3623048</v>
      </c>
      <c r="G382" s="16">
        <f t="shared" si="28"/>
        <v>1230505</v>
      </c>
      <c r="H382" s="18">
        <f t="shared" si="29"/>
        <v>4.0786346172585156E-2</v>
      </c>
      <c r="I382" s="18">
        <f t="shared" si="30"/>
        <v>1.7857930491591054E-2</v>
      </c>
    </row>
    <row r="383" spans="1:9" ht="16.5" customHeight="1" x14ac:dyDescent="0.3">
      <c r="A383" s="2">
        <v>41099</v>
      </c>
      <c r="B383" s="3">
        <v>184585</v>
      </c>
      <c r="C383" s="3">
        <v>254190</v>
      </c>
      <c r="D383" s="3">
        <v>69604</v>
      </c>
      <c r="E383" s="16">
        <f t="shared" si="26"/>
        <v>2418065</v>
      </c>
      <c r="F383" s="16">
        <f t="shared" si="27"/>
        <v>3588799</v>
      </c>
      <c r="G383" s="16">
        <f t="shared" si="28"/>
        <v>1170733</v>
      </c>
      <c r="H383" s="18">
        <f t="shared" si="29"/>
        <v>5.0281870181179612E-2</v>
      </c>
      <c r="I383" s="18">
        <f t="shared" si="30"/>
        <v>1.7425341631952064E-2</v>
      </c>
    </row>
    <row r="384" spans="1:9" ht="16.5" customHeight="1" x14ac:dyDescent="0.3">
      <c r="A384" s="2">
        <v>41130</v>
      </c>
      <c r="B384" s="3">
        <v>178860</v>
      </c>
      <c r="C384" s="3">
        <v>369393</v>
      </c>
      <c r="D384" s="3">
        <v>190533</v>
      </c>
      <c r="E384" s="16">
        <f t="shared" si="26"/>
        <v>2427679</v>
      </c>
      <c r="F384" s="16">
        <f t="shared" si="27"/>
        <v>3654804</v>
      </c>
      <c r="G384" s="16">
        <f t="shared" si="28"/>
        <v>1227123</v>
      </c>
      <c r="H384" s="18">
        <f t="shared" si="29"/>
        <v>5.2059566232396368E-2</v>
      </c>
      <c r="I384" s="18">
        <f t="shared" si="30"/>
        <v>2.1980326592655103E-2</v>
      </c>
    </row>
    <row r="385" spans="1:9" ht="16.5" customHeight="1" x14ac:dyDescent="0.3">
      <c r="A385" s="2">
        <v>41161</v>
      </c>
      <c r="B385" s="3">
        <v>261566</v>
      </c>
      <c r="C385" s="3">
        <v>186386</v>
      </c>
      <c r="D385" s="3">
        <v>-75180</v>
      </c>
      <c r="E385" s="16">
        <f t="shared" si="26"/>
        <v>2449092</v>
      </c>
      <c r="F385" s="16">
        <f t="shared" si="27"/>
        <v>3538287</v>
      </c>
      <c r="G385" s="16">
        <f t="shared" si="28"/>
        <v>1089193</v>
      </c>
      <c r="H385" s="18">
        <f t="shared" si="29"/>
        <v>6.3668759324124483E-2</v>
      </c>
      <c r="I385" s="18">
        <f t="shared" si="30"/>
        <v>-1.6948074174670102E-2</v>
      </c>
    </row>
    <row r="386" spans="1:9" ht="16.5" customHeight="1" x14ac:dyDescent="0.3">
      <c r="A386" s="2">
        <v>41191</v>
      </c>
      <c r="B386" s="3">
        <v>184316</v>
      </c>
      <c r="C386" s="3">
        <v>304311</v>
      </c>
      <c r="D386" s="3">
        <v>119995</v>
      </c>
      <c r="E386" s="16">
        <f t="shared" si="26"/>
        <v>2470336</v>
      </c>
      <c r="F386" s="16">
        <f t="shared" si="27"/>
        <v>3581059</v>
      </c>
      <c r="G386" s="16">
        <f t="shared" si="28"/>
        <v>1110722</v>
      </c>
      <c r="H386" s="18">
        <f t="shared" si="29"/>
        <v>6.4976271934665042E-2</v>
      </c>
      <c r="I386" s="18">
        <f t="shared" si="30"/>
        <v>1.8509177513811243E-3</v>
      </c>
    </row>
    <row r="387" spans="1:9" ht="16.5" customHeight="1" x14ac:dyDescent="0.3">
      <c r="A387" s="2">
        <v>41224</v>
      </c>
      <c r="B387" s="3">
        <v>161730</v>
      </c>
      <c r="C387" s="3">
        <v>333841</v>
      </c>
      <c r="D387" s="3">
        <v>172112</v>
      </c>
      <c r="E387" s="16">
        <f t="shared" si="26"/>
        <v>2479664</v>
      </c>
      <c r="F387" s="16">
        <f t="shared" si="27"/>
        <v>3625196</v>
      </c>
      <c r="G387" s="16">
        <f t="shared" si="28"/>
        <v>1145532</v>
      </c>
      <c r="H387" s="18">
        <f t="shared" si="29"/>
        <v>6.7418322824151722E-2</v>
      </c>
      <c r="I387" s="18">
        <f t="shared" si="30"/>
        <v>1.6947174624654573E-2</v>
      </c>
    </row>
    <row r="388" spans="1:9" ht="16.5" customHeight="1" x14ac:dyDescent="0.3">
      <c r="A388" s="2">
        <v>41255</v>
      </c>
      <c r="B388" s="3">
        <v>269508</v>
      </c>
      <c r="C388" s="3">
        <v>270699</v>
      </c>
      <c r="D388" s="3">
        <v>1191</v>
      </c>
      <c r="E388" s="16">
        <f t="shared" si="26"/>
        <v>2509209</v>
      </c>
      <c r="F388" s="16">
        <f t="shared" si="27"/>
        <v>3569965</v>
      </c>
      <c r="G388" s="16">
        <f t="shared" si="28"/>
        <v>1060756</v>
      </c>
      <c r="H388" s="18">
        <f t="shared" si="29"/>
        <v>7.8702620998944178E-2</v>
      </c>
      <c r="I388" s="18">
        <f t="shared" si="30"/>
        <v>-1.6049986240471807E-3</v>
      </c>
    </row>
    <row r="389" spans="1:9" ht="16.5" customHeight="1" x14ac:dyDescent="0.3">
      <c r="A389" s="2">
        <v>41287</v>
      </c>
      <c r="B389" s="3">
        <v>272225</v>
      </c>
      <c r="C389" s="3">
        <v>269340</v>
      </c>
      <c r="D389" s="3">
        <v>-2886</v>
      </c>
      <c r="E389" s="16">
        <f t="shared" si="26"/>
        <v>2547115</v>
      </c>
      <c r="F389" s="16">
        <f t="shared" si="27"/>
        <v>3577579</v>
      </c>
      <c r="G389" s="16">
        <f t="shared" si="28"/>
        <v>1030463</v>
      </c>
      <c r="H389" s="18">
        <f t="shared" si="29"/>
        <v>9.1353332719198085E-2</v>
      </c>
      <c r="I389" s="18">
        <f t="shared" si="30"/>
        <v>4.6320165432772713E-3</v>
      </c>
    </row>
    <row r="390" spans="1:9" ht="16.5" customHeight="1" x14ac:dyDescent="0.3">
      <c r="A390" s="2">
        <v>41318</v>
      </c>
      <c r="B390" s="3">
        <v>122815</v>
      </c>
      <c r="C390" s="3">
        <v>326354</v>
      </c>
      <c r="D390" s="3">
        <v>203539</v>
      </c>
      <c r="E390" s="16">
        <f t="shared" si="26"/>
        <v>2566517</v>
      </c>
      <c r="F390" s="16">
        <f t="shared" si="27"/>
        <v>3568843</v>
      </c>
      <c r="G390" s="16">
        <f t="shared" si="28"/>
        <v>1002325</v>
      </c>
      <c r="H390" s="18">
        <f t="shared" si="29"/>
        <v>0.10308974831754678</v>
      </c>
      <c r="I390" s="18">
        <f t="shared" si="30"/>
        <v>1.6368178487240145E-3</v>
      </c>
    </row>
    <row r="391" spans="1:9" ht="16.5" customHeight="1" x14ac:dyDescent="0.3">
      <c r="A391" s="2">
        <v>41334</v>
      </c>
      <c r="B391" s="3">
        <v>186018</v>
      </c>
      <c r="C391" s="3">
        <v>292548</v>
      </c>
      <c r="D391" s="3">
        <v>106530</v>
      </c>
      <c r="E391" s="16">
        <f t="shared" si="26"/>
        <v>2581320</v>
      </c>
      <c r="F391" s="16">
        <f t="shared" si="27"/>
        <v>3492019</v>
      </c>
      <c r="G391" s="16">
        <f t="shared" si="28"/>
        <v>910698</v>
      </c>
      <c r="H391" s="18">
        <f t="shared" si="29"/>
        <v>9.9846057683417394E-2</v>
      </c>
      <c r="I391" s="18">
        <f t="shared" si="30"/>
        <v>-2.8195534232126979E-2</v>
      </c>
    </row>
    <row r="392" spans="1:9" ht="16.5" customHeight="1" x14ac:dyDescent="0.3">
      <c r="A392" s="2">
        <v>41377</v>
      </c>
      <c r="B392" s="3">
        <v>406723</v>
      </c>
      <c r="C392" s="3">
        <v>293834</v>
      </c>
      <c r="D392" s="3">
        <v>-112889</v>
      </c>
      <c r="E392" s="16">
        <f t="shared" si="26"/>
        <v>2669236</v>
      </c>
      <c r="F392" s="16">
        <f t="shared" si="27"/>
        <v>3526163</v>
      </c>
      <c r="G392" s="16">
        <f t="shared" si="28"/>
        <v>856926</v>
      </c>
      <c r="H392" s="18">
        <f t="shared" si="29"/>
        <v>0.12329905098249466</v>
      </c>
      <c r="I392" s="18">
        <f t="shared" si="30"/>
        <v>8.7054113768117588E-4</v>
      </c>
    </row>
    <row r="393" spans="1:9" ht="16.5" customHeight="1" x14ac:dyDescent="0.3">
      <c r="A393" s="2">
        <v>41395</v>
      </c>
      <c r="B393" s="3">
        <v>197182</v>
      </c>
      <c r="C393" s="3">
        <v>335914</v>
      </c>
      <c r="D393" s="3">
        <v>138732</v>
      </c>
      <c r="E393" s="16">
        <f t="shared" si="26"/>
        <v>2685705</v>
      </c>
      <c r="F393" s="16">
        <f t="shared" si="27"/>
        <v>3556729</v>
      </c>
      <c r="G393" s="16">
        <f t="shared" si="28"/>
        <v>871022</v>
      </c>
      <c r="H393" s="18">
        <f t="shared" si="29"/>
        <v>0.12748863991294798</v>
      </c>
      <c r="I393" s="18">
        <f t="shared" si="30"/>
        <v>-1.0884162289650869E-2</v>
      </c>
    </row>
    <row r="394" spans="1:9" ht="16.5" customHeight="1" x14ac:dyDescent="0.3">
      <c r="A394" s="2">
        <v>41426</v>
      </c>
      <c r="B394" s="3">
        <v>286627</v>
      </c>
      <c r="C394" s="3">
        <v>170126</v>
      </c>
      <c r="D394" s="3">
        <v>-116501</v>
      </c>
      <c r="E394" s="16">
        <f t="shared" si="26"/>
        <v>2712155</v>
      </c>
      <c r="F394" s="16">
        <f t="shared" si="27"/>
        <v>3406936</v>
      </c>
      <c r="G394" s="16">
        <f t="shared" si="28"/>
        <v>694780</v>
      </c>
      <c r="H394" s="18">
        <f t="shared" si="29"/>
        <v>0.13358673177451774</v>
      </c>
      <c r="I394" s="18">
        <f t="shared" si="30"/>
        <v>-5.9649223526710107E-2</v>
      </c>
    </row>
    <row r="395" spans="1:9" ht="16.5" customHeight="1" x14ac:dyDescent="0.3">
      <c r="A395" s="2">
        <v>41456</v>
      </c>
      <c r="B395" s="3">
        <v>200030</v>
      </c>
      <c r="C395" s="3">
        <v>297627</v>
      </c>
      <c r="D395" s="3">
        <v>97597</v>
      </c>
      <c r="E395" s="16">
        <f t="shared" si="26"/>
        <v>2727600</v>
      </c>
      <c r="F395" s="16">
        <f t="shared" si="27"/>
        <v>3450373</v>
      </c>
      <c r="G395" s="16">
        <f t="shared" si="28"/>
        <v>722773</v>
      </c>
      <c r="H395" s="18">
        <f t="shared" si="29"/>
        <v>0.12800937940047102</v>
      </c>
      <c r="I395" s="18">
        <f t="shared" si="30"/>
        <v>-3.8571678157511745E-2</v>
      </c>
    </row>
    <row r="396" spans="1:9" ht="16.5" customHeight="1" x14ac:dyDescent="0.3">
      <c r="A396" s="2">
        <v>41487</v>
      </c>
      <c r="B396" s="3">
        <v>185370</v>
      </c>
      <c r="C396" s="3">
        <v>333275</v>
      </c>
      <c r="D396" s="3">
        <v>147905</v>
      </c>
      <c r="E396" s="16">
        <f t="shared" si="26"/>
        <v>2734110</v>
      </c>
      <c r="F396" s="16">
        <f t="shared" si="27"/>
        <v>3414255</v>
      </c>
      <c r="G396" s="16">
        <f t="shared" si="28"/>
        <v>680145</v>
      </c>
      <c r="H396" s="18">
        <f t="shared" si="29"/>
        <v>0.12622385414216625</v>
      </c>
      <c r="I396" s="18">
        <f t="shared" si="30"/>
        <v>-6.5817209349666908E-2</v>
      </c>
    </row>
    <row r="397" spans="1:9" ht="16.5" customHeight="1" x14ac:dyDescent="0.3">
      <c r="A397" s="2">
        <v>41518</v>
      </c>
      <c r="B397" s="3">
        <v>301469</v>
      </c>
      <c r="C397" s="3">
        <v>226355</v>
      </c>
      <c r="D397" s="3">
        <v>-75114</v>
      </c>
      <c r="E397" s="16">
        <f t="shared" si="26"/>
        <v>2774013</v>
      </c>
      <c r="F397" s="16">
        <f t="shared" si="27"/>
        <v>3454224</v>
      </c>
      <c r="G397" s="16">
        <f t="shared" si="28"/>
        <v>680211</v>
      </c>
      <c r="H397" s="18">
        <f t="shared" si="29"/>
        <v>0.13266998544766795</v>
      </c>
      <c r="I397" s="18">
        <f t="shared" si="30"/>
        <v>-2.3758106677044571E-2</v>
      </c>
    </row>
    <row r="398" spans="1:9" ht="16.5" customHeight="1" x14ac:dyDescent="0.3">
      <c r="A398" s="2">
        <v>41548</v>
      </c>
      <c r="B398" s="3">
        <v>198927</v>
      </c>
      <c r="C398" s="3">
        <v>289511</v>
      </c>
      <c r="D398" s="3">
        <v>90584</v>
      </c>
      <c r="E398" s="16">
        <f t="shared" si="26"/>
        <v>2788624</v>
      </c>
      <c r="F398" s="16">
        <f t="shared" si="27"/>
        <v>3439424</v>
      </c>
      <c r="G398" s="16">
        <f t="shared" si="28"/>
        <v>650800</v>
      </c>
      <c r="H398" s="18">
        <f t="shared" si="29"/>
        <v>0.12884401150288868</v>
      </c>
      <c r="I398" s="18">
        <f t="shared" si="30"/>
        <v>-3.9551149534257882E-2</v>
      </c>
    </row>
    <row r="399" spans="1:9" ht="16.5" customHeight="1" x14ac:dyDescent="0.3">
      <c r="A399" s="2">
        <v>41579</v>
      </c>
      <c r="B399" s="3">
        <v>182453</v>
      </c>
      <c r="C399" s="3">
        <v>317679</v>
      </c>
      <c r="D399" s="3">
        <v>135226</v>
      </c>
      <c r="E399" s="16">
        <f t="shared" si="26"/>
        <v>2809347</v>
      </c>
      <c r="F399" s="16">
        <f t="shared" si="27"/>
        <v>3423262</v>
      </c>
      <c r="G399" s="16">
        <f t="shared" si="28"/>
        <v>613914</v>
      </c>
      <c r="H399" s="18">
        <f t="shared" si="29"/>
        <v>0.13295470676672325</v>
      </c>
      <c r="I399" s="18">
        <f t="shared" si="30"/>
        <v>-5.5702919235263416E-2</v>
      </c>
    </row>
    <row r="400" spans="1:9" ht="16.5" customHeight="1" x14ac:dyDescent="0.3">
      <c r="A400" s="2">
        <v>41609</v>
      </c>
      <c r="B400" s="3">
        <v>285041</v>
      </c>
      <c r="C400" s="3">
        <v>231821</v>
      </c>
      <c r="D400" s="3">
        <v>-53220</v>
      </c>
      <c r="E400" s="16">
        <f t="shared" si="26"/>
        <v>2824880</v>
      </c>
      <c r="F400" s="16">
        <f t="shared" si="27"/>
        <v>3384384</v>
      </c>
      <c r="G400" s="16">
        <f t="shared" si="28"/>
        <v>559503</v>
      </c>
      <c r="H400" s="18">
        <f t="shared" si="29"/>
        <v>0.12580498475814489</v>
      </c>
      <c r="I400" s="18">
        <f t="shared" si="30"/>
        <v>-5.1983983036248252E-2</v>
      </c>
    </row>
    <row r="401" spans="1:12" ht="16.5" customHeight="1" x14ac:dyDescent="0.3">
      <c r="A401" s="2">
        <v>41640</v>
      </c>
      <c r="B401" s="3">
        <v>295997</v>
      </c>
      <c r="C401" s="3">
        <v>306247</v>
      </c>
      <c r="D401" s="3">
        <v>10520</v>
      </c>
      <c r="E401" s="16">
        <f t="shared" ref="E401:E415" si="31">SUM(B390:B401)</f>
        <v>2848652</v>
      </c>
      <c r="F401" s="16">
        <f t="shared" ref="F401:F415" si="32">SUM(C390:C401)</f>
        <v>3421291</v>
      </c>
      <c r="G401" s="16">
        <f t="shared" ref="G401:G415" si="33">SUM(D390:D401)</f>
        <v>572909</v>
      </c>
      <c r="H401" s="18">
        <f t="shared" si="29"/>
        <v>0.11838374003529484</v>
      </c>
      <c r="I401" s="18">
        <f t="shared" si="30"/>
        <v>-4.3685408484340944E-2</v>
      </c>
    </row>
    <row r="402" spans="1:12" ht="16.5" customHeight="1" x14ac:dyDescent="0.3">
      <c r="A402" s="2">
        <v>41684</v>
      </c>
      <c r="B402" s="3">
        <v>144349</v>
      </c>
      <c r="C402" s="3">
        <v>337880</v>
      </c>
      <c r="D402" s="3">
        <v>193532</v>
      </c>
      <c r="E402" s="16">
        <f t="shared" si="31"/>
        <v>2870186</v>
      </c>
      <c r="F402" s="16">
        <f t="shared" si="32"/>
        <v>3432817</v>
      </c>
      <c r="G402" s="16">
        <f t="shared" si="33"/>
        <v>562902</v>
      </c>
      <c r="H402" s="18">
        <f t="shared" si="29"/>
        <v>0.11831949681221671</v>
      </c>
      <c r="I402" s="18">
        <f t="shared" si="30"/>
        <v>-3.8114873643923255E-2</v>
      </c>
    </row>
    <row r="403" spans="1:12" ht="16.5" customHeight="1" x14ac:dyDescent="0.3">
      <c r="A403" s="2">
        <v>41712</v>
      </c>
      <c r="B403" s="3">
        <v>215846</v>
      </c>
      <c r="C403" s="3">
        <v>252741</v>
      </c>
      <c r="D403" s="3">
        <v>36895</v>
      </c>
      <c r="E403" s="16">
        <f t="shared" si="31"/>
        <v>2900014</v>
      </c>
      <c r="F403" s="16">
        <f t="shared" si="32"/>
        <v>3393010</v>
      </c>
      <c r="G403" s="16">
        <f t="shared" si="33"/>
        <v>493267</v>
      </c>
      <c r="H403" s="18">
        <f t="shared" si="29"/>
        <v>0.12346163978119722</v>
      </c>
      <c r="I403" s="18">
        <f t="shared" si="30"/>
        <v>-2.8352938514939353E-2</v>
      </c>
    </row>
    <row r="404" spans="1:12" ht="16.5" customHeight="1" x14ac:dyDescent="0.3">
      <c r="A404" s="2">
        <v>41743</v>
      </c>
      <c r="B404" s="3">
        <v>414237</v>
      </c>
      <c r="C404" s="3">
        <v>307383</v>
      </c>
      <c r="D404" s="3">
        <v>-106853</v>
      </c>
      <c r="E404" s="16">
        <f t="shared" si="31"/>
        <v>2907528</v>
      </c>
      <c r="F404" s="16">
        <f t="shared" si="32"/>
        <v>3406559</v>
      </c>
      <c r="G404" s="16">
        <f t="shared" si="33"/>
        <v>499303</v>
      </c>
      <c r="H404" s="18">
        <f t="shared" si="29"/>
        <v>8.9273484997205194E-2</v>
      </c>
      <c r="I404" s="18">
        <f t="shared" si="30"/>
        <v>-3.3919021894336703E-2</v>
      </c>
    </row>
    <row r="405" spans="1:12" ht="16.5" customHeight="1" x14ac:dyDescent="0.3">
      <c r="A405" s="2">
        <v>41773</v>
      </c>
      <c r="B405" s="3">
        <v>199889</v>
      </c>
      <c r="C405" s="3">
        <v>329860</v>
      </c>
      <c r="D405" s="3">
        <v>129971</v>
      </c>
      <c r="E405" s="16">
        <f t="shared" si="31"/>
        <v>2910235</v>
      </c>
      <c r="F405" s="16">
        <f t="shared" si="32"/>
        <v>3400505</v>
      </c>
      <c r="G405" s="16">
        <f t="shared" si="33"/>
        <v>490542</v>
      </c>
      <c r="H405" s="18">
        <f t="shared" si="29"/>
        <v>8.3601884793750622E-2</v>
      </c>
      <c r="I405" s="18">
        <f t="shared" si="30"/>
        <v>-4.3923503871113038E-2</v>
      </c>
    </row>
    <row r="406" spans="1:12" ht="16.5" customHeight="1" x14ac:dyDescent="0.3">
      <c r="A406" s="2">
        <v>41804</v>
      </c>
      <c r="B406" s="3">
        <v>323646</v>
      </c>
      <c r="C406" s="3">
        <v>253127</v>
      </c>
      <c r="D406" s="3">
        <v>-70519</v>
      </c>
      <c r="E406" s="16">
        <f t="shared" si="31"/>
        <v>2947254</v>
      </c>
      <c r="F406" s="16">
        <f t="shared" si="32"/>
        <v>3483506</v>
      </c>
      <c r="G406" s="16">
        <f t="shared" si="33"/>
        <v>536524</v>
      </c>
      <c r="H406" s="18">
        <f t="shared" si="29"/>
        <v>8.6683467574677694E-2</v>
      </c>
      <c r="I406" s="18">
        <f t="shared" si="30"/>
        <v>2.2474739766171127E-2</v>
      </c>
    </row>
    <row r="407" spans="1:12" ht="16.5" customHeight="1" x14ac:dyDescent="0.3">
      <c r="A407" s="2">
        <v>41834</v>
      </c>
      <c r="B407" s="3">
        <v>214493</v>
      </c>
      <c r="C407" s="3">
        <v>309113</v>
      </c>
      <c r="D407" s="3">
        <v>94621</v>
      </c>
      <c r="E407" s="16">
        <f t="shared" si="31"/>
        <v>2961717</v>
      </c>
      <c r="F407" s="16">
        <f t="shared" si="32"/>
        <v>3494992</v>
      </c>
      <c r="G407" s="16">
        <f t="shared" si="33"/>
        <v>533548</v>
      </c>
      <c r="H407" s="18">
        <f t="shared" si="29"/>
        <v>8.5832600087989444E-2</v>
      </c>
      <c r="I407" s="18">
        <f t="shared" si="30"/>
        <v>1.2931645361240654E-2</v>
      </c>
    </row>
    <row r="408" spans="1:12" ht="16.5" customHeight="1" x14ac:dyDescent="0.3">
      <c r="A408" s="2">
        <v>41865</v>
      </c>
      <c r="B408" s="3">
        <v>194248</v>
      </c>
      <c r="C408" s="3">
        <v>322925</v>
      </c>
      <c r="D408" s="3">
        <v>128677</v>
      </c>
      <c r="E408" s="16">
        <f t="shared" si="31"/>
        <v>2970595</v>
      </c>
      <c r="F408" s="16">
        <f t="shared" si="32"/>
        <v>3484642</v>
      </c>
      <c r="G408" s="16">
        <f t="shared" si="33"/>
        <v>514320</v>
      </c>
      <c r="H408" s="18">
        <f t="shared" si="29"/>
        <v>8.6494325392906649E-2</v>
      </c>
      <c r="I408" s="18">
        <f t="shared" si="30"/>
        <v>2.0615624784909154E-2</v>
      </c>
    </row>
    <row r="409" spans="1:12" ht="16.5" customHeight="1" x14ac:dyDescent="0.3">
      <c r="A409" s="2">
        <v>41896</v>
      </c>
      <c r="B409" s="3">
        <v>351245</v>
      </c>
      <c r="C409" s="11">
        <v>245441</v>
      </c>
      <c r="D409" s="3">
        <v>-105803</v>
      </c>
      <c r="E409" s="16">
        <f t="shared" si="31"/>
        <v>3020371</v>
      </c>
      <c r="F409" s="16">
        <f t="shared" si="32"/>
        <v>3503728</v>
      </c>
      <c r="G409" s="16">
        <f t="shared" si="33"/>
        <v>483631</v>
      </c>
      <c r="H409" s="18">
        <f t="shared" si="29"/>
        <v>8.8809244945860025E-2</v>
      </c>
      <c r="I409" s="18">
        <f t="shared" si="30"/>
        <v>1.4331438841256386E-2</v>
      </c>
    </row>
    <row r="410" spans="1:12" ht="16.5" customHeight="1" x14ac:dyDescent="0.3">
      <c r="A410" s="2">
        <v>41926</v>
      </c>
      <c r="B410" s="3">
        <v>212719</v>
      </c>
      <c r="C410" s="3">
        <v>334432</v>
      </c>
      <c r="D410" s="3">
        <v>121713</v>
      </c>
      <c r="E410" s="16">
        <f t="shared" si="31"/>
        <v>3034163</v>
      </c>
      <c r="F410" s="16">
        <f t="shared" si="32"/>
        <v>3548649</v>
      </c>
      <c r="G410" s="16">
        <f t="shared" si="33"/>
        <v>514760</v>
      </c>
      <c r="H410" s="18">
        <f t="shared" si="29"/>
        <v>8.8050235528346593E-2</v>
      </c>
      <c r="I410" s="18">
        <f t="shared" si="30"/>
        <v>3.1756770901174153E-2</v>
      </c>
    </row>
    <row r="411" spans="1:12" ht="16.5" customHeight="1" x14ac:dyDescent="0.3">
      <c r="A411" s="2">
        <v>41957</v>
      </c>
      <c r="B411" s="3">
        <v>191436</v>
      </c>
      <c r="C411" s="3">
        <v>248254</v>
      </c>
      <c r="D411" s="3">
        <v>56818</v>
      </c>
      <c r="E411" s="16">
        <f t="shared" si="31"/>
        <v>3043146</v>
      </c>
      <c r="F411" s="16">
        <f t="shared" si="32"/>
        <v>3479224</v>
      </c>
      <c r="G411" s="16">
        <f t="shared" si="33"/>
        <v>436352</v>
      </c>
      <c r="H411" s="18">
        <f t="shared" si="29"/>
        <v>8.3221830553505849E-2</v>
      </c>
      <c r="I411" s="18">
        <f t="shared" si="30"/>
        <v>1.6347565567578527E-2</v>
      </c>
    </row>
    <row r="412" spans="1:12" ht="16.5" customHeight="1" x14ac:dyDescent="0.3">
      <c r="A412" s="2">
        <v>41987</v>
      </c>
      <c r="B412" s="3">
        <v>335327</v>
      </c>
      <c r="C412" s="3">
        <v>333463</v>
      </c>
      <c r="D412" s="3">
        <v>-1864</v>
      </c>
      <c r="E412" s="16">
        <f t="shared" si="31"/>
        <v>3093432</v>
      </c>
      <c r="F412" s="16">
        <f t="shared" si="32"/>
        <v>3580866</v>
      </c>
      <c r="G412" s="16">
        <f t="shared" si="33"/>
        <v>487708</v>
      </c>
      <c r="H412" s="18">
        <f t="shared" ref="H412:H414" si="34">(E412-E400)/E400</f>
        <v>9.5066693098467894E-2</v>
      </c>
      <c r="I412" s="18">
        <f t="shared" ref="I412:I415" si="35">(F412-F400)/F400</f>
        <v>5.8055468882963639E-2</v>
      </c>
    </row>
    <row r="413" spans="1:12" ht="16.5" customHeight="1" x14ac:dyDescent="0.3">
      <c r="A413" s="2">
        <v>42018</v>
      </c>
      <c r="B413" s="3">
        <v>306742</v>
      </c>
      <c r="C413" s="3">
        <v>321738</v>
      </c>
      <c r="D413" s="3">
        <v>17546</v>
      </c>
      <c r="E413" s="16">
        <f t="shared" si="31"/>
        <v>3104177</v>
      </c>
      <c r="F413" s="16">
        <f t="shared" si="32"/>
        <v>3596357</v>
      </c>
      <c r="G413" s="16">
        <f t="shared" si="33"/>
        <v>494734</v>
      </c>
      <c r="H413" s="18">
        <f t="shared" si="34"/>
        <v>8.9700321415181639E-2</v>
      </c>
      <c r="I413" s="18">
        <f t="shared" si="35"/>
        <v>5.116957312312808E-2</v>
      </c>
    </row>
    <row r="414" spans="1:12" ht="16.5" customHeight="1" x14ac:dyDescent="0.3">
      <c r="A414" s="2">
        <v>42050</v>
      </c>
      <c r="B414" s="3">
        <v>139388</v>
      </c>
      <c r="C414" s="3">
        <v>331738</v>
      </c>
      <c r="D414" s="3">
        <v>192350</v>
      </c>
      <c r="E414" s="16">
        <f t="shared" si="31"/>
        <v>3099216</v>
      </c>
      <c r="F414" s="16">
        <f t="shared" si="32"/>
        <v>3590215</v>
      </c>
      <c r="G414" s="16">
        <f t="shared" si="33"/>
        <v>493552</v>
      </c>
      <c r="H414" s="18">
        <f t="shared" si="34"/>
        <v>7.9796222265734698E-2</v>
      </c>
      <c r="I414" s="18">
        <f t="shared" si="35"/>
        <v>4.5850973122074375E-2</v>
      </c>
    </row>
    <row r="415" spans="1:12" ht="16.5" customHeight="1" x14ac:dyDescent="0.3">
      <c r="A415" s="2">
        <v>42078</v>
      </c>
      <c r="B415" s="3">
        <v>234187</v>
      </c>
      <c r="C415" s="3">
        <v>287105</v>
      </c>
      <c r="D415" s="3">
        <v>52918</v>
      </c>
      <c r="E415" s="16">
        <f t="shared" si="31"/>
        <v>3117557</v>
      </c>
      <c r="F415" s="16">
        <f t="shared" si="32"/>
        <v>3624579</v>
      </c>
      <c r="G415" s="16">
        <f t="shared" si="33"/>
        <v>509575</v>
      </c>
      <c r="H415" s="18">
        <f>(E415-E403)/E403</f>
        <v>7.5014465447408182E-2</v>
      </c>
      <c r="I415" s="18">
        <f t="shared" si="35"/>
        <v>6.8248840999584434E-2</v>
      </c>
    </row>
    <row r="416" spans="1:12" ht="25.5" customHeight="1" x14ac:dyDescent="0.3">
      <c r="A416" s="2">
        <v>42109</v>
      </c>
      <c r="B416" s="3">
        <v>471801</v>
      </c>
      <c r="C416" s="3">
        <v>315087</v>
      </c>
      <c r="D416" s="3">
        <v>-156714</v>
      </c>
      <c r="E416" s="16">
        <f>SUM(B405:B416)</f>
        <v>3175121</v>
      </c>
      <c r="F416" s="16">
        <f>SUM(C405:C416)</f>
        <v>3632283</v>
      </c>
      <c r="G416" s="16"/>
      <c r="H416" s="19">
        <f>SUM(C405:C416)</f>
        <v>3632283</v>
      </c>
      <c r="I416" s="20">
        <f>H416/365</f>
        <v>9951.4602739726033</v>
      </c>
      <c r="J416" s="21">
        <f>I416/24</f>
        <v>414.64417808219179</v>
      </c>
      <c r="K416" s="21">
        <f>J416/60</f>
        <v>6.9107363013698633</v>
      </c>
      <c r="L416" s="21">
        <f>K416/60</f>
        <v>0.11517893835616438</v>
      </c>
    </row>
    <row r="417" spans="1:13" ht="24.5" customHeight="1" x14ac:dyDescent="0.3">
      <c r="H417" s="22">
        <f>H416*1000000</f>
        <v>3632283000000</v>
      </c>
      <c r="I417" s="22">
        <f t="shared" ref="I417:L417" si="36">I416*1000000</f>
        <v>9951460273.9726028</v>
      </c>
      <c r="J417" s="22">
        <f t="shared" si="36"/>
        <v>414644178.08219177</v>
      </c>
      <c r="K417" s="22">
        <f t="shared" si="36"/>
        <v>6910736.3013698636</v>
      </c>
      <c r="L417" s="22">
        <f t="shared" si="36"/>
        <v>115178.93835616438</v>
      </c>
      <c r="M417" s="17"/>
    </row>
    <row r="418" spans="1:13" ht="16" customHeight="1" x14ac:dyDescent="0.3">
      <c r="A418" s="8" t="s">
        <v>4</v>
      </c>
      <c r="H418" s="17">
        <f>H416*1000000</f>
        <v>3632283000000</v>
      </c>
      <c r="I418" s="17">
        <f>H418/318860000</f>
        <v>11391.466474314746</v>
      </c>
      <c r="J418" s="17">
        <f>H418/116011000</f>
        <v>31309.815448535053</v>
      </c>
      <c r="K418" s="17">
        <f>H418/148795000</f>
        <v>24411.324305252194</v>
      </c>
    </row>
    <row r="419" spans="1:13" ht="16.5" customHeight="1" x14ac:dyDescent="0.3">
      <c r="A419" s="15" t="s">
        <v>5</v>
      </c>
      <c r="B419" s="15"/>
      <c r="C419" s="15"/>
      <c r="D419" s="15"/>
    </row>
  </sheetData>
  <phoneticPr fontId="3" type="noConversion"/>
  <conditionalFormatting sqref="I27:I4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orientation="landscape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MTS Quick Link</vt:lpstr>
      <vt:lpstr>'MTS Quick Link'!Print_Area</vt:lpstr>
      <vt:lpstr>'MTS Quick Link'!Print_Titles</vt:lpstr>
    </vt:vector>
  </TitlesOfParts>
  <Company>DEPT OF TREASURY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Dixon</dc:creator>
  <cp:lastModifiedBy>Matthias Shapiro</cp:lastModifiedBy>
  <cp:lastPrinted>2015-03-11T18:16:43Z</cp:lastPrinted>
  <dcterms:created xsi:type="dcterms:W3CDTF">2005-05-12T14:41:50Z</dcterms:created>
  <dcterms:modified xsi:type="dcterms:W3CDTF">2015-06-27T16:06:23Z</dcterms:modified>
</cp:coreProperties>
</file>