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ngroupe-my.sharepoint.com/personal/mattia_avorio_icn-artem_com/Documents/Bureau/BUSINESS/1_INVALHE/Analisi/"/>
    </mc:Choice>
  </mc:AlternateContent>
  <xr:revisionPtr revIDLastSave="797" documentId="8_{482BA935-771E-4BC4-A9FD-C09EFD324F19}" xr6:coauthVersionLast="47" xr6:coauthVersionMax="47" xr10:uidLastSave="{65FEB144-3477-4248-887D-BE70460C7F4F}"/>
  <bookViews>
    <workbookView xWindow="-110" yWindow="-110" windowWidth="34620" windowHeight="13900" activeTab="1" xr2:uid="{D851B2B0-2256-48CA-B53B-43A2B1E0DF6F}"/>
  </bookViews>
  <sheets>
    <sheet name="Dati demografici" sheetId="2" r:id="rId1"/>
    <sheet name="Stime competitors" sheetId="1" r:id="rId2"/>
    <sheet name="Stima mercato microbiota" sheetId="3" r:id="rId3"/>
    <sheet name="Penetrazioni di mercato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3" l="1"/>
  <c r="Z28" i="3"/>
  <c r="AA28" i="3"/>
  <c r="AB28" i="3"/>
  <c r="AC28" i="3"/>
  <c r="AD28" i="3"/>
  <c r="AE28" i="3"/>
  <c r="X28" i="3"/>
  <c r="Y21" i="3"/>
  <c r="Z21" i="3"/>
  <c r="AA21" i="3"/>
  <c r="AB21" i="3"/>
  <c r="AC21" i="3"/>
  <c r="AD21" i="3"/>
  <c r="AE21" i="3"/>
  <c r="X21" i="3"/>
  <c r="AT20" i="3"/>
  <c r="AV20" i="3"/>
  <c r="AW20" i="3" s="1"/>
  <c r="AU27" i="3"/>
  <c r="AV27" i="3" s="1"/>
  <c r="BE27" i="3"/>
  <c r="G10" i="4"/>
  <c r="G9" i="4"/>
  <c r="G8" i="4"/>
  <c r="G7" i="4"/>
  <c r="G6" i="4"/>
  <c r="G5" i="4"/>
  <c r="G4" i="4"/>
  <c r="D17" i="4"/>
  <c r="F4" i="4"/>
  <c r="E10" i="4"/>
  <c r="D10" i="4"/>
  <c r="D14" i="4" s="1"/>
  <c r="F14" i="4" s="1"/>
  <c r="D5" i="4"/>
  <c r="D8" i="4" s="1"/>
  <c r="E5" i="4"/>
  <c r="E8" i="4" s="1"/>
  <c r="F8" i="4" s="1"/>
  <c r="N27" i="3"/>
  <c r="O27" i="3" s="1"/>
  <c r="P27" i="3" s="1"/>
  <c r="Q27" i="3" s="1"/>
  <c r="R27" i="3" s="1"/>
  <c r="S27" i="3" s="1"/>
  <c r="T27" i="3" s="1"/>
  <c r="N20" i="3"/>
  <c r="O20" i="3" s="1"/>
  <c r="P20" i="3" s="1"/>
  <c r="Q20" i="3" s="1"/>
  <c r="R20" i="3" s="1"/>
  <c r="S20" i="3" s="1"/>
  <c r="T20" i="3" s="1"/>
  <c r="N15" i="3"/>
  <c r="O15" i="3" s="1"/>
  <c r="P15" i="3" s="1"/>
  <c r="Q15" i="3" s="1"/>
  <c r="R15" i="3" s="1"/>
  <c r="S15" i="3" s="1"/>
  <c r="T15" i="3" s="1"/>
  <c r="N10" i="3"/>
  <c r="O10" i="3" s="1"/>
  <c r="P10" i="3" s="1"/>
  <c r="Q10" i="3" s="1"/>
  <c r="R10" i="3" s="1"/>
  <c r="S10" i="3" s="1"/>
  <c r="T10" i="3" s="1"/>
  <c r="BF10" i="3"/>
  <c r="AT10" i="3"/>
  <c r="AV10" i="3"/>
  <c r="AW10" i="3" s="1"/>
  <c r="AX10" i="3" s="1"/>
  <c r="AY10" i="3" s="1"/>
  <c r="AZ10" i="3" s="1"/>
  <c r="BA10" i="3" s="1"/>
  <c r="AT15" i="3"/>
  <c r="BE15" i="3" s="1"/>
  <c r="AV15" i="3"/>
  <c r="AW15" i="3" s="1"/>
  <c r="AX15" i="3" s="1"/>
  <c r="AY15" i="3" s="1"/>
  <c r="AZ15" i="3" s="1"/>
  <c r="BA15" i="3" s="1"/>
  <c r="B28" i="3"/>
  <c r="AX20" i="3" l="1"/>
  <c r="AW27" i="3"/>
  <c r="F10" i="4"/>
  <c r="F5" i="4"/>
  <c r="D6" i="4"/>
  <c r="D7" i="4"/>
  <c r="E6" i="4"/>
  <c r="F6" i="4" s="1"/>
  <c r="E7" i="4"/>
  <c r="F7" i="4" s="1"/>
  <c r="AY20" i="3" l="1"/>
  <c r="AX27" i="3"/>
  <c r="D9" i="4"/>
  <c r="D11" i="4" s="1"/>
  <c r="E9" i="4"/>
  <c r="F9" i="4" s="1"/>
  <c r="AJ27" i="3"/>
  <c r="AK27" i="3" s="1"/>
  <c r="AL27" i="3" s="1"/>
  <c r="AM27" i="3" s="1"/>
  <c r="AN27" i="3" s="1"/>
  <c r="AO27" i="3" s="1"/>
  <c r="AP27" i="3" s="1"/>
  <c r="AI20" i="3"/>
  <c r="BE20" i="3" s="1"/>
  <c r="AK20" i="3"/>
  <c r="AL20" i="3" s="1"/>
  <c r="AM20" i="3" s="1"/>
  <c r="AN20" i="3" s="1"/>
  <c r="AO20" i="3" s="1"/>
  <c r="AP20" i="3" s="1"/>
  <c r="AK10" i="3"/>
  <c r="AL10" i="3" s="1"/>
  <c r="AM10" i="3" s="1"/>
  <c r="AN10" i="3" s="1"/>
  <c r="AO10" i="3" s="1"/>
  <c r="AP10" i="3" s="1"/>
  <c r="AI10" i="3"/>
  <c r="AJ15" i="3"/>
  <c r="AK15" i="3" s="1"/>
  <c r="AL15" i="3" s="1"/>
  <c r="AM15" i="3" s="1"/>
  <c r="AN15" i="3" s="1"/>
  <c r="AO15" i="3" s="1"/>
  <c r="AP15" i="3" s="1"/>
  <c r="Y27" i="3"/>
  <c r="Y20" i="3"/>
  <c r="X10" i="3"/>
  <c r="Y15" i="3"/>
  <c r="Z10" i="3"/>
  <c r="C27" i="3"/>
  <c r="C20" i="3"/>
  <c r="D20" i="3" s="1"/>
  <c r="E20" i="3" s="1"/>
  <c r="F20" i="3" s="1"/>
  <c r="G20" i="3" s="1"/>
  <c r="H20" i="3" s="1"/>
  <c r="I20" i="3" s="1"/>
  <c r="C10" i="3"/>
  <c r="D10" i="3" s="1"/>
  <c r="E10" i="3" s="1"/>
  <c r="F10" i="3" s="1"/>
  <c r="G10" i="3" s="1"/>
  <c r="H10" i="3" s="1"/>
  <c r="I10" i="3" s="1"/>
  <c r="C15" i="3"/>
  <c r="D15" i="3" s="1"/>
  <c r="E15" i="3" s="1"/>
  <c r="F15" i="3" s="1"/>
  <c r="G15" i="3" s="1"/>
  <c r="H15" i="3" s="1"/>
  <c r="I15" i="3" s="1"/>
  <c r="F19" i="2"/>
  <c r="G19" i="2" s="1"/>
  <c r="D19" i="2"/>
  <c r="E10" i="2" s="1"/>
  <c r="H18" i="2"/>
  <c r="H17" i="2"/>
  <c r="E17" i="2"/>
  <c r="F16" i="2"/>
  <c r="D16" i="2"/>
  <c r="H16" i="2" s="1"/>
  <c r="H15" i="2"/>
  <c r="E15" i="2"/>
  <c r="H14" i="2"/>
  <c r="H13" i="2"/>
  <c r="E13" i="2"/>
  <c r="H12" i="2"/>
  <c r="G12" i="2"/>
  <c r="E12" i="2"/>
  <c r="H11" i="2"/>
  <c r="E11" i="2"/>
  <c r="H10" i="2"/>
  <c r="G10" i="2"/>
  <c r="H9" i="2"/>
  <c r="E9" i="2"/>
  <c r="H8" i="2"/>
  <c r="G8" i="2"/>
  <c r="H7" i="2"/>
  <c r="E7" i="2"/>
  <c r="F15" i="1"/>
  <c r="E15" i="1"/>
  <c r="D15" i="1"/>
  <c r="F14" i="1"/>
  <c r="E14" i="1"/>
  <c r="D14" i="1"/>
  <c r="C14" i="1"/>
  <c r="L7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M6" i="1" s="1"/>
  <c r="C6" i="1"/>
  <c r="M4" i="1"/>
  <c r="L4" i="1"/>
  <c r="N4" i="1" s="1"/>
  <c r="AZ20" i="3" l="1"/>
  <c r="AY27" i="3"/>
  <c r="BE10" i="3"/>
  <c r="Z27" i="3"/>
  <c r="BF27" i="3"/>
  <c r="Z20" i="3"/>
  <c r="BF20" i="3"/>
  <c r="AA10" i="3"/>
  <c r="BG10" i="3"/>
  <c r="Z15" i="3"/>
  <c r="BF15" i="3"/>
  <c r="D27" i="3"/>
  <c r="C28" i="3"/>
  <c r="H19" i="2"/>
  <c r="E8" i="2"/>
  <c r="G13" i="2"/>
  <c r="E18" i="2"/>
  <c r="G18" i="2"/>
  <c r="G11" i="2"/>
  <c r="E14" i="2"/>
  <c r="E16" i="2" s="1"/>
  <c r="G14" i="2"/>
  <c r="G16" i="2" s="1"/>
  <c r="G9" i="2"/>
  <c r="E19" i="2"/>
  <c r="G7" i="2"/>
  <c r="G15" i="2"/>
  <c r="G17" i="2"/>
  <c r="BA20" i="3" l="1"/>
  <c r="AZ27" i="3"/>
  <c r="AA15" i="3"/>
  <c r="BG15" i="3"/>
  <c r="AA27" i="3"/>
  <c r="BG27" i="3"/>
  <c r="AB10" i="3"/>
  <c r="BH10" i="3"/>
  <c r="AA20" i="3"/>
  <c r="BG20" i="3"/>
  <c r="E27" i="3"/>
  <c r="D28" i="3"/>
  <c r="BA27" i="3" l="1"/>
  <c r="AB15" i="3"/>
  <c r="BH15" i="3"/>
  <c r="AB20" i="3"/>
  <c r="BH20" i="3"/>
  <c r="AC10" i="3"/>
  <c r="BI10" i="3"/>
  <c r="AB27" i="3"/>
  <c r="BH27" i="3"/>
  <c r="E15" i="4"/>
  <c r="E11" i="4"/>
  <c r="F11" i="4" s="1"/>
  <c r="F27" i="3"/>
  <c r="E28" i="3"/>
  <c r="F15" i="4" l="1"/>
  <c r="G15" i="4"/>
  <c r="AD10" i="3"/>
  <c r="BJ10" i="3"/>
  <c r="AC20" i="3"/>
  <c r="BI20" i="3"/>
  <c r="AC27" i="3"/>
  <c r="BI27" i="3"/>
  <c r="AC15" i="3"/>
  <c r="BI15" i="3"/>
  <c r="G27" i="3"/>
  <c r="F28" i="3"/>
  <c r="E17" i="4"/>
  <c r="F17" i="4" l="1"/>
  <c r="G17" i="4"/>
  <c r="AD20" i="3"/>
  <c r="BJ20" i="3"/>
  <c r="AD15" i="3"/>
  <c r="BJ15" i="3"/>
  <c r="AD27" i="3"/>
  <c r="BJ27" i="3"/>
  <c r="AE10" i="3"/>
  <c r="BL10" i="3" s="1"/>
  <c r="BK10" i="3"/>
  <c r="H27" i="3"/>
  <c r="G28" i="3"/>
  <c r="AE20" i="3" l="1"/>
  <c r="BL20" i="3" s="1"/>
  <c r="BK20" i="3"/>
  <c r="AE27" i="3"/>
  <c r="BL27" i="3" s="1"/>
  <c r="BK27" i="3"/>
  <c r="AE15" i="3"/>
  <c r="BL15" i="3" s="1"/>
  <c r="BK15" i="3"/>
  <c r="I27" i="3"/>
  <c r="H28" i="3"/>
  <c r="I2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EDEB5FF6-D62F-41EB-BE83-510468E2B1E6}">
      <text>
        <r>
          <rPr>
            <sz val="11"/>
            <color theme="1"/>
            <rFont val="Aptos Narrow"/>
            <scheme val="minor"/>
          </rPr>
          <t>======
ID#AAABZkPDhwA
tc={3A74233D-6110-4113-8338-6CD637C5081A}    (2024-12-01 20:11:52)
[Threaded comment]
Your version of Excel allows you to read this threaded comment; however, any edits to it will get removed if the file is opened in a newer version of Excel. Learn more: https://go.microsoft.com/fwlink/?linkid=870924
Comment:
    Non ha ricorrenza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tc={43CD5C24-E730-4C12-9F69-C311CA473607}</author>
    <author>tc={C761F5EA-F396-416E-9D80-1C5491B7153E}</author>
    <author>tc={14C00848-6A6E-4243-9999-7B920A63DF2C}</author>
    <author>tc={16C9A7FE-F137-4733-B955-D4D6F4A4DBF1}</author>
    <author>tc={D524E9E2-58FB-4C81-A57C-8567F46399BB}</author>
    <author>tc={BE9A3DD2-7838-4A3C-AE97-F8642E896461}</author>
    <author>tc={B17444B2-E843-478B-BE58-373C28A427C8}</author>
  </authors>
  <commentList>
    <comment ref="B12" authorId="0" shapeId="0" xr:uid="{43CD5C24-E730-4C12-9F69-C311CA473607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statista</t>
      </text>
    </comment>
    <comment ref="M12" authorId="1" shapeId="0" xr:uid="{C761F5EA-F396-416E-9D80-1C5491B7153E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statista</t>
      </text>
    </comment>
    <comment ref="B17" authorId="2" shapeId="0" xr:uid="{14C00848-6A6E-4243-9999-7B920A63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wellmicro</t>
      </text>
    </comment>
    <comment ref="M17" authorId="3" shapeId="0" xr:uid="{16C9A7FE-F137-4733-B955-D4D6F4A4DBF1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wellmicro</t>
      </text>
    </comment>
    <comment ref="B24" authorId="4" shapeId="0" xr:uid="{D524E9E2-58FB-4C81-A57C-8567F4639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wellmicro</t>
      </text>
    </comment>
    <comment ref="M24" authorId="5" shapeId="0" xr:uid="{BE9A3DD2-7838-4A3C-AE97-F8642E896461}">
      <text>
        <t>[Threaded comment]
Your version of Excel allows you to read this threaded comment; however, any edits to it will get removed if the file is opened in a newer version of Excel. Learn more: https://go.microsoft.com/fwlink/?linkid=870924
Comment:
    Stime di wellmicro</t>
      </text>
    </comment>
    <comment ref="AT24" authorId="6" shapeId="0" xr:uid="{B17444B2-E843-478B-BE58-373C28A427C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https://www.statista.com/outlook/hmo/digital-health/italy#revenue</t>
      </text>
    </comment>
  </commentList>
</comments>
</file>

<file path=xl/sharedStrings.xml><?xml version="1.0" encoding="utf-8"?>
<sst xmlns="http://schemas.openxmlformats.org/spreadsheetml/2006/main" count="117" uniqueCount="87">
  <si>
    <t>Wellmicro</t>
  </si>
  <si>
    <t>E2024</t>
  </si>
  <si>
    <t>Cagr 6 anni</t>
  </si>
  <si>
    <t>Cagr ultimi 3</t>
  </si>
  <si>
    <t>ricavi</t>
  </si>
  <si>
    <t>prezzo test</t>
  </si>
  <si>
    <t>-</t>
  </si>
  <si>
    <t>#</t>
  </si>
  <si>
    <t>Crescita</t>
  </si>
  <si>
    <t>Holifya</t>
  </si>
  <si>
    <t>Maschi</t>
  </si>
  <si>
    <t>Femmine</t>
  </si>
  <si>
    <t>Tot</t>
  </si>
  <si>
    <t>Classi</t>
  </si>
  <si>
    <t>(%)</t>
  </si>
  <si>
    <t>0 - 2 anni</t>
  </si>
  <si>
    <t>3 - 5 anni</t>
  </si>
  <si>
    <t>6 - 11 anni</t>
  </si>
  <si>
    <t>12 - 17 anni</t>
  </si>
  <si>
    <t>18 - 24 anni</t>
  </si>
  <si>
    <t>25 - 34 anni</t>
  </si>
  <si>
    <t>35 - 44 anni</t>
  </si>
  <si>
    <t>45 - 54 anni</t>
  </si>
  <si>
    <t>55 - 64 anni</t>
  </si>
  <si>
    <t>sub tot</t>
  </si>
  <si>
    <t>65 - 74 anni</t>
  </si>
  <si>
    <t>75 e più</t>
  </si>
  <si>
    <t>Totale</t>
  </si>
  <si>
    <t>Dati demografici italia</t>
  </si>
  <si>
    <t>MICROBIOME - US MARKET</t>
  </si>
  <si>
    <t>CAGR</t>
  </si>
  <si>
    <t>MICROBIOME - EU MARKET</t>
  </si>
  <si>
    <t>MICROBIOME - GLOBAL MARKET</t>
  </si>
  <si>
    <t>MICROBIOME - IT MARKET</t>
  </si>
  <si>
    <t>DIGESTIVE HEALTH - IT MARKET</t>
  </si>
  <si>
    <t>DIGESTIVE HEALTH - EU MARKET</t>
  </si>
  <si>
    <t>DIGESTIVE HEALTH - US MARKET</t>
  </si>
  <si>
    <t>DIGESTIVE HEALTH - GLOBAL MARKET</t>
  </si>
  <si>
    <t>SUPPLEMENTS - GLOBAL MARKET</t>
  </si>
  <si>
    <t>SUPPLEMENTS - US MARKET</t>
  </si>
  <si>
    <t>SUPPLEMENTS - EU MARKET</t>
  </si>
  <si>
    <t>SUPPLEMENTS - IT MARKET</t>
  </si>
  <si>
    <t>TOT - GLOBAL MARKET</t>
  </si>
  <si>
    <t>TOT - US MARKET</t>
  </si>
  <si>
    <t>TOT - EU MARKET</t>
  </si>
  <si>
    <t>TOT - IT MARKET</t>
  </si>
  <si>
    <t>(#)</t>
  </si>
  <si>
    <t>Diabete 1</t>
  </si>
  <si>
    <t>Diabete 2</t>
  </si>
  <si>
    <t>stima tamponi 2025</t>
  </si>
  <si>
    <t>VALHE penetrazione</t>
  </si>
  <si>
    <t>VALHE POTENZIALE #</t>
  </si>
  <si>
    <t>VALHE POTENZIALE €</t>
  </si>
  <si>
    <t>Tutto in €M</t>
  </si>
  <si>
    <t>Reddito &gt; 35K anno</t>
  </si>
  <si>
    <t>note</t>
  </si>
  <si>
    <t xml:space="preserve">Mercato </t>
  </si>
  <si>
    <t>(25-74 anni)</t>
  </si>
  <si>
    <t xml:space="preserve">IBS </t>
  </si>
  <si>
    <t>1° target</t>
  </si>
  <si>
    <t>market penetration</t>
  </si>
  <si>
    <t>Delle persone che dovrebbero utilizzarlo</t>
  </si>
  <si>
    <t>Tamponi effettuati</t>
  </si>
  <si>
    <t>PREZZO DI VENDITA</t>
  </si>
  <si>
    <t>Market share</t>
  </si>
  <si>
    <t>A pieno regime</t>
  </si>
  <si>
    <t>DIGITAL HEALTH - GLOBAL MARKET</t>
  </si>
  <si>
    <t>DIGITAL HEALTH - US MARKET</t>
  </si>
  <si>
    <t>DIGITAL HEALTH - EU MARKET</t>
  </si>
  <si>
    <t>DIGITAL HEALTH - IT MARKET</t>
  </si>
  <si>
    <t>PROBIOTICS - GLOBAL MARKET</t>
  </si>
  <si>
    <t>PROBIOTICS - US MARKET</t>
  </si>
  <si>
    <t>PROBIOTICS - EU MARKET</t>
  </si>
  <si>
    <t>PROBIOTICS - IT MARKET</t>
  </si>
  <si>
    <t>microbiota e probiotici inclusi in quello digestive health</t>
  </si>
  <si>
    <t>€</t>
  </si>
  <si>
    <t>Investimenti in marketing, investimenti in persone, onboarding di molti professionisti con investimenti in sales</t>
  </si>
  <si>
    <t>[+ di un anno]</t>
  </si>
  <si>
    <t>VAR</t>
  </si>
  <si>
    <t>MVP (2026)</t>
  </si>
  <si>
    <t>VAR %</t>
  </si>
  <si>
    <t>Fertilità</t>
  </si>
  <si>
    <t>Allergie nutrizionali</t>
  </si>
  <si>
    <t>Deficienze nutrizionali</t>
  </si>
  <si>
    <t>Salute ormonale</t>
  </si>
  <si>
    <t>Nutrizione sportiva</t>
  </si>
  <si>
    <t>Lavorava il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</si>
</sst>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43" formatCode="_-* #,##0.00_-;\-* #,##0.00_-;_-* &quot;-&quot;??_-;_-@_-"/>
    <numFmt numFmtId="164" formatCode="_-* #,##0_-;\-* #,##0_-;_-* &quot;-&quot;??_-;_-@"/>
    <numFmt numFmtId="165" formatCode="_-* #,##0.0_-;\-* #,##0.0_-;_-* &quot;-&quot;??_-;_-@"/>
    <numFmt numFmtId="166" formatCode="_-* #,##0.0_-;\-* #,##0.0_-;_-* &quot;-&quot;??_-;_-@_-"/>
    <numFmt numFmtId="167" formatCode="_-* #,##0.0\ _€_-;\-* #,##0.0\ _€_-;_-* &quot;-&quot;?\ _€_-;_-@_-"/>
    <numFmt numFmtId="168" formatCode="0.0%"/>
    <numFmt numFmtId="169" formatCode="_-* #,##0_-;\-* #,##0_-;_-* &quot;-&quot;??_-;_-@_-"/>
    <numFmt numFmtId="170" formatCode="_-* #,##0.00\ [$€-410]_-;\-* #,##0.00\ [$€-410]_-;_-* &quot;-&quot;??\ [$€-410]_-;_-@_-"/>
    <numFmt numFmtId="171" formatCode="_-* #,##0\ [$€-410]_-;\-* #,##0\ [$€-410]_-;_-* &quot;-&quot;??\ [$€-410]_-;_-@_-"/>
    <numFmt numFmtId="172" formatCode="_-* #,##0.00\ _€_-;\-* #,##0.00\ _€_-;_-* &quot;-&quot;??\ _€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ptos Narrow"/>
      <scheme val="minor"/>
    </font>
    <font>
      <i/>
      <sz val="10"/>
      <color theme="1"/>
      <name val="Aptos Narrow"/>
    </font>
    <font>
      <b/>
      <sz val="11"/>
      <color theme="1"/>
      <name val="Calibri"/>
    </font>
    <font>
      <sz val="11"/>
      <color theme="1"/>
      <name val="Calibri"/>
    </font>
    <font>
      <b/>
      <sz val="18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1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ED873"/>
        <bgColor rgb="FF8ED873"/>
      </patternFill>
    </fill>
    <fill>
      <patternFill patternType="solid">
        <fgColor rgb="FFB3E5A1"/>
        <bgColor rgb="FFB3E5A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164" fontId="4" fillId="0" borderId="1" xfId="0" applyNumberFormat="1" applyFont="1" applyBorder="1"/>
    <xf numFmtId="9" fontId="4" fillId="0" borderId="0" xfId="0" applyNumberFormat="1" applyFont="1"/>
    <xf numFmtId="0" fontId="4" fillId="0" borderId="0" xfId="0" quotePrefix="1" applyFont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4" fillId="0" borderId="0" xfId="0" applyNumberFormat="1" applyFont="1"/>
    <xf numFmtId="0" fontId="7" fillId="2" borderId="1" xfId="0" applyFont="1" applyFill="1" applyBorder="1" applyAlignment="1">
      <alignment horizontal="left"/>
    </xf>
    <xf numFmtId="164" fontId="5" fillId="2" borderId="1" xfId="0" quotePrefix="1" applyNumberFormat="1" applyFont="1" applyFill="1" applyBorder="1"/>
    <xf numFmtId="9" fontId="5" fillId="2" borderId="1" xfId="0" applyNumberFormat="1" applyFont="1" applyFill="1" applyBorder="1"/>
    <xf numFmtId="165" fontId="4" fillId="0" borderId="0" xfId="0" applyNumberFormat="1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/>
    <xf numFmtId="164" fontId="9" fillId="0" borderId="5" xfId="0" applyNumberFormat="1" applyFont="1" applyBorder="1"/>
    <xf numFmtId="0" fontId="2" fillId="4" borderId="0" xfId="0" applyFont="1" applyFill="1" applyAlignment="1">
      <alignment horizontal="centerContinuous" vertical="center"/>
    </xf>
    <xf numFmtId="0" fontId="0" fillId="0" borderId="0" xfId="0" applyAlignment="1">
      <alignment vertical="center"/>
    </xf>
    <xf numFmtId="0" fontId="10" fillId="4" borderId="0" xfId="0" applyFont="1" applyFill="1" applyAlignment="1">
      <alignment horizontal="centerContinuous" vertical="center"/>
    </xf>
    <xf numFmtId="10" fontId="2" fillId="0" borderId="0" xfId="0" applyNumberFormat="1" applyFont="1"/>
    <xf numFmtId="0" fontId="0" fillId="0" borderId="12" xfId="0" applyBorder="1" applyAlignment="1">
      <alignment horizontal="center"/>
    </xf>
    <xf numFmtId="166" fontId="0" fillId="0" borderId="12" xfId="1" applyNumberFormat="1" applyFont="1" applyBorder="1"/>
    <xf numFmtId="0" fontId="2" fillId="0" borderId="0" xfId="0" applyFont="1" applyAlignment="1">
      <alignment horizontal="center"/>
    </xf>
    <xf numFmtId="9" fontId="0" fillId="0" borderId="0" xfId="2" applyFont="1"/>
    <xf numFmtId="166" fontId="0" fillId="0" borderId="0" xfId="1" applyNumberFormat="1" applyFont="1" applyBorder="1"/>
    <xf numFmtId="166" fontId="0" fillId="5" borderId="0" xfId="1" applyNumberFormat="1" applyFont="1" applyFill="1" applyBorder="1"/>
    <xf numFmtId="10" fontId="2" fillId="5" borderId="0" xfId="0" applyNumberFormat="1" applyFont="1" applyFill="1"/>
    <xf numFmtId="0" fontId="0" fillId="5" borderId="0" xfId="0" applyFill="1"/>
    <xf numFmtId="9" fontId="0" fillId="5" borderId="0" xfId="2" applyFont="1" applyFill="1"/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164" fontId="11" fillId="0" borderId="5" xfId="0" applyNumberFormat="1" applyFont="1" applyBorder="1"/>
    <xf numFmtId="0" fontId="11" fillId="0" borderId="7" xfId="0" applyFont="1" applyBorder="1"/>
    <xf numFmtId="164" fontId="11" fillId="0" borderId="8" xfId="0" applyNumberFormat="1" applyFont="1" applyBorder="1"/>
    <xf numFmtId="0" fontId="11" fillId="3" borderId="0" xfId="0" applyFont="1" applyFill="1"/>
    <xf numFmtId="164" fontId="11" fillId="3" borderId="10" xfId="0" applyNumberFormat="1" applyFont="1" applyFill="1" applyBorder="1"/>
    <xf numFmtId="164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4" fillId="0" borderId="14" xfId="0" applyNumberFormat="1" applyFont="1" applyBorder="1"/>
    <xf numFmtId="164" fontId="12" fillId="0" borderId="14" xfId="0" applyNumberFormat="1" applyFont="1" applyBorder="1"/>
    <xf numFmtId="164" fontId="12" fillId="0" borderId="15" xfId="0" applyNumberFormat="1" applyFont="1" applyBorder="1"/>
    <xf numFmtId="164" fontId="12" fillId="2" borderId="14" xfId="0" applyNumberFormat="1" applyFont="1" applyFill="1" applyBorder="1"/>
    <xf numFmtId="164" fontId="12" fillId="6" borderId="16" xfId="0" applyNumberFormat="1" applyFont="1" applyFill="1" applyBorder="1"/>
    <xf numFmtId="0" fontId="13" fillId="0" borderId="17" xfId="0" applyFont="1" applyBorder="1" applyAlignment="1">
      <alignment horizontal="center"/>
    </xf>
    <xf numFmtId="168" fontId="9" fillId="0" borderId="0" xfId="0" applyNumberFormat="1" applyFont="1"/>
    <xf numFmtId="168" fontId="11" fillId="0" borderId="0" xfId="0" applyNumberFormat="1" applyFont="1"/>
    <xf numFmtId="168" fontId="11" fillId="0" borderId="7" xfId="0" applyNumberFormat="1" applyFont="1" applyBorder="1"/>
    <xf numFmtId="168" fontId="11" fillId="3" borderId="13" xfId="0" applyNumberFormat="1" applyFont="1" applyFill="1" applyBorder="1"/>
    <xf numFmtId="168" fontId="9" fillId="0" borderId="6" xfId="0" applyNumberFormat="1" applyFont="1" applyBorder="1"/>
    <xf numFmtId="168" fontId="11" fillId="0" borderId="6" xfId="0" applyNumberFormat="1" applyFont="1" applyBorder="1"/>
    <xf numFmtId="168" fontId="11" fillId="0" borderId="9" xfId="0" applyNumberFormat="1" applyFont="1" applyBorder="1"/>
    <xf numFmtId="168" fontId="11" fillId="3" borderId="11" xfId="0" applyNumberFormat="1" applyFont="1" applyFill="1" applyBorder="1"/>
    <xf numFmtId="0" fontId="2" fillId="0" borderId="0" xfId="0" applyFont="1"/>
    <xf numFmtId="0" fontId="14" fillId="0" borderId="0" xfId="0" applyFont="1"/>
    <xf numFmtId="0" fontId="0" fillId="0" borderId="18" xfId="0" applyBorder="1"/>
    <xf numFmtId="169" fontId="0" fillId="0" borderId="0" xfId="1" applyNumberFormat="1" applyFont="1"/>
    <xf numFmtId="170" fontId="0" fillId="0" borderId="0" xfId="0" applyNumberFormat="1"/>
    <xf numFmtId="169" fontId="0" fillId="0" borderId="18" xfId="1" applyNumberFormat="1" applyFont="1" applyBorder="1"/>
    <xf numFmtId="10" fontId="0" fillId="0" borderId="0" xfId="0" applyNumberFormat="1"/>
    <xf numFmtId="169" fontId="2" fillId="0" borderId="18" xfId="1" applyNumberFormat="1" applyFont="1" applyBorder="1"/>
    <xf numFmtId="0" fontId="2" fillId="0" borderId="18" xfId="0" applyFont="1" applyBorder="1"/>
    <xf numFmtId="10" fontId="0" fillId="0" borderId="0" xfId="2" applyNumberFormat="1" applyFont="1"/>
    <xf numFmtId="0" fontId="0" fillId="0" borderId="0" xfId="0" applyAlignment="1">
      <alignment horizontal="right"/>
    </xf>
    <xf numFmtId="169" fontId="2" fillId="0" borderId="12" xfId="1" applyNumberFormat="1" applyFont="1" applyBorder="1"/>
    <xf numFmtId="6" fontId="2" fillId="0" borderId="0" xfId="0" applyNumberFormat="1" applyFont="1"/>
    <xf numFmtId="172" fontId="0" fillId="0" borderId="0" xfId="0" applyNumberFormat="1"/>
    <xf numFmtId="169" fontId="0" fillId="0" borderId="0" xfId="1" applyNumberFormat="1" applyFont="1" applyAlignment="1">
      <alignment horizontal="right"/>
    </xf>
    <xf numFmtId="170" fontId="0" fillId="0" borderId="18" xfId="0" applyNumberFormat="1" applyBorder="1"/>
    <xf numFmtId="171" fontId="2" fillId="0" borderId="0" xfId="1" applyNumberFormat="1" applyFont="1"/>
    <xf numFmtId="169" fontId="0" fillId="0" borderId="0" xfId="0" applyNumberFormat="1"/>
    <xf numFmtId="43" fontId="0" fillId="0" borderId="0" xfId="1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169" fontId="2" fillId="0" borderId="0" xfId="1" applyNumberFormat="1" applyFont="1"/>
    <xf numFmtId="170" fontId="2" fillId="0" borderId="0" xfId="0" applyNumberFormat="1" applyFont="1"/>
    <xf numFmtId="0" fontId="15" fillId="5" borderId="23" xfId="0" applyFont="1" applyFill="1" applyBorder="1" applyAlignment="1">
      <alignment horizontal="center"/>
    </xf>
    <xf numFmtId="9" fontId="15" fillId="5" borderId="24" xfId="2" applyFont="1" applyFill="1" applyBorder="1" applyAlignment="1">
      <alignment horizontal="center"/>
    </xf>
    <xf numFmtId="169" fontId="0" fillId="5" borderId="25" xfId="1" applyNumberFormat="1" applyFont="1" applyFill="1" applyBorder="1"/>
    <xf numFmtId="9" fontId="0" fillId="5" borderId="26" xfId="2" applyFont="1" applyFill="1" applyBorder="1"/>
    <xf numFmtId="169" fontId="0" fillId="5" borderId="27" xfId="1" applyNumberFormat="1" applyFont="1" applyFill="1" applyBorder="1"/>
    <xf numFmtId="9" fontId="0" fillId="5" borderId="28" xfId="2" applyFont="1" applyFill="1" applyBorder="1"/>
    <xf numFmtId="9" fontId="0" fillId="5" borderId="25" xfId="2" applyFont="1" applyFill="1" applyBorder="1"/>
    <xf numFmtId="10" fontId="0" fillId="5" borderId="25" xfId="0" applyNumberFormat="1" applyFill="1" applyBorder="1"/>
    <xf numFmtId="0" fontId="2" fillId="5" borderId="25" xfId="0" applyFont="1" applyFill="1" applyBorder="1" applyAlignment="1">
      <alignment vertical="center"/>
    </xf>
    <xf numFmtId="9" fontId="2" fillId="5" borderId="26" xfId="2" applyFont="1" applyFill="1" applyBorder="1" applyAlignment="1">
      <alignment vertical="center"/>
    </xf>
    <xf numFmtId="169" fontId="0" fillId="5" borderId="25" xfId="1" applyNumberFormat="1" applyFont="1" applyFill="1" applyBorder="1" applyAlignment="1">
      <alignment horizontal="right"/>
    </xf>
    <xf numFmtId="170" fontId="0" fillId="5" borderId="27" xfId="0" applyNumberFormat="1" applyFill="1" applyBorder="1"/>
    <xf numFmtId="171" fontId="2" fillId="5" borderId="29" xfId="1" applyNumberFormat="1" applyFont="1" applyFill="1" applyBorder="1" applyAlignment="1">
      <alignment horizontal="right"/>
    </xf>
    <xf numFmtId="9" fontId="2" fillId="5" borderId="30" xfId="2" applyFont="1" applyFill="1" applyBorder="1"/>
    <xf numFmtId="164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0" fontId="3" fillId="4" borderId="0" xfId="0" applyFont="1" applyFill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4" fontId="4" fillId="7" borderId="1" xfId="0" applyNumberFormat="1" applyFont="1" applyFill="1" applyBorder="1"/>
    <xf numFmtId="0" fontId="4" fillId="7" borderId="1" xfId="0" applyFont="1" applyFill="1" applyBorder="1"/>
    <xf numFmtId="0" fontId="0" fillId="7" borderId="31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'Stima mercato microbiota'!$B$24:$J$24</c:f>
          <c:strCache>
            <c:ptCount val="9"/>
            <c:pt idx="0">
              <c:v>MICROBIOME - IT MARKET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'Stima mercato microbiota'!$B$26:$I$26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microbiota'!$B$27:$I$27</c:f>
              <c:numCache>
                <c:formatCode>_-* #,##0.0_-;\-* #,##0.0_-;_-* "-"??_-;_-@_-</c:formatCode>
                <c:ptCount val="8"/>
                <c:pt idx="0">
                  <c:v>7</c:v>
                </c:pt>
                <c:pt idx="1">
                  <c:v>9.24</c:v>
                </c:pt>
                <c:pt idx="2">
                  <c:v>12.1968</c:v>
                </c:pt>
                <c:pt idx="3">
                  <c:v>16.099775999999999</c:v>
                </c:pt>
                <c:pt idx="4">
                  <c:v>21.251704319999998</c:v>
                </c:pt>
                <c:pt idx="5">
                  <c:v>28.052249702399997</c:v>
                </c:pt>
                <c:pt idx="6">
                  <c:v>37.028969607167994</c:v>
                </c:pt>
                <c:pt idx="7">
                  <c:v>48.878239881461752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7-4B5F-91FA-B1B3EFA6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43611919"/>
        <c:axId val="443609999"/>
      </c:barChart>
      <c:catAx>
        <c:axId val="4436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9999"/>
        <c:crosses val="autoZero"/>
        <c:auto val="1"/>
        <c:lblAlgn val="ctr"/>
        <c:lblOffset val="100"/>
        <c:noMultiLvlLbl val="0"/>
      </c:catAx>
      <c:valAx>
        <c:axId val="443609999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44-44F2-AF29-8D6BAB3BBC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44-44F2-AF29-8D6BAB3BBC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4-44F2-AF29-8D6BAB3BBC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44-44F2-AF29-8D6BAB3BBC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4-44F2-AF29-8D6BAB3BB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Sheet1!$E$5:$E$9</c:f>
              <c:strCache>
                <c:ptCount val="5"/>
                <c:pt idx="0">
                  <c:v>Nutrizione sportiva</c:v>
                </c:pt>
                <c:pt idx="1">
                  <c:v>Salute ormonale</c:v>
                </c:pt>
                <c:pt idx="2">
                  <c:v>Deficienze nutrizionali</c:v>
                </c:pt>
                <c:pt idx="3">
                  <c:v>Allergie nutrizionali</c:v>
                </c:pt>
                <c:pt idx="4">
                  <c:v>Fertilità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7.2</c:v>
                </c:pt>
                <c:pt idx="2">
                  <c:v>5.0999999999999996</c:v>
                </c:pt>
                <c:pt idx="3">
                  <c:v>1.2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4-44F2-AF29-8D6BAB3BB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44137680"/>
        <c:axId val="344136720"/>
      </c:barChart>
      <c:catAx>
        <c:axId val="34413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44136720"/>
        <c:crosses val="autoZero"/>
        <c:auto val="1"/>
        <c:lblAlgn val="ctr"/>
        <c:lblOffset val="100"/>
        <c:noMultiLvlLbl val="0"/>
      </c:catAx>
      <c:valAx>
        <c:axId val="34413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41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'Stima mercato microbiota'!$X$24:$AF$24</c:f>
          <c:strCache>
            <c:ptCount val="9"/>
            <c:pt idx="0">
              <c:v>DIGESTIVE HEALTH - IT MARKET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'Stima mercato microbiota'!$X$26:$AE$26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microbiota'!$X$27:$AE$27</c:f>
              <c:numCache>
                <c:formatCode>_-* #,##0.0_-;\-* #,##0.0_-;_-* "-"??_-;_-@_-</c:formatCode>
                <c:ptCount val="8"/>
                <c:pt idx="0">
                  <c:v>1603.15248</c:v>
                </c:pt>
                <c:pt idx="1">
                  <c:v>1699.3416287999999</c:v>
                </c:pt>
                <c:pt idx="2">
                  <c:v>1801.3021265279999</c:v>
                </c:pt>
                <c:pt idx="3">
                  <c:v>1909.3802541196799</c:v>
                </c:pt>
                <c:pt idx="4">
                  <c:v>2023.9430693668608</c:v>
                </c:pt>
                <c:pt idx="5">
                  <c:v>2145.3796535288725</c:v>
                </c:pt>
                <c:pt idx="6">
                  <c:v>2274.1024327406049</c:v>
                </c:pt>
                <c:pt idx="7">
                  <c:v>2410.5485787050411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2-4943-8D0D-60FAE6C0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08319903"/>
        <c:axId val="962338224"/>
      </c:barChart>
      <c:catAx>
        <c:axId val="9083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38224"/>
        <c:crosses val="autoZero"/>
        <c:auto val="1"/>
        <c:lblAlgn val="ctr"/>
        <c:lblOffset val="100"/>
        <c:noMultiLvlLbl val="0"/>
      </c:catAx>
      <c:valAx>
        <c:axId val="962338224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'Stima mercato microbiota'!$AI$24:$AQ$24</c:f>
          <c:strCache>
            <c:ptCount val="9"/>
            <c:pt idx="0">
              <c:v>SUPPLEMENTS - IT MARKET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'Stima mercato microbiota'!$AI$26:$AP$26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microbiota'!$AI$27:$AP$27</c:f>
              <c:numCache>
                <c:formatCode>_-* #,##0.0_-;\-* #,##0.0_-;_-* "-"??_-;_-@_-</c:formatCode>
                <c:ptCount val="8"/>
                <c:pt idx="0">
                  <c:v>7445</c:v>
                </c:pt>
                <c:pt idx="1">
                  <c:v>7943.8150000000005</c:v>
                </c:pt>
                <c:pt idx="2">
                  <c:v>8476.0506050000004</c:v>
                </c:pt>
                <c:pt idx="3">
                  <c:v>9043.9459955350012</c:v>
                </c:pt>
                <c:pt idx="4">
                  <c:v>9649.8903772358462</c:v>
                </c:pt>
                <c:pt idx="5">
                  <c:v>10296.433032510648</c:v>
                </c:pt>
                <c:pt idx="6">
                  <c:v>10986.294045688861</c:v>
                </c:pt>
                <c:pt idx="7">
                  <c:v>11722.375746750015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37A-823E-100FCE9E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67322079"/>
        <c:axId val="967319679"/>
      </c:barChart>
      <c:catAx>
        <c:axId val="9673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9679"/>
        <c:crosses val="autoZero"/>
        <c:auto val="1"/>
        <c:lblAlgn val="ctr"/>
        <c:lblOffset val="100"/>
        <c:noMultiLvlLbl val="0"/>
      </c:catAx>
      <c:valAx>
        <c:axId val="967319679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'Stima mercato microbiota'!$BE$24:$BL$24</c:f>
          <c:strCache>
            <c:ptCount val="8"/>
            <c:pt idx="0">
              <c:v>TOT - IT MARKET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'Stima mercato microbiota'!$BE$26:$BL$26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microbiota'!$BE$27:$BL$27</c:f>
              <c:numCache>
                <c:formatCode>_-* #,##0.0_-;\-* #,##0.0_-;_-* "-"??_-;_-@_-</c:formatCode>
                <c:ptCount val="8"/>
                <c:pt idx="0">
                  <c:v>12508.152480000001</c:v>
                </c:pt>
                <c:pt idx="1">
                  <c:v>13656.7566288</c:v>
                </c:pt>
                <c:pt idx="2">
                  <c:v>14933.128731528001</c:v>
                </c:pt>
                <c:pt idx="3">
                  <c:v>16354.026409654682</c:v>
                </c:pt>
                <c:pt idx="4">
                  <c:v>17938.645632202708</c:v>
                </c:pt>
                <c:pt idx="5">
                  <c:v>19708.99482133552</c:v>
                </c:pt>
                <c:pt idx="6">
                  <c:v>21690.327755372826</c:v>
                </c:pt>
                <c:pt idx="7">
                  <c:v>23911.644606709357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144-91D5-C4AAFDB7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64064703"/>
        <c:axId val="964065183"/>
      </c:barChart>
      <c:catAx>
        <c:axId val="9640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65183"/>
        <c:crosses val="autoZero"/>
        <c:auto val="1"/>
        <c:lblAlgn val="ctr"/>
        <c:lblOffset val="100"/>
        <c:noMultiLvlLbl val="0"/>
      </c:catAx>
      <c:valAx>
        <c:axId val="964065183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6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'Stima mercato microbiota'!$AT$24:$BB$24</c:f>
          <c:strCache>
            <c:ptCount val="9"/>
            <c:pt idx="0">
              <c:v>DIGITAL HEALTH - IT MARKET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'Stima mercato microbiota'!$AT$26:$BA$26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microbiota'!$AT$27:$BA$27</c:f>
              <c:numCache>
                <c:formatCode>_-* #,##0.0_-;\-* #,##0.0_-;_-* "-"??_-;_-@_-</c:formatCode>
                <c:ptCount val="8"/>
                <c:pt idx="0">
                  <c:v>3460</c:v>
                </c:pt>
                <c:pt idx="1">
                  <c:v>4013.6</c:v>
                </c:pt>
                <c:pt idx="2">
                  <c:v>4655.7759999999998</c:v>
                </c:pt>
                <c:pt idx="3">
                  <c:v>5400.7001600000003</c:v>
                </c:pt>
                <c:pt idx="4">
                  <c:v>6264.8121856000007</c:v>
                </c:pt>
                <c:pt idx="5">
                  <c:v>7267.1821352960005</c:v>
                </c:pt>
                <c:pt idx="6">
                  <c:v>8429.93127694336</c:v>
                </c:pt>
                <c:pt idx="7">
                  <c:v>9778.7202812542982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DD9-BF75-EF6F7C3D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04046288"/>
        <c:axId val="567342736"/>
      </c:barChart>
      <c:catAx>
        <c:axId val="18040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2736"/>
        <c:crosses val="autoZero"/>
        <c:auto val="1"/>
        <c:lblAlgn val="ctr"/>
        <c:lblOffset val="100"/>
        <c:noMultiLvlLbl val="0"/>
      </c:catAx>
      <c:valAx>
        <c:axId val="567342736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'Stima mercato microbiota'!$M$26:$T$26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microbiota'!$M$27:$T$27</c:f>
              <c:numCache>
                <c:formatCode>_-* #,##0.0_-;\-* #,##0.0_-;_-* "-"??_-;_-@_-</c:formatCode>
                <c:ptCount val="8"/>
                <c:pt idx="0">
                  <c:v>688</c:v>
                </c:pt>
                <c:pt idx="1">
                  <c:v>775.37599999999998</c:v>
                </c:pt>
                <c:pt idx="2">
                  <c:v>873.84875199999999</c:v>
                </c:pt>
                <c:pt idx="3">
                  <c:v>984.827543504</c:v>
                </c:pt>
                <c:pt idx="4">
                  <c:v>1109.900641529008</c:v>
                </c:pt>
                <c:pt idx="5">
                  <c:v>1250.8580230031921</c:v>
                </c:pt>
                <c:pt idx="6">
                  <c:v>1409.7169919245976</c:v>
                </c:pt>
                <c:pt idx="7">
                  <c:v>1588.7510498990214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2-4EA9-ABC6-4145D750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12199584"/>
        <c:axId val="1312201024"/>
      </c:barChart>
      <c:catAx>
        <c:axId val="13121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01024"/>
        <c:crosses val="autoZero"/>
        <c:auto val="1"/>
        <c:lblAlgn val="ctr"/>
        <c:lblOffset val="100"/>
        <c:noMultiLvlLbl val="0"/>
      </c:catAx>
      <c:valAx>
        <c:axId val="1312201024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'Stima mercato microbiota'!$B$17:$J$17</c:f>
              <c:strCache>
                <c:ptCount val="9"/>
                <c:pt idx="0">
                  <c:v>MICROBIOME - EU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microbiota'!$B$19:$I$19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microbiota'!$B$20:$I$20</c:f>
              <c:numCache>
                <c:formatCode>_-* #,##0.0_-;\-* #,##0.0_-;_-* "-"??_-;_-@_-</c:formatCode>
                <c:ptCount val="8"/>
                <c:pt idx="0">
                  <c:v>20</c:v>
                </c:pt>
                <c:pt idx="1">
                  <c:v>26.6</c:v>
                </c:pt>
                <c:pt idx="2">
                  <c:v>35.378</c:v>
                </c:pt>
                <c:pt idx="3">
                  <c:v>47.05274</c:v>
                </c:pt>
                <c:pt idx="4">
                  <c:v>62.580144199999999</c:v>
                </c:pt>
                <c:pt idx="5">
                  <c:v>83.231591785999996</c:v>
                </c:pt>
                <c:pt idx="6">
                  <c:v>110.69801707537999</c:v>
                </c:pt>
                <c:pt idx="7">
                  <c:v>147.2283627102554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6C2-88F2-D4A5BD964F17}"/>
            </c:ext>
          </c:extLst>
        </c:ser>
        <c:ser>
          <c:idx val="1"/>
          <c:order val="1"/>
          <c:tx>
            <c:strRef>
              <c:f>'Stima mercato microbiota'!$B$24:$J$24</c:f>
              <c:strCache>
                <c:ptCount val="9"/>
                <c:pt idx="0">
                  <c:v>MICROBIOME - IT MARKET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microbiota'!$B$19:$I$19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microbiota'!$B$27:$I$27</c:f>
              <c:numCache>
                <c:formatCode>_-* #,##0.0_-;\-* #,##0.0_-;_-* "-"??_-;_-@_-</c:formatCode>
                <c:ptCount val="8"/>
                <c:pt idx="0">
                  <c:v>7</c:v>
                </c:pt>
                <c:pt idx="1">
                  <c:v>9.24</c:v>
                </c:pt>
                <c:pt idx="2">
                  <c:v>12.1968</c:v>
                </c:pt>
                <c:pt idx="3">
                  <c:v>16.099775999999999</c:v>
                </c:pt>
                <c:pt idx="4">
                  <c:v>21.251704319999998</c:v>
                </c:pt>
                <c:pt idx="5">
                  <c:v>28.052249702399997</c:v>
                </c:pt>
                <c:pt idx="6">
                  <c:v>37.028969607167994</c:v>
                </c:pt>
                <c:pt idx="7">
                  <c:v>48.878239881461752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6C2-88F2-D4A5BD964F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9644111"/>
        <c:axId val="739632591"/>
      </c:barChart>
      <c:catAx>
        <c:axId val="7396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739632591"/>
        <c:crosses val="autoZero"/>
        <c:auto val="1"/>
        <c:lblAlgn val="ctr"/>
        <c:lblOffset val="100"/>
        <c:noMultiLvlLbl val="0"/>
      </c:catAx>
      <c:valAx>
        <c:axId val="739632591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7396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'Stima mercato microbiota'!$AT$17:$BB$17</c:f>
              <c:strCache>
                <c:ptCount val="9"/>
                <c:pt idx="0">
                  <c:v>DIGITAL HEALTH - EU 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microbiota'!$AT$19:$BA$19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microbiota'!$AT$20:$BA$20</c:f>
              <c:numCache>
                <c:formatCode>_-* #,##0.0_-;\-* #,##0.0_-;_-* "-"??_-;_-@_-</c:formatCode>
                <c:ptCount val="8"/>
                <c:pt idx="0">
                  <c:v>31520.6</c:v>
                </c:pt>
                <c:pt idx="1">
                  <c:v>34600</c:v>
                </c:pt>
                <c:pt idx="2">
                  <c:v>37679.4</c:v>
                </c:pt>
                <c:pt idx="3">
                  <c:v>41032.866600000001</c:v>
                </c:pt>
                <c:pt idx="4">
                  <c:v>44684.791727399999</c:v>
                </c:pt>
                <c:pt idx="5">
                  <c:v>48661.738191138596</c:v>
                </c:pt>
                <c:pt idx="6">
                  <c:v>52992.632890149929</c:v>
                </c:pt>
                <c:pt idx="7">
                  <c:v>57708.977217373271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5F4-99C8-D4E0F060676B}"/>
            </c:ext>
          </c:extLst>
        </c:ser>
        <c:ser>
          <c:idx val="1"/>
          <c:order val="1"/>
          <c:tx>
            <c:strRef>
              <c:f>'Stima mercato microbiota'!$AT$24:$BB$24</c:f>
              <c:strCache>
                <c:ptCount val="9"/>
                <c:pt idx="0">
                  <c:v>DIGITAL HEALTH - IT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microbiota'!$AT$19:$BA$19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microbiota'!$AT$27:$BA$27</c:f>
              <c:numCache>
                <c:formatCode>_-* #,##0.0_-;\-* #,##0.0_-;_-* "-"??_-;_-@_-</c:formatCode>
                <c:ptCount val="8"/>
                <c:pt idx="0">
                  <c:v>3460</c:v>
                </c:pt>
                <c:pt idx="1">
                  <c:v>4013.6</c:v>
                </c:pt>
                <c:pt idx="2">
                  <c:v>4655.7759999999998</c:v>
                </c:pt>
                <c:pt idx="3">
                  <c:v>5400.7001600000003</c:v>
                </c:pt>
                <c:pt idx="4">
                  <c:v>6264.8121856000007</c:v>
                </c:pt>
                <c:pt idx="5">
                  <c:v>7267.1821352960005</c:v>
                </c:pt>
                <c:pt idx="6">
                  <c:v>8429.93127694336</c:v>
                </c:pt>
                <c:pt idx="7">
                  <c:v>9778.7202812542982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9-45F4-99C8-D4E0F06067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8445759"/>
        <c:axId val="648446239"/>
      </c:barChart>
      <c:catAx>
        <c:axId val="6484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48446239"/>
        <c:crosses val="autoZero"/>
        <c:auto val="1"/>
        <c:lblAlgn val="ctr"/>
        <c:lblOffset val="100"/>
        <c:noMultiLvlLbl val="0"/>
      </c:catAx>
      <c:valAx>
        <c:axId val="648446239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648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'Stima mercato microbiota'!$X$17:$AF$17</c:f>
              <c:strCache>
                <c:ptCount val="9"/>
                <c:pt idx="0">
                  <c:v>DIGESTIVE HEALTH - EU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microbiota'!$X$19:$AE$19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microbiota'!$X$21:$AE$21</c:f>
              <c:numCache>
                <c:formatCode>_-* #,##0.0_-;\-* #,##0.0_-;_-* "-"??_-;_-@_-</c:formatCode>
                <c:ptCount val="8"/>
                <c:pt idx="0">
                  <c:v>4.03</c:v>
                </c:pt>
                <c:pt idx="1">
                  <c:v>4.40076</c:v>
                </c:pt>
                <c:pt idx="2">
                  <c:v>4.8056299200000003</c:v>
                </c:pt>
                <c:pt idx="3">
                  <c:v>5.2477478726400006</c:v>
                </c:pt>
                <c:pt idx="4">
                  <c:v>5.7305406769228799</c:v>
                </c:pt>
                <c:pt idx="5">
                  <c:v>6.2577504191997848</c:v>
                </c:pt>
                <c:pt idx="6">
                  <c:v>6.8334634577661655</c:v>
                </c:pt>
                <c:pt idx="7">
                  <c:v>7.4621420958806528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F-48F2-8332-6CD7D302922A}"/>
            </c:ext>
          </c:extLst>
        </c:ser>
        <c:ser>
          <c:idx val="1"/>
          <c:order val="1"/>
          <c:tx>
            <c:strRef>
              <c:f>'Stima mercato microbiota'!$X$24:$AF$24</c:f>
              <c:strCache>
                <c:ptCount val="9"/>
                <c:pt idx="0">
                  <c:v>DIGESTIVE HEALTH - IT MARKET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'Stima mercato microbiota'!$X$19:$AE$19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'Stima mercato microbiota'!$X$28:$AE$28</c:f>
              <c:numCache>
                <c:formatCode>_-* #,##0.0_-;\-* #,##0.0_-;_-* "-"??_-;_-@_-</c:formatCode>
                <c:ptCount val="8"/>
                <c:pt idx="0">
                  <c:v>1.6031524799999999</c:v>
                </c:pt>
                <c:pt idx="1">
                  <c:v>1.6993416287999998</c:v>
                </c:pt>
                <c:pt idx="2">
                  <c:v>1.8013021265279998</c:v>
                </c:pt>
                <c:pt idx="3">
                  <c:v>1.9093802541196798</c:v>
                </c:pt>
                <c:pt idx="4">
                  <c:v>2.0239430693668607</c:v>
                </c:pt>
                <c:pt idx="5">
                  <c:v>2.1453796535288725</c:v>
                </c:pt>
                <c:pt idx="6">
                  <c:v>2.2741024327406048</c:v>
                </c:pt>
                <c:pt idx="7">
                  <c:v>2.4105485787050411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F-48F2-8332-6CD7D30292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2516912"/>
        <c:axId val="1592517392"/>
      </c:barChart>
      <c:catAx>
        <c:axId val="15925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92517392"/>
        <c:crosses val="autoZero"/>
        <c:auto val="1"/>
        <c:lblAlgn val="ctr"/>
        <c:lblOffset val="100"/>
        <c:noMultiLvlLbl val="0"/>
      </c:catAx>
      <c:valAx>
        <c:axId val="1592517392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15925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29</xdr:row>
      <xdr:rowOff>120650</xdr:rowOff>
    </xdr:from>
    <xdr:to>
      <xdr:col>10</xdr:col>
      <xdr:colOff>12699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B69F2-9A74-8801-511E-2CB2D8CB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606424</xdr:colOff>
      <xdr:row>29</xdr:row>
      <xdr:rowOff>82550</xdr:rowOff>
    </xdr:from>
    <xdr:to>
      <xdr:col>31</xdr:col>
      <xdr:colOff>672353</xdr:colOff>
      <xdr:row>45</xdr:row>
      <xdr:rowOff>14577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3E93-1F2C-FBE7-66FF-5ABA4D34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732117</xdr:colOff>
      <xdr:row>29</xdr:row>
      <xdr:rowOff>70223</xdr:rowOff>
    </xdr:from>
    <xdr:to>
      <xdr:col>43</xdr:col>
      <xdr:colOff>74705</xdr:colOff>
      <xdr:row>45</xdr:row>
      <xdr:rowOff>4946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531A3-CD9B-C065-CB13-9267D21B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7470</xdr:colOff>
      <xdr:row>29</xdr:row>
      <xdr:rowOff>32869</xdr:rowOff>
    </xdr:from>
    <xdr:to>
      <xdr:col>64</xdr:col>
      <xdr:colOff>67235</xdr:colOff>
      <xdr:row>45</xdr:row>
      <xdr:rowOff>52293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13D3DC-AC2B-2958-9B33-F62A0BE1C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769471</xdr:colOff>
      <xdr:row>29</xdr:row>
      <xdr:rowOff>47812</xdr:rowOff>
    </xdr:from>
    <xdr:to>
      <xdr:col>54</xdr:col>
      <xdr:colOff>0</xdr:colOff>
      <xdr:row>45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49EBC-D279-3198-79D1-A5A6591A3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709704</xdr:colOff>
      <xdr:row>29</xdr:row>
      <xdr:rowOff>40342</xdr:rowOff>
    </xdr:from>
    <xdr:to>
      <xdr:col>20</xdr:col>
      <xdr:colOff>739587</xdr:colOff>
      <xdr:row>44</xdr:row>
      <xdr:rowOff>141941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D9FB9-8579-9A12-2172-5438A0C7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46182</xdr:colOff>
      <xdr:row>46</xdr:row>
      <xdr:rowOff>54263</xdr:rowOff>
    </xdr:from>
    <xdr:to>
      <xdr:col>9</xdr:col>
      <xdr:colOff>1034142</xdr:colOff>
      <xdr:row>65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F6CFC-ABA7-9E89-D3D2-1F9B55C2E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103908</xdr:colOff>
      <xdr:row>48</xdr:row>
      <xdr:rowOff>135081</xdr:rowOff>
    </xdr:from>
    <xdr:to>
      <xdr:col>55</xdr:col>
      <xdr:colOff>508000</xdr:colOff>
      <xdr:row>74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854AA3-8695-0854-9472-0229D5E0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588818</xdr:colOff>
      <xdr:row>47</xdr:row>
      <xdr:rowOff>146626</xdr:rowOff>
    </xdr:from>
    <xdr:to>
      <xdr:col>34</xdr:col>
      <xdr:colOff>357909</xdr:colOff>
      <xdr:row>76</xdr:row>
      <xdr:rowOff>138545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FFE81C-A10C-2AA4-6C90-3CEC10AE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69850</xdr:rowOff>
    </xdr:from>
    <xdr:to>
      <xdr:col>15</xdr:col>
      <xdr:colOff>323851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8ECAC-C74F-C704-E763-220B814A3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VORIO Mattia" id="{BB211BB4-41E3-40E8-8B2B-510002AA6CB5}" userId="S::mattia.avorio@icn-artem.com::eb57dc46-a6b7-4f7e-bc9c-f0aea987556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4-12-26T14:56:34.41" personId="{BB211BB4-41E3-40E8-8B2B-510002AA6CB5}" id="{43CD5C24-E730-4C12-9F69-C311CA473607}">
    <text>Stime di statista</text>
  </threadedComment>
  <threadedComment ref="M12" dT="2024-12-26T14:56:34.41" personId="{BB211BB4-41E3-40E8-8B2B-510002AA6CB5}" id="{C761F5EA-F396-416E-9D80-1C5491B7153E}">
    <text>Stime di statista</text>
  </threadedComment>
  <threadedComment ref="B17" dT="2024-12-26T14:56:12.27" personId="{BB211BB4-41E3-40E8-8B2B-510002AA6CB5}" id="{14C00848-6A6E-4243-9999-7B920A63DF2C}">
    <text>Stime di wellmicro</text>
  </threadedComment>
  <threadedComment ref="M17" dT="2024-12-26T14:56:12.27" personId="{BB211BB4-41E3-40E8-8B2B-510002AA6CB5}" id="{16C9A7FE-F137-4733-B955-D4D6F4A4DBF1}">
    <text>Stime di wellmicro</text>
  </threadedComment>
  <threadedComment ref="B24" dT="2024-12-26T14:56:23.11" personId="{BB211BB4-41E3-40E8-8B2B-510002AA6CB5}" id="{D524E9E2-58FB-4C81-A57C-8567F46399BB}">
    <text>Stime di wellmicro</text>
  </threadedComment>
  <threadedComment ref="M24" dT="2024-12-26T14:56:23.11" personId="{BB211BB4-41E3-40E8-8B2B-510002AA6CB5}" id="{BE9A3DD2-7838-4A3C-AE97-F8642E896461}">
    <text>Stime di wellmicro</text>
  </threadedComment>
  <threadedComment ref="AT24" dT="2024-12-31T10:07:51.90" personId="{BB211BB4-41E3-40E8-8B2B-510002AA6CB5}" id="{B17444B2-E843-478B-BE58-373C28A427C8}">
    <text>https://www.statista.com/outlook/hmo/digital-health/italy#revenue</text>
    <extLst>
      <x:ext xmlns:xltc2="http://schemas.microsoft.com/office/spreadsheetml/2020/threadedcomments2" uri="{F7C98A9C-CBB3-438F-8F68-D28B6AF4A901}">
        <xltc2:checksum>2606663509</xltc2:checksum>
        <xltc2:hyperlink startIndex="0" length="65" url="https://www.statista.com/outlook/hmo/digital-health/italy#revenue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244C-F0DD-494C-8738-5A3F99F9F9BA}">
  <dimension ref="C3:H19"/>
  <sheetViews>
    <sheetView showGridLines="0" workbookViewId="0">
      <selection activeCell="H12" activeCellId="1" sqref="H17:H18 H12:H15"/>
    </sheetView>
  </sheetViews>
  <sheetFormatPr defaultRowHeight="14.5" x14ac:dyDescent="0.35"/>
  <cols>
    <col min="3" max="3" width="10.453125" bestFit="1" customWidth="1"/>
    <col min="4" max="4" width="11.1796875" bestFit="1" customWidth="1"/>
    <col min="5" max="5" width="8.7265625" bestFit="1" customWidth="1"/>
    <col min="6" max="6" width="11.1796875" bestFit="1" customWidth="1"/>
    <col min="7" max="7" width="6.7265625" bestFit="1" customWidth="1"/>
    <col min="8" max="8" width="11.1796875" bestFit="1" customWidth="1"/>
  </cols>
  <sheetData>
    <row r="3" spans="3:8" s="22" customFormat="1" ht="20" customHeight="1" x14ac:dyDescent="0.35">
      <c r="C3" s="23" t="s">
        <v>28</v>
      </c>
      <c r="D3" s="21"/>
      <c r="E3" s="21"/>
      <c r="F3" s="21"/>
      <c r="G3" s="21"/>
      <c r="H3" s="21"/>
    </row>
    <row r="5" spans="3:8" x14ac:dyDescent="0.35">
      <c r="C5" s="16"/>
      <c r="D5" s="16" t="s">
        <v>10</v>
      </c>
      <c r="E5" s="16"/>
      <c r="F5" s="16" t="s">
        <v>11</v>
      </c>
      <c r="G5" s="16"/>
      <c r="H5" s="16" t="s">
        <v>12</v>
      </c>
    </row>
    <row r="6" spans="3:8" x14ac:dyDescent="0.35">
      <c r="C6" s="17" t="s">
        <v>13</v>
      </c>
      <c r="D6" s="42" t="s">
        <v>46</v>
      </c>
      <c r="E6" s="18" t="s">
        <v>14</v>
      </c>
      <c r="F6" s="43" t="s">
        <v>46</v>
      </c>
      <c r="G6" s="44" t="s">
        <v>14</v>
      </c>
      <c r="H6" s="50" t="s">
        <v>46</v>
      </c>
    </row>
    <row r="7" spans="3:8" x14ac:dyDescent="0.35">
      <c r="C7" s="19" t="s">
        <v>15</v>
      </c>
      <c r="D7" s="20">
        <v>622000</v>
      </c>
      <c r="E7" s="55">
        <f t="shared" ref="E7:E15" si="0">D7/$D$19</f>
        <v>2.1586237225945021E-2</v>
      </c>
      <c r="F7" s="20">
        <v>587419</v>
      </c>
      <c r="G7" s="51">
        <f t="shared" ref="G7:G15" si="1">F7/$F$19</f>
        <v>1.946232252345732E-2</v>
      </c>
      <c r="H7" s="45">
        <f t="shared" ref="H7:H19" si="2">D7+F7</f>
        <v>1209419</v>
      </c>
    </row>
    <row r="8" spans="3:8" x14ac:dyDescent="0.35">
      <c r="C8" s="19" t="s">
        <v>16</v>
      </c>
      <c r="D8" s="20">
        <v>690188</v>
      </c>
      <c r="E8" s="55">
        <f t="shared" si="0"/>
        <v>2.3952671862541061E-2</v>
      </c>
      <c r="F8" s="20">
        <v>652777</v>
      </c>
      <c r="G8" s="51">
        <f t="shared" si="1"/>
        <v>2.1627758907857762E-2</v>
      </c>
      <c r="H8" s="45">
        <f t="shared" si="2"/>
        <v>1342965</v>
      </c>
    </row>
    <row r="9" spans="3:8" x14ac:dyDescent="0.35">
      <c r="C9" s="19" t="s">
        <v>17</v>
      </c>
      <c r="D9" s="20">
        <v>1584000</v>
      </c>
      <c r="E9" s="55">
        <f t="shared" si="0"/>
        <v>5.497202534710114E-2</v>
      </c>
      <c r="F9" s="20">
        <v>1496718</v>
      </c>
      <c r="G9" s="51">
        <f t="shared" si="1"/>
        <v>4.9589149214894296E-2</v>
      </c>
      <c r="H9" s="45">
        <f t="shared" si="2"/>
        <v>3080718</v>
      </c>
    </row>
    <row r="10" spans="3:8" x14ac:dyDescent="0.35">
      <c r="C10" s="19" t="s">
        <v>18</v>
      </c>
      <c r="D10" s="20">
        <v>1775804</v>
      </c>
      <c r="E10" s="55">
        <f t="shared" si="0"/>
        <v>6.1628499052704289E-2</v>
      </c>
      <c r="F10" s="20">
        <v>1666631</v>
      </c>
      <c r="G10" s="51">
        <f t="shared" si="1"/>
        <v>5.521869406606221E-2</v>
      </c>
      <c r="H10" s="45">
        <f t="shared" si="2"/>
        <v>3442435</v>
      </c>
    </row>
    <row r="11" spans="3:8" x14ac:dyDescent="0.35">
      <c r="C11" s="19" t="s">
        <v>19</v>
      </c>
      <c r="D11" s="20">
        <v>2142328</v>
      </c>
      <c r="E11" s="55">
        <f t="shared" si="0"/>
        <v>7.4348553735987685E-2</v>
      </c>
      <c r="F11" s="20">
        <v>1959510</v>
      </c>
      <c r="G11" s="51">
        <f t="shared" si="1"/>
        <v>6.4922339263693979E-2</v>
      </c>
      <c r="H11" s="45">
        <f t="shared" si="2"/>
        <v>4101838</v>
      </c>
    </row>
    <row r="12" spans="3:8" x14ac:dyDescent="0.35">
      <c r="C12" s="36" t="s">
        <v>20</v>
      </c>
      <c r="D12" s="37">
        <v>3201132</v>
      </c>
      <c r="E12" s="56">
        <f t="shared" si="0"/>
        <v>0.11109388222437915</v>
      </c>
      <c r="F12" s="37">
        <v>3028661</v>
      </c>
      <c r="G12" s="52">
        <f t="shared" si="1"/>
        <v>0.10034537050421721</v>
      </c>
      <c r="H12" s="46">
        <f t="shared" si="2"/>
        <v>6229793</v>
      </c>
    </row>
    <row r="13" spans="3:8" x14ac:dyDescent="0.35">
      <c r="C13" s="36" t="s">
        <v>21</v>
      </c>
      <c r="D13" s="37">
        <v>3583048</v>
      </c>
      <c r="E13" s="56">
        <f t="shared" si="0"/>
        <v>0.12434810951760104</v>
      </c>
      <c r="F13" s="37">
        <v>3557179</v>
      </c>
      <c r="G13" s="52">
        <f t="shared" si="1"/>
        <v>0.11785618948598767</v>
      </c>
      <c r="H13" s="46">
        <f t="shared" si="2"/>
        <v>7140227</v>
      </c>
    </row>
    <row r="14" spans="3:8" x14ac:dyDescent="0.35">
      <c r="C14" s="36" t="s">
        <v>22</v>
      </c>
      <c r="D14" s="37">
        <v>4606264</v>
      </c>
      <c r="E14" s="56">
        <f t="shared" si="0"/>
        <v>0.15985837207287848</v>
      </c>
      <c r="F14" s="37">
        <v>4689178</v>
      </c>
      <c r="G14" s="52">
        <f t="shared" si="1"/>
        <v>0.15536149597799961</v>
      </c>
      <c r="H14" s="46">
        <f t="shared" si="2"/>
        <v>9295442</v>
      </c>
    </row>
    <row r="15" spans="3:8" ht="15" thickBot="1" x14ac:dyDescent="0.4">
      <c r="C15" s="38" t="s">
        <v>23</v>
      </c>
      <c r="D15" s="39">
        <v>4373919</v>
      </c>
      <c r="E15" s="57">
        <f t="shared" si="0"/>
        <v>0.15179494074126723</v>
      </c>
      <c r="F15" s="39">
        <v>4598972</v>
      </c>
      <c r="G15" s="53">
        <f t="shared" si="1"/>
        <v>0.15237279750969845</v>
      </c>
      <c r="H15" s="47">
        <f t="shared" si="2"/>
        <v>8972891</v>
      </c>
    </row>
    <row r="16" spans="3:8" ht="15" thickTop="1" x14ac:dyDescent="0.35">
      <c r="C16" s="36" t="s">
        <v>24</v>
      </c>
      <c r="D16" s="37">
        <f t="shared" ref="D16:G16" si="3">SUM(D12:D15)</f>
        <v>15764363</v>
      </c>
      <c r="E16" s="56">
        <f t="shared" si="3"/>
        <v>0.54709530455612587</v>
      </c>
      <c r="F16" s="37">
        <f t="shared" si="3"/>
        <v>15873990</v>
      </c>
      <c r="G16" s="52">
        <f t="shared" si="3"/>
        <v>0.52593585347790295</v>
      </c>
      <c r="H16" s="48">
        <f t="shared" si="2"/>
        <v>31638353</v>
      </c>
    </row>
    <row r="17" spans="3:8" x14ac:dyDescent="0.35">
      <c r="C17" s="36" t="s">
        <v>25</v>
      </c>
      <c r="D17" s="37">
        <v>3267271</v>
      </c>
      <c r="E17" s="56">
        <f t="shared" ref="E17:E19" si="4">D17/$D$19</f>
        <v>0.11338920721455081</v>
      </c>
      <c r="F17" s="37">
        <v>3646421</v>
      </c>
      <c r="G17" s="52">
        <f t="shared" ref="G17:G19" si="5">F17/$F$19</f>
        <v>0.12081294877814264</v>
      </c>
      <c r="H17" s="46">
        <f t="shared" si="2"/>
        <v>6913692</v>
      </c>
    </row>
    <row r="18" spans="3:8" ht="15" thickBot="1" x14ac:dyDescent="0.4">
      <c r="C18" s="38" t="s">
        <v>26</v>
      </c>
      <c r="D18" s="39">
        <v>2968702</v>
      </c>
      <c r="E18" s="57">
        <f t="shared" si="4"/>
        <v>0.1030275010050441</v>
      </c>
      <c r="F18" s="39">
        <v>4298903</v>
      </c>
      <c r="G18" s="53">
        <f t="shared" si="5"/>
        <v>0.14243093376798885</v>
      </c>
      <c r="H18" s="47">
        <f t="shared" si="2"/>
        <v>7267605</v>
      </c>
    </row>
    <row r="19" spans="3:8" ht="15.5" thickTop="1" thickBot="1" x14ac:dyDescent="0.4">
      <c r="C19" s="40" t="s">
        <v>27</v>
      </c>
      <c r="D19" s="41">
        <f>SUM(D7:D15)+SUM(D17:D18)</f>
        <v>28814656</v>
      </c>
      <c r="E19" s="58">
        <f t="shared" si="4"/>
        <v>1</v>
      </c>
      <c r="F19" s="41">
        <f>SUM(F7:F15)+SUM(F17:F18)</f>
        <v>30182369</v>
      </c>
      <c r="G19" s="54">
        <f t="shared" si="5"/>
        <v>1</v>
      </c>
      <c r="H19" s="49">
        <f t="shared" si="2"/>
        <v>58997025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31E9-FF78-4B1A-B6B2-C8536A1225EA}">
  <dimension ref="B3:N16"/>
  <sheetViews>
    <sheetView showGridLines="0" tabSelected="1" workbookViewId="0">
      <selection activeCell="F15" sqref="F15"/>
    </sheetView>
  </sheetViews>
  <sheetFormatPr defaultRowHeight="14.5" x14ac:dyDescent="0.35"/>
  <cols>
    <col min="2" max="2" width="9.6328125" bestFit="1" customWidth="1"/>
    <col min="3" max="3" width="6.6328125" bestFit="1" customWidth="1"/>
    <col min="4" max="4" width="7.6328125" bestFit="1" customWidth="1"/>
    <col min="5" max="10" width="8.6328125" bestFit="1" customWidth="1"/>
    <col min="11" max="12" width="10.1796875" bestFit="1" customWidth="1"/>
    <col min="13" max="13" width="9.81640625" bestFit="1" customWidth="1"/>
    <col min="14" max="14" width="10.90625" bestFit="1" customWidth="1"/>
  </cols>
  <sheetData>
    <row r="3" spans="2:14" x14ac:dyDescent="0.35">
      <c r="B3" s="1" t="s">
        <v>0</v>
      </c>
      <c r="C3" s="2">
        <v>2015</v>
      </c>
      <c r="D3" s="2">
        <v>2016</v>
      </c>
      <c r="E3" s="2">
        <v>2017</v>
      </c>
      <c r="F3" s="2">
        <v>2018</v>
      </c>
      <c r="G3" s="2">
        <v>2019</v>
      </c>
      <c r="H3" s="2">
        <v>2020</v>
      </c>
      <c r="I3" s="2">
        <v>2021</v>
      </c>
      <c r="J3" s="2">
        <v>2022</v>
      </c>
      <c r="K3" s="2">
        <v>2023</v>
      </c>
      <c r="L3" s="3" t="s">
        <v>1</v>
      </c>
      <c r="M3" s="4" t="s">
        <v>2</v>
      </c>
      <c r="N3" s="4" t="s">
        <v>3</v>
      </c>
    </row>
    <row r="4" spans="2:14" x14ac:dyDescent="0.35">
      <c r="B4" s="1" t="s">
        <v>4</v>
      </c>
      <c r="C4" s="5">
        <v>708</v>
      </c>
      <c r="D4" s="5">
        <v>64633</v>
      </c>
      <c r="E4" s="5">
        <v>160588</v>
      </c>
      <c r="F4" s="5">
        <v>405908</v>
      </c>
      <c r="G4" s="5">
        <v>435760</v>
      </c>
      <c r="H4" s="5">
        <v>275246</v>
      </c>
      <c r="I4" s="5">
        <v>409589</v>
      </c>
      <c r="J4" s="5">
        <v>882879</v>
      </c>
      <c r="K4" s="5">
        <v>1079430</v>
      </c>
      <c r="L4" s="5">
        <f>L6*L5</f>
        <v>1285200</v>
      </c>
      <c r="M4" s="6">
        <f>((L4/C4)^(1/COUNTA(C3:L3))-1)</f>
        <v>1.1178429223932778</v>
      </c>
      <c r="N4" s="6">
        <f>((L4/J4)^(1/COUNTA(J3:L3))-1)</f>
        <v>0.13333032622929619</v>
      </c>
    </row>
    <row r="5" spans="2:14" x14ac:dyDescent="0.35">
      <c r="B5" s="1" t="s">
        <v>5</v>
      </c>
      <c r="C5" s="1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7" t="s">
        <v>6</v>
      </c>
    </row>
    <row r="6" spans="2:14" x14ac:dyDescent="0.35">
      <c r="B6" s="8" t="s">
        <v>7</v>
      </c>
      <c r="C6" s="9">
        <f t="shared" ref="C6:K6" si="0">C4/C5</f>
        <v>3.54</v>
      </c>
      <c r="D6" s="9">
        <f t="shared" si="0"/>
        <v>323.16500000000002</v>
      </c>
      <c r="E6" s="9">
        <f t="shared" si="0"/>
        <v>802.94</v>
      </c>
      <c r="F6" s="9">
        <f t="shared" si="0"/>
        <v>2029.54</v>
      </c>
      <c r="G6" s="9">
        <f t="shared" si="0"/>
        <v>2178.8000000000002</v>
      </c>
      <c r="H6" s="9">
        <f t="shared" si="0"/>
        <v>1376.23</v>
      </c>
      <c r="I6" s="9">
        <f t="shared" si="0"/>
        <v>2047.9449999999999</v>
      </c>
      <c r="J6" s="9">
        <f t="shared" si="0"/>
        <v>4414.3950000000004</v>
      </c>
      <c r="K6" s="9">
        <f t="shared" si="0"/>
        <v>5397.15</v>
      </c>
      <c r="L6" s="9">
        <v>6426</v>
      </c>
      <c r="M6" s="10">
        <f>SUM(C6:L6)</f>
        <v>24999.705000000002</v>
      </c>
      <c r="N6" s="10"/>
    </row>
    <row r="7" spans="2:14" x14ac:dyDescent="0.35">
      <c r="B7" s="11" t="s">
        <v>8</v>
      </c>
      <c r="C7" s="12" t="s">
        <v>6</v>
      </c>
      <c r="D7" s="13">
        <f t="shared" ref="D7:L7" si="1">(D4-C4)/C4</f>
        <v>90.289548022598865</v>
      </c>
      <c r="E7" s="13">
        <f t="shared" si="1"/>
        <v>1.4846131233270929</v>
      </c>
      <c r="F7" s="13">
        <f t="shared" si="1"/>
        <v>1.5276359379281141</v>
      </c>
      <c r="G7" s="13">
        <f t="shared" si="1"/>
        <v>7.3543758684233865E-2</v>
      </c>
      <c r="H7" s="13">
        <f t="shared" si="1"/>
        <v>-0.36835413989351939</v>
      </c>
      <c r="I7" s="13">
        <f t="shared" si="1"/>
        <v>0.48808338722451916</v>
      </c>
      <c r="J7" s="13">
        <f t="shared" si="1"/>
        <v>1.1555241962064411</v>
      </c>
      <c r="K7" s="13">
        <f t="shared" si="1"/>
        <v>0.22262507093270992</v>
      </c>
      <c r="L7" s="13">
        <f t="shared" si="1"/>
        <v>0.19062838720435785</v>
      </c>
      <c r="M7" s="10"/>
      <c r="N7" s="10"/>
    </row>
    <row r="8" spans="2:14" x14ac:dyDescent="0.35">
      <c r="J8" s="10"/>
      <c r="K8" s="10"/>
      <c r="L8" s="10"/>
      <c r="M8" s="10"/>
      <c r="N8" s="10"/>
    </row>
    <row r="9" spans="2:14" x14ac:dyDescent="0.35">
      <c r="L9" s="14"/>
      <c r="M9" s="10"/>
      <c r="N9" s="10"/>
    </row>
    <row r="10" spans="2:14" x14ac:dyDescent="0.35">
      <c r="M10" s="10"/>
      <c r="N10" s="10"/>
    </row>
    <row r="11" spans="2:14" x14ac:dyDescent="0.35">
      <c r="B11" s="1" t="s">
        <v>9</v>
      </c>
      <c r="C11" s="1">
        <v>2021</v>
      </c>
      <c r="D11" s="1">
        <v>2022</v>
      </c>
      <c r="E11" s="1">
        <v>2023</v>
      </c>
      <c r="F11" s="15" t="s">
        <v>1</v>
      </c>
      <c r="M11" s="10"/>
      <c r="N11" s="10"/>
    </row>
    <row r="12" spans="2:14" x14ac:dyDescent="0.35">
      <c r="B12" s="1" t="s">
        <v>4</v>
      </c>
      <c r="C12" s="104">
        <v>7710</v>
      </c>
      <c r="D12" s="104">
        <v>28324</v>
      </c>
      <c r="E12" s="5">
        <v>89972</v>
      </c>
      <c r="F12" s="5">
        <v>600000</v>
      </c>
      <c r="M12" s="10"/>
      <c r="N12" s="10"/>
    </row>
    <row r="13" spans="2:14" x14ac:dyDescent="0.35">
      <c r="B13" s="1" t="s">
        <v>5</v>
      </c>
      <c r="C13" s="105">
        <v>400</v>
      </c>
      <c r="D13" s="105">
        <v>400</v>
      </c>
      <c r="E13" s="1">
        <v>335</v>
      </c>
      <c r="F13" s="1">
        <v>330</v>
      </c>
      <c r="M13" s="10"/>
      <c r="N13" s="10"/>
    </row>
    <row r="14" spans="2:14" x14ac:dyDescent="0.35">
      <c r="B14" s="8" t="s">
        <v>7</v>
      </c>
      <c r="C14" s="104">
        <f t="shared" ref="C14:F14" si="2">C12/C13</f>
        <v>19.274999999999999</v>
      </c>
      <c r="D14" s="104">
        <f t="shared" si="2"/>
        <v>70.81</v>
      </c>
      <c r="E14" s="5">
        <f t="shared" si="2"/>
        <v>268.57313432835821</v>
      </c>
      <c r="F14" s="5">
        <f t="shared" si="2"/>
        <v>1818.1818181818182</v>
      </c>
      <c r="M14" s="10"/>
      <c r="N14" s="10"/>
    </row>
    <row r="15" spans="2:14" x14ac:dyDescent="0.35">
      <c r="B15" s="11" t="s">
        <v>8</v>
      </c>
      <c r="C15" s="1"/>
      <c r="D15" s="13">
        <f t="shared" ref="D15:F15" si="3">(D12-C12)/C12</f>
        <v>2.6736705577172502</v>
      </c>
      <c r="E15" s="13">
        <f t="shared" si="3"/>
        <v>2.1765287388786896</v>
      </c>
      <c r="F15" s="13">
        <f t="shared" si="3"/>
        <v>5.6687413862090432</v>
      </c>
      <c r="M15" s="10"/>
      <c r="N15" s="10"/>
    </row>
    <row r="16" spans="2:14" x14ac:dyDescent="0.35">
      <c r="C16" s="106" t="s">
        <v>86</v>
      </c>
      <c r="D16" s="106"/>
      <c r="E16" s="96"/>
    </row>
  </sheetData>
  <mergeCells count="1">
    <mergeCell ref="C16:D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837E-090F-4659-A1B5-B60963733640}">
  <dimension ref="A2:BN31"/>
  <sheetViews>
    <sheetView showGridLines="0" topLeftCell="A28" zoomScale="55" zoomScaleNormal="55" workbookViewId="0">
      <selection activeCell="AP75" sqref="AP75"/>
    </sheetView>
  </sheetViews>
  <sheetFormatPr defaultRowHeight="14.5" x14ac:dyDescent="0.35"/>
  <cols>
    <col min="2" max="9" width="10.6328125" customWidth="1"/>
    <col min="10" max="10" width="16.08984375" bestFit="1" customWidth="1"/>
    <col min="11" max="23" width="10.6328125" customWidth="1"/>
    <col min="24" max="45" width="11.1796875" customWidth="1"/>
    <col min="46" max="54" width="13.6328125" customWidth="1"/>
    <col min="55" max="58" width="11.1796875" customWidth="1"/>
    <col min="59" max="59" width="13.453125" bestFit="1" customWidth="1"/>
    <col min="60" max="65" width="11.1796875" customWidth="1"/>
    <col min="66" max="66" width="17.7265625" bestFit="1" customWidth="1"/>
  </cols>
  <sheetData>
    <row r="2" spans="2:64" ht="21" x14ac:dyDescent="0.5">
      <c r="B2" s="60" t="s">
        <v>53</v>
      </c>
    </row>
    <row r="3" spans="2:64" ht="21" x14ac:dyDescent="0.5">
      <c r="B3" s="60"/>
    </row>
    <row r="4" spans="2:64" ht="21.5" thickBot="1" x14ac:dyDescent="0.55000000000000004">
      <c r="B4" s="60"/>
      <c r="H4" s="103" t="s">
        <v>74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2:64" ht="21.5" thickTop="1" x14ac:dyDescent="0.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2"/>
    </row>
    <row r="7" spans="2:64" x14ac:dyDescent="0.35">
      <c r="B7" s="99" t="s">
        <v>32</v>
      </c>
      <c r="C7" s="99"/>
      <c r="D7" s="99"/>
      <c r="E7" s="99"/>
      <c r="F7" s="99"/>
      <c r="G7" s="99"/>
      <c r="H7" s="99"/>
      <c r="I7" s="99"/>
      <c r="J7" s="99"/>
      <c r="M7" s="99" t="s">
        <v>70</v>
      </c>
      <c r="N7" s="99"/>
      <c r="O7" s="99"/>
      <c r="P7" s="99"/>
      <c r="Q7" s="99"/>
      <c r="R7" s="99"/>
      <c r="S7" s="99"/>
      <c r="T7" s="99"/>
      <c r="U7" s="99"/>
      <c r="X7" s="99" t="s">
        <v>37</v>
      </c>
      <c r="Y7" s="99"/>
      <c r="Z7" s="99"/>
      <c r="AA7" s="99"/>
      <c r="AB7" s="99"/>
      <c r="AC7" s="99"/>
      <c r="AD7" s="99"/>
      <c r="AE7" s="99"/>
      <c r="AF7" s="99"/>
      <c r="AI7" s="99" t="s">
        <v>38</v>
      </c>
      <c r="AJ7" s="99"/>
      <c r="AK7" s="99"/>
      <c r="AL7" s="99"/>
      <c r="AM7" s="99"/>
      <c r="AN7" s="99"/>
      <c r="AO7" s="99"/>
      <c r="AP7" s="99"/>
      <c r="AQ7" s="99"/>
      <c r="AT7" s="99" t="s">
        <v>66</v>
      </c>
      <c r="AU7" s="99"/>
      <c r="AV7" s="99"/>
      <c r="AW7" s="99"/>
      <c r="AX7" s="99"/>
      <c r="AY7" s="99"/>
      <c r="AZ7" s="99"/>
      <c r="BA7" s="99"/>
      <c r="BB7" s="99"/>
      <c r="BE7" s="99" t="s">
        <v>42</v>
      </c>
      <c r="BF7" s="99"/>
      <c r="BG7" s="99"/>
      <c r="BH7" s="99"/>
      <c r="BI7" s="99"/>
      <c r="BJ7" s="99"/>
      <c r="BK7" s="99"/>
      <c r="BL7" s="99"/>
    </row>
    <row r="9" spans="2:64" x14ac:dyDescent="0.35">
      <c r="B9" s="25">
        <v>2023</v>
      </c>
      <c r="C9" s="25">
        <v>2024</v>
      </c>
      <c r="D9" s="25">
        <v>2025</v>
      </c>
      <c r="E9" s="25">
        <v>2026</v>
      </c>
      <c r="F9" s="25">
        <v>2027</v>
      </c>
      <c r="G9" s="25">
        <v>2028</v>
      </c>
      <c r="H9" s="25">
        <v>2029</v>
      </c>
      <c r="I9" s="25">
        <v>2030</v>
      </c>
      <c r="J9" s="27" t="s">
        <v>30</v>
      </c>
      <c r="M9" s="25">
        <v>2023</v>
      </c>
      <c r="N9" s="25">
        <v>2024</v>
      </c>
      <c r="O9" s="25">
        <v>2025</v>
      </c>
      <c r="P9" s="25">
        <v>2026</v>
      </c>
      <c r="Q9" s="25">
        <v>2027</v>
      </c>
      <c r="R9" s="25">
        <v>2028</v>
      </c>
      <c r="S9" s="25">
        <v>2029</v>
      </c>
      <c r="T9" s="25">
        <v>2030</v>
      </c>
      <c r="U9" s="27" t="s">
        <v>30</v>
      </c>
      <c r="X9" s="25">
        <v>2023</v>
      </c>
      <c r="Y9" s="25">
        <v>2024</v>
      </c>
      <c r="Z9" s="25">
        <v>2025</v>
      </c>
      <c r="AA9" s="25">
        <v>2026</v>
      </c>
      <c r="AB9" s="25">
        <v>2027</v>
      </c>
      <c r="AC9" s="25">
        <v>2028</v>
      </c>
      <c r="AD9" s="25">
        <v>2029</v>
      </c>
      <c r="AE9" s="25">
        <v>2030</v>
      </c>
      <c r="AF9" s="27" t="s">
        <v>30</v>
      </c>
      <c r="AI9" s="25">
        <v>2023</v>
      </c>
      <c r="AJ9" s="25">
        <v>2024</v>
      </c>
      <c r="AK9" s="25">
        <v>2025</v>
      </c>
      <c r="AL9" s="25">
        <v>2026</v>
      </c>
      <c r="AM9" s="25">
        <v>2027</v>
      </c>
      <c r="AN9" s="25">
        <v>2028</v>
      </c>
      <c r="AO9" s="25">
        <v>2029</v>
      </c>
      <c r="AP9" s="25">
        <v>2030</v>
      </c>
      <c r="AQ9" s="27" t="s">
        <v>30</v>
      </c>
      <c r="AT9" s="25">
        <v>2023</v>
      </c>
      <c r="AU9" s="25">
        <v>2024</v>
      </c>
      <c r="AV9" s="25">
        <v>2025</v>
      </c>
      <c r="AW9" s="25">
        <v>2026</v>
      </c>
      <c r="AX9" s="25">
        <v>2027</v>
      </c>
      <c r="AY9" s="25">
        <v>2028</v>
      </c>
      <c r="AZ9" s="25">
        <v>2029</v>
      </c>
      <c r="BA9" s="25">
        <v>2030</v>
      </c>
      <c r="BB9" s="27" t="s">
        <v>30</v>
      </c>
      <c r="BE9" s="25">
        <v>2023</v>
      </c>
      <c r="BF9" s="25">
        <v>2024</v>
      </c>
      <c r="BG9" s="25">
        <v>2025</v>
      </c>
      <c r="BH9" s="25">
        <v>2026</v>
      </c>
      <c r="BI9" s="25">
        <v>2027</v>
      </c>
      <c r="BJ9" s="25">
        <v>2028</v>
      </c>
      <c r="BK9" s="25">
        <v>2029</v>
      </c>
      <c r="BL9" s="25">
        <v>2030</v>
      </c>
    </row>
    <row r="10" spans="2:64" x14ac:dyDescent="0.35">
      <c r="B10" s="26">
        <v>623.29999999999995</v>
      </c>
      <c r="C10" s="26">
        <f t="shared" ref="C10:I10" si="0">B10+(B10*$J$10)</f>
        <v>819.6395</v>
      </c>
      <c r="D10" s="26">
        <f t="shared" si="0"/>
        <v>1077.8259425000001</v>
      </c>
      <c r="E10" s="26">
        <f t="shared" si="0"/>
        <v>1417.3411143875001</v>
      </c>
      <c r="F10" s="26">
        <f t="shared" si="0"/>
        <v>1863.8035654195626</v>
      </c>
      <c r="G10" s="26">
        <f t="shared" si="0"/>
        <v>2450.9016885267247</v>
      </c>
      <c r="H10" s="26">
        <f t="shared" si="0"/>
        <v>3222.9357204126427</v>
      </c>
      <c r="I10" s="26">
        <f t="shared" si="0"/>
        <v>4238.1604723426253</v>
      </c>
      <c r="J10" s="24">
        <v>0.315</v>
      </c>
      <c r="M10" s="26">
        <v>87700</v>
      </c>
      <c r="N10" s="26">
        <f>M10+(M10*$U$10)</f>
        <v>100065.7</v>
      </c>
      <c r="O10" s="26">
        <f t="shared" ref="O10:T10" si="1">N10+(N10*$U$10)</f>
        <v>114174.96369999999</v>
      </c>
      <c r="P10" s="26">
        <f t="shared" si="1"/>
        <v>130273.63358169999</v>
      </c>
      <c r="Q10" s="26">
        <f t="shared" si="1"/>
        <v>148642.2159167197</v>
      </c>
      <c r="R10" s="26">
        <f t="shared" si="1"/>
        <v>169600.76836097718</v>
      </c>
      <c r="S10" s="26">
        <f t="shared" si="1"/>
        <v>193514.47669987497</v>
      </c>
      <c r="T10" s="26">
        <f t="shared" si="1"/>
        <v>220800.01791455733</v>
      </c>
      <c r="U10" s="24">
        <v>0.14099999999999999</v>
      </c>
      <c r="X10" s="26">
        <f>Y10-(Y10*$AF$10)</f>
        <v>18546.400000000001</v>
      </c>
      <c r="Y10" s="26">
        <v>19120</v>
      </c>
      <c r="Z10" s="26">
        <f t="shared" ref="Z10:AE10" si="2">Y10+(Y10*$AF$10)</f>
        <v>19693.599999999999</v>
      </c>
      <c r="AA10" s="26">
        <f t="shared" si="2"/>
        <v>20284.407999999999</v>
      </c>
      <c r="AB10" s="26">
        <f t="shared" si="2"/>
        <v>20892.94024</v>
      </c>
      <c r="AC10" s="26">
        <f t="shared" si="2"/>
        <v>21519.728447199999</v>
      </c>
      <c r="AD10" s="26">
        <f t="shared" si="2"/>
        <v>22165.320300616</v>
      </c>
      <c r="AE10" s="26">
        <f t="shared" si="2"/>
        <v>22830.279909634479</v>
      </c>
      <c r="AF10" s="24">
        <v>0.03</v>
      </c>
      <c r="AI10" s="26">
        <f>AJ10-(AJ10*$AQ$10)</f>
        <v>464630</v>
      </c>
      <c r="AJ10" s="26">
        <v>485000</v>
      </c>
      <c r="AK10" s="26">
        <f>AJ10+(AJ10*$AQ$10)</f>
        <v>505370</v>
      </c>
      <c r="AL10" s="26">
        <f t="shared" ref="AL10:AP10" si="3">AK10+(AK10*$AQ$10)</f>
        <v>526595.54</v>
      </c>
      <c r="AM10" s="26">
        <f t="shared" si="3"/>
        <v>548712.55268000008</v>
      </c>
      <c r="AN10" s="26">
        <f t="shared" si="3"/>
        <v>571758.47989256005</v>
      </c>
      <c r="AO10" s="26">
        <f t="shared" si="3"/>
        <v>595772.33604804752</v>
      </c>
      <c r="AP10" s="26">
        <f t="shared" si="3"/>
        <v>620794.77416206547</v>
      </c>
      <c r="AQ10" s="24">
        <v>4.2000000000000003E-2</v>
      </c>
      <c r="AT10" s="26">
        <f>AU10-AU10*$BB$10</f>
        <v>157305.69</v>
      </c>
      <c r="AU10" s="26">
        <v>171900</v>
      </c>
      <c r="AV10" s="26">
        <f t="shared" ref="AV10:BA10" si="4">AU10+AU10*$BB$10</f>
        <v>186494.31</v>
      </c>
      <c r="AW10" s="26">
        <f t="shared" si="4"/>
        <v>202327.67691899999</v>
      </c>
      <c r="AX10" s="26">
        <f t="shared" si="4"/>
        <v>219505.29668942309</v>
      </c>
      <c r="AY10" s="26">
        <f t="shared" si="4"/>
        <v>238141.29637835512</v>
      </c>
      <c r="AZ10" s="26">
        <f t="shared" si="4"/>
        <v>258359.49244087748</v>
      </c>
      <c r="BA10" s="26">
        <f t="shared" si="4"/>
        <v>280294.213349108</v>
      </c>
      <c r="BB10" s="24">
        <v>8.4900000000000003E-2</v>
      </c>
      <c r="BE10" s="26">
        <f t="shared" ref="BE10:BL10" si="5">X10+AI10+AT10</f>
        <v>640482.09000000008</v>
      </c>
      <c r="BF10" s="26">
        <f t="shared" si="5"/>
        <v>676020</v>
      </c>
      <c r="BG10" s="26">
        <f t="shared" si="5"/>
        <v>711557.90999999992</v>
      </c>
      <c r="BH10" s="26">
        <f t="shared" si="5"/>
        <v>749207.62491900008</v>
      </c>
      <c r="BI10" s="26">
        <f t="shared" si="5"/>
        <v>789110.78960942314</v>
      </c>
      <c r="BJ10" s="26">
        <f t="shared" si="5"/>
        <v>831419.5047181152</v>
      </c>
      <c r="BK10" s="26">
        <f t="shared" si="5"/>
        <v>876297.14878954098</v>
      </c>
      <c r="BL10" s="26">
        <f t="shared" si="5"/>
        <v>923919.26742080797</v>
      </c>
    </row>
    <row r="12" spans="2:64" x14ac:dyDescent="0.35">
      <c r="B12" s="99" t="s">
        <v>29</v>
      </c>
      <c r="C12" s="99"/>
      <c r="D12" s="99"/>
      <c r="E12" s="99"/>
      <c r="F12" s="99"/>
      <c r="G12" s="99"/>
      <c r="H12" s="99"/>
      <c r="I12" s="99"/>
      <c r="J12" s="99"/>
      <c r="M12" s="99" t="s">
        <v>71</v>
      </c>
      <c r="N12" s="99"/>
      <c r="O12" s="99"/>
      <c r="P12" s="99"/>
      <c r="Q12" s="99"/>
      <c r="R12" s="99"/>
      <c r="S12" s="99"/>
      <c r="T12" s="99"/>
      <c r="U12" s="99"/>
      <c r="X12" s="99" t="s">
        <v>36</v>
      </c>
      <c r="Y12" s="99"/>
      <c r="Z12" s="99"/>
      <c r="AA12" s="99"/>
      <c r="AB12" s="99"/>
      <c r="AC12" s="99"/>
      <c r="AD12" s="99"/>
      <c r="AE12" s="99"/>
      <c r="AF12" s="99"/>
      <c r="AI12" s="99" t="s">
        <v>39</v>
      </c>
      <c r="AJ12" s="99"/>
      <c r="AK12" s="99"/>
      <c r="AL12" s="99"/>
      <c r="AM12" s="99"/>
      <c r="AN12" s="99"/>
      <c r="AO12" s="99"/>
      <c r="AP12" s="99"/>
      <c r="AQ12" s="99"/>
      <c r="AT12" s="99" t="s">
        <v>67</v>
      </c>
      <c r="AU12" s="99"/>
      <c r="AV12" s="99"/>
      <c r="AW12" s="99"/>
      <c r="AX12" s="99"/>
      <c r="AY12" s="99"/>
      <c r="AZ12" s="99"/>
      <c r="BA12" s="99"/>
      <c r="BB12" s="99"/>
      <c r="BE12" s="99" t="s">
        <v>43</v>
      </c>
      <c r="BF12" s="99"/>
      <c r="BG12" s="99"/>
      <c r="BH12" s="99"/>
      <c r="BI12" s="99"/>
      <c r="BJ12" s="99"/>
      <c r="BK12" s="99"/>
      <c r="BL12" s="99"/>
    </row>
    <row r="14" spans="2:64" x14ac:dyDescent="0.35">
      <c r="B14" s="25">
        <v>2023</v>
      </c>
      <c r="C14" s="25">
        <v>2024</v>
      </c>
      <c r="D14" s="25">
        <v>2025</v>
      </c>
      <c r="E14" s="25">
        <v>2026</v>
      </c>
      <c r="F14" s="25">
        <v>2027</v>
      </c>
      <c r="G14" s="25">
        <v>2028</v>
      </c>
      <c r="H14" s="25">
        <v>2029</v>
      </c>
      <c r="I14" s="25">
        <v>2030</v>
      </c>
      <c r="J14" s="27" t="s">
        <v>30</v>
      </c>
      <c r="M14" s="25">
        <v>2023</v>
      </c>
      <c r="N14" s="25">
        <v>2024</v>
      </c>
      <c r="O14" s="25">
        <v>2025</v>
      </c>
      <c r="P14" s="25">
        <v>2026</v>
      </c>
      <c r="Q14" s="25">
        <v>2027</v>
      </c>
      <c r="R14" s="25">
        <v>2028</v>
      </c>
      <c r="S14" s="25">
        <v>2029</v>
      </c>
      <c r="T14" s="25">
        <v>2030</v>
      </c>
      <c r="U14" s="27" t="s">
        <v>30</v>
      </c>
      <c r="X14" s="25">
        <v>2023</v>
      </c>
      <c r="Y14" s="25">
        <v>2024</v>
      </c>
      <c r="Z14" s="25">
        <v>2025</v>
      </c>
      <c r="AA14" s="25">
        <v>2026</v>
      </c>
      <c r="AB14" s="25">
        <v>2027</v>
      </c>
      <c r="AC14" s="25">
        <v>2028</v>
      </c>
      <c r="AD14" s="25">
        <v>2029</v>
      </c>
      <c r="AE14" s="25">
        <v>2030</v>
      </c>
      <c r="AF14" s="27" t="s">
        <v>30</v>
      </c>
      <c r="AI14" s="25">
        <v>2023</v>
      </c>
      <c r="AJ14" s="25">
        <v>2024</v>
      </c>
      <c r="AK14" s="25">
        <v>2025</v>
      </c>
      <c r="AL14" s="25">
        <v>2026</v>
      </c>
      <c r="AM14" s="25">
        <v>2027</v>
      </c>
      <c r="AN14" s="25">
        <v>2028</v>
      </c>
      <c r="AO14" s="25">
        <v>2029</v>
      </c>
      <c r="AP14" s="25">
        <v>2030</v>
      </c>
      <c r="AQ14" s="27" t="s">
        <v>30</v>
      </c>
      <c r="AT14" s="25">
        <v>2023</v>
      </c>
      <c r="AU14" s="25">
        <v>2024</v>
      </c>
      <c r="AV14" s="25">
        <v>2025</v>
      </c>
      <c r="AW14" s="25">
        <v>2026</v>
      </c>
      <c r="AX14" s="25">
        <v>2027</v>
      </c>
      <c r="AY14" s="25">
        <v>2028</v>
      </c>
      <c r="AZ14" s="25">
        <v>2029</v>
      </c>
      <c r="BA14" s="25">
        <v>2030</v>
      </c>
      <c r="BB14" s="27" t="s">
        <v>30</v>
      </c>
      <c r="BE14" s="25">
        <v>2023</v>
      </c>
      <c r="BF14" s="25">
        <v>2024</v>
      </c>
      <c r="BG14" s="25">
        <v>2025</v>
      </c>
      <c r="BH14" s="25">
        <v>2026</v>
      </c>
      <c r="BI14" s="25">
        <v>2027</v>
      </c>
      <c r="BJ14" s="25">
        <v>2028</v>
      </c>
      <c r="BK14" s="25">
        <v>2029</v>
      </c>
      <c r="BL14" s="25">
        <v>2030</v>
      </c>
    </row>
    <row r="15" spans="2:64" x14ac:dyDescent="0.35">
      <c r="B15" s="26">
        <v>128.01272</v>
      </c>
      <c r="C15" s="26">
        <f t="shared" ref="C15:I15" si="6">B15+(B15*$J$15)</f>
        <v>173.226812704</v>
      </c>
      <c r="D15" s="26">
        <f t="shared" si="6"/>
        <v>234.4105229510528</v>
      </c>
      <c r="E15" s="26">
        <f t="shared" si="6"/>
        <v>317.20431965736464</v>
      </c>
      <c r="F15" s="26">
        <f t="shared" si="6"/>
        <v>429.24088536034583</v>
      </c>
      <c r="G15" s="26">
        <f t="shared" si="6"/>
        <v>580.84876606961996</v>
      </c>
      <c r="H15" s="26">
        <f t="shared" si="6"/>
        <v>786.00455024540975</v>
      </c>
      <c r="I15" s="26">
        <f t="shared" si="6"/>
        <v>1063.6213573920886</v>
      </c>
      <c r="J15" s="24">
        <v>0.35320000000000001</v>
      </c>
      <c r="M15" s="26">
        <v>12500</v>
      </c>
      <c r="N15" s="26">
        <f>M15+(M15*$U$15)</f>
        <v>14023.75</v>
      </c>
      <c r="O15" s="26">
        <f t="shared" ref="O15:T15" si="7">N15+(N15*$U$15)</f>
        <v>15733.245124999999</v>
      </c>
      <c r="P15" s="26">
        <f t="shared" si="7"/>
        <v>17651.127705737501</v>
      </c>
      <c r="Q15" s="26">
        <f t="shared" si="7"/>
        <v>19802.800173066902</v>
      </c>
      <c r="R15" s="26">
        <f t="shared" si="7"/>
        <v>22216.761514163758</v>
      </c>
      <c r="S15" s="26">
        <f t="shared" si="7"/>
        <v>24924.984742740322</v>
      </c>
      <c r="T15" s="26">
        <f t="shared" si="7"/>
        <v>27963.340382880368</v>
      </c>
      <c r="U15" s="24">
        <v>0.12189999999999999</v>
      </c>
      <c r="X15" s="26">
        <v>5162</v>
      </c>
      <c r="Y15" s="26">
        <f t="shared" ref="Y15:AE15" si="8">X15+(X15*$AF$15)</f>
        <v>5590.4459999999999</v>
      </c>
      <c r="Z15" s="26">
        <f t="shared" si="8"/>
        <v>6054.4530180000002</v>
      </c>
      <c r="AA15" s="26">
        <f t="shared" si="8"/>
        <v>6556.972618494</v>
      </c>
      <c r="AB15" s="26">
        <f t="shared" si="8"/>
        <v>7101.2013458290021</v>
      </c>
      <c r="AC15" s="26">
        <f t="shared" si="8"/>
        <v>7690.6010575328091</v>
      </c>
      <c r="AD15" s="26">
        <f t="shared" si="8"/>
        <v>8328.920945308033</v>
      </c>
      <c r="AE15" s="26">
        <f t="shared" si="8"/>
        <v>9020.2213837685995</v>
      </c>
      <c r="AF15" s="24">
        <v>8.3000000000000004E-2</v>
      </c>
      <c r="AI15" s="26">
        <v>53000.6</v>
      </c>
      <c r="AJ15" s="26">
        <f>AI15+(AI15*$AQ$15)</f>
        <v>57823.654599999994</v>
      </c>
      <c r="AK15" s="26">
        <f t="shared" ref="AK15:AP15" si="9">AJ15+(AJ15*$AQ$15)</f>
        <v>63085.607168599992</v>
      </c>
      <c r="AL15" s="26">
        <f t="shared" si="9"/>
        <v>68826.397420942594</v>
      </c>
      <c r="AM15" s="26">
        <f t="shared" si="9"/>
        <v>75089.599586248369</v>
      </c>
      <c r="AN15" s="26">
        <f t="shared" si="9"/>
        <v>81922.753148596967</v>
      </c>
      <c r="AO15" s="26">
        <f t="shared" si="9"/>
        <v>89377.723685119287</v>
      </c>
      <c r="AP15" s="26">
        <f t="shared" si="9"/>
        <v>97511.096540465136</v>
      </c>
      <c r="AQ15" s="24">
        <v>9.0999999999999998E-2</v>
      </c>
      <c r="AT15" s="26">
        <f>AU15-AU15*$BB$15</f>
        <v>43237.311999999998</v>
      </c>
      <c r="AU15" s="26">
        <v>47120</v>
      </c>
      <c r="AV15" s="26">
        <f t="shared" ref="AV15:BA15" si="10">AU15+AU15*$BB$15</f>
        <v>51002.688000000002</v>
      </c>
      <c r="AW15" s="26">
        <f t="shared" si="10"/>
        <v>55205.309491200002</v>
      </c>
      <c r="AX15" s="26">
        <f t="shared" si="10"/>
        <v>59754.226993274882</v>
      </c>
      <c r="AY15" s="26">
        <f t="shared" si="10"/>
        <v>64677.97529752073</v>
      </c>
      <c r="AZ15" s="26">
        <f t="shared" si="10"/>
        <v>70007.440462036437</v>
      </c>
      <c r="BA15" s="26">
        <f t="shared" si="10"/>
        <v>75776.053556108236</v>
      </c>
      <c r="BB15" s="24">
        <v>8.2400000000000001E-2</v>
      </c>
      <c r="BE15" s="26">
        <f t="shared" ref="BE15:BL15" si="11">X15+AI15+AT15</f>
        <v>101399.912</v>
      </c>
      <c r="BF15" s="26">
        <f t="shared" si="11"/>
        <v>110534.10059999999</v>
      </c>
      <c r="BG15" s="26">
        <f t="shared" si="11"/>
        <v>120142.74818659999</v>
      </c>
      <c r="BH15" s="26">
        <f t="shared" si="11"/>
        <v>130588.67953063658</v>
      </c>
      <c r="BI15" s="26">
        <f t="shared" si="11"/>
        <v>141945.02792535225</v>
      </c>
      <c r="BJ15" s="26">
        <f t="shared" si="11"/>
        <v>154291.32950365052</v>
      </c>
      <c r="BK15" s="26">
        <f t="shared" si="11"/>
        <v>167714.08509246376</v>
      </c>
      <c r="BL15" s="26">
        <f t="shared" si="11"/>
        <v>182307.37148034197</v>
      </c>
    </row>
    <row r="17" spans="1:66" x14ac:dyDescent="0.35">
      <c r="B17" s="99" t="s">
        <v>31</v>
      </c>
      <c r="C17" s="99"/>
      <c r="D17" s="99"/>
      <c r="E17" s="99"/>
      <c r="F17" s="99"/>
      <c r="G17" s="99"/>
      <c r="H17" s="99"/>
      <c r="I17" s="99"/>
      <c r="J17" s="99"/>
      <c r="M17" s="99" t="s">
        <v>72</v>
      </c>
      <c r="N17" s="99"/>
      <c r="O17" s="99"/>
      <c r="P17" s="99"/>
      <c r="Q17" s="99"/>
      <c r="R17" s="99"/>
      <c r="S17" s="99"/>
      <c r="T17" s="99"/>
      <c r="U17" s="99"/>
      <c r="X17" s="99" t="s">
        <v>35</v>
      </c>
      <c r="Y17" s="99"/>
      <c r="Z17" s="99"/>
      <c r="AA17" s="99"/>
      <c r="AB17" s="99"/>
      <c r="AC17" s="99"/>
      <c r="AD17" s="99"/>
      <c r="AE17" s="99"/>
      <c r="AF17" s="99"/>
      <c r="AI17" s="99" t="s">
        <v>40</v>
      </c>
      <c r="AJ17" s="99"/>
      <c r="AK17" s="99"/>
      <c r="AL17" s="99"/>
      <c r="AM17" s="99"/>
      <c r="AN17" s="99"/>
      <c r="AO17" s="99"/>
      <c r="AP17" s="99"/>
      <c r="AQ17" s="99"/>
      <c r="AT17" s="99" t="s">
        <v>68</v>
      </c>
      <c r="AU17" s="99"/>
      <c r="AV17" s="99"/>
      <c r="AW17" s="99"/>
      <c r="AX17" s="99"/>
      <c r="AY17" s="99"/>
      <c r="AZ17" s="99"/>
      <c r="BA17" s="99"/>
      <c r="BB17" s="99"/>
      <c r="BE17" s="99" t="s">
        <v>44</v>
      </c>
      <c r="BF17" s="99"/>
      <c r="BG17" s="99"/>
      <c r="BH17" s="99"/>
      <c r="BI17" s="99"/>
      <c r="BJ17" s="99"/>
      <c r="BK17" s="99"/>
      <c r="BL17" s="99"/>
    </row>
    <row r="19" spans="1:66" x14ac:dyDescent="0.35">
      <c r="B19" s="25">
        <v>2023</v>
      </c>
      <c r="C19" s="25">
        <v>2024</v>
      </c>
      <c r="D19" s="25">
        <v>2025</v>
      </c>
      <c r="E19" s="25">
        <v>2026</v>
      </c>
      <c r="F19" s="25">
        <v>2027</v>
      </c>
      <c r="G19" s="25">
        <v>2028</v>
      </c>
      <c r="H19" s="25">
        <v>2029</v>
      </c>
      <c r="I19" s="25">
        <v>2030</v>
      </c>
      <c r="J19" s="27" t="s">
        <v>30</v>
      </c>
      <c r="M19" s="25">
        <v>2023</v>
      </c>
      <c r="N19" s="25">
        <v>2024</v>
      </c>
      <c r="O19" s="25">
        <v>2025</v>
      </c>
      <c r="P19" s="25">
        <v>2026</v>
      </c>
      <c r="Q19" s="25">
        <v>2027</v>
      </c>
      <c r="R19" s="25">
        <v>2028</v>
      </c>
      <c r="S19" s="25">
        <v>2029</v>
      </c>
      <c r="T19" s="25">
        <v>2030</v>
      </c>
      <c r="U19" s="27" t="s">
        <v>30</v>
      </c>
      <c r="X19" s="25">
        <v>2023</v>
      </c>
      <c r="Y19" s="25">
        <v>2024</v>
      </c>
      <c r="Z19" s="25">
        <v>2025</v>
      </c>
      <c r="AA19" s="25">
        <v>2026</v>
      </c>
      <c r="AB19" s="25">
        <v>2027</v>
      </c>
      <c r="AC19" s="25">
        <v>2028</v>
      </c>
      <c r="AD19" s="25">
        <v>2029</v>
      </c>
      <c r="AE19" s="25">
        <v>2030</v>
      </c>
      <c r="AF19" s="27" t="s">
        <v>30</v>
      </c>
      <c r="AI19" s="25">
        <v>2023</v>
      </c>
      <c r="AJ19" s="25">
        <v>2024</v>
      </c>
      <c r="AK19" s="25">
        <v>2025</v>
      </c>
      <c r="AL19" s="25">
        <v>2026</v>
      </c>
      <c r="AM19" s="25">
        <v>2027</v>
      </c>
      <c r="AN19" s="25">
        <v>2028</v>
      </c>
      <c r="AO19" s="25">
        <v>2029</v>
      </c>
      <c r="AP19" s="25">
        <v>2030</v>
      </c>
      <c r="AQ19" s="27" t="s">
        <v>30</v>
      </c>
      <c r="AT19" s="25">
        <v>2023</v>
      </c>
      <c r="AU19" s="25">
        <v>2024</v>
      </c>
      <c r="AV19" s="25">
        <v>2025</v>
      </c>
      <c r="AW19" s="25">
        <v>2026</v>
      </c>
      <c r="AX19" s="25">
        <v>2027</v>
      </c>
      <c r="AY19" s="25">
        <v>2028</v>
      </c>
      <c r="AZ19" s="25">
        <v>2029</v>
      </c>
      <c r="BA19" s="25">
        <v>2030</v>
      </c>
      <c r="BB19" s="27" t="s">
        <v>30</v>
      </c>
      <c r="BE19" s="25">
        <v>2023</v>
      </c>
      <c r="BF19" s="25">
        <v>2024</v>
      </c>
      <c r="BG19" s="25">
        <v>2025</v>
      </c>
      <c r="BH19" s="25">
        <v>2026</v>
      </c>
      <c r="BI19" s="25">
        <v>2027</v>
      </c>
      <c r="BJ19" s="25">
        <v>2028</v>
      </c>
      <c r="BK19" s="25">
        <v>2029</v>
      </c>
      <c r="BL19" s="25">
        <v>2030</v>
      </c>
    </row>
    <row r="20" spans="1:66" x14ac:dyDescent="0.35">
      <c r="B20" s="26">
        <v>20</v>
      </c>
      <c r="C20" s="26">
        <f>B20+(B20*$J$20)</f>
        <v>26.6</v>
      </c>
      <c r="D20" s="26">
        <f t="shared" ref="D20:I20" si="12">C20+(C20*$J$20)</f>
        <v>35.378</v>
      </c>
      <c r="E20" s="26">
        <f t="shared" si="12"/>
        <v>47.05274</v>
      </c>
      <c r="F20" s="26">
        <f t="shared" si="12"/>
        <v>62.580144199999999</v>
      </c>
      <c r="G20" s="26">
        <f t="shared" si="12"/>
        <v>83.231591785999996</v>
      </c>
      <c r="H20" s="26">
        <f t="shared" si="12"/>
        <v>110.69801707537999</v>
      </c>
      <c r="I20" s="26">
        <f t="shared" si="12"/>
        <v>147.2283627102554</v>
      </c>
      <c r="J20" s="24">
        <v>0.33</v>
      </c>
      <c r="M20" s="26">
        <v>20061</v>
      </c>
      <c r="N20" s="26">
        <f>M20+(M20*$U$20)</f>
        <v>22695.009300000002</v>
      </c>
      <c r="O20" s="26">
        <f t="shared" ref="O20:T20" si="13">N20+(N20*$U$20)</f>
        <v>25674.864021090001</v>
      </c>
      <c r="P20" s="26">
        <f t="shared" si="13"/>
        <v>29045.973667059119</v>
      </c>
      <c r="Q20" s="26">
        <f t="shared" si="13"/>
        <v>32859.710009543982</v>
      </c>
      <c r="R20" s="26">
        <f t="shared" si="13"/>
        <v>37174.189933797104</v>
      </c>
      <c r="S20" s="26">
        <f t="shared" si="13"/>
        <v>42055.161072104667</v>
      </c>
      <c r="T20" s="26">
        <f t="shared" si="13"/>
        <v>47577.00372087201</v>
      </c>
      <c r="U20" s="24">
        <v>0.1313</v>
      </c>
      <c r="W20" s="28"/>
      <c r="X20" s="26">
        <v>4030</v>
      </c>
      <c r="Y20" s="26">
        <f t="shared" ref="Y20:AE20" si="14">X20+(X20*$AF$20)</f>
        <v>4400.76</v>
      </c>
      <c r="Z20" s="26">
        <f t="shared" si="14"/>
        <v>4805.6299200000003</v>
      </c>
      <c r="AA20" s="26">
        <f t="shared" si="14"/>
        <v>5247.7478726400004</v>
      </c>
      <c r="AB20" s="26">
        <f t="shared" si="14"/>
        <v>5730.5406769228803</v>
      </c>
      <c r="AC20" s="26">
        <f t="shared" si="14"/>
        <v>6257.750419199785</v>
      </c>
      <c r="AD20" s="26">
        <f t="shared" si="14"/>
        <v>6833.4634577661654</v>
      </c>
      <c r="AE20" s="26">
        <f t="shared" si="14"/>
        <v>7462.142095880653</v>
      </c>
      <c r="AF20" s="24">
        <v>9.1999999999999998E-2</v>
      </c>
      <c r="AI20" s="26">
        <f>AJ20-(AJ20*$AQ$20)</f>
        <v>81974.7</v>
      </c>
      <c r="AJ20" s="26">
        <v>87300</v>
      </c>
      <c r="AK20" s="26">
        <f>AJ20+(AJ20*$AQ$20)</f>
        <v>92625.3</v>
      </c>
      <c r="AL20" s="26">
        <f t="shared" ref="AL20:AP20" si="15">AK20+(AK20*$AQ$20)</f>
        <v>98275.443299999999</v>
      </c>
      <c r="AM20" s="26">
        <f t="shared" si="15"/>
        <v>104270.2453413</v>
      </c>
      <c r="AN20" s="26">
        <f t="shared" si="15"/>
        <v>110630.7303071193</v>
      </c>
      <c r="AO20" s="26">
        <f t="shared" si="15"/>
        <v>117379.20485585358</v>
      </c>
      <c r="AP20" s="26">
        <f t="shared" si="15"/>
        <v>124539.33635206064</v>
      </c>
      <c r="AQ20" s="24">
        <v>6.0999999999999999E-2</v>
      </c>
      <c r="AT20" s="26">
        <f>AU20-(AU20*$BB$20)</f>
        <v>31520.6</v>
      </c>
      <c r="AU20" s="26">
        <v>34600</v>
      </c>
      <c r="AV20" s="26">
        <f t="shared" ref="AV20:BA20" si="16">AU20+(AU20*$BB$20)</f>
        <v>37679.4</v>
      </c>
      <c r="AW20" s="26">
        <f t="shared" si="16"/>
        <v>41032.866600000001</v>
      </c>
      <c r="AX20" s="26">
        <f t="shared" si="16"/>
        <v>44684.791727399999</v>
      </c>
      <c r="AY20" s="26">
        <f t="shared" si="16"/>
        <v>48661.738191138596</v>
      </c>
      <c r="AZ20" s="26">
        <f t="shared" si="16"/>
        <v>52992.632890149929</v>
      </c>
      <c r="BA20" s="26">
        <f t="shared" si="16"/>
        <v>57708.977217373271</v>
      </c>
      <c r="BB20" s="24">
        <v>8.8999999999999996E-2</v>
      </c>
      <c r="BE20" s="26">
        <f t="shared" ref="BE20:BL20" si="17">X20+AI20+AT20</f>
        <v>117525.29999999999</v>
      </c>
      <c r="BF20" s="26">
        <f t="shared" si="17"/>
        <v>126300.76</v>
      </c>
      <c r="BG20" s="26">
        <f t="shared" si="17"/>
        <v>135110.32992000002</v>
      </c>
      <c r="BH20" s="26">
        <f t="shared" si="17"/>
        <v>144556.05777263999</v>
      </c>
      <c r="BI20" s="26">
        <f t="shared" si="17"/>
        <v>154685.5777456229</v>
      </c>
      <c r="BJ20" s="26">
        <f t="shared" si="17"/>
        <v>165550.21891745768</v>
      </c>
      <c r="BK20" s="26">
        <f t="shared" si="17"/>
        <v>177205.30120376966</v>
      </c>
      <c r="BL20" s="26">
        <f t="shared" si="17"/>
        <v>189710.45566531454</v>
      </c>
    </row>
    <row r="21" spans="1:66" x14ac:dyDescent="0.35">
      <c r="B21" s="29"/>
      <c r="C21" s="29"/>
      <c r="D21" s="29"/>
      <c r="E21" s="29"/>
      <c r="F21" s="29"/>
      <c r="G21" s="29"/>
      <c r="H21" s="29"/>
      <c r="I21" s="29"/>
      <c r="J21" s="24"/>
      <c r="M21" s="29"/>
      <c r="N21" s="29"/>
      <c r="O21" s="29"/>
      <c r="P21" s="29"/>
      <c r="Q21" s="29"/>
      <c r="R21" s="29"/>
      <c r="S21" s="29"/>
      <c r="T21" s="29"/>
      <c r="U21" s="24"/>
      <c r="W21" s="28"/>
      <c r="X21" s="29">
        <f>X20/1000</f>
        <v>4.03</v>
      </c>
      <c r="Y21" s="29">
        <f t="shared" ref="Y21:AE21" si="18">Y20/1000</f>
        <v>4.40076</v>
      </c>
      <c r="Z21" s="29">
        <f t="shared" si="18"/>
        <v>4.8056299200000003</v>
      </c>
      <c r="AA21" s="29">
        <f t="shared" si="18"/>
        <v>5.2477478726400006</v>
      </c>
      <c r="AB21" s="29">
        <f t="shared" si="18"/>
        <v>5.7305406769228799</v>
      </c>
      <c r="AC21" s="29">
        <f t="shared" si="18"/>
        <v>6.2577504191997848</v>
      </c>
      <c r="AD21" s="29">
        <f t="shared" si="18"/>
        <v>6.8334634577661655</v>
      </c>
      <c r="AE21" s="29">
        <f t="shared" si="18"/>
        <v>7.4621420958806528</v>
      </c>
      <c r="AF21" s="24"/>
      <c r="AI21" s="29"/>
      <c r="AJ21" s="29"/>
      <c r="AK21" s="29"/>
      <c r="AL21" s="29"/>
      <c r="AM21" s="29"/>
      <c r="AN21" s="29"/>
      <c r="AO21" s="29"/>
      <c r="AP21" s="29"/>
      <c r="AQ21" s="24"/>
      <c r="AT21" s="29"/>
      <c r="AU21" s="29"/>
      <c r="AV21" s="29"/>
      <c r="AW21" s="29"/>
      <c r="AX21" s="29"/>
      <c r="AY21" s="29"/>
      <c r="AZ21" s="29"/>
      <c r="BA21" s="29"/>
      <c r="BB21" s="24"/>
      <c r="BE21" s="29"/>
      <c r="BF21" s="29"/>
      <c r="BG21" s="29"/>
      <c r="BH21" s="29"/>
      <c r="BI21" s="29"/>
      <c r="BJ21" s="29"/>
      <c r="BK21" s="29"/>
      <c r="BL21" s="29"/>
    </row>
    <row r="22" spans="1:66" ht="21" customHeight="1" x14ac:dyDescent="0.35">
      <c r="B22" s="30"/>
      <c r="C22" s="30"/>
      <c r="D22" s="30"/>
      <c r="E22" s="30"/>
      <c r="F22" s="30"/>
      <c r="G22" s="30"/>
      <c r="H22" s="30"/>
      <c r="I22" s="30"/>
      <c r="J22" s="31"/>
      <c r="K22" s="32"/>
      <c r="L22" s="32"/>
      <c r="M22" s="30"/>
      <c r="N22" s="30"/>
      <c r="O22" s="30"/>
      <c r="P22" s="30"/>
      <c r="Q22" s="30"/>
      <c r="R22" s="30"/>
      <c r="S22" s="30"/>
      <c r="T22" s="30"/>
      <c r="U22" s="31"/>
      <c r="V22" s="32"/>
      <c r="W22" s="33"/>
      <c r="X22" s="30"/>
      <c r="Y22" s="30"/>
      <c r="Z22" s="30"/>
      <c r="AA22" s="30"/>
      <c r="AB22" s="30"/>
      <c r="AC22" s="30"/>
      <c r="AD22" s="30"/>
      <c r="AE22" s="30"/>
      <c r="AF22" s="31"/>
      <c r="AG22" s="32"/>
      <c r="AH22" s="32"/>
      <c r="AI22" s="30"/>
      <c r="AJ22" s="30"/>
      <c r="AK22" s="30"/>
      <c r="AL22" s="30"/>
      <c r="AM22" s="30"/>
      <c r="AN22" s="30"/>
      <c r="AO22" s="30"/>
      <c r="AP22" s="30"/>
      <c r="AQ22" s="31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1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4" spans="1:66" x14ac:dyDescent="0.35">
      <c r="B24" s="99" t="s">
        <v>33</v>
      </c>
      <c r="C24" s="99"/>
      <c r="D24" s="99"/>
      <c r="E24" s="99"/>
      <c r="F24" s="99"/>
      <c r="G24" s="99"/>
      <c r="H24" s="99"/>
      <c r="I24" s="99"/>
      <c r="J24" s="99"/>
      <c r="M24" s="99" t="s">
        <v>73</v>
      </c>
      <c r="N24" s="99"/>
      <c r="O24" s="99"/>
      <c r="P24" s="99"/>
      <c r="Q24" s="99"/>
      <c r="R24" s="99"/>
      <c r="S24" s="99"/>
      <c r="T24" s="99"/>
      <c r="U24" s="99"/>
      <c r="X24" s="99" t="s">
        <v>34</v>
      </c>
      <c r="Y24" s="99"/>
      <c r="Z24" s="99"/>
      <c r="AA24" s="99"/>
      <c r="AB24" s="99"/>
      <c r="AC24" s="99"/>
      <c r="AD24" s="99"/>
      <c r="AE24" s="99"/>
      <c r="AF24" s="99"/>
      <c r="AI24" s="99" t="s">
        <v>41</v>
      </c>
      <c r="AJ24" s="99"/>
      <c r="AK24" s="99"/>
      <c r="AL24" s="99"/>
      <c r="AM24" s="99"/>
      <c r="AN24" s="99"/>
      <c r="AO24" s="99"/>
      <c r="AP24" s="99"/>
      <c r="AQ24" s="99"/>
      <c r="AT24" s="99" t="s">
        <v>69</v>
      </c>
      <c r="AU24" s="99"/>
      <c r="AV24" s="99"/>
      <c r="AW24" s="99"/>
      <c r="AX24" s="99"/>
      <c r="AY24" s="99"/>
      <c r="AZ24" s="99"/>
      <c r="BA24" s="99"/>
      <c r="BB24" s="99"/>
      <c r="BE24" s="99" t="s">
        <v>45</v>
      </c>
      <c r="BF24" s="99"/>
      <c r="BG24" s="99"/>
      <c r="BH24" s="99"/>
      <c r="BI24" s="99"/>
      <c r="BJ24" s="99"/>
      <c r="BK24" s="99"/>
      <c r="BL24" s="99"/>
    </row>
    <row r="26" spans="1:66" x14ac:dyDescent="0.35">
      <c r="B26" s="25">
        <v>2023</v>
      </c>
      <c r="C26" s="25">
        <v>2024</v>
      </c>
      <c r="D26" s="25">
        <v>2025</v>
      </c>
      <c r="E26" s="25">
        <v>2026</v>
      </c>
      <c r="F26" s="25">
        <v>2027</v>
      </c>
      <c r="G26" s="25">
        <v>2028</v>
      </c>
      <c r="H26" s="25">
        <v>2029</v>
      </c>
      <c r="I26" s="25">
        <v>2030</v>
      </c>
      <c r="J26" s="27" t="s">
        <v>30</v>
      </c>
      <c r="M26" s="25">
        <v>2023</v>
      </c>
      <c r="N26" s="25">
        <v>2024</v>
      </c>
      <c r="O26" s="25">
        <v>2025</v>
      </c>
      <c r="P26" s="25">
        <v>2026</v>
      </c>
      <c r="Q26" s="25">
        <v>2027</v>
      </c>
      <c r="R26" s="25">
        <v>2028</v>
      </c>
      <c r="S26" s="25">
        <v>2029</v>
      </c>
      <c r="T26" s="25">
        <v>2030</v>
      </c>
      <c r="U26" s="27" t="s">
        <v>30</v>
      </c>
      <c r="X26" s="25">
        <v>2023</v>
      </c>
      <c r="Y26" s="25">
        <v>2024</v>
      </c>
      <c r="Z26" s="25">
        <v>2025</v>
      </c>
      <c r="AA26" s="25">
        <v>2026</v>
      </c>
      <c r="AB26" s="25">
        <v>2027</v>
      </c>
      <c r="AC26" s="25">
        <v>2028</v>
      </c>
      <c r="AD26" s="25">
        <v>2029</v>
      </c>
      <c r="AE26" s="25">
        <v>2030</v>
      </c>
      <c r="AF26" s="27" t="s">
        <v>30</v>
      </c>
      <c r="AI26" s="25">
        <v>2023</v>
      </c>
      <c r="AJ26" s="25">
        <v>2024</v>
      </c>
      <c r="AK26" s="25">
        <v>2025</v>
      </c>
      <c r="AL26" s="25">
        <v>2026</v>
      </c>
      <c r="AM26" s="25">
        <v>2027</v>
      </c>
      <c r="AN26" s="25">
        <v>2028</v>
      </c>
      <c r="AO26" s="25">
        <v>2029</v>
      </c>
      <c r="AP26" s="25">
        <v>2030</v>
      </c>
      <c r="AQ26" s="27" t="s">
        <v>30</v>
      </c>
      <c r="AT26" s="25">
        <v>2023</v>
      </c>
      <c r="AU26" s="25">
        <v>2024</v>
      </c>
      <c r="AV26" s="25">
        <v>2025</v>
      </c>
      <c r="AW26" s="25">
        <v>2026</v>
      </c>
      <c r="AX26" s="25">
        <v>2027</v>
      </c>
      <c r="AY26" s="25">
        <v>2028</v>
      </c>
      <c r="AZ26" s="25">
        <v>2029</v>
      </c>
      <c r="BA26" s="25">
        <v>2030</v>
      </c>
      <c r="BB26" s="27" t="s">
        <v>30</v>
      </c>
      <c r="BE26" s="25">
        <v>2023</v>
      </c>
      <c r="BF26" s="25">
        <v>2024</v>
      </c>
      <c r="BG26" s="25">
        <v>2025</v>
      </c>
      <c r="BH26" s="25">
        <v>2026</v>
      </c>
      <c r="BI26" s="25">
        <v>2027</v>
      </c>
      <c r="BJ26" s="25">
        <v>2028</v>
      </c>
      <c r="BK26" s="25">
        <v>2029</v>
      </c>
      <c r="BL26" s="25">
        <v>2030</v>
      </c>
    </row>
    <row r="27" spans="1:66" x14ac:dyDescent="0.35">
      <c r="A27" t="s">
        <v>75</v>
      </c>
      <c r="B27" s="26">
        <v>7</v>
      </c>
      <c r="C27" s="26">
        <f>B27+(B27*$J$27)</f>
        <v>9.24</v>
      </c>
      <c r="D27" s="26">
        <f t="shared" ref="D27:I27" si="19">C27+(C27*$J$27)</f>
        <v>12.1968</v>
      </c>
      <c r="E27" s="26">
        <f t="shared" si="19"/>
        <v>16.099775999999999</v>
      </c>
      <c r="F27" s="26">
        <f t="shared" si="19"/>
        <v>21.251704319999998</v>
      </c>
      <c r="G27" s="26">
        <f t="shared" si="19"/>
        <v>28.052249702399997</v>
      </c>
      <c r="H27" s="26">
        <f t="shared" si="19"/>
        <v>37.028969607167994</v>
      </c>
      <c r="I27" s="26">
        <f t="shared" si="19"/>
        <v>48.878239881461752</v>
      </c>
      <c r="J27" s="24">
        <v>0.32</v>
      </c>
      <c r="M27" s="26">
        <v>688</v>
      </c>
      <c r="N27" s="26">
        <f>M27+(M27*$U$27)</f>
        <v>775.37599999999998</v>
      </c>
      <c r="O27" s="26">
        <f t="shared" ref="O27:T27" si="20">N27+(N27*$U$27)</f>
        <v>873.84875199999999</v>
      </c>
      <c r="P27" s="26">
        <f t="shared" si="20"/>
        <v>984.827543504</v>
      </c>
      <c r="Q27" s="26">
        <f t="shared" si="20"/>
        <v>1109.900641529008</v>
      </c>
      <c r="R27" s="26">
        <f t="shared" si="20"/>
        <v>1250.8580230031921</v>
      </c>
      <c r="S27" s="26">
        <f t="shared" si="20"/>
        <v>1409.7169919245976</v>
      </c>
      <c r="T27" s="26">
        <f t="shared" si="20"/>
        <v>1588.7510498990214</v>
      </c>
      <c r="U27" s="24">
        <v>0.127</v>
      </c>
      <c r="X27" s="26">
        <v>1603.15248</v>
      </c>
      <c r="Y27" s="26">
        <f t="shared" ref="Y27:AE27" si="21">X27+(X27*$AF$27)</f>
        <v>1699.3416287999999</v>
      </c>
      <c r="Z27" s="26">
        <f t="shared" si="21"/>
        <v>1801.3021265279999</v>
      </c>
      <c r="AA27" s="26">
        <f t="shared" si="21"/>
        <v>1909.3802541196799</v>
      </c>
      <c r="AB27" s="26">
        <f t="shared" si="21"/>
        <v>2023.9430693668608</v>
      </c>
      <c r="AC27" s="26">
        <f t="shared" si="21"/>
        <v>2145.3796535288725</v>
      </c>
      <c r="AD27" s="26">
        <f t="shared" si="21"/>
        <v>2274.1024327406049</v>
      </c>
      <c r="AE27" s="26">
        <f t="shared" si="21"/>
        <v>2410.5485787050411</v>
      </c>
      <c r="AF27" s="24">
        <v>0.06</v>
      </c>
      <c r="AI27" s="26">
        <v>7445</v>
      </c>
      <c r="AJ27" s="26">
        <f>AI27+(AI27*$AQ$27)</f>
        <v>7943.8150000000005</v>
      </c>
      <c r="AK27" s="26">
        <f t="shared" ref="AK27:AP27" si="22">AJ27+(AJ27*$AQ$27)</f>
        <v>8476.0506050000004</v>
      </c>
      <c r="AL27" s="26">
        <f t="shared" si="22"/>
        <v>9043.9459955350012</v>
      </c>
      <c r="AM27" s="26">
        <f t="shared" si="22"/>
        <v>9649.8903772358462</v>
      </c>
      <c r="AN27" s="26">
        <f t="shared" si="22"/>
        <v>10296.433032510648</v>
      </c>
      <c r="AO27" s="26">
        <f t="shared" si="22"/>
        <v>10986.294045688861</v>
      </c>
      <c r="AP27" s="26">
        <f t="shared" si="22"/>
        <v>11722.375746750015</v>
      </c>
      <c r="AQ27" s="24">
        <v>6.7000000000000004E-2</v>
      </c>
      <c r="AT27" s="26">
        <v>3460</v>
      </c>
      <c r="AU27" s="26">
        <f t="shared" ref="AU27:BA27" si="23">AT27+AT27*$BB$27</f>
        <v>4013.6</v>
      </c>
      <c r="AV27" s="26">
        <f t="shared" si="23"/>
        <v>4655.7759999999998</v>
      </c>
      <c r="AW27" s="26">
        <f t="shared" si="23"/>
        <v>5400.7001600000003</v>
      </c>
      <c r="AX27" s="26">
        <f t="shared" si="23"/>
        <v>6264.8121856000007</v>
      </c>
      <c r="AY27" s="26">
        <f t="shared" si="23"/>
        <v>7267.1821352960005</v>
      </c>
      <c r="AZ27" s="26">
        <f t="shared" si="23"/>
        <v>8429.93127694336</v>
      </c>
      <c r="BA27" s="26">
        <f t="shared" si="23"/>
        <v>9778.7202812542982</v>
      </c>
      <c r="BB27" s="24">
        <v>0.16</v>
      </c>
      <c r="BE27" s="26">
        <f t="shared" ref="BE27:BL27" si="24">X27+AI27+AT27</f>
        <v>12508.152480000001</v>
      </c>
      <c r="BF27" s="26">
        <f t="shared" si="24"/>
        <v>13656.7566288</v>
      </c>
      <c r="BG27" s="26">
        <f t="shared" si="24"/>
        <v>14933.128731528001</v>
      </c>
      <c r="BH27" s="26">
        <f t="shared" si="24"/>
        <v>16354.026409654682</v>
      </c>
      <c r="BI27" s="26">
        <f t="shared" si="24"/>
        <v>17938.645632202708</v>
      </c>
      <c r="BJ27" s="26">
        <f t="shared" si="24"/>
        <v>19708.99482133552</v>
      </c>
      <c r="BK27" s="26">
        <f t="shared" si="24"/>
        <v>21690.327755372826</v>
      </c>
      <c r="BL27" s="26">
        <f t="shared" si="24"/>
        <v>23911.644606709357</v>
      </c>
      <c r="BN27" s="35"/>
    </row>
    <row r="28" spans="1:66" x14ac:dyDescent="0.35">
      <c r="A28" t="s">
        <v>7</v>
      </c>
      <c r="B28" s="70">
        <f t="shared" ref="B28:I28" si="25">(B27/$J$28)*1000000</f>
        <v>36842.105263157893</v>
      </c>
      <c r="C28" s="70">
        <f t="shared" si="25"/>
        <v>48631.57894736842</v>
      </c>
      <c r="D28" s="70">
        <f t="shared" si="25"/>
        <v>64193.68421052632</v>
      </c>
      <c r="E28" s="70">
        <f t="shared" si="25"/>
        <v>84735.663157894727</v>
      </c>
      <c r="F28" s="70">
        <f t="shared" si="25"/>
        <v>111851.07536842104</v>
      </c>
      <c r="G28" s="70">
        <f t="shared" si="25"/>
        <v>147643.41948631578</v>
      </c>
      <c r="H28" s="70">
        <f t="shared" si="25"/>
        <v>194889.31372193684</v>
      </c>
      <c r="I28" s="70">
        <f t="shared" si="25"/>
        <v>257253.89411295656</v>
      </c>
      <c r="J28" s="71">
        <v>190</v>
      </c>
      <c r="T28" s="35"/>
      <c r="X28" s="29">
        <f>X27/1000</f>
        <v>1.6031524799999999</v>
      </c>
      <c r="Y28" s="29">
        <f t="shared" ref="Y28:AE28" si="26">Y27/1000</f>
        <v>1.6993416287999998</v>
      </c>
      <c r="Z28" s="29">
        <f t="shared" si="26"/>
        <v>1.8013021265279998</v>
      </c>
      <c r="AA28" s="29">
        <f t="shared" si="26"/>
        <v>1.9093802541196798</v>
      </c>
      <c r="AB28" s="29">
        <f t="shared" si="26"/>
        <v>2.0239430693668607</v>
      </c>
      <c r="AC28" s="29">
        <f t="shared" si="26"/>
        <v>2.1453796535288725</v>
      </c>
      <c r="AD28" s="29">
        <f t="shared" si="26"/>
        <v>2.2741024327406048</v>
      </c>
      <c r="AE28" s="29">
        <f t="shared" si="26"/>
        <v>2.4105485787050411</v>
      </c>
      <c r="AF28" s="24"/>
      <c r="AI28" s="29"/>
      <c r="AJ28" s="29"/>
      <c r="AK28" s="29"/>
      <c r="AL28" s="29"/>
      <c r="AM28" s="29"/>
      <c r="AN28" s="29"/>
      <c r="AO28" s="29"/>
      <c r="AP28" s="29"/>
      <c r="AQ28" s="24"/>
      <c r="BB28" s="35"/>
      <c r="BC28" s="28"/>
      <c r="BE28" s="29"/>
      <c r="BF28" s="29"/>
      <c r="BG28" s="29"/>
      <c r="BH28" s="29"/>
      <c r="BI28" s="29"/>
      <c r="BJ28" s="29"/>
      <c r="BK28" s="29"/>
      <c r="BL28" s="29"/>
      <c r="BN28" s="35"/>
    </row>
    <row r="29" spans="1:66" x14ac:dyDescent="0.35">
      <c r="I29" s="76"/>
      <c r="J29" s="63"/>
      <c r="T29" s="35"/>
      <c r="BE29" s="34"/>
      <c r="BF29" s="34"/>
      <c r="BG29" s="34"/>
      <c r="BH29" s="34"/>
      <c r="BI29" s="34"/>
      <c r="BJ29" s="34"/>
      <c r="BK29" s="34"/>
      <c r="BL29" s="77"/>
    </row>
    <row r="30" spans="1:66" x14ac:dyDescent="0.35">
      <c r="BE30" s="35"/>
      <c r="BF30" s="35"/>
      <c r="BG30" s="35"/>
      <c r="BH30" s="35"/>
      <c r="BI30" s="35"/>
      <c r="BJ30" s="35"/>
      <c r="BK30" s="35"/>
      <c r="BL30" s="35"/>
    </row>
    <row r="31" spans="1:66" x14ac:dyDescent="0.35">
      <c r="BL31" s="35"/>
    </row>
  </sheetData>
  <mergeCells count="26">
    <mergeCell ref="BE7:BL7"/>
    <mergeCell ref="BE12:BL12"/>
    <mergeCell ref="BE17:BL17"/>
    <mergeCell ref="BE24:BL24"/>
    <mergeCell ref="X7:AF7"/>
    <mergeCell ref="X12:AF12"/>
    <mergeCell ref="X17:AF17"/>
    <mergeCell ref="X24:AF24"/>
    <mergeCell ref="AI7:AQ7"/>
    <mergeCell ref="AI12:AQ12"/>
    <mergeCell ref="AI17:AQ17"/>
    <mergeCell ref="AI24:AQ24"/>
    <mergeCell ref="AT7:BB7"/>
    <mergeCell ref="AT12:BB12"/>
    <mergeCell ref="AT17:BB17"/>
    <mergeCell ref="AT24:BB24"/>
    <mergeCell ref="B24:J24"/>
    <mergeCell ref="M24:U24"/>
    <mergeCell ref="B5:AF5"/>
    <mergeCell ref="H4:X4"/>
    <mergeCell ref="M7:U7"/>
    <mergeCell ref="M12:U12"/>
    <mergeCell ref="M17:U17"/>
    <mergeCell ref="B12:J12"/>
    <mergeCell ref="B17:J17"/>
    <mergeCell ref="B7:J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1260-F6D3-47A3-93F0-26BD04FC2EE9}">
  <dimension ref="C2:M22"/>
  <sheetViews>
    <sheetView showGridLines="0" zoomScale="95" workbookViewId="0">
      <selection activeCell="E15" sqref="E15"/>
    </sheetView>
  </sheetViews>
  <sheetFormatPr defaultRowHeight="14.5" x14ac:dyDescent="0.35"/>
  <cols>
    <col min="3" max="5" width="20.90625" customWidth="1"/>
    <col min="6" max="6" width="12.54296875" bestFit="1" customWidth="1"/>
    <col min="7" max="7" width="8.6328125" style="28" customWidth="1"/>
    <col min="8" max="8" width="15.36328125" bestFit="1" customWidth="1"/>
    <col min="9" max="9" width="10" bestFit="1" customWidth="1"/>
    <col min="10" max="10" width="16.1796875" bestFit="1" customWidth="1"/>
  </cols>
  <sheetData>
    <row r="2" spans="3:13" ht="15" thickBot="1" x14ac:dyDescent="0.4"/>
    <row r="3" spans="3:13" x14ac:dyDescent="0.35">
      <c r="D3" s="79" t="s">
        <v>79</v>
      </c>
      <c r="E3" s="27">
        <v>2026</v>
      </c>
      <c r="F3" s="82" t="s">
        <v>78</v>
      </c>
      <c r="G3" s="83" t="s">
        <v>80</v>
      </c>
      <c r="H3" t="s">
        <v>55</v>
      </c>
    </row>
    <row r="4" spans="3:13" x14ac:dyDescent="0.35">
      <c r="C4" t="s">
        <v>56</v>
      </c>
      <c r="D4" s="62">
        <v>45000000</v>
      </c>
      <c r="E4" s="62">
        <v>45000000</v>
      </c>
      <c r="F4" s="84">
        <f t="shared" ref="F4:F10" si="0">E4-D4</f>
        <v>0</v>
      </c>
      <c r="G4" s="85">
        <f t="shared" ref="G4:G10" si="1">E4/D4-1</f>
        <v>0</v>
      </c>
      <c r="H4" s="69" t="s">
        <v>57</v>
      </c>
    </row>
    <row r="5" spans="3:13" ht="15" thickBot="1" x14ac:dyDescent="0.4">
      <c r="C5" s="67" t="s">
        <v>54</v>
      </c>
      <c r="D5" s="66">
        <f>D4*$H$5</f>
        <v>13500000</v>
      </c>
      <c r="E5" s="66">
        <f>E4*$H$5</f>
        <v>13500000</v>
      </c>
      <c r="F5" s="86">
        <f t="shared" si="0"/>
        <v>0</v>
      </c>
      <c r="G5" s="87">
        <f t="shared" si="1"/>
        <v>0</v>
      </c>
      <c r="H5" s="34">
        <v>0.3</v>
      </c>
    </row>
    <row r="6" spans="3:13" ht="15" thickTop="1" x14ac:dyDescent="0.35">
      <c r="C6" t="s">
        <v>58</v>
      </c>
      <c r="D6" s="62">
        <f>D5*H6</f>
        <v>3375000</v>
      </c>
      <c r="E6" s="62">
        <f>E5*H6</f>
        <v>3375000</v>
      </c>
      <c r="F6" s="84">
        <f t="shared" si="0"/>
        <v>0</v>
      </c>
      <c r="G6" s="85">
        <f t="shared" si="1"/>
        <v>0</v>
      </c>
      <c r="H6" s="34">
        <v>0.25</v>
      </c>
    </row>
    <row r="7" spans="3:13" x14ac:dyDescent="0.35">
      <c r="C7" t="s">
        <v>47</v>
      </c>
      <c r="D7" s="62">
        <f>$D$5*H7</f>
        <v>67500</v>
      </c>
      <c r="E7" s="62">
        <f>H7*E5</f>
        <v>67500</v>
      </c>
      <c r="F7" s="84">
        <f t="shared" si="0"/>
        <v>0</v>
      </c>
      <c r="G7" s="85">
        <f t="shared" si="1"/>
        <v>0</v>
      </c>
      <c r="H7" s="65">
        <v>5.0000000000000001E-3</v>
      </c>
    </row>
    <row r="8" spans="3:13" ht="15" thickBot="1" x14ac:dyDescent="0.4">
      <c r="C8" s="61" t="s">
        <v>48</v>
      </c>
      <c r="D8" s="64">
        <f>D5*H8</f>
        <v>472500.00000000006</v>
      </c>
      <c r="E8" s="64">
        <f>H8*E5</f>
        <v>472500.00000000006</v>
      </c>
      <c r="F8" s="86">
        <f t="shared" si="0"/>
        <v>0</v>
      </c>
      <c r="G8" s="87">
        <f t="shared" si="1"/>
        <v>0</v>
      </c>
      <c r="H8" s="65">
        <v>3.5000000000000003E-2</v>
      </c>
    </row>
    <row r="9" spans="3:13" ht="15" thickTop="1" x14ac:dyDescent="0.35">
      <c r="C9" s="59" t="s">
        <v>24</v>
      </c>
      <c r="D9" s="80">
        <f>SUM(D6:D8)</f>
        <v>3915000</v>
      </c>
      <c r="E9" s="80">
        <f>SUM(E6:E8)</f>
        <v>3915000</v>
      </c>
      <c r="F9" s="84">
        <f t="shared" si="0"/>
        <v>0</v>
      </c>
      <c r="G9" s="85">
        <f t="shared" si="1"/>
        <v>0</v>
      </c>
      <c r="H9" s="69" t="s">
        <v>59</v>
      </c>
      <c r="J9" s="72"/>
    </row>
    <row r="10" spans="3:13" ht="15" thickBot="1" x14ac:dyDescent="0.4">
      <c r="C10" s="61" t="s">
        <v>49</v>
      </c>
      <c r="D10" s="64">
        <f>'Stima mercato microbiota'!D28</f>
        <v>64193.68421052632</v>
      </c>
      <c r="E10" s="64">
        <f>'Stima mercato microbiota'!E28</f>
        <v>84735.663157894727</v>
      </c>
      <c r="F10" s="86">
        <f t="shared" si="0"/>
        <v>20541.978947368407</v>
      </c>
      <c r="G10" s="87">
        <f t="shared" si="1"/>
        <v>0.31999999999999984</v>
      </c>
      <c r="H10" s="69" t="s">
        <v>62</v>
      </c>
      <c r="K10" s="76"/>
      <c r="L10" s="28"/>
      <c r="M10" s="28"/>
    </row>
    <row r="11" spans="3:13" ht="15" thickTop="1" x14ac:dyDescent="0.35">
      <c r="C11" t="s">
        <v>60</v>
      </c>
      <c r="D11" s="68">
        <f>D10/D9</f>
        <v>1.6396854204476709E-2</v>
      </c>
      <c r="E11" s="68">
        <f>E10/E9</f>
        <v>2.1643847549909254E-2</v>
      </c>
      <c r="F11" s="88">
        <f>E11/D11-1</f>
        <v>0.31999999999999984</v>
      </c>
      <c r="G11" s="85"/>
      <c r="H11" t="s">
        <v>61</v>
      </c>
    </row>
    <row r="12" spans="3:13" x14ac:dyDescent="0.35">
      <c r="F12" s="89"/>
      <c r="G12" s="85"/>
    </row>
    <row r="13" spans="3:13" x14ac:dyDescent="0.35">
      <c r="C13" s="78" t="s">
        <v>65</v>
      </c>
      <c r="D13" s="78"/>
      <c r="E13" s="78"/>
      <c r="F13" s="90"/>
      <c r="G13" s="91"/>
    </row>
    <row r="14" spans="3:13" x14ac:dyDescent="0.35">
      <c r="C14" t="s">
        <v>50</v>
      </c>
      <c r="D14" s="68">
        <f>D15/D10</f>
        <v>9.3467138921684374E-4</v>
      </c>
      <c r="E14" s="68">
        <v>5.4999999999999997E-3</v>
      </c>
      <c r="F14" s="88">
        <f>E14/D14-1</f>
        <v>4.8844210526315788</v>
      </c>
      <c r="G14" s="85"/>
    </row>
    <row r="15" spans="3:13" x14ac:dyDescent="0.35">
      <c r="C15" t="s">
        <v>51</v>
      </c>
      <c r="D15">
        <v>60</v>
      </c>
      <c r="E15" s="73">
        <f>E10*E14</f>
        <v>466.04614736842097</v>
      </c>
      <c r="F15" s="92">
        <f>E15-D15</f>
        <v>406.04614736842097</v>
      </c>
      <c r="G15" s="85">
        <f>E15/D15-1</f>
        <v>6.7674357894736827</v>
      </c>
      <c r="H15" s="28" t="s">
        <v>76</v>
      </c>
      <c r="I15" t="s">
        <v>77</v>
      </c>
    </row>
    <row r="16" spans="3:13" ht="15" thickBot="1" x14ac:dyDescent="0.4">
      <c r="C16" s="61" t="s">
        <v>63</v>
      </c>
      <c r="D16" s="74">
        <v>179.9</v>
      </c>
      <c r="E16" s="74">
        <v>179.9</v>
      </c>
      <c r="F16" s="93"/>
      <c r="G16" s="87"/>
    </row>
    <row r="17" spans="3:9" ht="15.5" thickTop="1" thickBot="1" x14ac:dyDescent="0.4">
      <c r="C17" s="59" t="s">
        <v>52</v>
      </c>
      <c r="D17" s="81">
        <f>D16*D15</f>
        <v>10794</v>
      </c>
      <c r="E17" s="75">
        <f>E15*E16</f>
        <v>83841.70191157893</v>
      </c>
      <c r="F17" s="94">
        <f>E17-D17</f>
        <v>73047.70191157893</v>
      </c>
      <c r="G17" s="95">
        <f>E17/D17-1</f>
        <v>6.7674357894736827</v>
      </c>
    </row>
    <row r="18" spans="3:9" x14ac:dyDescent="0.35">
      <c r="C18" t="s">
        <v>64</v>
      </c>
      <c r="E18" s="77"/>
      <c r="F18" s="68"/>
    </row>
    <row r="21" spans="3:9" x14ac:dyDescent="0.35">
      <c r="G21" s="97"/>
      <c r="H21" s="97"/>
      <c r="I21" s="97"/>
    </row>
    <row r="22" spans="3:9" x14ac:dyDescent="0.35">
      <c r="G22" s="9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7695-D652-4297-A3BE-4F678C4CD406}">
  <dimension ref="E5:F9"/>
  <sheetViews>
    <sheetView workbookViewId="0">
      <selection activeCell="S13" sqref="S13"/>
    </sheetView>
  </sheetViews>
  <sheetFormatPr defaultRowHeight="14.5" x14ac:dyDescent="0.35"/>
  <sheetData>
    <row r="5" spans="5:6" x14ac:dyDescent="0.35">
      <c r="E5" t="s">
        <v>85</v>
      </c>
      <c r="F5">
        <v>8.6999999999999993</v>
      </c>
    </row>
    <row r="6" spans="5:6" x14ac:dyDescent="0.35">
      <c r="E6" t="s">
        <v>84</v>
      </c>
      <c r="F6">
        <v>7.2</v>
      </c>
    </row>
    <row r="7" spans="5:6" x14ac:dyDescent="0.35">
      <c r="E7" t="s">
        <v>83</v>
      </c>
      <c r="F7">
        <v>5.0999999999999996</v>
      </c>
    </row>
    <row r="8" spans="5:6" x14ac:dyDescent="0.35">
      <c r="E8" t="s">
        <v>82</v>
      </c>
      <c r="F8">
        <v>1.2</v>
      </c>
    </row>
    <row r="9" spans="5:6" x14ac:dyDescent="0.35">
      <c r="E9" t="s">
        <v>81</v>
      </c>
      <c r="F9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 demografici</vt:lpstr>
      <vt:lpstr>Stime competitors</vt:lpstr>
      <vt:lpstr>Stima mercato microbiota</vt:lpstr>
      <vt:lpstr>Penetrazioni di mercato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AVORIO Mattia</dc:creator>
  <cp:lastModifiedBy>AVORIO Mattia</cp:lastModifiedBy>
  <dcterms:created xsi:type="dcterms:W3CDTF">2024-12-26T14:25:53Z</dcterms:created>
  <dcterms:modified xsi:type="dcterms:W3CDTF">2025-02-10T20:49:13Z</dcterms:modified>
</cp:coreProperties>
</file>