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esktop\"/>
    </mc:Choice>
  </mc:AlternateContent>
  <xr:revisionPtr revIDLastSave="0" documentId="13_ncr:1_{1248B8CF-CF46-4ABC-AFE7-F043AED9F20F}" xr6:coauthVersionLast="45" xr6:coauthVersionMax="45" xr10:uidLastSave="{00000000-0000-0000-0000-000000000000}"/>
  <bookViews>
    <workbookView xWindow="-108" yWindow="-108" windowWidth="23256" windowHeight="12576" xr2:uid="{C4456B96-3379-4886-B08F-EFFE4AE11A78}"/>
  </bookViews>
  <sheets>
    <sheet name="Main Tree" sheetId="1" r:id="rId1"/>
    <sheet name="Warning Signal Analysis" sheetId="4" r:id="rId2"/>
    <sheet name="Individual Sensor Performance" sheetId="2" r:id="rId3"/>
    <sheet name="Evacuation Simulation Data" sheetId="5" r:id="rId4"/>
    <sheet name="Sensor Cos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M3" i="4" l="1"/>
  <c r="D38" i="1"/>
  <c r="O3" i="2" s="1"/>
  <c r="D39" i="1"/>
  <c r="O4" i="2" s="1"/>
  <c r="D35" i="1"/>
  <c r="M4" i="4"/>
  <c r="D37" i="1"/>
  <c r="M5" i="4"/>
  <c r="D36" i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T6" i="5"/>
  <c r="T92" i="5"/>
  <c r="J31" i="4"/>
  <c r="J32" i="4"/>
  <c r="J33" i="4"/>
  <c r="T51" i="5"/>
  <c r="U51" i="5" s="1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T45" i="5"/>
  <c r="U45" i="5" s="1"/>
  <c r="T7" i="5"/>
  <c r="T93" i="5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B6" i="5"/>
  <c r="B7" i="5"/>
  <c r="B8" i="5"/>
  <c r="B9" i="5"/>
  <c r="Q6" i="5"/>
  <c r="R6" i="5"/>
  <c r="Q7" i="5"/>
  <c r="R7" i="5"/>
  <c r="Q8" i="5"/>
  <c r="R8" i="5"/>
  <c r="S8" i="5"/>
  <c r="T8" i="5"/>
  <c r="U8" i="5" s="1"/>
  <c r="T9" i="5"/>
  <c r="U9" i="5" s="1"/>
  <c r="Q9" i="5"/>
  <c r="R9" i="5"/>
  <c r="S9" i="5"/>
  <c r="B10" i="5"/>
  <c r="T10" i="5"/>
  <c r="U10" i="5" s="1"/>
  <c r="Q10" i="5"/>
  <c r="R10" i="5"/>
  <c r="S10" i="5"/>
  <c r="B11" i="5"/>
  <c r="T11" i="5"/>
  <c r="U11" i="5" s="1"/>
  <c r="Q11" i="5"/>
  <c r="R11" i="5"/>
  <c r="S11" i="5"/>
  <c r="B12" i="5"/>
  <c r="T12" i="5"/>
  <c r="U12" i="5" s="1"/>
  <c r="Q12" i="5"/>
  <c r="R12" i="5"/>
  <c r="S12" i="5"/>
  <c r="B13" i="5"/>
  <c r="T13" i="5"/>
  <c r="U13" i="5" s="1"/>
  <c r="Q13" i="5"/>
  <c r="R13" i="5"/>
  <c r="S13" i="5"/>
  <c r="B14" i="5"/>
  <c r="T14" i="5"/>
  <c r="U14" i="5" s="1"/>
  <c r="Q14" i="5"/>
  <c r="S14" i="5"/>
  <c r="B15" i="5"/>
  <c r="T15" i="5"/>
  <c r="U15" i="5" s="1"/>
  <c r="Q15" i="5"/>
  <c r="R15" i="5"/>
  <c r="S15" i="5"/>
  <c r="B16" i="5"/>
  <c r="T16" i="5"/>
  <c r="U16" i="5" s="1"/>
  <c r="Q16" i="5"/>
  <c r="R16" i="5"/>
  <c r="S16" i="5"/>
  <c r="B17" i="5"/>
  <c r="T17" i="5"/>
  <c r="U17" i="5" s="1"/>
  <c r="Q17" i="5"/>
  <c r="R17" i="5"/>
  <c r="S17" i="5"/>
  <c r="B18" i="5"/>
  <c r="T18" i="5"/>
  <c r="U18" i="5" s="1"/>
  <c r="Q18" i="5"/>
  <c r="R18" i="5"/>
  <c r="S18" i="5"/>
  <c r="B19" i="5"/>
  <c r="T19" i="5"/>
  <c r="U19" i="5" s="1"/>
  <c r="Q19" i="5"/>
  <c r="R19" i="5"/>
  <c r="S19" i="5"/>
  <c r="B20" i="5"/>
  <c r="T20" i="5"/>
  <c r="U20" i="5" s="1"/>
  <c r="Q20" i="5"/>
  <c r="R20" i="5"/>
  <c r="S20" i="5"/>
  <c r="B21" i="5"/>
  <c r="T21" i="5"/>
  <c r="U21" i="5" s="1"/>
  <c r="Q21" i="5"/>
  <c r="S21" i="5"/>
  <c r="B22" i="5"/>
  <c r="T22" i="5"/>
  <c r="U22" i="5" s="1"/>
  <c r="Q22" i="5"/>
  <c r="R22" i="5"/>
  <c r="S22" i="5"/>
  <c r="B23" i="5"/>
  <c r="T23" i="5"/>
  <c r="U23" i="5" s="1"/>
  <c r="Q23" i="5"/>
  <c r="R23" i="5"/>
  <c r="S23" i="5"/>
  <c r="B24" i="5"/>
  <c r="T24" i="5"/>
  <c r="U24" i="5" s="1"/>
  <c r="Q24" i="5"/>
  <c r="R24" i="5"/>
  <c r="S24" i="5"/>
  <c r="B25" i="5"/>
  <c r="T25" i="5"/>
  <c r="U25" i="5" s="1"/>
  <c r="Q25" i="5"/>
  <c r="R25" i="5"/>
  <c r="S25" i="5"/>
  <c r="B26" i="5"/>
  <c r="Q26" i="5"/>
  <c r="R26" i="5"/>
  <c r="S26" i="5"/>
  <c r="T26" i="5"/>
  <c r="U26" i="5" s="1"/>
  <c r="B27" i="5"/>
  <c r="T27" i="5"/>
  <c r="U27" i="5" s="1"/>
  <c r="Q27" i="5"/>
  <c r="R27" i="5"/>
  <c r="S27" i="5"/>
  <c r="B28" i="5"/>
  <c r="T28" i="5"/>
  <c r="U28" i="5" s="1"/>
  <c r="Q28" i="5"/>
  <c r="S28" i="5"/>
  <c r="B29" i="5"/>
  <c r="T29" i="5"/>
  <c r="U29" i="5" s="1"/>
  <c r="Q29" i="5"/>
  <c r="R29" i="5"/>
  <c r="S29" i="5"/>
  <c r="B30" i="5"/>
  <c r="T30" i="5"/>
  <c r="U30" i="5" s="1"/>
  <c r="Q30" i="5"/>
  <c r="R30" i="5"/>
  <c r="S30" i="5"/>
  <c r="B31" i="5"/>
  <c r="T31" i="5"/>
  <c r="U31" i="5" s="1"/>
  <c r="Q31" i="5"/>
  <c r="R31" i="5"/>
  <c r="S31" i="5"/>
  <c r="B32" i="5"/>
  <c r="T32" i="5"/>
  <c r="U32" i="5" s="1"/>
  <c r="Q32" i="5"/>
  <c r="R32" i="5"/>
  <c r="S32" i="5"/>
  <c r="B33" i="5"/>
  <c r="T33" i="5"/>
  <c r="U33" i="5" s="1"/>
  <c r="Q33" i="5"/>
  <c r="R33" i="5"/>
  <c r="S33" i="5"/>
  <c r="B34" i="5"/>
  <c r="T34" i="5"/>
  <c r="U34" i="5" s="1"/>
  <c r="Q34" i="5"/>
  <c r="R34" i="5"/>
  <c r="S34" i="5"/>
  <c r="B35" i="5"/>
  <c r="T35" i="5"/>
  <c r="U35" i="5" s="1"/>
  <c r="Q35" i="5"/>
  <c r="S35" i="5"/>
  <c r="B36" i="5"/>
  <c r="T36" i="5"/>
  <c r="U36" i="5" s="1"/>
  <c r="Q36" i="5"/>
  <c r="R36" i="5"/>
  <c r="S36" i="5"/>
  <c r="B37" i="5"/>
  <c r="T37" i="5"/>
  <c r="U37" i="5" s="1"/>
  <c r="Q37" i="5"/>
  <c r="R37" i="5"/>
  <c r="S37" i="5"/>
  <c r="B38" i="5"/>
  <c r="T38" i="5"/>
  <c r="U38" i="5" s="1"/>
  <c r="Q38" i="5"/>
  <c r="R38" i="5"/>
  <c r="S38" i="5"/>
  <c r="B39" i="5"/>
  <c r="T39" i="5"/>
  <c r="U39" i="5" s="1"/>
  <c r="Q39" i="5"/>
  <c r="R39" i="5"/>
  <c r="S39" i="5"/>
  <c r="B40" i="5"/>
  <c r="T40" i="5"/>
  <c r="U40" i="5" s="1"/>
  <c r="Q40" i="5"/>
  <c r="R40" i="5"/>
  <c r="S40" i="5"/>
  <c r="B41" i="5"/>
  <c r="T41" i="5"/>
  <c r="U41" i="5" s="1"/>
  <c r="Q41" i="5"/>
  <c r="R41" i="5"/>
  <c r="S41" i="5"/>
  <c r="B42" i="5"/>
  <c r="T42" i="5"/>
  <c r="U42" i="5" s="1"/>
  <c r="Q42" i="5"/>
  <c r="S42" i="5"/>
  <c r="B43" i="5"/>
  <c r="T43" i="5"/>
  <c r="U43" i="5" s="1"/>
  <c r="Q43" i="5"/>
  <c r="R43" i="5"/>
  <c r="S43" i="5"/>
  <c r="B44" i="5"/>
  <c r="T44" i="5"/>
  <c r="U44" i="5" s="1"/>
  <c r="Q44" i="5"/>
  <c r="R44" i="5"/>
  <c r="S44" i="5"/>
  <c r="B45" i="5"/>
  <c r="Q45" i="5"/>
  <c r="R45" i="5"/>
  <c r="S45" i="5"/>
  <c r="B46" i="5"/>
  <c r="T46" i="5"/>
  <c r="U46" i="5" s="1"/>
  <c r="Q46" i="5"/>
  <c r="R46" i="5"/>
  <c r="S46" i="5"/>
  <c r="B47" i="5"/>
  <c r="T47" i="5"/>
  <c r="U47" i="5" s="1"/>
  <c r="Q47" i="5"/>
  <c r="R47" i="5"/>
  <c r="S47" i="5"/>
  <c r="B48" i="5"/>
  <c r="T48" i="5"/>
  <c r="U48" i="5" s="1"/>
  <c r="Q48" i="5"/>
  <c r="R48" i="5"/>
  <c r="S48" i="5"/>
  <c r="B49" i="5"/>
  <c r="T49" i="5"/>
  <c r="U49" i="5" s="1"/>
  <c r="Q49" i="5"/>
  <c r="S49" i="5"/>
  <c r="B50" i="5"/>
  <c r="T50" i="5"/>
  <c r="U50" i="5" s="1"/>
  <c r="Q50" i="5"/>
  <c r="R50" i="5"/>
  <c r="S50" i="5"/>
  <c r="B51" i="5"/>
  <c r="Q51" i="5"/>
  <c r="R51" i="5"/>
  <c r="S51" i="5"/>
  <c r="B52" i="5"/>
  <c r="T52" i="5"/>
  <c r="U52" i="5" s="1"/>
  <c r="Q52" i="5"/>
  <c r="R52" i="5"/>
  <c r="S52" i="5"/>
  <c r="B53" i="5"/>
  <c r="T53" i="5"/>
  <c r="U53" i="5" s="1"/>
  <c r="Q53" i="5"/>
  <c r="R53" i="5"/>
  <c r="S53" i="5"/>
  <c r="B54" i="5"/>
  <c r="Q54" i="5"/>
  <c r="R54" i="5"/>
  <c r="S54" i="5"/>
  <c r="T54" i="5"/>
  <c r="U54" i="5" s="1"/>
  <c r="B55" i="5"/>
  <c r="T55" i="5"/>
  <c r="U55" i="5" s="1"/>
  <c r="Q55" i="5"/>
  <c r="R55" i="5"/>
  <c r="S55" i="5"/>
  <c r="B56" i="5"/>
  <c r="T56" i="5"/>
  <c r="U56" i="5" s="1"/>
  <c r="Q56" i="5"/>
  <c r="S56" i="5"/>
  <c r="B57" i="5"/>
  <c r="T57" i="5"/>
  <c r="U57" i="5" s="1"/>
  <c r="Q57" i="5"/>
  <c r="R57" i="5"/>
  <c r="S57" i="5"/>
  <c r="B58" i="5"/>
  <c r="T58" i="5"/>
  <c r="U58" i="5" s="1"/>
  <c r="Q58" i="5"/>
  <c r="R58" i="5"/>
  <c r="S58" i="5"/>
  <c r="B59" i="5"/>
  <c r="T59" i="5"/>
  <c r="U59" i="5" s="1"/>
  <c r="Q59" i="5"/>
  <c r="R59" i="5"/>
  <c r="S59" i="5"/>
  <c r="B60" i="5"/>
  <c r="T60" i="5"/>
  <c r="U60" i="5" s="1"/>
  <c r="Q60" i="5"/>
  <c r="R60" i="5"/>
  <c r="S60" i="5"/>
  <c r="B61" i="5"/>
  <c r="Q61" i="5"/>
  <c r="R61" i="5"/>
  <c r="S61" i="5"/>
  <c r="T61" i="5"/>
  <c r="U61" i="5" s="1"/>
  <c r="B62" i="5"/>
  <c r="T62" i="5"/>
  <c r="U62" i="5" s="1"/>
  <c r="Q62" i="5"/>
  <c r="R62" i="5"/>
  <c r="S62" i="5"/>
  <c r="B63" i="5"/>
  <c r="T63" i="5"/>
  <c r="U63" i="5" s="1"/>
  <c r="Q63" i="5"/>
  <c r="S63" i="5"/>
  <c r="B64" i="5"/>
  <c r="T64" i="5"/>
  <c r="U64" i="5" s="1"/>
  <c r="Q64" i="5"/>
  <c r="R64" i="5"/>
  <c r="S64" i="5"/>
  <c r="B65" i="5"/>
  <c r="T65" i="5"/>
  <c r="U65" i="5" s="1"/>
  <c r="Q65" i="5"/>
  <c r="R65" i="5"/>
  <c r="S65" i="5"/>
  <c r="B66" i="5"/>
  <c r="T66" i="5"/>
  <c r="U66" i="5" s="1"/>
  <c r="Q66" i="5"/>
  <c r="R66" i="5"/>
  <c r="S66" i="5"/>
  <c r="B67" i="5"/>
  <c r="T67" i="5"/>
  <c r="U67" i="5" s="1"/>
  <c r="Q67" i="5"/>
  <c r="R67" i="5"/>
  <c r="S67" i="5"/>
  <c r="B68" i="5"/>
  <c r="T68" i="5"/>
  <c r="U68" i="5" s="1"/>
  <c r="Q68" i="5"/>
  <c r="R68" i="5"/>
  <c r="S68" i="5"/>
  <c r="B69" i="5"/>
  <c r="Q69" i="5"/>
  <c r="R69" i="5"/>
  <c r="S69" i="5"/>
  <c r="T69" i="5"/>
  <c r="U69" i="5" s="1"/>
  <c r="B70" i="5"/>
  <c r="T70" i="5"/>
  <c r="U70" i="5" s="1"/>
  <c r="Q70" i="5"/>
  <c r="S70" i="5"/>
  <c r="B71" i="5"/>
  <c r="T71" i="5"/>
  <c r="U71" i="5" s="1"/>
  <c r="Q71" i="5"/>
  <c r="R71" i="5"/>
  <c r="S71" i="5"/>
  <c r="B72" i="5"/>
  <c r="T72" i="5"/>
  <c r="U72" i="5" s="1"/>
  <c r="Q72" i="5"/>
  <c r="R72" i="5"/>
  <c r="S72" i="5"/>
  <c r="B73" i="5"/>
  <c r="T73" i="5"/>
  <c r="U73" i="5" s="1"/>
  <c r="Q73" i="5"/>
  <c r="R73" i="5"/>
  <c r="S73" i="5"/>
  <c r="B74" i="5"/>
  <c r="T74" i="5"/>
  <c r="U74" i="5" s="1"/>
  <c r="Q74" i="5"/>
  <c r="R74" i="5"/>
  <c r="S74" i="5"/>
  <c r="B75" i="5"/>
  <c r="T75" i="5"/>
  <c r="U75" i="5" s="1"/>
  <c r="Q75" i="5"/>
  <c r="R75" i="5"/>
  <c r="S75" i="5"/>
  <c r="B76" i="5"/>
  <c r="T76" i="5"/>
  <c r="U76" i="5" s="1"/>
  <c r="Q76" i="5"/>
  <c r="R76" i="5"/>
  <c r="S76" i="5"/>
  <c r="B77" i="5"/>
  <c r="T77" i="5"/>
  <c r="U77" i="5" s="1"/>
  <c r="Q77" i="5"/>
  <c r="S77" i="5"/>
  <c r="B78" i="5"/>
  <c r="T78" i="5"/>
  <c r="U78" i="5" s="1"/>
  <c r="Q78" i="5"/>
  <c r="R78" i="5"/>
  <c r="S78" i="5"/>
  <c r="B79" i="5"/>
  <c r="T79" i="5"/>
  <c r="U79" i="5" s="1"/>
  <c r="Q79" i="5"/>
  <c r="R79" i="5"/>
  <c r="S79" i="5"/>
  <c r="B80" i="5"/>
  <c r="T80" i="5"/>
  <c r="U80" i="5" s="1"/>
  <c r="Q80" i="5"/>
  <c r="R80" i="5"/>
  <c r="S80" i="5"/>
  <c r="B81" i="5"/>
  <c r="T81" i="5"/>
  <c r="U81" i="5" s="1"/>
  <c r="Q81" i="5"/>
  <c r="R81" i="5"/>
  <c r="S81" i="5"/>
  <c r="B82" i="5"/>
  <c r="T82" i="5"/>
  <c r="U82" i="5" s="1"/>
  <c r="Q82" i="5"/>
  <c r="R82" i="5"/>
  <c r="S82" i="5"/>
  <c r="B83" i="5"/>
  <c r="T83" i="5"/>
  <c r="U83" i="5" s="1"/>
  <c r="Q83" i="5"/>
  <c r="R83" i="5"/>
  <c r="S83" i="5"/>
  <c r="B84" i="5"/>
  <c r="T84" i="5"/>
  <c r="U84" i="5" s="1"/>
  <c r="Q84" i="5"/>
  <c r="S84" i="5"/>
  <c r="B85" i="5"/>
  <c r="T85" i="5"/>
  <c r="U85" i="5" s="1"/>
  <c r="Q85" i="5"/>
  <c r="R85" i="5"/>
  <c r="S85" i="5"/>
  <c r="B86" i="5"/>
  <c r="T86" i="5"/>
  <c r="U86" i="5" s="1"/>
  <c r="Q86" i="5"/>
  <c r="R86" i="5"/>
  <c r="S86" i="5"/>
  <c r="B87" i="5"/>
  <c r="T87" i="5"/>
  <c r="U87" i="5" s="1"/>
  <c r="Q87" i="5"/>
  <c r="R87" i="5"/>
  <c r="S87" i="5"/>
  <c r="B88" i="5"/>
  <c r="T88" i="5"/>
  <c r="U88" i="5" s="1"/>
  <c r="Q88" i="5"/>
  <c r="R88" i="5"/>
  <c r="S88" i="5"/>
  <c r="B89" i="5"/>
  <c r="T89" i="5"/>
  <c r="U89" i="5" s="1"/>
  <c r="Q89" i="5"/>
  <c r="R89" i="5"/>
  <c r="S89" i="5"/>
  <c r="B90" i="5"/>
  <c r="T90" i="5"/>
  <c r="U90" i="5" s="1"/>
  <c r="Q90" i="5"/>
  <c r="R90" i="5"/>
  <c r="S90" i="5"/>
  <c r="B91" i="5"/>
  <c r="T91" i="5"/>
  <c r="U91" i="5" s="1"/>
  <c r="Q91" i="5"/>
  <c r="S91" i="5"/>
  <c r="B92" i="5"/>
  <c r="Q92" i="5"/>
  <c r="S92" i="5"/>
  <c r="B93" i="5"/>
  <c r="Q93" i="5"/>
  <c r="S93" i="5"/>
  <c r="U6" i="5"/>
  <c r="U92" i="5"/>
  <c r="U7" i="5"/>
  <c r="U93" i="5"/>
  <c r="H35" i="1"/>
  <c r="H36" i="1" s="1"/>
  <c r="F33" i="1"/>
  <c r="F32" i="1"/>
  <c r="F31" i="1"/>
  <c r="H29" i="1"/>
  <c r="K46" i="4" l="1"/>
  <c r="K35" i="4"/>
  <c r="K44" i="4"/>
  <c r="L93" i="4"/>
  <c r="K31" i="4"/>
  <c r="K114" i="4"/>
  <c r="L105" i="4"/>
  <c r="K87" i="4"/>
  <c r="K49" i="4"/>
  <c r="K37" i="4"/>
  <c r="K102" i="4"/>
  <c r="L45" i="4"/>
  <c r="L47" i="4"/>
  <c r="L36" i="4"/>
  <c r="K101" i="4"/>
  <c r="K56" i="4"/>
  <c r="L111" i="4"/>
  <c r="L99" i="4"/>
  <c r="K58" i="4"/>
  <c r="K91" i="4"/>
  <c r="K110" i="4"/>
  <c r="K98" i="4"/>
  <c r="L54" i="4"/>
  <c r="L53" i="4"/>
  <c r="K113" i="4"/>
  <c r="L100" i="4"/>
  <c r="K96" i="4"/>
  <c r="K108" i="4"/>
  <c r="K50" i="4"/>
  <c r="K38" i="4"/>
  <c r="D28" i="2"/>
  <c r="J26" i="2"/>
  <c r="D29" i="2"/>
  <c r="J28" i="2"/>
  <c r="D12" i="2"/>
  <c r="J27" i="2"/>
  <c r="J12" i="2"/>
  <c r="J15" i="2"/>
  <c r="D13" i="2"/>
  <c r="J29" i="2"/>
  <c r="D14" i="2"/>
  <c r="D15" i="2"/>
  <c r="D27" i="2"/>
  <c r="J14" i="2"/>
  <c r="J13" i="2"/>
  <c r="C26" i="2"/>
  <c r="I13" i="2"/>
  <c r="C13" i="2"/>
  <c r="I27" i="2"/>
  <c r="I14" i="2"/>
  <c r="C14" i="2"/>
  <c r="C12" i="2"/>
  <c r="I12" i="2"/>
  <c r="I15" i="2"/>
  <c r="I29" i="2"/>
  <c r="C29" i="2"/>
  <c r="C27" i="2"/>
  <c r="C15" i="2"/>
  <c r="D40" i="1"/>
  <c r="L31" i="4"/>
  <c r="C28" i="2"/>
  <c r="I28" i="2"/>
  <c r="I26" i="2"/>
  <c r="D26" i="2"/>
  <c r="L56" i="4"/>
  <c r="L58" i="4"/>
  <c r="L38" i="4"/>
  <c r="L50" i="4"/>
  <c r="L96" i="4"/>
  <c r="L46" i="4"/>
  <c r="L113" i="4"/>
  <c r="L110" i="4"/>
  <c r="L102" i="4"/>
  <c r="L91" i="4"/>
  <c r="K34" i="4"/>
  <c r="L34" i="4"/>
  <c r="K94" i="4"/>
  <c r="L94" i="4"/>
  <c r="L49" i="4"/>
  <c r="L37" i="4"/>
  <c r="L101" i="4"/>
  <c r="L44" i="4"/>
  <c r="L103" i="4"/>
  <c r="K103" i="4"/>
  <c r="L57" i="4"/>
  <c r="K57" i="4"/>
  <c r="L112" i="4"/>
  <c r="K112" i="4"/>
  <c r="K42" i="4"/>
  <c r="L42" i="4"/>
  <c r="L109" i="4"/>
  <c r="K109" i="4"/>
  <c r="L51" i="4"/>
  <c r="K51" i="4"/>
  <c r="L97" i="4"/>
  <c r="K97" i="4"/>
  <c r="L90" i="4"/>
  <c r="K90" i="4"/>
  <c r="L39" i="4"/>
  <c r="K39" i="4"/>
  <c r="L106" i="4"/>
  <c r="K106" i="4"/>
  <c r="K89" i="4"/>
  <c r="L89" i="4"/>
  <c r="L48" i="4"/>
  <c r="K48" i="4"/>
  <c r="K88" i="4"/>
  <c r="L88" i="4"/>
  <c r="L108" i="4"/>
  <c r="L87" i="4"/>
  <c r="K100" i="4"/>
  <c r="K45" i="4"/>
  <c r="K99" i="4"/>
  <c r="K93" i="4"/>
  <c r="K36" i="4"/>
  <c r="L98" i="4"/>
  <c r="K107" i="4"/>
  <c r="L107" i="4"/>
  <c r="K95" i="4"/>
  <c r="L95" i="4"/>
  <c r="K54" i="4"/>
  <c r="L41" i="4"/>
  <c r="K41" i="4"/>
  <c r="K53" i="4"/>
  <c r="K47" i="4"/>
  <c r="L40" i="4"/>
  <c r="K40" i="4"/>
  <c r="L35" i="4"/>
  <c r="K111" i="4"/>
  <c r="K105" i="4"/>
  <c r="L114" i="4"/>
  <c r="L52" i="4"/>
  <c r="K52" i="4"/>
  <c r="L104" i="4"/>
  <c r="K104" i="4"/>
  <c r="L33" i="4"/>
  <c r="K33" i="4"/>
  <c r="L92" i="4"/>
  <c r="K92" i="4"/>
  <c r="L32" i="4"/>
  <c r="K32" i="4"/>
  <c r="K43" i="4"/>
  <c r="L43" i="4"/>
  <c r="K55" i="4"/>
  <c r="L55" i="4"/>
  <c r="O5" i="2" l="1"/>
  <c r="H30" i="1"/>
  <c r="H31" i="1" l="1"/>
  <c r="H37" i="1"/>
  <c r="E26" i="2"/>
  <c r="E15" i="2"/>
  <c r="E29" i="2"/>
  <c r="K13" i="2"/>
  <c r="K15" i="2"/>
  <c r="K27" i="2"/>
  <c r="K12" i="2"/>
  <c r="K29" i="2"/>
  <c r="E13" i="2"/>
  <c r="E14" i="2"/>
  <c r="E12" i="2"/>
  <c r="E27" i="2"/>
  <c r="K14" i="2"/>
  <c r="K26" i="2"/>
  <c r="K28" i="2"/>
  <c r="E28" i="2"/>
  <c r="L13" i="2" l="1"/>
  <c r="K20" i="2"/>
  <c r="I20" i="2"/>
  <c r="J20" i="2"/>
  <c r="C36" i="2"/>
  <c r="E36" i="2"/>
  <c r="F29" i="2"/>
  <c r="D36" i="2"/>
  <c r="E22" i="2"/>
  <c r="F15" i="2"/>
  <c r="D22" i="2"/>
  <c r="C22" i="2"/>
  <c r="K21" i="2"/>
  <c r="J21" i="2"/>
  <c r="L14" i="2"/>
  <c r="I21" i="2"/>
  <c r="H39" i="1"/>
  <c r="H38" i="1"/>
  <c r="E19" i="2"/>
  <c r="C19" i="2"/>
  <c r="D19" i="2"/>
  <c r="F12" i="2"/>
  <c r="F14" i="2"/>
  <c r="E21" i="2"/>
  <c r="D21" i="2"/>
  <c r="C21" i="2"/>
  <c r="E20" i="2"/>
  <c r="C20" i="2"/>
  <c r="D20" i="2"/>
  <c r="F13" i="2"/>
  <c r="E35" i="2"/>
  <c r="F28" i="2"/>
  <c r="D35" i="2"/>
  <c r="L53" i="1" s="1"/>
  <c r="C35" i="2"/>
  <c r="L26" i="2"/>
  <c r="K33" i="2"/>
  <c r="J33" i="2"/>
  <c r="I33" i="2"/>
  <c r="E34" i="2"/>
  <c r="F27" i="2"/>
  <c r="C34" i="2"/>
  <c r="D34" i="2"/>
  <c r="L27" i="2"/>
  <c r="K34" i="2"/>
  <c r="J34" i="2"/>
  <c r="I34" i="2"/>
  <c r="K35" i="2"/>
  <c r="L60" i="1" s="1"/>
  <c r="I35" i="2"/>
  <c r="L28" i="2"/>
  <c r="J35" i="2"/>
  <c r="E33" i="2"/>
  <c r="F26" i="2"/>
  <c r="D33" i="2"/>
  <c r="C33" i="2"/>
  <c r="J36" i="2"/>
  <c r="K36" i="2"/>
  <c r="L29" i="2"/>
  <c r="I36" i="2"/>
  <c r="L12" i="2"/>
  <c r="K19" i="2"/>
  <c r="J19" i="2"/>
  <c r="I19" i="2"/>
  <c r="K22" i="2"/>
  <c r="I22" i="2"/>
  <c r="J22" i="2"/>
  <c r="L15" i="2"/>
  <c r="L56" i="1" l="1"/>
  <c r="L33" i="1"/>
  <c r="G97" i="4" s="1"/>
  <c r="H97" i="4" s="1"/>
  <c r="O97" i="4" s="1"/>
  <c r="L40" i="1"/>
  <c r="L29" i="1"/>
  <c r="G68" i="4" s="1"/>
  <c r="H68" i="4" s="1"/>
  <c r="J68" i="4" s="1"/>
  <c r="L59" i="1"/>
  <c r="L46" i="1"/>
  <c r="L49" i="1"/>
  <c r="L35" i="1"/>
  <c r="G57" i="4" s="1"/>
  <c r="H57" i="4" s="1"/>
  <c r="O57" i="4" s="1"/>
  <c r="L50" i="1"/>
  <c r="L48" i="1"/>
  <c r="L51" i="1"/>
  <c r="L41" i="1"/>
  <c r="L55" i="1"/>
  <c r="L43" i="1"/>
  <c r="L44" i="1"/>
  <c r="L57" i="1"/>
  <c r="L45" i="1"/>
  <c r="L58" i="1"/>
  <c r="L31" i="1"/>
  <c r="L42" i="1"/>
  <c r="L47" i="1"/>
  <c r="L52" i="1"/>
  <c r="L38" i="1"/>
  <c r="L37" i="1"/>
  <c r="L54" i="1"/>
  <c r="L39" i="1"/>
  <c r="G44" i="4" l="1"/>
  <c r="H44" i="4" s="1"/>
  <c r="P44" i="4" s="1"/>
  <c r="G43" i="4"/>
  <c r="H43" i="4" s="1"/>
  <c r="G99" i="4"/>
  <c r="H99" i="4" s="1"/>
  <c r="G41" i="4"/>
  <c r="H41" i="4" s="1"/>
  <c r="G108" i="4"/>
  <c r="H108" i="4" s="1"/>
  <c r="G109" i="4"/>
  <c r="H109" i="4" s="1"/>
  <c r="L68" i="4"/>
  <c r="O68" i="4" s="1"/>
  <c r="K68" i="4"/>
  <c r="N68" i="4" s="1"/>
  <c r="L32" i="1"/>
  <c r="G31" i="4" s="1"/>
  <c r="H31" i="4" s="1"/>
  <c r="O31" i="4" s="1"/>
  <c r="G38" i="4"/>
  <c r="H38" i="4" s="1"/>
  <c r="G113" i="4"/>
  <c r="H113" i="4" s="1"/>
  <c r="G53" i="4"/>
  <c r="H53" i="4" s="1"/>
  <c r="G12" i="4"/>
  <c r="H12" i="4" s="1"/>
  <c r="J12" i="4" s="1"/>
  <c r="G10" i="4"/>
  <c r="H10" i="4" s="1"/>
  <c r="J10" i="4" s="1"/>
  <c r="G14" i="4"/>
  <c r="H14" i="4" s="1"/>
  <c r="G69" i="4"/>
  <c r="H69" i="4" s="1"/>
  <c r="G94" i="4"/>
  <c r="H94" i="4" s="1"/>
  <c r="G40" i="4"/>
  <c r="H40" i="4" s="1"/>
  <c r="L28" i="1"/>
  <c r="G64" i="4" s="1"/>
  <c r="H64" i="4" s="1"/>
  <c r="J64" i="4" s="1"/>
  <c r="G100" i="4"/>
  <c r="H100" i="4" s="1"/>
  <c r="G42" i="4"/>
  <c r="H42" i="4" s="1"/>
  <c r="G98" i="4"/>
  <c r="H98" i="4" s="1"/>
  <c r="G95" i="4"/>
  <c r="H95" i="4" s="1"/>
  <c r="G71" i="4"/>
  <c r="H71" i="4" s="1"/>
  <c r="P71" i="4" s="1"/>
  <c r="G13" i="4"/>
  <c r="H13" i="4" s="1"/>
  <c r="G72" i="4"/>
  <c r="H72" i="4" s="1"/>
  <c r="G96" i="4"/>
  <c r="H96" i="4" s="1"/>
  <c r="G70" i="4"/>
  <c r="H70" i="4" s="1"/>
  <c r="G39" i="4"/>
  <c r="H39" i="4" s="1"/>
  <c r="G15" i="4"/>
  <c r="H15" i="4" s="1"/>
  <c r="G58" i="4"/>
  <c r="H58" i="4" s="1"/>
  <c r="G67" i="4"/>
  <c r="H67" i="4" s="1"/>
  <c r="G66" i="4"/>
  <c r="H66" i="4" s="1"/>
  <c r="G11" i="4"/>
  <c r="H11" i="4" s="1"/>
  <c r="G16" i="4"/>
  <c r="H16" i="4" s="1"/>
  <c r="L34" i="1"/>
  <c r="G102" i="4" s="1"/>
  <c r="H102" i="4" s="1"/>
  <c r="O102" i="4" s="1"/>
  <c r="G110" i="4"/>
  <c r="H110" i="4" s="1"/>
  <c r="G112" i="4"/>
  <c r="H112" i="4" s="1"/>
  <c r="G55" i="4"/>
  <c r="H55" i="4" s="1"/>
  <c r="G52" i="4"/>
  <c r="H52" i="4" s="1"/>
  <c r="G56" i="4"/>
  <c r="H56" i="4" s="1"/>
  <c r="G114" i="4"/>
  <c r="H114" i="4" s="1"/>
  <c r="G111" i="4"/>
  <c r="H111" i="4" s="1"/>
  <c r="G54" i="4"/>
  <c r="H54" i="4" s="1"/>
  <c r="P97" i="4"/>
  <c r="N97" i="4"/>
  <c r="P57" i="4"/>
  <c r="N57" i="4"/>
  <c r="G85" i="4"/>
  <c r="H85" i="4" s="1"/>
  <c r="J85" i="4" s="1"/>
  <c r="G81" i="4"/>
  <c r="H81" i="4" s="1"/>
  <c r="J81" i="4" s="1"/>
  <c r="G26" i="4"/>
  <c r="H26" i="4" s="1"/>
  <c r="J26" i="4" s="1"/>
  <c r="G25" i="4"/>
  <c r="H25" i="4" s="1"/>
  <c r="J25" i="4" s="1"/>
  <c r="G80" i="4"/>
  <c r="H80" i="4" s="1"/>
  <c r="J80" i="4" s="1"/>
  <c r="G84" i="4"/>
  <c r="H84" i="4" s="1"/>
  <c r="J84" i="4" s="1"/>
  <c r="G24" i="4"/>
  <c r="H24" i="4" s="1"/>
  <c r="J24" i="4" s="1"/>
  <c r="G86" i="4"/>
  <c r="H86" i="4" s="1"/>
  <c r="J86" i="4" s="1"/>
  <c r="G82" i="4"/>
  <c r="H82" i="4" s="1"/>
  <c r="J82" i="4" s="1"/>
  <c r="G27" i="4"/>
  <c r="H27" i="4" s="1"/>
  <c r="J27" i="4" s="1"/>
  <c r="G29" i="4"/>
  <c r="H29" i="4" s="1"/>
  <c r="J29" i="4" s="1"/>
  <c r="G30" i="4"/>
  <c r="H30" i="4" s="1"/>
  <c r="J30" i="4" s="1"/>
  <c r="L30" i="1"/>
  <c r="G28" i="4"/>
  <c r="H28" i="4" s="1"/>
  <c r="J28" i="4" s="1"/>
  <c r="G83" i="4"/>
  <c r="H83" i="4" s="1"/>
  <c r="J83" i="4" s="1"/>
  <c r="P68" i="4"/>
  <c r="N56" i="4" l="1"/>
  <c r="O56" i="4"/>
  <c r="P55" i="4"/>
  <c r="O55" i="4"/>
  <c r="N53" i="4"/>
  <c r="O53" i="4"/>
  <c r="P95" i="4"/>
  <c r="O95" i="4"/>
  <c r="P113" i="4"/>
  <c r="O113" i="4"/>
  <c r="P98" i="4"/>
  <c r="O98" i="4"/>
  <c r="N38" i="4"/>
  <c r="O38" i="4"/>
  <c r="P39" i="4"/>
  <c r="O39" i="4"/>
  <c r="P99" i="4"/>
  <c r="O99" i="4"/>
  <c r="P42" i="4"/>
  <c r="O42" i="4"/>
  <c r="P54" i="4"/>
  <c r="O54" i="4"/>
  <c r="P100" i="4"/>
  <c r="O100" i="4"/>
  <c r="P94" i="4"/>
  <c r="O94" i="4"/>
  <c r="P111" i="4"/>
  <c r="O111" i="4"/>
  <c r="N58" i="4"/>
  <c r="O58" i="4"/>
  <c r="N114" i="4"/>
  <c r="O114" i="4"/>
  <c r="P40" i="4"/>
  <c r="O40" i="4"/>
  <c r="P109" i="4"/>
  <c r="O109" i="4"/>
  <c r="N52" i="4"/>
  <c r="O52" i="4"/>
  <c r="N41" i="4"/>
  <c r="O41" i="4"/>
  <c r="N108" i="4"/>
  <c r="O108" i="4"/>
  <c r="N96" i="4"/>
  <c r="O96" i="4"/>
  <c r="P112" i="4"/>
  <c r="O112" i="4"/>
  <c r="P43" i="4"/>
  <c r="O43" i="4"/>
  <c r="N110" i="4"/>
  <c r="O110" i="4"/>
  <c r="N44" i="4"/>
  <c r="O44" i="4"/>
  <c r="N109" i="4"/>
  <c r="G92" i="4"/>
  <c r="H92" i="4" s="1"/>
  <c r="G34" i="4"/>
  <c r="H34" i="4" s="1"/>
  <c r="G93" i="4"/>
  <c r="H93" i="4" s="1"/>
  <c r="P53" i="4"/>
  <c r="P108" i="4"/>
  <c r="P41" i="4"/>
  <c r="N43" i="4"/>
  <c r="P38" i="4"/>
  <c r="N99" i="4"/>
  <c r="P12" i="4"/>
  <c r="G88" i="4"/>
  <c r="H88" i="4" s="1"/>
  <c r="G35" i="4"/>
  <c r="H35" i="4" s="1"/>
  <c r="G89" i="4"/>
  <c r="H89" i="4" s="1"/>
  <c r="G33" i="4"/>
  <c r="H33" i="4" s="1"/>
  <c r="G90" i="4"/>
  <c r="H90" i="4" s="1"/>
  <c r="P10" i="4"/>
  <c r="G32" i="4"/>
  <c r="H32" i="4" s="1"/>
  <c r="K83" i="4"/>
  <c r="N83" i="4" s="1"/>
  <c r="L83" i="4"/>
  <c r="O83" i="4" s="1"/>
  <c r="K26" i="4"/>
  <c r="N26" i="4" s="1"/>
  <c r="L26" i="4"/>
  <c r="O26" i="4" s="1"/>
  <c r="P15" i="4"/>
  <c r="J15" i="4"/>
  <c r="L25" i="4"/>
  <c r="O25" i="4" s="1"/>
  <c r="K25" i="4"/>
  <c r="N25" i="4" s="1"/>
  <c r="L85" i="4"/>
  <c r="O85" i="4" s="1"/>
  <c r="K85" i="4"/>
  <c r="N85" i="4" s="1"/>
  <c r="P70" i="4"/>
  <c r="J70" i="4"/>
  <c r="J69" i="4"/>
  <c r="K64" i="4"/>
  <c r="N64" i="4" s="1"/>
  <c r="L64" i="4"/>
  <c r="O64" i="4" s="1"/>
  <c r="K30" i="4"/>
  <c r="N30" i="4" s="1"/>
  <c r="L30" i="4"/>
  <c r="O30" i="4" s="1"/>
  <c r="K29" i="4"/>
  <c r="N29" i="4" s="1"/>
  <c r="L29" i="4"/>
  <c r="O29" i="4" s="1"/>
  <c r="J72" i="4"/>
  <c r="K10" i="4"/>
  <c r="N10" i="4" s="1"/>
  <c r="L10" i="4"/>
  <c r="O10" i="4" s="1"/>
  <c r="K81" i="4"/>
  <c r="N81" i="4" s="1"/>
  <c r="L81" i="4"/>
  <c r="O81" i="4" s="1"/>
  <c r="P14" i="4"/>
  <c r="J14" i="4"/>
  <c r="J13" i="4"/>
  <c r="L12" i="4"/>
  <c r="O12" i="4" s="1"/>
  <c r="K12" i="4"/>
  <c r="N12" i="4" s="1"/>
  <c r="K27" i="4"/>
  <c r="N27" i="4" s="1"/>
  <c r="L27" i="4"/>
  <c r="O27" i="4" s="1"/>
  <c r="L82" i="4"/>
  <c r="O82" i="4" s="1"/>
  <c r="K82" i="4"/>
  <c r="N82" i="4" s="1"/>
  <c r="J71" i="4"/>
  <c r="K28" i="4"/>
  <c r="N28" i="4" s="1"/>
  <c r="L28" i="4"/>
  <c r="O28" i="4" s="1"/>
  <c r="L86" i="4"/>
  <c r="O86" i="4" s="1"/>
  <c r="K86" i="4"/>
  <c r="N86" i="4" s="1"/>
  <c r="P16" i="4"/>
  <c r="J16" i="4"/>
  <c r="K24" i="4"/>
  <c r="N24" i="4" s="1"/>
  <c r="L24" i="4"/>
  <c r="O24" i="4" s="1"/>
  <c r="J11" i="4"/>
  <c r="K84" i="4"/>
  <c r="N84" i="4" s="1"/>
  <c r="L84" i="4"/>
  <c r="O84" i="4" s="1"/>
  <c r="G65" i="4"/>
  <c r="H65" i="4" s="1"/>
  <c r="J65" i="4" s="1"/>
  <c r="P66" i="4"/>
  <c r="J66" i="4"/>
  <c r="K80" i="4"/>
  <c r="N80" i="4" s="1"/>
  <c r="L80" i="4"/>
  <c r="O80" i="4" s="1"/>
  <c r="P67" i="4"/>
  <c r="J67" i="4"/>
  <c r="N98" i="4"/>
  <c r="G37" i="4"/>
  <c r="H37" i="4" s="1"/>
  <c r="G87" i="4"/>
  <c r="H87" i="4" s="1"/>
  <c r="G3" i="4"/>
  <c r="H3" i="4" s="1"/>
  <c r="N40" i="4"/>
  <c r="P58" i="4"/>
  <c r="G8" i="4"/>
  <c r="H8" i="4" s="1"/>
  <c r="J8" i="4" s="1"/>
  <c r="P11" i="4"/>
  <c r="G4" i="4"/>
  <c r="H4" i="4" s="1"/>
  <c r="J4" i="4" s="1"/>
  <c r="G36" i="4"/>
  <c r="H36" i="4" s="1"/>
  <c r="G61" i="4"/>
  <c r="H61" i="4" s="1"/>
  <c r="J61" i="4" s="1"/>
  <c r="N113" i="4"/>
  <c r="G91" i="4"/>
  <c r="H91" i="4" s="1"/>
  <c r="G63" i="4"/>
  <c r="H63" i="4" s="1"/>
  <c r="G59" i="4"/>
  <c r="H59" i="4" s="1"/>
  <c r="J59" i="4" s="1"/>
  <c r="N95" i="4"/>
  <c r="G9" i="4"/>
  <c r="H9" i="4" s="1"/>
  <c r="J9" i="4" s="1"/>
  <c r="G101" i="4"/>
  <c r="H101" i="4" s="1"/>
  <c r="G103" i="4"/>
  <c r="H103" i="4" s="1"/>
  <c r="G51" i="4"/>
  <c r="H51" i="4" s="1"/>
  <c r="G47" i="4"/>
  <c r="H47" i="4" s="1"/>
  <c r="G46" i="4"/>
  <c r="H46" i="4" s="1"/>
  <c r="G6" i="4"/>
  <c r="H6" i="4" s="1"/>
  <c r="G106" i="4"/>
  <c r="H106" i="4" s="1"/>
  <c r="G50" i="4"/>
  <c r="H50" i="4" s="1"/>
  <c r="G60" i="4"/>
  <c r="H60" i="4" s="1"/>
  <c r="J60" i="4" s="1"/>
  <c r="P69" i="4"/>
  <c r="N42" i="4"/>
  <c r="N39" i="4"/>
  <c r="N94" i="4"/>
  <c r="N100" i="4"/>
  <c r="P52" i="4"/>
  <c r="P13" i="4"/>
  <c r="P56" i="4"/>
  <c r="P96" i="4"/>
  <c r="P72" i="4"/>
  <c r="G7" i="4"/>
  <c r="H7" i="4" s="1"/>
  <c r="G62" i="4"/>
  <c r="H62" i="4" s="1"/>
  <c r="G5" i="4"/>
  <c r="H5" i="4" s="1"/>
  <c r="N55" i="4"/>
  <c r="N112" i="4"/>
  <c r="P114" i="4"/>
  <c r="G107" i="4"/>
  <c r="H107" i="4" s="1"/>
  <c r="G48" i="4"/>
  <c r="H48" i="4" s="1"/>
  <c r="G105" i="4"/>
  <c r="H105" i="4" s="1"/>
  <c r="G49" i="4"/>
  <c r="H49" i="4" s="1"/>
  <c r="N54" i="4"/>
  <c r="N111" i="4"/>
  <c r="P110" i="4"/>
  <c r="G104" i="4"/>
  <c r="H104" i="4" s="1"/>
  <c r="G45" i="4"/>
  <c r="H45" i="4" s="1"/>
  <c r="P30" i="4"/>
  <c r="P29" i="4"/>
  <c r="P93" i="4"/>
  <c r="P82" i="4"/>
  <c r="N31" i="4"/>
  <c r="P31" i="4"/>
  <c r="P84" i="4"/>
  <c r="P80" i="4"/>
  <c r="P102" i="4"/>
  <c r="N102" i="4"/>
  <c r="P86" i="4"/>
  <c r="P24" i="4"/>
  <c r="P25" i="4"/>
  <c r="P83" i="4"/>
  <c r="P26" i="4"/>
  <c r="P64" i="4"/>
  <c r="P28" i="4"/>
  <c r="P81" i="4"/>
  <c r="P27" i="4"/>
  <c r="G23" i="4"/>
  <c r="H23" i="4" s="1"/>
  <c r="J23" i="4" s="1"/>
  <c r="G21" i="4"/>
  <c r="H21" i="4" s="1"/>
  <c r="J21" i="4" s="1"/>
  <c r="G19" i="4"/>
  <c r="H19" i="4" s="1"/>
  <c r="J19" i="4" s="1"/>
  <c r="G74" i="4"/>
  <c r="H74" i="4" s="1"/>
  <c r="J74" i="4" s="1"/>
  <c r="G76" i="4"/>
  <c r="H76" i="4" s="1"/>
  <c r="J76" i="4" s="1"/>
  <c r="G22" i="4"/>
  <c r="H22" i="4" s="1"/>
  <c r="J22" i="4" s="1"/>
  <c r="G18" i="4"/>
  <c r="H18" i="4" s="1"/>
  <c r="J18" i="4" s="1"/>
  <c r="G79" i="4"/>
  <c r="H79" i="4" s="1"/>
  <c r="J79" i="4" s="1"/>
  <c r="G77" i="4"/>
  <c r="H77" i="4" s="1"/>
  <c r="J77" i="4" s="1"/>
  <c r="G73" i="4"/>
  <c r="H73" i="4" s="1"/>
  <c r="J73" i="4" s="1"/>
  <c r="G75" i="4"/>
  <c r="H75" i="4" s="1"/>
  <c r="J75" i="4" s="1"/>
  <c r="G17" i="4"/>
  <c r="H17" i="4" s="1"/>
  <c r="J17" i="4" s="1"/>
  <c r="G20" i="4"/>
  <c r="H20" i="4" s="1"/>
  <c r="J20" i="4" s="1"/>
  <c r="G78" i="4"/>
  <c r="H78" i="4" s="1"/>
  <c r="J78" i="4" s="1"/>
  <c r="P85" i="4"/>
  <c r="P49" i="4" l="1"/>
  <c r="O49" i="4"/>
  <c r="P46" i="4"/>
  <c r="O46" i="4"/>
  <c r="P36" i="4"/>
  <c r="O36" i="4"/>
  <c r="P48" i="4"/>
  <c r="O48" i="4"/>
  <c r="N107" i="4"/>
  <c r="O107" i="4"/>
  <c r="N103" i="4"/>
  <c r="O103" i="4"/>
  <c r="P105" i="4"/>
  <c r="O105" i="4"/>
  <c r="P101" i="4"/>
  <c r="O101" i="4"/>
  <c r="P90" i="4"/>
  <c r="O90" i="4"/>
  <c r="N93" i="4"/>
  <c r="O93" i="4"/>
  <c r="P51" i="4"/>
  <c r="O51" i="4"/>
  <c r="P32" i="4"/>
  <c r="O32" i="4"/>
  <c r="P33" i="4"/>
  <c r="O33" i="4"/>
  <c r="N34" i="4"/>
  <c r="O34" i="4"/>
  <c r="P89" i="4"/>
  <c r="O89" i="4"/>
  <c r="P92" i="4"/>
  <c r="O92" i="4"/>
  <c r="P35" i="4"/>
  <c r="O35" i="4"/>
  <c r="P87" i="4"/>
  <c r="O87" i="4"/>
  <c r="P104" i="4"/>
  <c r="O104" i="4"/>
  <c r="P88" i="4"/>
  <c r="O88" i="4"/>
  <c r="P45" i="4"/>
  <c r="O45" i="4"/>
  <c r="P37" i="4"/>
  <c r="O37" i="4"/>
  <c r="P50" i="4"/>
  <c r="O50" i="4"/>
  <c r="N91" i="4"/>
  <c r="O91" i="4"/>
  <c r="P47" i="4"/>
  <c r="O47" i="4"/>
  <c r="N106" i="4"/>
  <c r="O106" i="4"/>
  <c r="N92" i="4"/>
  <c r="P34" i="4"/>
  <c r="N88" i="4"/>
  <c r="N36" i="4"/>
  <c r="N33" i="4"/>
  <c r="P60" i="4"/>
  <c r="P4" i="4"/>
  <c r="N101" i="4"/>
  <c r="N90" i="4"/>
  <c r="N89" i="4"/>
  <c r="N87" i="4"/>
  <c r="N35" i="4"/>
  <c r="P103" i="4"/>
  <c r="P65" i="4"/>
  <c r="P59" i="4"/>
  <c r="N47" i="4"/>
  <c r="N32" i="4"/>
  <c r="J3" i="4"/>
  <c r="L3" i="4" s="1"/>
  <c r="N51" i="4"/>
  <c r="P9" i="4"/>
  <c r="L22" i="4"/>
  <c r="O22" i="4" s="1"/>
  <c r="K22" i="4"/>
  <c r="N22" i="4" s="1"/>
  <c r="K77" i="4"/>
  <c r="N77" i="4" s="1"/>
  <c r="L77" i="4"/>
  <c r="O77" i="4" s="1"/>
  <c r="P8" i="4"/>
  <c r="P63" i="4"/>
  <c r="J63" i="4"/>
  <c r="K11" i="4"/>
  <c r="N11" i="4" s="1"/>
  <c r="L11" i="4"/>
  <c r="O11" i="4" s="1"/>
  <c r="K70" i="4"/>
  <c r="N70" i="4" s="1"/>
  <c r="L70" i="4"/>
  <c r="O70" i="4" s="1"/>
  <c r="K18" i="4"/>
  <c r="N18" i="4" s="1"/>
  <c r="L18" i="4"/>
  <c r="O18" i="4" s="1"/>
  <c r="J6" i="4"/>
  <c r="K72" i="4"/>
  <c r="N72" i="4" s="1"/>
  <c r="L72" i="4"/>
  <c r="O72" i="4" s="1"/>
  <c r="K76" i="4"/>
  <c r="N76" i="4" s="1"/>
  <c r="L76" i="4"/>
  <c r="O76" i="4" s="1"/>
  <c r="K16" i="4"/>
  <c r="N16" i="4" s="1"/>
  <c r="L16" i="4"/>
  <c r="O16" i="4" s="1"/>
  <c r="K61" i="4"/>
  <c r="N61" i="4" s="1"/>
  <c r="L61" i="4"/>
  <c r="O61" i="4" s="1"/>
  <c r="K74" i="4"/>
  <c r="N74" i="4" s="1"/>
  <c r="L74" i="4"/>
  <c r="O74" i="4" s="1"/>
  <c r="K4" i="4"/>
  <c r="N4" i="4" s="1"/>
  <c r="L4" i="4"/>
  <c r="O4" i="4" s="1"/>
  <c r="K19" i="4"/>
  <c r="N19" i="4" s="1"/>
  <c r="L19" i="4"/>
  <c r="O19" i="4" s="1"/>
  <c r="L13" i="4"/>
  <c r="O13" i="4" s="1"/>
  <c r="K13" i="4"/>
  <c r="N13" i="4" s="1"/>
  <c r="K15" i="4"/>
  <c r="N15" i="4" s="1"/>
  <c r="L15" i="4"/>
  <c r="O15" i="4" s="1"/>
  <c r="K78" i="4"/>
  <c r="N78" i="4" s="1"/>
  <c r="L78" i="4"/>
  <c r="O78" i="4" s="1"/>
  <c r="P5" i="4"/>
  <c r="J5" i="4"/>
  <c r="K8" i="4"/>
  <c r="N8" i="4" s="1"/>
  <c r="L8" i="4"/>
  <c r="O8" i="4" s="1"/>
  <c r="K66" i="4"/>
  <c r="N66" i="4" s="1"/>
  <c r="L66" i="4"/>
  <c r="O66" i="4" s="1"/>
  <c r="K21" i="4"/>
  <c r="N21" i="4" s="1"/>
  <c r="L21" i="4"/>
  <c r="O21" i="4" s="1"/>
  <c r="K20" i="4"/>
  <c r="N20" i="4" s="1"/>
  <c r="L20" i="4"/>
  <c r="O20" i="4" s="1"/>
  <c r="K23" i="4"/>
  <c r="N23" i="4" s="1"/>
  <c r="L23" i="4"/>
  <c r="O23" i="4" s="1"/>
  <c r="L14" i="4"/>
  <c r="O14" i="4" s="1"/>
  <c r="K14" i="4"/>
  <c r="N14" i="4" s="1"/>
  <c r="K67" i="4"/>
  <c r="N67" i="4" s="1"/>
  <c r="L67" i="4"/>
  <c r="O67" i="4" s="1"/>
  <c r="L17" i="4"/>
  <c r="O17" i="4" s="1"/>
  <c r="K17" i="4"/>
  <c r="N17" i="4" s="1"/>
  <c r="P62" i="4"/>
  <c r="J62" i="4"/>
  <c r="K9" i="4"/>
  <c r="N9" i="4" s="1"/>
  <c r="L9" i="4"/>
  <c r="O9" i="4" s="1"/>
  <c r="L65" i="4"/>
  <c r="O65" i="4" s="1"/>
  <c r="K65" i="4"/>
  <c r="N65" i="4" s="1"/>
  <c r="L75" i="4"/>
  <c r="O75" i="4" s="1"/>
  <c r="K75" i="4"/>
  <c r="N75" i="4" s="1"/>
  <c r="P61" i="4"/>
  <c r="J7" i="4"/>
  <c r="K71" i="4"/>
  <c r="N71" i="4" s="1"/>
  <c r="L71" i="4"/>
  <c r="O71" i="4" s="1"/>
  <c r="K69" i="4"/>
  <c r="N69" i="4" s="1"/>
  <c r="L69" i="4"/>
  <c r="O69" i="4" s="1"/>
  <c r="L79" i="4"/>
  <c r="O79" i="4" s="1"/>
  <c r="K79" i="4"/>
  <c r="N79" i="4" s="1"/>
  <c r="L73" i="4"/>
  <c r="O73" i="4" s="1"/>
  <c r="K73" i="4"/>
  <c r="N73" i="4" s="1"/>
  <c r="K60" i="4"/>
  <c r="N60" i="4" s="1"/>
  <c r="L60" i="4"/>
  <c r="O60" i="4" s="1"/>
  <c r="K59" i="4"/>
  <c r="N59" i="4" s="1"/>
  <c r="L59" i="4"/>
  <c r="O59" i="4" s="1"/>
  <c r="N46" i="4"/>
  <c r="P106" i="4"/>
  <c r="N37" i="4"/>
  <c r="P6" i="4"/>
  <c r="P91" i="4"/>
  <c r="N104" i="4"/>
  <c r="N50" i="4"/>
  <c r="N49" i="4"/>
  <c r="P7" i="4"/>
  <c r="N105" i="4"/>
  <c r="P107" i="4"/>
  <c r="N48" i="4"/>
  <c r="N45" i="4"/>
  <c r="G116" i="4"/>
  <c r="P76" i="4"/>
  <c r="P74" i="4"/>
  <c r="P3" i="4"/>
  <c r="H116" i="4"/>
  <c r="H115" i="4"/>
  <c r="P21" i="4"/>
  <c r="P20" i="4"/>
  <c r="P23" i="4"/>
  <c r="P17" i="4"/>
  <c r="P18" i="4"/>
  <c r="P22" i="4"/>
  <c r="G115" i="4"/>
  <c r="P19" i="4"/>
  <c r="P78" i="4"/>
  <c r="P75" i="4"/>
  <c r="P73" i="4"/>
  <c r="P77" i="4"/>
  <c r="P79" i="4"/>
  <c r="K3" i="4" l="1"/>
  <c r="N3" i="4" s="1"/>
  <c r="O3" i="4"/>
  <c r="K62" i="4"/>
  <c r="N62" i="4" s="1"/>
  <c r="L62" i="4"/>
  <c r="O62" i="4" s="1"/>
  <c r="K63" i="4"/>
  <c r="N63" i="4" s="1"/>
  <c r="L63" i="4"/>
  <c r="O63" i="4" s="1"/>
  <c r="K7" i="4"/>
  <c r="N7" i="4" s="1"/>
  <c r="L7" i="4"/>
  <c r="O7" i="4" s="1"/>
  <c r="L6" i="4"/>
  <c r="O6" i="4" s="1"/>
  <c r="K6" i="4"/>
  <c r="N6" i="4" s="1"/>
  <c r="K5" i="4"/>
  <c r="N5" i="4" s="1"/>
  <c r="L5" i="4"/>
  <c r="O5" i="4" s="1"/>
  <c r="P115" i="4"/>
  <c r="O32" i="1" s="1"/>
  <c r="O115" i="4" l="1"/>
  <c r="O28" i="1" s="1"/>
  <c r="N115" i="4"/>
  <c r="O30" i="1" s="1"/>
  <c r="O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Elliot Helms</author>
  </authors>
  <commentList>
    <comment ref="H28" authorId="0" shapeId="0" xr:uid="{7A58DFA5-6DE0-492A-B4DF-05BC64A9D7B9}">
      <text>
        <r>
          <rPr>
            <b/>
            <sz val="9"/>
            <color indexed="81"/>
            <rFont val="Tahoma"/>
            <family val="2"/>
          </rPr>
          <t xml:space="preserve">Elliot Helms:
</t>
        </r>
        <r>
          <rPr>
            <sz val="9"/>
            <color indexed="81"/>
            <rFont val="Tahoma"/>
            <family val="2"/>
          </rPr>
          <t>Given that there's a true CWA attack, we get a warning with this probability</t>
        </r>
      </text>
    </comment>
    <comment ref="K28" authorId="0" shapeId="0" xr:uid="{4CEDB540-2DEE-4879-9D7D-FF0259AE0F8C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At least 1 sensor detects CWA</t>
        </r>
      </text>
    </comment>
    <comment ref="H29" authorId="0" shapeId="0" xr:uid="{C5C6D1FE-AF6D-472F-867B-5F6AB81CF600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Given that there's a true CWA attack, we get NO warning with this probability</t>
        </r>
      </text>
    </comment>
    <comment ref="K29" authorId="0" shapeId="0" xr:uid="{FCDDBC49-F4CE-4121-B184-C34B6CF66E3C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No sensors detect CWA</t>
        </r>
      </text>
    </comment>
    <comment ref="H30" authorId="0" shapeId="0" xr:uid="{B865B372-8745-4A26-B91F-B4ECA45CE4F4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Given that we got a warning, a true CWA attack occurred with this probability</t>
        </r>
      </text>
    </comment>
    <comment ref="H31" authorId="0" shapeId="0" xr:uid="{B55A5BDD-C76A-4F56-ADAF-A9175992075E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Given that we got a warning, a non-CWA attack or a false alarm occurred with this probability</t>
        </r>
      </text>
    </comment>
    <comment ref="H33" authorId="0" shapeId="0" xr:uid="{0C7220B0-E658-4127-94FE-5722F69B6644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Number of CWA attacks actually expected to occur per week</t>
        </r>
      </text>
    </comment>
    <comment ref="H34" authorId="0" shapeId="0" xr:uid="{5D091262-7FB8-441E-8886-7036C1538804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Number of irrelevant alerts per week (non-attacks / false alarms)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Elliot Helms</author>
  </authors>
  <commentList>
    <comment ref="I2" authorId="0" shapeId="0" xr:uid="{D3D0BEDD-B21A-4027-8908-1AC08A2D974D}">
      <text>
        <r>
          <rPr>
            <b/>
            <sz val="9"/>
            <color indexed="81"/>
            <rFont val="Tahoma"/>
            <charset val="1"/>
          </rPr>
          <t>Elliot Helms:</t>
        </r>
        <r>
          <rPr>
            <sz val="9"/>
            <color indexed="81"/>
            <rFont val="Tahoma"/>
            <charset val="1"/>
          </rPr>
          <t xml:space="preserve">
N/A = Not possible to detect + order evacuation because no air technology investment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Elliot Helms</author>
  </authors>
  <commentList>
    <comment ref="C4" authorId="0" shapeId="0" xr:uid="{389BBA7B-FA84-4E83-95A0-B3BFE0CE5235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P("Pos." | HI-P)</t>
        </r>
      </text>
    </comment>
    <comment ref="D4" authorId="0" shapeId="0" xr:uid="{08A049CF-0CD7-47D4-A620-CEC6E3732E82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P("Pos." | LO-P)</t>
        </r>
      </text>
    </comment>
    <comment ref="E4" authorId="0" shapeId="0" xr:uid="{FD4232CE-5C3F-42EE-A835-8E0CE1779805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P("Neg." | None)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Elliot Helms</author>
  </authors>
  <commentList>
    <comment ref="B1" authorId="0" shapeId="0" xr:uid="{9FA3BA3C-9DCC-46B4-BEBA-6225C25A4E96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Upfront purchase + scheduled &amp; unscheduled maintenance over lifetime of the machine</t>
        </r>
      </text>
    </comment>
    <comment ref="C1" authorId="0" shapeId="0" xr:uid="{3DBDADE5-A85B-47F4-A1BA-D092A038253F}">
      <text>
        <r>
          <rPr>
            <b/>
            <sz val="9"/>
            <color indexed="81"/>
            <rFont val="Tahoma"/>
            <family val="2"/>
          </rPr>
          <t>Elliot Helms:</t>
        </r>
        <r>
          <rPr>
            <sz val="9"/>
            <color indexed="81"/>
            <rFont val="Tahoma"/>
            <family val="2"/>
          </rPr>
          <t xml:space="preserve">
Damage, lost equipment, etc… (Loss Factor)</t>
        </r>
      </text>
    </comment>
  </commentList>
</comments>
</file>

<file path=xl/sharedStrings.xml><?xml version="1.0" encoding="utf-8"?>
<sst xmlns="http://schemas.openxmlformats.org/spreadsheetml/2006/main" count="1861" uniqueCount="660">
  <si>
    <t>G-I</t>
  </si>
  <si>
    <t>G-R</t>
  </si>
  <si>
    <t>A-I</t>
  </si>
  <si>
    <t>A-R</t>
  </si>
  <si>
    <t>Urban Pop. Density</t>
  </si>
  <si>
    <t>Daytime Attack</t>
  </si>
  <si>
    <t>Near Attack</t>
  </si>
  <si>
    <t>Rural Pop. Density</t>
  </si>
  <si>
    <t>Nighttime Attack</t>
  </si>
  <si>
    <t>Far Attack</t>
  </si>
  <si>
    <t>Attack Scenario Prob. :</t>
  </si>
  <si>
    <t>HI -D / HI -P</t>
  </si>
  <si>
    <t>HI -D / LO -P</t>
  </si>
  <si>
    <t>M - D / HI -P</t>
  </si>
  <si>
    <t>M - D / LO -P</t>
  </si>
  <si>
    <t>LO -D / LO -P</t>
  </si>
  <si>
    <t>LO -D / HI -P</t>
  </si>
  <si>
    <t>NONE</t>
  </si>
  <si>
    <t>Warning Signal Prob. :</t>
  </si>
  <si>
    <t>Inputs from Sensor Datasheets</t>
  </si>
  <si>
    <t>[Daytime Sensor Performance Information]</t>
  </si>
  <si>
    <t>[Nighttime Sensor Performance Information]</t>
  </si>
  <si>
    <t>Sensor Type</t>
  </si>
  <si>
    <t>Orange = User Inputs</t>
  </si>
  <si>
    <t>Grey = Calculations</t>
  </si>
  <si>
    <t>Technology Investments</t>
  </si>
  <si>
    <t>CWA Release Summary :</t>
  </si>
  <si>
    <t>HI-P CWA</t>
  </si>
  <si>
    <t>LO-P CWA</t>
  </si>
  <si>
    <t>Validation:</t>
  </si>
  <si>
    <t>P(HI-P CWA Release)</t>
  </si>
  <si>
    <t>P(No CWA Release)</t>
  </si>
  <si>
    <t>P(LO-P CWA Release)</t>
  </si>
  <si>
    <t>HI (True Positive)</t>
  </si>
  <si>
    <t>LO (True Positive)</t>
  </si>
  <si>
    <t>None (True Negative)</t>
  </si>
  <si>
    <t>G-I Sensor</t>
  </si>
  <si>
    <t>A-R Sensor</t>
  </si>
  <si>
    <t>A-I Sensor</t>
  </si>
  <si>
    <t>G-R Sensor</t>
  </si>
  <si>
    <t>CWA Persistence &gt;&gt;</t>
  </si>
  <si>
    <t>Elemental Possibilities for Sensor Response (Daytime)</t>
  </si>
  <si>
    <t>Elemental Possibilities for Sensor Response (Nighttime)</t>
  </si>
  <si>
    <t>Conditional Probabilities given Sensor Response (Nighttime)</t>
  </si>
  <si>
    <t>Conditional Probabilities given Sensor Response (Daytime)</t>
  </si>
  <si>
    <t>P(HI-P, "Pos.")</t>
  </si>
  <si>
    <t>P(LO-P, "Pos.")</t>
  </si>
  <si>
    <t>P(None, "Pos.")</t>
  </si>
  <si>
    <t>P(HI-P | "Pos.")</t>
  </si>
  <si>
    <t>P(LO-P | "Pos.")</t>
  </si>
  <si>
    <t>P(None | "Pos.")</t>
  </si>
  <si>
    <t>P(None, "Neg.")</t>
  </si>
  <si>
    <t>P(HI-P, "Neg.")</t>
  </si>
  <si>
    <t>P(LO-P, "Neg.")</t>
  </si>
  <si>
    <t>P(HI-P | "Neg.")</t>
  </si>
  <si>
    <t>P(LO-P | "Neg.")</t>
  </si>
  <si>
    <t>P(None | "Neg.")</t>
  </si>
  <si>
    <t>(Ref.) From Main Tree page:</t>
  </si>
  <si>
    <t>&gt;&gt; P("Pos.")</t>
  </si>
  <si>
    <t>&gt;&gt; P("Neg.")</t>
  </si>
  <si>
    <t>Sensor Result Prob. :</t>
  </si>
  <si>
    <t>P("Pos." | Day, Near, Urban or Rural)</t>
  </si>
  <si>
    <t>P("Neg." | Day, Near, Urban or Rural)</t>
  </si>
  <si>
    <t>P("Pos." | Night, Near, Urban or Rural)</t>
  </si>
  <si>
    <t>P("Neg." | Night, Near, Urban or Rural)</t>
  </si>
  <si>
    <t>P("Pos." | Day, Far, Urban or Rural)</t>
  </si>
  <si>
    <t>P("Neg." | Day, Far, Urban or Rural)</t>
  </si>
  <si>
    <t>P("Pos." | Night, Far, Urban or Rural)</t>
  </si>
  <si>
    <t>P("Neg." | Night, Far, Urban or Rural)</t>
  </si>
  <si>
    <t>Sensor Conditional Prob. :</t>
  </si>
  <si>
    <t>P(HI -P | "Pos", Day, Near, Urban or Rural)</t>
  </si>
  <si>
    <t>P(LO -P | "Pos", Day, Near, Urban or Rural)</t>
  </si>
  <si>
    <t>P(None | "Pos", Day, Near, Urban or Rural)</t>
  </si>
  <si>
    <t>P(HI -P | "Neg", Day, Near, Urban or Rural)</t>
  </si>
  <si>
    <t>P(LO -P | "Neg", Day, Near, Urban or Rural)</t>
  </si>
  <si>
    <t>P(None | "Neg", Day, Near, Urban or Rural)</t>
  </si>
  <si>
    <t>P(None | "Neg", Night, Near, Urban or Rural)</t>
  </si>
  <si>
    <t>P(HI -P | "Pos", Night, Near, Urban or Rural)</t>
  </si>
  <si>
    <t>P(LO -P | "Pos", Night, Near, Urban or Rural)</t>
  </si>
  <si>
    <t>P(None | "Pos", Night, Near, Urban or Rural)</t>
  </si>
  <si>
    <t>P(HI -P | "Neg", Night, Near, Urban or Rural)</t>
  </si>
  <si>
    <t>P(LO -P | "Neg", Night, Near, Urban or Rural)</t>
  </si>
  <si>
    <t>P(Warning | CWA attack)</t>
  </si>
  <si>
    <t>P(No Warning | CWA attack)</t>
  </si>
  <si>
    <t>P(No CWA Used | Warning)</t>
  </si>
  <si>
    <t>P(CWA Used | Warning)</t>
  </si>
  <si>
    <t>Mean Rate of Events / Week:</t>
  </si>
  <si>
    <t>Irrelevant Warnings (λ1)</t>
  </si>
  <si>
    <t>True CWA Warnings (λA)</t>
  </si>
  <si>
    <t>All Warnings (λW)</t>
  </si>
  <si>
    <t>P(HI -P | "Pos", Day, Far, Urban or Rural)</t>
  </si>
  <si>
    <t>P(LO -P | "Pos", Day, Far, Urban or Rural)</t>
  </si>
  <si>
    <t>P(None | "Pos", Day, Far, Urban or Rural)</t>
  </si>
  <si>
    <t>P(HI -P | "Neg", Day, Far, Urban or Rural)</t>
  </si>
  <si>
    <t>P(LO -P | "Neg", Day, Far, Urban or Rural)</t>
  </si>
  <si>
    <t>P(None | "Neg", Day, Far, Urban or Rural)</t>
  </si>
  <si>
    <t>P(HI -P | "Pos", Night, Far, Urban or Rural)</t>
  </si>
  <si>
    <t>P(LO -P | "Pos", Night, Far, Urban or Rural)</t>
  </si>
  <si>
    <t>P(None | "Pos", Night, Far, Urban or Rural)</t>
  </si>
  <si>
    <t>P(HI -P | "Neg", Night, Far, Urban or Rural)</t>
  </si>
  <si>
    <t>P(LO -P | "Neg", Night, Far, Urban or Rural)</t>
  </si>
  <si>
    <t>P(None | "Neg", Night, Far, Urban or Rural)</t>
  </si>
  <si>
    <t>Mean Rate of Events / Week</t>
  </si>
  <si>
    <t>P(Event)</t>
  </si>
  <si>
    <t>Event Enumerations</t>
  </si>
  <si>
    <t>None</t>
  </si>
  <si>
    <t>Missed True CWA Warnings (λB)</t>
  </si>
  <si>
    <t>False CWA Warnings (λC)</t>
  </si>
  <si>
    <t>CWA Release Prob. in any Attack :</t>
  </si>
  <si>
    <t>Rate of Relevant Warnings (λ2)</t>
  </si>
  <si>
    <t>Cost to Invest (Lifetime Cost)</t>
  </si>
  <si>
    <t>Cost to Deploy (Loss Factor)</t>
  </si>
  <si>
    <t>High</t>
  </si>
  <si>
    <t>Medium</t>
  </si>
  <si>
    <t>Low</t>
  </si>
  <si>
    <t>HI-D CWA</t>
  </si>
  <si>
    <t>M-D CWA</t>
  </si>
  <si>
    <t>LO-D CWA</t>
  </si>
  <si>
    <t>Population Density</t>
  </si>
  <si>
    <t>Attack Timing</t>
  </si>
  <si>
    <t>Attack Distance</t>
  </si>
  <si>
    <t>Day</t>
  </si>
  <si>
    <t>Night</t>
  </si>
  <si>
    <t>Near</t>
  </si>
  <si>
    <t>Far</t>
  </si>
  <si>
    <t>Rural</t>
  </si>
  <si>
    <t>Urban</t>
  </si>
  <si>
    <t>Air, Near</t>
  </si>
  <si>
    <t>Ground, Far</t>
  </si>
  <si>
    <t>Ground, Near</t>
  </si>
  <si>
    <t>Air, Far</t>
  </si>
  <si>
    <t>Time Before Evacuation, based on Investment (Timesteps)</t>
  </si>
  <si>
    <t>CWA Danger (Lethality)</t>
  </si>
  <si>
    <t>CWA Persistence</t>
  </si>
  <si>
    <t>Safe, Stampede deaths and Chemical deaths estimated via beta distributions.</t>
  </si>
  <si>
    <t>Case</t>
  </si>
  <si>
    <t>Lethality</t>
  </si>
  <si>
    <t>Persistence</t>
  </si>
  <si>
    <t>Delay</t>
  </si>
  <si>
    <t>Evacuate</t>
  </si>
  <si>
    <t>Safe A Parameter</t>
  </si>
  <si>
    <t>Safe B Parameter</t>
  </si>
  <si>
    <t>Stampede Deaths A Parameter</t>
  </si>
  <si>
    <t>Stampede Deaths B Parameter</t>
  </si>
  <si>
    <t xml:space="preserve">Chemical Deaths A Parameter </t>
  </si>
  <si>
    <t>Chemical Deaths B Parameter</t>
  </si>
  <si>
    <t>Mean Safe</t>
  </si>
  <si>
    <t>Mean Stampede Deaths</t>
  </si>
  <si>
    <t>Mean Chemical Deaths</t>
  </si>
  <si>
    <t>STD Safe</t>
  </si>
  <si>
    <t>STD  Stampede Deaths</t>
  </si>
  <si>
    <t>STD Chemical Deaths</t>
  </si>
  <si>
    <t>N/A</t>
  </si>
  <si>
    <t>Yes</t>
  </si>
  <si>
    <t>51261.6287356237</t>
  </si>
  <si>
    <t>2489.365039853498</t>
  </si>
  <si>
    <t>2489.3650399261705</t>
  </si>
  <si>
    <t>51261.628737120525</t>
  </si>
  <si>
    <t>48939.455779022566</t>
  </si>
  <si>
    <t>2595.0088568912074</t>
  </si>
  <si>
    <t>2595.008857458539</t>
  </si>
  <si>
    <t>48939.45578972395</t>
  </si>
  <si>
    <t>0</t>
  </si>
  <si>
    <t>10.044292805352312</t>
  </si>
  <si>
    <t>3.5787723813860817</t>
  </si>
  <si>
    <t>19.13394531848572</t>
  </si>
  <si>
    <t>419.02773628453406</t>
  </si>
  <si>
    <t>2.381451480786203</t>
  </si>
  <si>
    <t>8.512208123746731</t>
  </si>
  <si>
    <t>1</t>
  </si>
  <si>
    <t>47.23158436697214</t>
  </si>
  <si>
    <t>7.86901628173087</t>
  </si>
  <si>
    <t>21.151321391910475</t>
  </si>
  <si>
    <t>521.8911955333634</t>
  </si>
  <si>
    <t>3.769973249943913</t>
  </si>
  <si>
    <t>32.55390664809075</t>
  </si>
  <si>
    <t>2</t>
  </si>
  <si>
    <t>35.909718089160066</t>
  </si>
  <si>
    <t>5.744107299785668</t>
  </si>
  <si>
    <t>20.689876564617578</t>
  </si>
  <si>
    <t>504.83114016003674</t>
  </si>
  <si>
    <t>2.617226361067541</t>
  </si>
  <si>
    <t>23.97497967028621</t>
  </si>
  <si>
    <t>3</t>
  </si>
  <si>
    <t>7.09821529608348</t>
  </si>
  <si>
    <t>2.1082074976128924</t>
  </si>
  <si>
    <t>18.052297665454034</t>
  </si>
  <si>
    <t>372.0117742879361</t>
  </si>
  <si>
    <t>1.2277292145920777</t>
  </si>
  <si>
    <t>5.534277651433564</t>
  </si>
  <si>
    <t>4</t>
  </si>
  <si>
    <t>35.0017419861359</t>
  </si>
  <si>
    <t>4.324675614593333</t>
  </si>
  <si>
    <t>21.545526989928373</t>
  </si>
  <si>
    <t>507.8683870799406</t>
  </si>
  <si>
    <t>1.5235355389712186</t>
  </si>
  <si>
    <t>20.506242921344427</t>
  </si>
  <si>
    <t>5</t>
  </si>
  <si>
    <t>11.561624678799747</t>
  </si>
  <si>
    <t>2.1689379375842335</t>
  </si>
  <si>
    <t>18.377124523545028</t>
  </si>
  <si>
    <t>407.56643168224724</t>
  </si>
  <si>
    <t>0.9760918121602005</t>
  </si>
  <si>
    <t>7.585341597095711</t>
  </si>
  <si>
    <t>No</t>
  </si>
  <si>
    <t>4.2055364550166425</t>
  </si>
  <si>
    <t>0.6941579727428278</t>
  </si>
  <si>
    <t>0.6941579727428266</t>
  </si>
  <si>
    <t>4.205536455016643</t>
  </si>
  <si>
    <t>35.59723295104565</t>
  </si>
  <si>
    <t>6.773049301727008</t>
  </si>
  <si>
    <t>20.252310012161686</t>
  </si>
  <si>
    <t>500.49613977849026</t>
  </si>
  <si>
    <t>3.571920287108984</t>
  </si>
  <si>
    <t>25.97651693801186</t>
  </si>
  <si>
    <t>36.594971833997555</t>
  </si>
  <si>
    <t>6.536957279542448</t>
  </si>
  <si>
    <t>19.715018739169686</t>
  </si>
  <si>
    <t>483.53527105621566</t>
  </si>
  <si>
    <t>3.2676589850604216</t>
  </si>
  <si>
    <t>25.831068626151815</t>
  </si>
  <si>
    <t>69.26556216246097</t>
  </si>
  <si>
    <t>7.948889175304054</t>
  </si>
  <si>
    <t>21.98649500764395</t>
  </si>
  <si>
    <t>523.7270101499914</t>
  </si>
  <si>
    <t>2.751067001376025</t>
  </si>
  <si>
    <t>41.17589498443964</t>
  </si>
  <si>
    <t>26.09207599717061</t>
  </si>
  <si>
    <t>3.8431544597038094</t>
  </si>
  <si>
    <t>20.391154546936267</t>
  </si>
  <si>
    <t>484.0299529937701</t>
  </si>
  <si>
    <t>1.6471990724861871</t>
  </si>
  <si>
    <t>17.110751114272723</t>
  </si>
  <si>
    <t>27.403186140294974</t>
  </si>
  <si>
    <t>3.60085959123834</t>
  </si>
  <si>
    <t>20.841932456962788</t>
  </si>
  <si>
    <t>488.525883022549</t>
  </si>
  <si>
    <t>1.350463846712536</t>
  </si>
  <si>
    <t>16.639273117558798</t>
  </si>
  <si>
    <t>12.104707750578303</t>
  </si>
  <si>
    <t>2.10363222961229</t>
  </si>
  <si>
    <t>19.78043527012291</t>
  </si>
  <si>
    <t>428.2397007397447</t>
  </si>
  <si>
    <t>0.9076128752584289</t>
  </si>
  <si>
    <t>7.888578536774079</t>
  </si>
  <si>
    <t>3.4493004681176256</t>
  </si>
  <si>
    <t>0.6489652366052073</t>
  </si>
  <si>
    <t>0.6489652366052078</t>
  </si>
  <si>
    <t>3.4493004681176282</t>
  </si>
  <si>
    <t>31.49738298244035</t>
  </si>
  <si>
    <t>9.254787408159006</t>
  </si>
  <si>
    <t>20.208561634242237</t>
  </si>
  <si>
    <t>525.1835516432636</t>
  </si>
  <si>
    <t>5.99730748007185</t>
  </si>
  <si>
    <t>25.58186876305472</t>
  </si>
  <si>
    <t>45.22927833041389</t>
  </si>
  <si>
    <t>9.647647183751433</t>
  </si>
  <si>
    <t>20.944588791993404</t>
  </si>
  <si>
    <t>546.9434705894453</t>
  </si>
  <si>
    <t>5.434381128035369</t>
  </si>
  <si>
    <t>33.71156265182716</t>
  </si>
  <si>
    <t>8.160198275575967</t>
  </si>
  <si>
    <t>3.5013364977316885</t>
  </si>
  <si>
    <t>17.188030285133223</t>
  </si>
  <si>
    <t>425.54761478646634</t>
  </si>
  <si>
    <t>2.4449317573913696</t>
  </si>
  <si>
    <t>6.940211199353031</t>
  </si>
  <si>
    <t>9.570843304099832</t>
  </si>
  <si>
    <t>3.3547451552453964</t>
  </si>
  <si>
    <t>16.154210992538104</t>
  </si>
  <si>
    <t>416.3398460287416</t>
  </si>
  <si>
    <t>2.21300643285056</t>
  </si>
  <si>
    <t>7.784110135659383</t>
  </si>
  <si>
    <t>7.557039198499129</t>
  </si>
  <si>
    <t>2.7084813446728155</t>
  </si>
  <si>
    <t>15.199783447052086</t>
  </si>
  <si>
    <t>371.8471115542763</t>
  </si>
  <si>
    <t>1.7353424622153253</t>
  </si>
  <si>
    <t>6.0383348828770504</t>
  </si>
  <si>
    <t>6.3483251529102</t>
  </si>
  <si>
    <t>2.3142970274312757</t>
  </si>
  <si>
    <t>14.047408417335356</t>
  </si>
  <si>
    <t>343.06558805586</t>
  </si>
  <si>
    <t>1.4503239487815818</t>
  </si>
  <si>
    <t>4.97150653390184</t>
  </si>
  <si>
    <t>1.1832713380786721</t>
  </si>
  <si>
    <t>0.7273127978805608</t>
  </si>
  <si>
    <t>0.7273127978805609</t>
  </si>
  <si>
    <t>7.375775323503324</t>
  </si>
  <si>
    <t>3.4528455047914384</t>
  </si>
  <si>
    <t>16.717753436615904</t>
  </si>
  <si>
    <t>403.4389913043314</t>
  </si>
  <si>
    <t>2.4999321171310362</t>
  </si>
  <si>
    <t>6.481350702433737</t>
  </si>
  <si>
    <t>10.608073369978943</t>
  </si>
  <si>
    <t>3.7775152876589395</t>
  </si>
  <si>
    <t>16.403034507455303</t>
  </si>
  <si>
    <t>423.13937364060706</t>
  </si>
  <si>
    <t>2.551811098647584</t>
  </si>
  <si>
    <t>8.803603977574355</t>
  </si>
  <si>
    <t>56.766645538980924</t>
  </si>
  <si>
    <t>8.317917059326012</t>
  </si>
  <si>
    <t>21.477859562116816</t>
  </si>
  <si>
    <t>533.6984645573816</t>
  </si>
  <si>
    <t>3.6694373698690086</t>
  </si>
  <si>
    <t>37.52980220851189</t>
  </si>
  <si>
    <t>24.83250822213334</t>
  </si>
  <si>
    <t>4.675915455367968</t>
  </si>
  <si>
    <t>19.470311058782155</t>
  </si>
  <si>
    <t>490.3459334877132</t>
  </si>
  <si>
    <t>2.413818081742649</t>
  </si>
  <si>
    <t>17.687135342322428</t>
  </si>
  <si>
    <t>15.91412122314855</t>
  </si>
  <si>
    <t>3.651794119117166</t>
  </si>
  <si>
    <t>16.373318469199738</t>
  </si>
  <si>
    <t>418.12144262059456</t>
  </si>
  <si>
    <t>2.026953139600591</t>
  </si>
  <si>
    <t>11.620440070745293</t>
  </si>
  <si>
    <t>23.10429998220165</t>
  </si>
  <si>
    <t>3.7505820908404295</t>
  </si>
  <si>
    <t>19.512664965207016</t>
  </si>
  <si>
    <t>481.77278512470275</t>
  </si>
  <si>
    <t>1.6925510667330006</t>
  </si>
  <si>
    <t>15.153391106650357</t>
  </si>
  <si>
    <t>1.314623181860957</t>
  </si>
  <si>
    <t>0.7573650036639632</t>
  </si>
  <si>
    <t>0.7573650036639628</t>
  </si>
  <si>
    <t>1.3146231818609564</t>
  </si>
  <si>
    <t>9.080721001177</t>
  </si>
  <si>
    <t>5.412572808343891</t>
  </si>
  <si>
    <t>13.202917873874057</t>
  </si>
  <si>
    <t>376.15648792732264</t>
  </si>
  <si>
    <t>4.176451761760035</t>
  </si>
  <si>
    <t>8.139497974549046</t>
  </si>
  <si>
    <t>5.910679532650421</t>
  </si>
  <si>
    <t>3.492137324630624</t>
  </si>
  <si>
    <t>12.85767067857865</t>
  </si>
  <si>
    <t>352.4086165079055</t>
  </si>
  <si>
    <t>2.7249081532319446</t>
  </si>
  <si>
    <t>5.3952095083496046</t>
  </si>
  <si>
    <t>9.38495651069495</t>
  </si>
  <si>
    <t>3.608561634285597</t>
  </si>
  <si>
    <t>13.727563210024076</t>
  </si>
  <si>
    <t>386.13300331156427</t>
  </si>
  <si>
    <t>2.5607132961003556</t>
  </si>
  <si>
    <t>7.9800479915929605</t>
  </si>
  <si>
    <t>3.6630647533318363</t>
  </si>
  <si>
    <t>2.0742725169434446</t>
  </si>
  <si>
    <t>10.243769116636773</t>
  </si>
  <si>
    <t>271.24451735201507</t>
  </si>
  <si>
    <t>1.558400272660379</t>
  </si>
  <si>
    <t>3.260858762071129</t>
  </si>
  <si>
    <t>2.3770187704860413</t>
  </si>
  <si>
    <t>1.521233388915744</t>
  </si>
  <si>
    <t>10.070977990756814</t>
  </si>
  <si>
    <t>209.45429634105534</t>
  </si>
  <si>
    <t>1.1136144924539564</t>
  </si>
  <si>
    <t>2.156821690699002</t>
  </si>
  <si>
    <t>2.6953358409428847</t>
  </si>
  <si>
    <t>1.383705170272863</t>
  </si>
  <si>
    <t>11.111659529320587</t>
  </si>
  <si>
    <t>259.0067006758123</t>
  </si>
  <si>
    <t>0.9754224670637942</t>
  </si>
  <si>
    <t>2.3427631762393064</t>
  </si>
  <si>
    <t>1.141173509998758</t>
  </si>
  <si>
    <t>0.6143497965131812</t>
  </si>
  <si>
    <t>1.1411735099987579</t>
  </si>
  <si>
    <t>44.51617171131553</t>
  </si>
  <si>
    <t>9.865660686643409</t>
  </si>
  <si>
    <t>21.686517314726434</t>
  </si>
  <si>
    <t>581.0955559745066</t>
  </si>
  <si>
    <t>6.148979603034671</t>
  </si>
  <si>
    <t>36.135864503914455</t>
  </si>
  <si>
    <t>4.0344884888802435</t>
  </si>
  <si>
    <t>2.9206897317706155</t>
  </si>
  <si>
    <t>10.175625931080393</t>
  </si>
  <si>
    <t>283.0658855155702</t>
  </si>
  <si>
    <t>2.3425339583492977</t>
  </si>
  <si>
    <t>3.752647734116139</t>
  </si>
  <si>
    <t>5.162831566569986</t>
  </si>
  <si>
    <t>2.7020925143331795</t>
  </si>
  <si>
    <t>10.799010852754103</t>
  </si>
  <si>
    <t>307.4071183802968</t>
  </si>
  <si>
    <t>2.035533061673322</t>
  </si>
  <si>
    <t>4.560039847966193</t>
  </si>
  <si>
    <t>7.140904974654735</t>
  </si>
  <si>
    <t>2.818336033252075</t>
  </si>
  <si>
    <t>10.798581298771106</t>
  </si>
  <si>
    <t>287.4638954249154</t>
  </si>
  <si>
    <t>1.905002550582658</t>
  </si>
  <si>
    <t>5.845289071410467</t>
  </si>
  <si>
    <t>7.695274719673918</t>
  </si>
  <si>
    <t>2.2797693479189562</t>
  </si>
  <si>
    <t>12.81698251669239</t>
  </si>
  <si>
    <t>345.2359577779301</t>
  </si>
  <si>
    <t>1.4403787356565105</t>
  </si>
  <si>
    <t>6.067156675199308</t>
  </si>
  <si>
    <t>6.7242439736299495</t>
  </si>
  <si>
    <t>1.9724206154830204</t>
  </si>
  <si>
    <t>11.882944405990159</t>
  </si>
  <si>
    <t>309.87327885825067</t>
  </si>
  <si>
    <t>1.196882715943593</t>
  </si>
  <si>
    <t>5.152145223097597</t>
  </si>
  <si>
    <t>1.2493698720902775</t>
  </si>
  <si>
    <t>0.6133075621916428</t>
  </si>
  <si>
    <t>0.6133075621916427</t>
  </si>
  <si>
    <t>1.2493698720902773</t>
  </si>
  <si>
    <t>3.1397539129825476</t>
  </si>
  <si>
    <t>5.100564570257641</t>
  </si>
  <si>
    <t>10.685382446053454</t>
  </si>
  <si>
    <t>300.15638134808523</t>
  </si>
  <si>
    <t>4.443179392680375</t>
  </si>
  <si>
    <t>3.169421810803858</t>
  </si>
  <si>
    <t>2.0047180053745812</t>
  </si>
  <si>
    <t>3.81820779669156</t>
  </si>
  <si>
    <t>9.553072784741266</t>
  </si>
  <si>
    <t>259.8986965722197</t>
  </si>
  <si>
    <t>3.37652689882142</t>
  </si>
  <si>
    <t>2.081100239810541</t>
  </si>
  <si>
    <t>26.64153698052085</t>
  </si>
  <si>
    <t>7.9178812099992895</t>
  </si>
  <si>
    <t>18.086424213011714</t>
  </si>
  <si>
    <t>523.5344327053596</t>
  </si>
  <si>
    <t>5.231634476706725</t>
  </si>
  <si>
    <t>21.522391001934135</t>
  </si>
  <si>
    <t>5.730785559823232</t>
  </si>
  <si>
    <t>3.541803356567296</t>
  </si>
  <si>
    <t>10.57506423192043</t>
  </si>
  <si>
    <t>340.44767713727657</t>
  </si>
  <si>
    <t>2.7850424663976736</t>
  </si>
  <si>
    <t>5.151462157681614</t>
  </si>
  <si>
    <t>2.913595765686017</t>
  </si>
  <si>
    <t>2.5373140444134563</t>
  </si>
  <si>
    <t>7.695961365680869</t>
  </si>
  <si>
    <t>247.48329499873535</t>
  </si>
  <si>
    <t>2.04753498626568</t>
  </si>
  <si>
    <t>2.6829299818507444</t>
  </si>
  <si>
    <t>3.209975803477906</t>
  </si>
  <si>
    <t>2.2943380447094177</t>
  </si>
  <si>
    <t>8.039360403002851</t>
  </si>
  <si>
    <t>250.21176227284678</t>
  </si>
  <si>
    <t>1.780094246152583</t>
  </si>
  <si>
    <t>2.8687291523370915</t>
  </si>
  <si>
    <t>0.5380854233719821</t>
  </si>
  <si>
    <t>0.7584258866152077</t>
  </si>
  <si>
    <t>17.800564366967578</t>
  </si>
  <si>
    <t>9.141421152880357</t>
  </si>
  <si>
    <t>15.840386349202227</t>
  </si>
  <si>
    <t>494.5939725385296</t>
  </si>
  <si>
    <t>7.077535311417153</t>
  </si>
  <si>
    <t>15.893648686848962</t>
  </si>
  <si>
    <t>2.6897112610838896</t>
  </si>
  <si>
    <t>4.046777399173578</t>
  </si>
  <si>
    <t>8.140022788315026</t>
  </si>
  <si>
    <t>248.24942894905928</t>
  </si>
  <si>
    <t>3.498768360506528</t>
  </si>
  <si>
    <t>2.6628431676241764</t>
  </si>
  <si>
    <t>2.2713755301260163</t>
  </si>
  <si>
    <t>2.7852981259079255</t>
  </si>
  <si>
    <t>8.047607419283013</t>
  </si>
  <si>
    <t>241.36888447667138</t>
  </si>
  <si>
    <t>2.3799040313711592</t>
  </si>
  <si>
    <t>2.2252195034173705</t>
  </si>
  <si>
    <t>4.781204165127886</t>
  </si>
  <si>
    <t>3.111210899949343</t>
  </si>
  <si>
    <t>9.5017973550948</t>
  </si>
  <si>
    <t>306.9462403597155</t>
  </si>
  <si>
    <t>2.4652593220943038</t>
  </si>
  <si>
    <t>4.325154209681786</t>
  </si>
  <si>
    <t>4.623056377848814</t>
  </si>
  <si>
    <t>2.723036416811912</t>
  </si>
  <si>
    <t>9.201663352842495</t>
  </si>
  <si>
    <t>295.9008429512847</t>
  </si>
  <si>
    <t>2.0948788609266877</t>
  </si>
  <si>
    <t>4.085039330022752</t>
  </si>
  <si>
    <t>2.6762277992973265</t>
  </si>
  <si>
    <t>1.9041677781810598</t>
  </si>
  <si>
    <t>8.891186931985892</t>
  </si>
  <si>
    <t>264.11864165004107</t>
  </si>
  <si>
    <t>1.4973692819280355</t>
  </si>
  <si>
    <t>2.442522605623224</t>
  </si>
  <si>
    <t>0.5176688525565434</t>
  </si>
  <si>
    <t>0.7691929949185731</t>
  </si>
  <si>
    <t>0.7691929949185732</t>
  </si>
  <si>
    <t>11.104807083965559</t>
  </si>
  <si>
    <t>13.425883300863953</t>
  </si>
  <si>
    <t>10.502149849232712</t>
  </si>
  <si>
    <t>407.46002035317963</t>
  </si>
  <si>
    <t>11.217967508437182</t>
  </si>
  <si>
    <t>10.281402710982503</t>
  </si>
  <si>
    <t>2.7466582562009694</t>
  </si>
  <si>
    <t>4.866038751725133</t>
  </si>
  <si>
    <t>6.534689160543926</t>
  </si>
  <si>
    <t>249.94386134501138</t>
  </si>
  <si>
    <t>4.268950254818326</t>
  </si>
  <si>
    <t>2.6996149766430753</t>
  </si>
  <si>
    <t>1.1097262056911583</t>
  </si>
  <si>
    <t>2.5332974221183453</t>
  </si>
  <si>
    <t>5.7748834571300005</t>
  </si>
  <si>
    <t>172.80809812098204</t>
  </si>
  <si>
    <t>2.3269215563969756</t>
  </si>
  <si>
    <t>1.1983571672613456</t>
  </si>
  <si>
    <t>1.7027091824694165</t>
  </si>
  <si>
    <t>2.5222071144847753</t>
  </si>
  <si>
    <t>5.323277294767049</t>
  </si>
  <si>
    <t>182.4333058077737</t>
  </si>
  <si>
    <t>2.174129419464085</t>
  </si>
  <si>
    <t>1.6664250530552325</t>
  </si>
  <si>
    <t>3.517904812403085</t>
  </si>
  <si>
    <t>2.328632706000469</t>
  </si>
  <si>
    <t>7.030808353509616</t>
  </si>
  <si>
    <t>237.04481353571654</t>
  </si>
  <si>
    <t>1.8150169469936084</t>
  </si>
  <si>
    <t>3.126734095907879</t>
  </si>
  <si>
    <t>3.2698476553764952</t>
  </si>
  <si>
    <t>2.0156199965879966</t>
  </si>
  <si>
    <t>6.351163423559997</t>
  </si>
  <si>
    <t>208.33297383374034</t>
  </si>
  <si>
    <t>1.5192826547959444</t>
  </si>
  <si>
    <t>2.836852638463778</t>
  </si>
  <si>
    <t>0.5850922738374478</t>
  </si>
  <si>
    <t>0.6780829412682601</t>
  </si>
  <si>
    <t>8.836685807089065</t>
  </si>
  <si>
    <t>5.347572030014597</t>
  </si>
  <si>
    <t>17.283598272900907</t>
  </si>
  <si>
    <t>557.1737743204357</t>
  </si>
  <si>
    <t>4.453111512832542</t>
  </si>
  <si>
    <t>8.390237583861781</t>
  </si>
  <si>
    <t>5.953644636209185</t>
  </si>
  <si>
    <t>6.941207660210844</t>
  </si>
  <si>
    <t>7.832762829178738</t>
  </si>
  <si>
    <t>312.3617758923054</t>
  </si>
  <si>
    <t>5.849889329433638</t>
  </si>
  <si>
    <t>5.550840056207475</t>
  </si>
  <si>
    <t>1.7917405967479834</t>
  </si>
  <si>
    <t>3.0853553460886296</t>
  </si>
  <si>
    <t>4.876531728842927</t>
  </si>
  <si>
    <t>185.80706496289758</t>
  </si>
  <si>
    <t>2.7062144507525447</t>
  </si>
  <si>
    <t>1.765724262658531</t>
  </si>
  <si>
    <t>0.9986985405900641</t>
  </si>
  <si>
    <t>1.7857060844411639</t>
  </si>
  <si>
    <t>4.7495062045228815</t>
  </si>
  <si>
    <t>146.60123475094514</t>
  </si>
  <si>
    <t>1.6242342672356396</t>
  </si>
  <si>
    <t>1.0568264839687402</t>
  </si>
  <si>
    <t>1.4172602287426705</t>
  </si>
  <si>
    <t>1.7986086961106522</t>
  </si>
  <si>
    <t>4.6958650638500945</t>
  </si>
  <si>
    <t>155.83856045588962</t>
  </si>
  <si>
    <t>1.5337301032252229</t>
  </si>
  <si>
    <t>1.3791236901458155</t>
  </si>
  <si>
    <t>1.2975993488688955</t>
  </si>
  <si>
    <t>1.4278449267119764</t>
  </si>
  <si>
    <t>4.912356540255931</t>
  </si>
  <si>
    <t>151.51082951758323</t>
  </si>
  <si>
    <t>1.1990044460770795</t>
  </si>
  <si>
    <t>1.2595955927816445</t>
  </si>
  <si>
    <t>0.5784559197260623</t>
  </si>
  <si>
    <t>0.6781336528408445</t>
  </si>
  <si>
    <t>0.6781336528408443</t>
  </si>
  <si>
    <t>51.4982933821365</t>
  </si>
  <si>
    <t>37.496230328982094</t>
  </si>
  <si>
    <t>18.6697743301088</t>
  </si>
  <si>
    <t>703.4314056234509</t>
  </si>
  <si>
    <t>30.393120263994746</t>
  </si>
  <si>
    <t>46.473620501790805</t>
  </si>
  <si>
    <t>8.095114913847674</t>
  </si>
  <si>
    <t>7.7941265683244225</t>
  </si>
  <si>
    <t>13.369031713851555</t>
  </si>
  <si>
    <t>508.231669614372</t>
  </si>
  <si>
    <t>6.685142535774757</t>
  </si>
  <si>
    <t>7.706935041934498</t>
  </si>
  <si>
    <t>11.752332898431565</t>
  </si>
  <si>
    <t>9.678953329942951</t>
  </si>
  <si>
    <t>12.548230039698318</t>
  </si>
  <si>
    <t>494.9106775634377</t>
  </si>
  <si>
    <t>7.98367869734256</t>
  </si>
  <si>
    <t>10.73765012179442</t>
  </si>
  <si>
    <t>3.644443769343653</t>
  </si>
  <si>
    <t>7.135611019852248</t>
  </si>
  <si>
    <t>5.736036287951404</t>
  </si>
  <si>
    <t>277.49908016845194</t>
  </si>
  <si>
    <t>6.194232650131256</t>
  </si>
  <si>
    <t>3.478196222818972</t>
  </si>
  <si>
    <t>0.738518424685553</t>
  </si>
  <si>
    <t>2.5953941323289342</t>
  </si>
  <si>
    <t>4.639081611954627</t>
  </si>
  <si>
    <t>178.98026656983208</t>
  </si>
  <si>
    <t>2.5001958691304798</t>
  </si>
  <si>
    <t>0.8362619349179612</t>
  </si>
  <si>
    <t>1.1232579410808952</t>
  </si>
  <si>
    <t>2.3441226124579027</t>
  </si>
  <si>
    <t>3.5829353020068035</t>
  </si>
  <si>
    <t>161.81547007975698</t>
  </si>
  <si>
    <t>2.088396986970958</t>
  </si>
  <si>
    <t>1.1198624702147832</t>
  </si>
  <si>
    <t>0.29672908313896446</t>
  </si>
  <si>
    <t>1.0663099377129421</t>
  </si>
  <si>
    <t>1.066309937712942</t>
  </si>
  <si>
    <t>4.521266908928541</t>
  </si>
  <si>
    <t>17.946778095150027</t>
  </si>
  <si>
    <t>5.506014304383637</t>
  </si>
  <si>
    <t>292.12733497489756</t>
  </si>
  <si>
    <t>15.85189699330047</t>
  </si>
  <si>
    <t>4.475829131198166</t>
  </si>
  <si>
    <t>11.045707806988542</t>
  </si>
  <si>
    <t>9.228903108488401</t>
  </si>
  <si>
    <t>16.36418717153572</t>
  </si>
  <si>
    <t>616.4717075312931</t>
  </si>
  <si>
    <t>7.935832732807266</t>
  </si>
  <si>
    <t>10.55845300683824</t>
  </si>
  <si>
    <t>9.311147868033773</t>
  </si>
  <si>
    <t>5.46981182863066</t>
  </si>
  <si>
    <t>17.39778972605156</t>
  </si>
  <si>
    <t>582.1465919809912</t>
  </si>
  <si>
    <t>4.464211540562246</t>
  </si>
  <si>
    <t>8.641471367884959</t>
  </si>
  <si>
    <t>2.7934455975857775</t>
  </si>
  <si>
    <t>5.000513018611264</t>
  </si>
  <si>
    <t>5.403128172343795</t>
  </si>
  <si>
    <t>261.82984700128907</t>
  </si>
  <si>
    <t>4.397315974884727</t>
  </si>
  <si>
    <t>2.695476135847393</t>
  </si>
  <si>
    <t>0.7181549328855484</t>
  </si>
  <si>
    <t>2.5491710019697504</t>
  </si>
  <si>
    <t>3.577945553670332</t>
  </si>
  <si>
    <t>154.58928010972227</t>
  </si>
  <si>
    <t>2.421008281051127</t>
  </si>
  <si>
    <t>0.7897950161616202</t>
  </si>
  <si>
    <t>0.8910267975501447</t>
  </si>
  <si>
    <t>2.3988608418482533</t>
  </si>
  <si>
    <t>3.4189932793977857</t>
  </si>
  <si>
    <t>153.20883345163688</t>
  </si>
  <si>
    <t>2.1806515606007317</t>
  </si>
  <si>
    <t>0.9185097822751227</t>
  </si>
  <si>
    <t>0.30788144422034763</t>
  </si>
  <si>
    <t>1.0477654518945911</t>
  </si>
  <si>
    <t>1.047765451894591</t>
  </si>
  <si>
    <t>0.3078814442203477</t>
  </si>
  <si>
    <t>[EH]
Vlookup Index</t>
  </si>
  <si>
    <t>people in a 10x10 intersection grid</t>
  </si>
  <si>
    <r>
      <t xml:space="preserve">Evacuate from Sensor Result?
</t>
    </r>
    <r>
      <rPr>
        <sz val="11"/>
        <rFont val="Calibri"/>
        <family val="2"/>
        <scheme val="minor"/>
      </rPr>
      <t>Yes = Positive Result
No = Negative Result</t>
    </r>
  </si>
  <si>
    <t>[EH]
Lives Saved</t>
  </si>
  <si>
    <t>[EH]
Lives Lost</t>
  </si>
  <si>
    <t>Human Lives Saved</t>
  </si>
  <si>
    <t>Human Lives Lost</t>
  </si>
  <si>
    <t>[EH] 87</t>
  </si>
  <si>
    <t>[EH] 88</t>
  </si>
  <si>
    <t>[Reference Only]
Vlookup Index</t>
  </si>
  <si>
    <t>$ Invested in Technology
(Purchase + Deploy Once)</t>
  </si>
  <si>
    <t>Mean Lives Saved / Week</t>
  </si>
  <si>
    <t>Mean $ Invested / Week</t>
  </si>
  <si>
    <t>Total:</t>
  </si>
  <si>
    <t>$ / Human Lives Saved:</t>
  </si>
  <si>
    <t>Mean $ Spent / Week</t>
  </si>
  <si>
    <t>&lt;&lt; Note, higher deployment cost in order to clean it or throw it away</t>
  </si>
  <si>
    <t>Mean Lives Lost / Week</t>
  </si>
  <si>
    <t>Delay before Evacuation:</t>
  </si>
  <si>
    <r>
      <t>CWA Attacks (</t>
    </r>
    <r>
      <rPr>
        <sz val="8"/>
        <color theme="1"/>
        <rFont val="Calibri"/>
        <family val="2"/>
      </rPr>
      <t>λ)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</si>
</sst>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0.0000000"/>
    <numFmt numFmtId="167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FA7D0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</font>
    <font>
      <b/>
      <sz val="10.5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4" fontId="18" fillId="0" borderId="0" applyFont="0" applyFill="0" applyBorder="0" applyAlignment="0" applyProtection="0"/>
  </cellStyleXfs>
  <cellXfs count="210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3" borderId="7" xfId="2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2" fillId="3" borderId="6" xfId="2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0" fontId="5" fillId="2" borderId="1" xfId="1" applyFont="1" applyAlignment="1">
      <alignment horizontal="center" vertical="center"/>
    </xf>
    <xf numFmtId="0" fontId="6" fillId="3" borderId="1" xfId="2" applyFont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3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1" borderId="15" xfId="0" applyFill="1" applyBorder="1"/>
    <xf numFmtId="0" fontId="3" fillId="11" borderId="15" xfId="0" applyFon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164" fontId="0" fillId="14" borderId="15" xfId="0" applyNumberForma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14" borderId="23" xfId="0" applyFont="1" applyFill="1" applyBorder="1" applyAlignment="1">
      <alignment horizontal="center"/>
    </xf>
    <xf numFmtId="0" fontId="3" fillId="14" borderId="24" xfId="0" applyFont="1" applyFill="1" applyBorder="1" applyAlignment="1">
      <alignment horizontal="center"/>
    </xf>
    <xf numFmtId="0" fontId="0" fillId="11" borderId="20" xfId="0" applyFill="1" applyBorder="1"/>
    <xf numFmtId="0" fontId="3" fillId="11" borderId="20" xfId="0" applyFont="1" applyFill="1" applyBorder="1" applyAlignment="1">
      <alignment horizontal="center"/>
    </xf>
    <xf numFmtId="0" fontId="3" fillId="11" borderId="25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  <xf numFmtId="0" fontId="0" fillId="6" borderId="0" xfId="0" applyFill="1"/>
    <xf numFmtId="0" fontId="3" fillId="6" borderId="0" xfId="0" applyFont="1" applyFill="1" applyBorder="1" applyAlignment="1">
      <alignment horizontal="center"/>
    </xf>
    <xf numFmtId="0" fontId="0" fillId="6" borderId="0" xfId="0" applyFill="1" applyBorder="1"/>
    <xf numFmtId="0" fontId="4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/>
    </xf>
    <xf numFmtId="2" fontId="9" fillId="15" borderId="21" xfId="2" applyNumberFormat="1" applyFont="1" applyFill="1" applyBorder="1" applyAlignment="1">
      <alignment horizontal="center"/>
    </xf>
    <xf numFmtId="2" fontId="9" fillId="15" borderId="14" xfId="2" applyNumberFormat="1" applyFont="1" applyFill="1" applyBorder="1" applyAlignment="1">
      <alignment horizontal="center"/>
    </xf>
    <xf numFmtId="2" fontId="9" fillId="10" borderId="27" xfId="2" applyNumberFormat="1" applyFont="1" applyFill="1" applyBorder="1" applyAlignment="1">
      <alignment horizontal="center"/>
    </xf>
    <xf numFmtId="2" fontId="9" fillId="10" borderId="6" xfId="2" applyNumberFormat="1" applyFont="1" applyFill="1" applyBorder="1" applyAlignment="1">
      <alignment horizontal="center"/>
    </xf>
    <xf numFmtId="2" fontId="9" fillId="10" borderId="7" xfId="2" applyNumberFormat="1" applyFont="1" applyFill="1" applyBorder="1" applyAlignment="1">
      <alignment horizontal="center"/>
    </xf>
    <xf numFmtId="2" fontId="9" fillId="15" borderId="27" xfId="2" applyNumberFormat="1" applyFont="1" applyFill="1" applyBorder="1" applyAlignment="1">
      <alignment horizontal="center"/>
    </xf>
    <xf numFmtId="2" fontId="9" fillId="15" borderId="6" xfId="2" applyNumberFormat="1" applyFont="1" applyFill="1" applyBorder="1" applyAlignment="1">
      <alignment horizontal="center"/>
    </xf>
    <xf numFmtId="2" fontId="9" fillId="15" borderId="7" xfId="2" applyNumberFormat="1" applyFont="1" applyFill="1" applyBorder="1" applyAlignment="1">
      <alignment horizontal="center"/>
    </xf>
    <xf numFmtId="0" fontId="1" fillId="2" borderId="27" xfId="1" applyBorder="1" applyAlignment="1">
      <alignment horizontal="center"/>
    </xf>
    <xf numFmtId="0" fontId="1" fillId="2" borderId="28" xfId="1" applyBorder="1" applyAlignment="1">
      <alignment horizontal="center"/>
    </xf>
    <xf numFmtId="0" fontId="1" fillId="2" borderId="8" xfId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7" borderId="29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/>
    </xf>
    <xf numFmtId="165" fontId="0" fillId="0" borderId="15" xfId="0" applyNumberFormat="1" applyFill="1" applyBorder="1" applyAlignment="1">
      <alignment horizontal="center" vertical="center"/>
    </xf>
    <xf numFmtId="165" fontId="0" fillId="0" borderId="15" xfId="0" applyNumberFormat="1" applyFill="1" applyBorder="1" applyAlignment="1">
      <alignment horizontal="center"/>
    </xf>
    <xf numFmtId="165" fontId="0" fillId="0" borderId="29" xfId="0" applyNumberFormat="1" applyFill="1" applyBorder="1" applyAlignment="1">
      <alignment horizontal="center"/>
    </xf>
    <xf numFmtId="0" fontId="0" fillId="22" borderId="15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2" fontId="2" fillId="3" borderId="6" xfId="2" applyNumberFormat="1" applyBorder="1" applyAlignment="1">
      <alignment horizontal="center"/>
    </xf>
    <xf numFmtId="0" fontId="0" fillId="0" borderId="0" xfId="0" applyBorder="1"/>
    <xf numFmtId="165" fontId="0" fillId="0" borderId="32" xfId="0" applyNumberForma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2" fontId="9" fillId="10" borderId="34" xfId="2" applyNumberFormat="1" applyFont="1" applyFill="1" applyBorder="1" applyAlignment="1">
      <alignment horizontal="center"/>
    </xf>
    <xf numFmtId="2" fontId="9" fillId="10" borderId="35" xfId="2" applyNumberFormat="1" applyFont="1" applyFill="1" applyBorder="1" applyAlignment="1">
      <alignment horizontal="center"/>
    </xf>
    <xf numFmtId="0" fontId="1" fillId="2" borderId="37" xfId="1" applyBorder="1" applyAlignment="1">
      <alignment horizontal="center" vertical="center"/>
    </xf>
    <xf numFmtId="0" fontId="1" fillId="2" borderId="38" xfId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/>
    </xf>
    <xf numFmtId="165" fontId="0" fillId="0" borderId="20" xfId="0" applyNumberFormat="1" applyFill="1" applyBorder="1" applyAlignment="1">
      <alignment horizontal="center" vertical="center"/>
    </xf>
    <xf numFmtId="0" fontId="0" fillId="17" borderId="30" xfId="0" applyFill="1" applyBorder="1" applyAlignment="1">
      <alignment horizontal="center" vertical="center"/>
    </xf>
    <xf numFmtId="0" fontId="14" fillId="6" borderId="31" xfId="0" applyFont="1" applyFill="1" applyBorder="1" applyAlignment="1">
      <alignment horizontal="left" vertical="center"/>
    </xf>
    <xf numFmtId="0" fontId="14" fillId="6" borderId="43" xfId="0" applyFont="1" applyFill="1" applyBorder="1" applyAlignment="1">
      <alignment horizontal="left" vertical="center"/>
    </xf>
    <xf numFmtId="0" fontId="14" fillId="6" borderId="32" xfId="0" applyFont="1" applyFill="1" applyBorder="1" applyAlignment="1">
      <alignment horizontal="left" vertical="center"/>
    </xf>
    <xf numFmtId="0" fontId="14" fillId="6" borderId="41" xfId="0" applyFont="1" applyFill="1" applyBorder="1" applyAlignment="1">
      <alignment horizontal="left" vertical="center" wrapText="1"/>
    </xf>
    <xf numFmtId="166" fontId="0" fillId="0" borderId="44" xfId="0" applyNumberFormat="1" applyFill="1" applyBorder="1" applyAlignment="1">
      <alignment horizontal="center"/>
    </xf>
    <xf numFmtId="166" fontId="14" fillId="0" borderId="15" xfId="0" applyNumberFormat="1" applyFont="1" applyFill="1" applyBorder="1" applyAlignment="1">
      <alignment horizontal="center"/>
    </xf>
    <xf numFmtId="166" fontId="0" fillId="0" borderId="15" xfId="0" applyNumberFormat="1" applyFill="1" applyBorder="1" applyAlignment="1">
      <alignment horizontal="center"/>
    </xf>
    <xf numFmtId="0" fontId="0" fillId="0" borderId="45" xfId="0" applyBorder="1"/>
    <xf numFmtId="0" fontId="14" fillId="6" borderId="41" xfId="0" applyFont="1" applyFill="1" applyBorder="1" applyAlignment="1">
      <alignment horizontal="center" vertical="center" wrapText="1"/>
    </xf>
    <xf numFmtId="0" fontId="14" fillId="21" borderId="46" xfId="0" applyFont="1" applyFill="1" applyBorder="1" applyAlignment="1">
      <alignment horizontal="left" vertical="center"/>
    </xf>
    <xf numFmtId="0" fontId="0" fillId="6" borderId="0" xfId="0" applyFill="1" applyBorder="1" applyAlignment="1">
      <alignment vertical="center"/>
    </xf>
    <xf numFmtId="0" fontId="0" fillId="6" borderId="0" xfId="0" applyFill="1" applyBorder="1" applyAlignment="1">
      <alignment vertical="center" wrapText="1"/>
    </xf>
    <xf numFmtId="0" fontId="14" fillId="21" borderId="46" xfId="0" applyFont="1" applyFill="1" applyBorder="1" applyAlignment="1">
      <alignment horizontal="left" vertical="center" wrapText="1"/>
    </xf>
    <xf numFmtId="0" fontId="0" fillId="0" borderId="48" xfId="0" applyBorder="1"/>
    <xf numFmtId="0" fontId="14" fillId="6" borderId="32" xfId="0" applyFont="1" applyFill="1" applyBorder="1" applyAlignment="1">
      <alignment horizontal="left" vertical="center" wrapText="1"/>
    </xf>
    <xf numFmtId="49" fontId="3" fillId="16" borderId="15" xfId="0" applyNumberFormat="1" applyFont="1" applyFill="1" applyBorder="1" applyAlignment="1">
      <alignment horizontal="center" vertical="top" wrapText="1"/>
    </xf>
    <xf numFmtId="49" fontId="3" fillId="10" borderId="15" xfId="0" applyNumberFormat="1" applyFont="1" applyFill="1" applyBorder="1" applyAlignment="1">
      <alignment horizontal="center" vertical="top" wrapText="1"/>
    </xf>
    <xf numFmtId="49" fontId="3" fillId="10" borderId="18" xfId="0" applyNumberFormat="1" applyFont="1" applyFill="1" applyBorder="1" applyAlignment="1">
      <alignment horizontal="center" vertical="top" wrapText="1"/>
    </xf>
    <xf numFmtId="49" fontId="3" fillId="0" borderId="20" xfId="0" applyNumberFormat="1" applyFont="1" applyBorder="1" applyAlignment="1">
      <alignment horizontal="center" vertical="top" wrapText="1"/>
    </xf>
    <xf numFmtId="0" fontId="0" fillId="23" borderId="0" xfId="0" applyFill="1"/>
    <xf numFmtId="0" fontId="0" fillId="0" borderId="49" xfId="0" applyBorder="1"/>
    <xf numFmtId="0" fontId="0" fillId="4" borderId="0" xfId="0" applyFill="1"/>
    <xf numFmtId="49" fontId="3" fillId="0" borderId="16" xfId="0" applyNumberFormat="1" applyFont="1" applyBorder="1" applyAlignment="1">
      <alignment horizontal="center" vertical="top" wrapText="1"/>
    </xf>
    <xf numFmtId="0" fontId="3" fillId="23" borderId="16" xfId="0" applyFont="1" applyFill="1" applyBorder="1" applyAlignment="1">
      <alignment horizontal="center" vertical="top"/>
    </xf>
    <xf numFmtId="0" fontId="3" fillId="0" borderId="16" xfId="0" applyFont="1" applyBorder="1" applyAlignment="1">
      <alignment horizontal="center" vertical="top"/>
    </xf>
    <xf numFmtId="0" fontId="3" fillId="4" borderId="16" xfId="0" applyFont="1" applyFill="1" applyBorder="1" applyAlignment="1">
      <alignment horizontal="center" vertical="top"/>
    </xf>
    <xf numFmtId="49" fontId="3" fillId="0" borderId="25" xfId="0" applyNumberFormat="1" applyFont="1" applyBorder="1" applyAlignment="1">
      <alignment horizontal="center" vertical="top" wrapText="1"/>
    </xf>
    <xf numFmtId="0" fontId="3" fillId="23" borderId="0" xfId="0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49" xfId="0" applyBorder="1" applyAlignment="1">
      <alignment horizontal="center"/>
    </xf>
    <xf numFmtId="1" fontId="0" fillId="0" borderId="49" xfId="0" applyNumberFormat="1" applyBorder="1" applyAlignment="1">
      <alignment horizontal="center"/>
    </xf>
    <xf numFmtId="0" fontId="14" fillId="6" borderId="48" xfId="0" applyFont="1" applyFill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0" fontId="14" fillId="21" borderId="46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right"/>
    </xf>
    <xf numFmtId="0" fontId="0" fillId="0" borderId="45" xfId="0" applyBorder="1" applyAlignment="1">
      <alignment horizontal="right"/>
    </xf>
    <xf numFmtId="0" fontId="0" fillId="0" borderId="45" xfId="0" applyBorder="1" applyAlignment="1">
      <alignment horizontal="center"/>
    </xf>
    <xf numFmtId="44" fontId="0" fillId="0" borderId="0" xfId="3" applyFont="1" applyAlignment="1">
      <alignment horizontal="center"/>
    </xf>
    <xf numFmtId="2" fontId="9" fillId="21" borderId="34" xfId="2" applyNumberFormat="1" applyFont="1" applyFill="1" applyBorder="1" applyAlignment="1">
      <alignment horizontal="center"/>
    </xf>
    <xf numFmtId="2" fontId="9" fillId="21" borderId="35" xfId="2" applyNumberFormat="1" applyFont="1" applyFill="1" applyBorder="1" applyAlignment="1">
      <alignment horizontal="center"/>
    </xf>
    <xf numFmtId="2" fontId="9" fillId="21" borderId="27" xfId="2" applyNumberFormat="1" applyFont="1" applyFill="1" applyBorder="1" applyAlignment="1">
      <alignment horizontal="center"/>
    </xf>
    <xf numFmtId="2" fontId="9" fillId="21" borderId="6" xfId="2" applyNumberFormat="1" applyFont="1" applyFill="1" applyBorder="1" applyAlignment="1">
      <alignment horizontal="center"/>
    </xf>
    <xf numFmtId="2" fontId="9" fillId="21" borderId="7" xfId="2" applyNumberFormat="1" applyFont="1" applyFill="1" applyBorder="1" applyAlignment="1">
      <alignment horizontal="center"/>
    </xf>
    <xf numFmtId="2" fontId="9" fillId="20" borderId="12" xfId="2" applyNumberFormat="1" applyFont="1" applyFill="1" applyBorder="1" applyAlignment="1">
      <alignment horizontal="center"/>
    </xf>
    <xf numFmtId="2" fontId="9" fillId="20" borderId="14" xfId="2" applyNumberFormat="1" applyFont="1" applyFill="1" applyBorder="1" applyAlignment="1">
      <alignment horizontal="center"/>
    </xf>
    <xf numFmtId="2" fontId="9" fillId="20" borderId="27" xfId="2" applyNumberFormat="1" applyFont="1" applyFill="1" applyBorder="1" applyAlignment="1">
      <alignment horizontal="center"/>
    </xf>
    <xf numFmtId="2" fontId="9" fillId="20" borderId="6" xfId="2" applyNumberFormat="1" applyFont="1" applyFill="1" applyBorder="1" applyAlignment="1">
      <alignment horizontal="center"/>
    </xf>
    <xf numFmtId="2" fontId="9" fillId="20" borderId="7" xfId="2" applyNumberFormat="1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1" fontId="3" fillId="24" borderId="5" xfId="3" applyNumberFormat="1" applyFont="1" applyFill="1" applyBorder="1" applyAlignment="1">
      <alignment horizontal="center"/>
    </xf>
    <xf numFmtId="1" fontId="3" fillId="24" borderId="50" xfId="3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167" fontId="3" fillId="24" borderId="5" xfId="3" applyNumberFormat="1" applyFont="1" applyFill="1" applyBorder="1" applyAlignment="1">
      <alignment horizontal="center"/>
    </xf>
    <xf numFmtId="167" fontId="3" fillId="24" borderId="50" xfId="3" applyNumberFormat="1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6" fillId="5" borderId="39" xfId="0" applyFont="1" applyFill="1" applyBorder="1" applyAlignment="1">
      <alignment horizontal="center"/>
    </xf>
    <xf numFmtId="0" fontId="16" fillId="5" borderId="42" xfId="0" applyFont="1" applyFill="1" applyBorder="1" applyAlignment="1">
      <alignment horizontal="center"/>
    </xf>
    <xf numFmtId="0" fontId="16" fillId="5" borderId="40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4" fillId="12" borderId="18" xfId="0" applyFont="1" applyFill="1" applyBorder="1" applyAlignment="1">
      <alignment horizontal="center"/>
    </xf>
    <xf numFmtId="0" fontId="4" fillId="12" borderId="17" xfId="0" applyFont="1" applyFill="1" applyBorder="1" applyAlignment="1">
      <alignment horizontal="center"/>
    </xf>
    <xf numFmtId="0" fontId="4" fillId="12" borderId="16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7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4" xfId="0" applyFont="1" applyFill="1" applyBorder="1" applyAlignment="1">
      <alignment horizontal="left"/>
    </xf>
    <xf numFmtId="0" fontId="21" fillId="0" borderId="5" xfId="0" applyFont="1" applyFill="1" applyBorder="1" applyAlignment="1">
      <alignment horizontal="left"/>
    </xf>
    <xf numFmtId="0" fontId="10" fillId="21" borderId="11" xfId="0" applyFont="1" applyFill="1" applyBorder="1" applyAlignment="1">
      <alignment horizontal="left"/>
    </xf>
    <xf numFmtId="0" fontId="10" fillId="21" borderId="13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3" xfId="0" applyFont="1" applyFill="1" applyBorder="1" applyAlignment="1">
      <alignment horizontal="left"/>
    </xf>
    <xf numFmtId="0" fontId="10" fillId="20" borderId="11" xfId="0" applyFont="1" applyFill="1" applyBorder="1" applyAlignment="1">
      <alignment horizontal="left"/>
    </xf>
    <xf numFmtId="0" fontId="10" fillId="20" borderId="13" xfId="0" applyFont="1" applyFill="1" applyBorder="1" applyAlignment="1">
      <alignment horizontal="left"/>
    </xf>
    <xf numFmtId="0" fontId="10" fillId="15" borderId="19" xfId="0" applyFont="1" applyFill="1" applyBorder="1" applyAlignment="1">
      <alignment horizontal="left"/>
    </xf>
    <xf numFmtId="0" fontId="10" fillId="15" borderId="13" xfId="0" applyFont="1" applyFill="1" applyBorder="1" applyAlignment="1">
      <alignment horizontal="left"/>
    </xf>
    <xf numFmtId="0" fontId="10" fillId="21" borderId="2" xfId="0" applyFont="1" applyFill="1" applyBorder="1" applyAlignment="1">
      <alignment horizontal="left"/>
    </xf>
    <xf numFmtId="0" fontId="10" fillId="21" borderId="4" xfId="0" applyFont="1" applyFill="1" applyBorder="1" applyAlignment="1">
      <alignment horizontal="left"/>
    </xf>
    <xf numFmtId="0" fontId="10" fillId="21" borderId="5" xfId="0" applyFont="1" applyFill="1" applyBorder="1" applyAlignment="1">
      <alignment horizontal="left"/>
    </xf>
    <xf numFmtId="0" fontId="10" fillId="10" borderId="2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left"/>
    </xf>
    <xf numFmtId="0" fontId="10" fillId="10" borderId="5" xfId="0" applyFont="1" applyFill="1" applyBorder="1" applyAlignment="1">
      <alignment horizontal="left"/>
    </xf>
    <xf numFmtId="0" fontId="10" fillId="20" borderId="2" xfId="0" applyFont="1" applyFill="1" applyBorder="1" applyAlignment="1">
      <alignment horizontal="left"/>
    </xf>
    <xf numFmtId="0" fontId="10" fillId="20" borderId="4" xfId="0" applyFont="1" applyFill="1" applyBorder="1" applyAlignment="1">
      <alignment horizontal="left"/>
    </xf>
    <xf numFmtId="0" fontId="10" fillId="20" borderId="5" xfId="0" applyFont="1" applyFill="1" applyBorder="1" applyAlignment="1">
      <alignment horizontal="left"/>
    </xf>
    <xf numFmtId="0" fontId="10" fillId="15" borderId="2" xfId="0" applyFont="1" applyFill="1" applyBorder="1" applyAlignment="1">
      <alignment horizontal="left"/>
    </xf>
    <xf numFmtId="0" fontId="10" fillId="15" borderId="4" xfId="0" applyFont="1" applyFill="1" applyBorder="1" applyAlignment="1">
      <alignment horizontal="left"/>
    </xf>
    <xf numFmtId="0" fontId="10" fillId="15" borderId="5" xfId="0" applyFont="1" applyFill="1" applyBorder="1" applyAlignment="1">
      <alignment horizontal="left"/>
    </xf>
  </cellXfs>
  <cellStyles count="4">
    <cellStyle name="Calculation" xfId="2" builtinId="22"/>
    <cellStyle name="Currency" xfId="3" builtinId="4"/>
    <cellStyle name="Input" xfId="1" builtinId="20"/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auto="1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 outline="0">
        <left/>
        <right/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border diagonalUp="0" diagonalDown="0" outline="0">
        <left/>
        <right/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 style="medium">
          <color indexed="64"/>
        </bottom>
      </border>
    </dxf>
    <dxf>
      <numFmt numFmtId="166" formatCode="0.00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 outline="0">
        <left/>
        <right/>
        <top/>
        <bottom/>
      </border>
    </dxf>
    <dxf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/>
        <bottom/>
      </border>
    </dxf>
    <dxf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/>
        <bottom/>
      </border>
    </dxf>
    <dxf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16</xdr:col>
      <xdr:colOff>13855</xdr:colOff>
      <xdr:row>25</xdr:row>
      <xdr:rowOff>47581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889445-4333-4D04-BB63-59D24A34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8" t="4080" r="1375" b="4420"/>
        <a:stretch/>
      </xdr:blipFill>
      <xdr:spPr bwMode="auto">
        <a:xfrm>
          <a:off x="1" y="1"/>
          <a:ext cx="14588836" cy="4564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840A0-EA41-438B-B500-33E544A6B6E9}" name="Table1" displayName="Table1" ref="A2:P115" totalsRowCount="1" headerRowDxfId="51" headerRowBorderDxfId="50" tableBorderDxfId="49" totalsRowBorderDxfId="48">
  <autoFilter ref="A2:P114" xr:uid="{9DCB72A0-C201-4F4D-85E7-DEDB26756674}"/>
  <sortState xmlns:xlrd2="http://schemas.microsoft.com/office/spreadsheetml/2017/richdata2" ref="A3:I114">
    <sortCondition ref="A2:A114"/>
  </sortState>
  <tableColumns count="16">
    <tableColumn id="1" xr3:uid="{A924D442-5879-4FDA-A203-F0DC9C58671C}" name="Population Density" dataDxfId="47" totalsRowDxfId="46"/>
    <tableColumn id="9" xr3:uid="{4F372516-456C-442F-9F28-4DCE1951018E}" name="Attack Timing" dataDxfId="45" totalsRowDxfId="44"/>
    <tableColumn id="8" xr3:uid="{64BE1E17-C53F-46CC-A899-7191EB6A5B9A}" name="Attack Distance" dataDxfId="43" totalsRowDxfId="42"/>
    <tableColumn id="14" xr3:uid="{39556EEF-856C-4A08-A287-D062E20256BD}" name="CWA Danger (Lethality)" dataDxfId="41" totalsRowDxfId="40"/>
    <tableColumn id="2" xr3:uid="{61DA220B-9F75-46A9-A9DF-3DE1864A3522}" name="CWA Persistence" totalsRowDxfId="39"/>
    <tableColumn id="3" xr3:uid="{67FB5333-B309-4284-90E6-4B44B5EF7091}" name="Evacuate from Sensor Result?_x000a_Yes = Positive Result_x000a_No = Negative Result" totalsRowLabel="Total:" dataDxfId="38" totalsRowDxfId="37"/>
    <tableColumn id="4" xr3:uid="{DBF5C5EE-6531-4A04-A1DA-117FA6F53552}" name="P(Event)" totalsRowFunction="sum" dataDxfId="36" totalsRowDxfId="35"/>
    <tableColumn id="5" xr3:uid="{78DA8E59-F2D3-437D-AC84-BFC545CC5D69}" name="Mean Rate of Events / Week" totalsRowFunction="sum" dataDxfId="34" totalsRowDxfId="33">
      <calculatedColumnFormula>G3*'Main Tree'!$H$33</calculatedColumnFormula>
    </tableColumn>
    <tableColumn id="7" xr3:uid="{E14C4B7A-E002-4A06-946A-EF2201D1D2E3}" name="Time Before Evacuation, based on Investment (Timesteps)" dataDxfId="32" totalsRowDxfId="31">
      <calculatedColumnFormula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calculatedColumnFormula>
    </tableColumn>
    <tableColumn id="15" xr3:uid="{0DEEB569-0554-47CE-9518-C434424BF610}" name="[Reference Only]_x000a_Vlookup Index" dataDxfId="30" totalsRowDxfId="29">
      <calculatedColumnFormula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calculatedColumnFormula>
    </tableColumn>
    <tableColumn id="10" xr3:uid="{7FA868A5-F18B-418C-9863-442135BDEB1B}" name="Human Lives Saved" dataDxfId="28" totalsRowDxfId="27">
      <calculatedColumnFormula>VLOOKUP(Table1[[#This Row],['[Reference Only']
Vlookup Index]],Table2[['[EH']
Vlookup Index]:['[EH']
Lives Saved]],19,0)</calculatedColumnFormula>
    </tableColumn>
    <tableColumn id="13" xr3:uid="{33A94C58-9F11-41EF-BB54-1EA0A238CDD3}" name="Human Lives Lost" dataDxfId="26" totalsRowDxfId="25">
      <calculatedColumnFormula>VLOOKUP(Table1[[#This Row],['[Reference Only']
Vlookup Index]],Table2[['[EH']
Vlookup Index]:['[EH']
Lives Lost]],20,0)</calculatedColumnFormula>
    </tableColumn>
    <tableColumn id="11" xr3:uid="{F726F8C3-673A-4670-9DEE-42C4365A26CB}" name="$ Invested in Technology_x000a_(Purchase + Deploy Once)" totalsRowLabel="Total:" dataDxfId="24" totalsRowDxfId="23">
      <calculatedColumnFormula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calculatedColumnFormula>
    </tableColumn>
    <tableColumn id="12" xr3:uid="{DEEEB086-9B0C-4201-B02B-3EA56C849764}" name="Mean Lives Saved / Week" totalsRowFunction="custom" dataDxfId="22" totalsRowDxfId="21">
      <calculatedColumnFormula>Table1[[#This Row],[Human Lives Saved]]*Table1[[#This Row],[Mean Rate of Events / Week]]</calculatedColumnFormula>
      <totalsRowFormula>SUM(Table1[Mean Lives Saved / Week])</totalsRowFormula>
    </tableColumn>
    <tableColumn id="6" xr3:uid="{90FE723F-FC61-4E0C-98CF-E9ECA3F7974D}" name="Mean Lives Lost / Week" totalsRowFunction="custom" dataDxfId="20" totalsRowDxfId="19">
      <calculatedColumnFormula>Table1[[#This Row],[Human Lives Lost]]*Table1[[#This Row],[Mean Rate of Events / Week]]</calculatedColumnFormula>
      <totalsRowFormula>SUM(Table1[Mean Lives Lost / Week])</totalsRowFormula>
    </tableColumn>
    <tableColumn id="17" xr3:uid="{29788DB2-28AE-4CC2-A9BC-E3C799E77B68}" name="Mean $ Invested / Week" totalsRowFunction="custom" dataDxfId="18" totalsRowDxfId="17" dataCellStyle="Currency">
      <calculatedColumnFormula>Table1[[#This Row],[$ Invested in Technology
(Purchase + Deploy Once)]]*Table1[[#This Row],[Mean Rate of Events / Week]]</calculatedColumnFormula>
      <totalsRowFormula>SUM(Table1[Mean $ Invested / Week])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D9D2AC-3A44-4871-B874-F772AB513059}" name="Table2" displayName="Table2" ref="A5:U93" totalsRowShown="0" headerRowDxfId="16" headerRowBorderDxfId="15" tableBorderDxfId="14">
  <autoFilter ref="A5:U93" xr:uid="{FF56C99D-0EEA-4820-913D-4B481222CF0B}"/>
  <tableColumns count="21">
    <tableColumn id="1" xr3:uid="{4D2A9D11-D063-4D7C-B35C-6F1B0B04D37B}" name="Case" dataDxfId="13"/>
    <tableColumn id="19" xr3:uid="{0CBA8702-FD91-4C6F-A7CB-E7FFE322A9E0}" name="[EH]_x000a_Vlookup Index" dataDxfId="12">
      <calculatedColumnFormula>Table2[[#This Row],[Population Density]]&amp;Table2[[#This Row],[Lethality]]&amp;Table2[[#This Row],[Persistence]]&amp;Table2[[#This Row],[Delay]]&amp;Table2[[#This Row],[Evacuate]]</calculatedColumnFormula>
    </tableColumn>
    <tableColumn id="2" xr3:uid="{DB393ECA-9C68-4F82-B861-42BDEA986A97}" name="Population Density"/>
    <tableColumn id="3" xr3:uid="{EC944CEE-D461-453C-89B9-AB3BAE41BE8B}" name="Lethality"/>
    <tableColumn id="4" xr3:uid="{025935F3-2039-4170-8682-FFC344132932}" name="Persistence"/>
    <tableColumn id="5" xr3:uid="{AEAB23A5-7738-4793-B5EE-1F4C96E3C9FA}" name="Delay"/>
    <tableColumn id="6" xr3:uid="{E4AA91DD-64D7-4867-B76D-F0EA8693DDC6}" name="Evacuate"/>
    <tableColumn id="7" xr3:uid="{BE97EE0F-3D60-4E43-B24A-100038FB6C5E}" name="Safe A Parameter"/>
    <tableColumn id="8" xr3:uid="{663A3B31-C74D-4240-BAF4-D2F3A5B25355}" name="Safe B Parameter"/>
    <tableColumn id="9" xr3:uid="{2B788BCC-7E61-4493-AEFA-6E3BE7DD9855}" name="Stampede Deaths A Parameter"/>
    <tableColumn id="10" xr3:uid="{48DE9F86-7DDB-4012-B23F-CE1B067A626C}" name="Stampede Deaths B Parameter"/>
    <tableColumn id="11" xr3:uid="{1F393678-1A75-47B0-8066-8A4B4105497D}" name="Chemical Deaths A Parameter "/>
    <tableColumn id="12" xr3:uid="{ACB9DB93-F7FC-4543-8B24-0358B3A117FB}" name="Chemical Deaths B Parameter"/>
    <tableColumn id="13" xr3:uid="{1211F66C-D9C8-4177-AA7D-7E815B9CB00E}" name="Mean Safe" dataDxfId="11"/>
    <tableColumn id="14" xr3:uid="{AF73166E-2AD9-4CCB-BF53-8A616ADAEF6B}" name="Mean Stampede Deaths" dataDxfId="10"/>
    <tableColumn id="15" xr3:uid="{4284E6FC-5870-40BF-B68E-D03A0DC363DE}" name="Mean Chemical Deaths" dataDxfId="9"/>
    <tableColumn id="16" xr3:uid="{B53D772E-7843-4879-AA09-A16A100D0F1D}" name="STD Safe" dataDxfId="8">
      <calculatedColumnFormula>SQRT(H6*I6/((H6+I6)^2*(H6+I6+1)))</calculatedColumnFormula>
    </tableColumn>
    <tableColumn id="17" xr3:uid="{08EDEA0B-313A-4EBE-84B2-7E0A4A531DF7}" name="STD  Stampede Deaths" dataDxfId="7"/>
    <tableColumn id="18" xr3:uid="{71576067-371A-4D85-ACAE-E98E2647D894}" name="STD Chemical Deaths" dataDxfId="6">
      <calculatedColumnFormula>SQRT(L6*M6/((L6+M6)^2*(L6+M6+1)))</calculatedColumnFormula>
    </tableColumn>
    <tableColumn id="20" xr3:uid="{52302E21-F915-494B-86CD-1BB6524DBF07}" name="[EH]_x000a_Lives Saved" dataDxfId="5">
      <calculatedColumnFormula>IF(Table2[[#This Row],[Lethality]]="None",0,IF(Table2[[#This Row],[Population Density]]="Rural",($D$3*Table2[[#This Row],[Mean Safe]]),($D$2*Table2[[#This Row],[Mean Safe]])))</calculatedColumnFormula>
    </tableColumn>
    <tableColumn id="21" xr3:uid="{4C6B4F42-74D8-4C51-9C30-4B5EF5A4E04F}" name="[EH]_x000a_Lives Lost" dataDxfId="4">
      <calculatedColumnFormula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8F4B-8581-45D8-8C22-4970D4CFB672}">
  <dimension ref="A1:R61"/>
  <sheetViews>
    <sheetView tabSelected="1" zoomScale="65" zoomScaleNormal="65" workbookViewId="0">
      <selection activeCell="R12" sqref="R12"/>
    </sheetView>
  </sheetViews>
  <sheetFormatPr defaultRowHeight="14.4" x14ac:dyDescent="0.3"/>
  <cols>
    <col min="1" max="1" width="16.5546875" customWidth="1"/>
    <col min="2" max="2" width="13.5546875" customWidth="1"/>
    <col min="3" max="3" width="20.21875" customWidth="1"/>
    <col min="4" max="4" width="10.5546875" customWidth="1"/>
    <col min="5" max="5" width="20.5546875" customWidth="1"/>
    <col min="6" max="6" width="9.6640625" customWidth="1"/>
    <col min="7" max="7" width="19.88671875" customWidth="1"/>
    <col min="8" max="8" width="7.109375" customWidth="1"/>
    <col min="9" max="9" width="13.33203125" customWidth="1"/>
    <col min="10" max="10" width="14.33203125" customWidth="1"/>
    <col min="11" max="11" width="18.77734375" customWidth="1"/>
    <col min="12" max="12" width="6.109375" customWidth="1"/>
    <col min="13" max="13" width="13.5546875" customWidth="1"/>
    <col min="14" max="14" width="5.44140625" customWidth="1"/>
    <col min="15" max="15" width="15.21875" customWidth="1"/>
    <col min="16" max="16" width="7.88671875" customWidth="1"/>
    <col min="18" max="18" width="27.21875" bestFit="1" customWidth="1"/>
    <col min="19" max="19" width="10.77734375" bestFit="1" customWidth="1"/>
    <col min="21" max="21" width="13" customWidth="1"/>
    <col min="22" max="22" width="27.21875" bestFit="1" customWidth="1"/>
    <col min="23" max="23" width="14.109375" bestFit="1" customWidth="1"/>
  </cols>
  <sheetData>
    <row r="1" spans="18:18" ht="21" x14ac:dyDescent="0.3">
      <c r="R1" s="14" t="s">
        <v>23</v>
      </c>
    </row>
    <row r="2" spans="18:18" ht="21" x14ac:dyDescent="0.3">
      <c r="R2" s="15" t="s">
        <v>24</v>
      </c>
    </row>
    <row r="25" spans="1:16" ht="2.4" customHeight="1" x14ac:dyDescent="0.3"/>
    <row r="26" spans="1:16" ht="4.2" customHeight="1" thickBot="1" x14ac:dyDescent="0.35">
      <c r="O26" s="25"/>
      <c r="P26" s="25"/>
    </row>
    <row r="27" spans="1:16" ht="15" thickBot="1" x14ac:dyDescent="0.35">
      <c r="A27" s="153" t="s">
        <v>25</v>
      </c>
      <c r="B27" s="155"/>
      <c r="C27" s="158" t="s">
        <v>108</v>
      </c>
      <c r="D27" s="159"/>
      <c r="E27" s="153" t="s">
        <v>10</v>
      </c>
      <c r="F27" s="154"/>
      <c r="G27" s="153" t="s">
        <v>18</v>
      </c>
      <c r="H27" s="154"/>
      <c r="I27" s="46"/>
      <c r="J27" s="46"/>
      <c r="K27" s="153" t="s">
        <v>60</v>
      </c>
      <c r="L27" s="155"/>
      <c r="M27" s="149" t="s">
        <v>658</v>
      </c>
      <c r="N27" s="150"/>
      <c r="O27" s="149" t="s">
        <v>657</v>
      </c>
      <c r="P27" s="150"/>
    </row>
    <row r="28" spans="1:16" ht="15" thickBot="1" x14ac:dyDescent="0.35">
      <c r="A28" s="1" t="s">
        <v>0</v>
      </c>
      <c r="B28" s="4">
        <v>1</v>
      </c>
      <c r="C28" s="6" t="s">
        <v>11</v>
      </c>
      <c r="D28" s="8">
        <v>0.06</v>
      </c>
      <c r="E28" s="1" t="s">
        <v>4</v>
      </c>
      <c r="F28" s="3">
        <v>0.85</v>
      </c>
      <c r="G28" s="187" t="s">
        <v>82</v>
      </c>
      <c r="H28" s="3">
        <v>0.99</v>
      </c>
      <c r="I28" s="46"/>
      <c r="J28" s="46"/>
      <c r="K28" s="190" t="s">
        <v>61</v>
      </c>
      <c r="L28" s="139">
        <f>1-L29</f>
        <v>0.91200000000000003</v>
      </c>
      <c r="M28" s="89" t="s">
        <v>128</v>
      </c>
      <c r="N28" s="87">
        <v>5</v>
      </c>
      <c r="O28" s="151">
        <f>'Warning Signal Analysis'!O115</f>
        <v>162.77787957631557</v>
      </c>
      <c r="P28" s="152"/>
    </row>
    <row r="29" spans="1:16" ht="15" thickBot="1" x14ac:dyDescent="0.35">
      <c r="A29" s="1" t="s">
        <v>1</v>
      </c>
      <c r="B29" s="4">
        <v>0</v>
      </c>
      <c r="C29" s="6" t="s">
        <v>12</v>
      </c>
      <c r="D29" s="8">
        <v>0.41</v>
      </c>
      <c r="E29" s="1" t="s">
        <v>5</v>
      </c>
      <c r="F29" s="3">
        <v>0.55000000000000004</v>
      </c>
      <c r="G29" s="186" t="s">
        <v>83</v>
      </c>
      <c r="H29" s="7">
        <f>1-H28</f>
        <v>1.0000000000000009E-2</v>
      </c>
      <c r="I29" s="46"/>
      <c r="J29" s="46"/>
      <c r="K29" s="191" t="s">
        <v>62</v>
      </c>
      <c r="L29" s="140">
        <f>IF(B28,'Individual Sensor Performance'!F26,1)*IF(B29,'Individual Sensor Performance'!F27,1)*IF(B30,'Individual Sensor Performance'!F28,1)*IF(B31,'Individual Sensor Performance'!F29,1)</f>
        <v>8.7999999999999995E-2</v>
      </c>
      <c r="M29" s="89" t="s">
        <v>129</v>
      </c>
      <c r="N29" s="87">
        <v>2</v>
      </c>
      <c r="O29" s="149" t="s">
        <v>651</v>
      </c>
      <c r="P29" s="150"/>
    </row>
    <row r="30" spans="1:16" ht="15" thickBot="1" x14ac:dyDescent="0.35">
      <c r="A30" s="1" t="s">
        <v>2</v>
      </c>
      <c r="B30" s="4">
        <v>0</v>
      </c>
      <c r="C30" s="6" t="s">
        <v>13</v>
      </c>
      <c r="D30" s="8">
        <v>0.06</v>
      </c>
      <c r="E30" s="1" t="s">
        <v>6</v>
      </c>
      <c r="F30" s="3">
        <v>0.4</v>
      </c>
      <c r="G30" s="185" t="s">
        <v>85</v>
      </c>
      <c r="H30" s="61">
        <f>1-D40</f>
        <v>1</v>
      </c>
      <c r="I30" s="46"/>
      <c r="J30" s="46"/>
      <c r="K30" s="192" t="s">
        <v>63</v>
      </c>
      <c r="L30" s="85">
        <f>1-L31</f>
        <v>0.876</v>
      </c>
      <c r="M30" s="89" t="s">
        <v>130</v>
      </c>
      <c r="N30" s="87">
        <v>3</v>
      </c>
      <c r="O30" s="151">
        <f>'Warning Signal Analysis'!N115</f>
        <v>202.2521204236844</v>
      </c>
      <c r="P30" s="152"/>
    </row>
    <row r="31" spans="1:16" ht="15" thickBot="1" x14ac:dyDescent="0.35">
      <c r="A31" s="2" t="s">
        <v>3</v>
      </c>
      <c r="B31" s="5">
        <v>0</v>
      </c>
      <c r="C31" s="6" t="s">
        <v>14</v>
      </c>
      <c r="D31" s="8">
        <v>0.28999999999999998</v>
      </c>
      <c r="E31" s="1" t="s">
        <v>7</v>
      </c>
      <c r="F31" s="9">
        <f>1-F28</f>
        <v>0.15000000000000002</v>
      </c>
      <c r="G31" s="184" t="s">
        <v>84</v>
      </c>
      <c r="H31" s="7">
        <f>1-H30</f>
        <v>0</v>
      </c>
      <c r="I31" s="46"/>
      <c r="J31" s="46"/>
      <c r="K31" s="193" t="s">
        <v>64</v>
      </c>
      <c r="L31" s="86">
        <f>IF(B28,'Individual Sensor Performance'!L26,1)*IF(B29,'Individual Sensor Performance'!L27,1)*IF(B30,'Individual Sensor Performance'!L28,1)*IF(B31,'Individual Sensor Performance'!L29,1)</f>
        <v>0.12399999999999997</v>
      </c>
      <c r="M31" s="90" t="s">
        <v>127</v>
      </c>
      <c r="N31" s="88">
        <v>1</v>
      </c>
      <c r="O31" s="149" t="s">
        <v>655</v>
      </c>
      <c r="P31" s="150"/>
    </row>
    <row r="32" spans="1:16" ht="15" thickBot="1" x14ac:dyDescent="0.35">
      <c r="A32" s="46"/>
      <c r="B32" s="46"/>
      <c r="C32" s="6" t="s">
        <v>16</v>
      </c>
      <c r="D32" s="63">
        <v>0.12</v>
      </c>
      <c r="E32" s="1" t="s">
        <v>8</v>
      </c>
      <c r="F32" s="9">
        <f>1-F29</f>
        <v>0.44999999999999996</v>
      </c>
      <c r="G32" s="153" t="s">
        <v>86</v>
      </c>
      <c r="H32" s="154"/>
      <c r="I32" s="46"/>
      <c r="J32" s="46"/>
      <c r="K32" s="194" t="s">
        <v>65</v>
      </c>
      <c r="L32" s="144">
        <f>1-L33</f>
        <v>0</v>
      </c>
      <c r="M32" s="46"/>
      <c r="N32" s="46"/>
      <c r="O32" s="156">
        <f>'Warning Signal Analysis'!P115</f>
        <v>211253.19999999995</v>
      </c>
      <c r="P32" s="157"/>
    </row>
    <row r="33" spans="1:16" ht="15" thickBot="1" x14ac:dyDescent="0.35">
      <c r="A33" s="46"/>
      <c r="B33" s="46"/>
      <c r="C33" s="6" t="s">
        <v>15</v>
      </c>
      <c r="D33" s="63">
        <v>0.06</v>
      </c>
      <c r="E33" s="2" t="s">
        <v>9</v>
      </c>
      <c r="F33" s="7">
        <f>1-F30</f>
        <v>0.6</v>
      </c>
      <c r="G33" s="183" t="s">
        <v>659</v>
      </c>
      <c r="H33" s="3">
        <v>4.2200000000000001E-2</v>
      </c>
      <c r="I33" s="46"/>
      <c r="J33" s="46"/>
      <c r="K33" s="195" t="s">
        <v>66</v>
      </c>
      <c r="L33" s="145">
        <f>IF(B30,'Individual Sensor Performance'!F28,1)*IF(B31,'Individual Sensor Performance'!F29,1)</f>
        <v>1</v>
      </c>
      <c r="M33" s="46"/>
      <c r="N33" s="46"/>
      <c r="O33" s="149" t="s">
        <v>654</v>
      </c>
      <c r="P33" s="150"/>
    </row>
    <row r="34" spans="1:16" ht="15" thickBot="1" x14ac:dyDescent="0.35">
      <c r="A34" s="46"/>
      <c r="B34" s="46"/>
      <c r="C34" s="153" t="s">
        <v>26</v>
      </c>
      <c r="D34" s="154"/>
      <c r="E34" s="46"/>
      <c r="F34" s="46"/>
      <c r="G34" s="183" t="s">
        <v>87</v>
      </c>
      <c r="H34" s="62">
        <v>0.01</v>
      </c>
      <c r="I34" s="46"/>
      <c r="J34" s="46"/>
      <c r="K34" s="196" t="s">
        <v>67</v>
      </c>
      <c r="L34" s="53">
        <f>1-L35</f>
        <v>0</v>
      </c>
      <c r="M34" s="46"/>
      <c r="N34" s="46"/>
      <c r="O34" s="156">
        <f>O32/O30</f>
        <v>1044.504253193785</v>
      </c>
      <c r="P34" s="157"/>
    </row>
    <row r="35" spans="1:16" ht="15" thickBot="1" x14ac:dyDescent="0.35">
      <c r="A35" s="46"/>
      <c r="B35" s="46"/>
      <c r="C35" s="6" t="s">
        <v>115</v>
      </c>
      <c r="D35" s="80">
        <f>(D28+D29)/SUM(D28:D33)</f>
        <v>0.47</v>
      </c>
      <c r="E35" s="46"/>
      <c r="F35" s="46"/>
      <c r="G35" s="183" t="s">
        <v>88</v>
      </c>
      <c r="H35" s="9">
        <f>H28*H33</f>
        <v>4.1778000000000003E-2</v>
      </c>
      <c r="I35" s="46"/>
      <c r="J35" s="46"/>
      <c r="K35" s="197" t="s">
        <v>68</v>
      </c>
      <c r="L35" s="54">
        <f>IF(B30,'Individual Sensor Performance'!L28,1)*IF(B31,'Individual Sensor Performance'!L29,1)</f>
        <v>1</v>
      </c>
      <c r="M35" s="46"/>
      <c r="N35" s="46"/>
      <c r="O35" s="46"/>
      <c r="P35" s="46"/>
    </row>
    <row r="36" spans="1:16" ht="15" thickBot="1" x14ac:dyDescent="0.35">
      <c r="A36" s="46"/>
      <c r="B36" s="46"/>
      <c r="C36" s="6" t="s">
        <v>116</v>
      </c>
      <c r="D36" s="80">
        <f>(D30+D31)/SUM(D28:D33)</f>
        <v>0.35</v>
      </c>
      <c r="E36" s="46"/>
      <c r="F36" s="46"/>
      <c r="G36" s="188" t="s">
        <v>106</v>
      </c>
      <c r="H36" s="9">
        <f>H33-H35</f>
        <v>4.2199999999999876E-4</v>
      </c>
      <c r="I36" s="46"/>
      <c r="J36" s="46"/>
      <c r="K36" s="153" t="s">
        <v>69</v>
      </c>
      <c r="L36" s="154"/>
      <c r="M36" s="46"/>
      <c r="N36" s="46"/>
      <c r="O36" s="46"/>
      <c r="P36" s="46"/>
    </row>
    <row r="37" spans="1:16" x14ac:dyDescent="0.3">
      <c r="A37" s="46"/>
      <c r="B37" s="46"/>
      <c r="C37" s="6" t="s">
        <v>117</v>
      </c>
      <c r="D37" s="80">
        <f>(D32+D33)/SUM(D28:D33)</f>
        <v>0.18</v>
      </c>
      <c r="E37" s="46"/>
      <c r="F37" s="46"/>
      <c r="G37" s="183" t="s">
        <v>89</v>
      </c>
      <c r="H37" s="9">
        <f>H35/H30</f>
        <v>4.1778000000000003E-2</v>
      </c>
      <c r="I37" s="46"/>
      <c r="J37" s="46"/>
      <c r="K37" s="198" t="s">
        <v>70</v>
      </c>
      <c r="L37" s="141">
        <f>SUM(($B$28*'Individual Sensor Performance'!C19),($B$29*'Individual Sensor Performance'!C20),($B$30*'Individual Sensor Performance'!C21),($B$31*'Individual Sensor Performance'!C22))/SUM($B$28:$B$31)</f>
        <v>0.24999999999999997</v>
      </c>
      <c r="M37" s="46"/>
      <c r="N37" s="46"/>
      <c r="O37" s="46"/>
      <c r="P37" s="46"/>
    </row>
    <row r="38" spans="1:16" x14ac:dyDescent="0.3">
      <c r="A38" s="46"/>
      <c r="B38" s="46"/>
      <c r="C38" s="23" t="s">
        <v>27</v>
      </c>
      <c r="D38" s="9">
        <f>D28+D30+D32</f>
        <v>0.24</v>
      </c>
      <c r="E38" s="46"/>
      <c r="F38" s="46"/>
      <c r="G38" s="183" t="s">
        <v>107</v>
      </c>
      <c r="H38" s="9">
        <f>H37-H35</f>
        <v>0</v>
      </c>
      <c r="I38" s="46"/>
      <c r="J38" s="46"/>
      <c r="K38" s="199" t="s">
        <v>71</v>
      </c>
      <c r="L38" s="142">
        <f>SUM(($B$28*'Individual Sensor Performance'!D19),($B$29*'Individual Sensor Performance'!D20),($B$30*'Individual Sensor Performance'!D21),($B$31*'Individual Sensor Performance'!D22))/SUM($B$28:$B$31)</f>
        <v>0.75</v>
      </c>
      <c r="M38" s="46"/>
      <c r="N38" s="46"/>
      <c r="O38" s="46"/>
      <c r="P38" s="46"/>
    </row>
    <row r="39" spans="1:16" ht="15" thickBot="1" x14ac:dyDescent="0.35">
      <c r="A39" s="46"/>
      <c r="B39" s="46"/>
      <c r="C39" s="23" t="s">
        <v>28</v>
      </c>
      <c r="D39" s="9">
        <f>D29+D31+D33</f>
        <v>0.76</v>
      </c>
      <c r="E39" s="46"/>
      <c r="F39" s="46"/>
      <c r="G39" s="189" t="s">
        <v>109</v>
      </c>
      <c r="H39" s="7">
        <f>H37-H34</f>
        <v>3.1778000000000001E-2</v>
      </c>
      <c r="I39" s="46"/>
      <c r="J39" s="46"/>
      <c r="K39" s="200" t="s">
        <v>72</v>
      </c>
      <c r="L39" s="143">
        <f>SUM(($B$28*'Individual Sensor Performance'!E19),($B$29*'Individual Sensor Performance'!E20),($B$30*'Individual Sensor Performance'!E21),($B$31*'Individual Sensor Performance'!E22))/SUM($B$28:$B$31)</f>
        <v>0</v>
      </c>
      <c r="M39" s="46"/>
      <c r="N39" s="46"/>
      <c r="O39" s="46"/>
      <c r="P39" s="46"/>
    </row>
    <row r="40" spans="1:16" ht="15" thickBot="1" x14ac:dyDescent="0.35">
      <c r="A40" s="46"/>
      <c r="B40" s="46"/>
      <c r="C40" s="24" t="s">
        <v>17</v>
      </c>
      <c r="D40" s="7">
        <f>MAX(0,1-D38-D39)</f>
        <v>0</v>
      </c>
      <c r="E40" s="46"/>
      <c r="F40" s="46"/>
      <c r="G40" s="46"/>
      <c r="H40" s="46"/>
      <c r="I40" s="46"/>
      <c r="J40" s="46"/>
      <c r="K40" s="198" t="s">
        <v>73</v>
      </c>
      <c r="L40" s="141">
        <f>SUM(($B$28*'Individual Sensor Performance'!C33),($B$29*'Individual Sensor Performance'!C34),($B$30*'Individual Sensor Performance'!C35),($B$31*'Individual Sensor Performance'!C36))/SUM($B$28:$B$31)</f>
        <v>0.13636363636363649</v>
      </c>
      <c r="M40" s="46"/>
      <c r="N40" s="46"/>
      <c r="O40" s="46"/>
      <c r="P40" s="46"/>
    </row>
    <row r="41" spans="1:16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199" t="s">
        <v>74</v>
      </c>
      <c r="L41" s="142">
        <f>SUM(($B$28*'Individual Sensor Performance'!D33),($B$29*'Individual Sensor Performance'!D34),($B$30*'Individual Sensor Performance'!D35),($B$31*'Individual Sensor Performance'!D36))/SUM($B$28:$B$31)</f>
        <v>0.86363636363636354</v>
      </c>
      <c r="M41" s="46"/>
      <c r="N41" s="46"/>
      <c r="O41" s="46"/>
      <c r="P41" s="46"/>
    </row>
    <row r="42" spans="1:16" ht="15" thickBot="1" x14ac:dyDescent="0.3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200" t="s">
        <v>75</v>
      </c>
      <c r="L42" s="143">
        <f>SUM(($B$28*'Individual Sensor Performance'!E33),($B$29*'Individual Sensor Performance'!E34),($B$30*'Individual Sensor Performance'!E35),($B$31*'Individual Sensor Performance'!E36))/SUM($B$28:$B$31)</f>
        <v>0</v>
      </c>
      <c r="M42" s="46"/>
      <c r="N42" s="46"/>
      <c r="O42" s="46"/>
      <c r="P42" s="46"/>
    </row>
    <row r="43" spans="1:16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201" t="s">
        <v>77</v>
      </c>
      <c r="L43" s="55">
        <f>SUM(($B$28*'Individual Sensor Performance'!I19),($B$29*'Individual Sensor Performance'!I20),($B$30*'Individual Sensor Performance'!I21),($B$31*'Individual Sensor Performance'!I22))/SUM($B$28:$B$31)</f>
        <v>0.21917808219178081</v>
      </c>
      <c r="M43" s="46"/>
      <c r="N43" s="46"/>
      <c r="O43" s="46"/>
      <c r="P43" s="46"/>
    </row>
    <row r="44" spans="1:16" x14ac:dyDescent="0.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202" t="s">
        <v>78</v>
      </c>
      <c r="L44" s="56">
        <f>SUM(($B$28*'Individual Sensor Performance'!J19),($B$29*'Individual Sensor Performance'!J20),($B$30*'Individual Sensor Performance'!J21),($B$31*'Individual Sensor Performance'!J22))/SUM($B$28:$B$31)</f>
        <v>0.78082191780821919</v>
      </c>
      <c r="M44" s="46"/>
      <c r="N44" s="46"/>
      <c r="O44" s="46"/>
      <c r="P44" s="46"/>
    </row>
    <row r="45" spans="1:16" ht="15" thickBot="1" x14ac:dyDescent="0.3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203" t="s">
        <v>79</v>
      </c>
      <c r="L45" s="57">
        <f>SUM(($B$28*'Individual Sensor Performance'!K19),($B$29*'Individual Sensor Performance'!K20),($B$30*'Individual Sensor Performance'!K21),($B$31*'Individual Sensor Performance'!K22))/SUM($B$28:$B$31)</f>
        <v>0</v>
      </c>
      <c r="M45" s="46"/>
      <c r="N45" s="46"/>
      <c r="O45" s="46"/>
      <c r="P45" s="46"/>
    </row>
    <row r="46" spans="1:16" x14ac:dyDescent="0.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201" t="s">
        <v>80</v>
      </c>
      <c r="L46" s="55">
        <f>SUM(($B$28*'Individual Sensor Performance'!I33),($B$29*'Individual Sensor Performance'!I34),($B$30*'Individual Sensor Performance'!I35),($B$31*'Individual Sensor Performance'!I36))/SUM($B$28:$B$31)</f>
        <v>0.38709677419354838</v>
      </c>
      <c r="M46" s="46"/>
      <c r="N46" s="46"/>
      <c r="O46" s="46"/>
      <c r="P46" s="46"/>
    </row>
    <row r="47" spans="1:16" x14ac:dyDescent="0.3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202" t="s">
        <v>81</v>
      </c>
      <c r="L47" s="56">
        <f>SUM(($B$28*'Individual Sensor Performance'!J33),($B$29*'Individual Sensor Performance'!J34),($B$30*'Individual Sensor Performance'!J35),($B$31*'Individual Sensor Performance'!J36))/SUM($B$28:$B$31)</f>
        <v>0.61290322580645162</v>
      </c>
      <c r="M47" s="46"/>
      <c r="N47" s="46"/>
      <c r="O47" s="46"/>
      <c r="P47" s="46"/>
    </row>
    <row r="48" spans="1:16" ht="15" thickBot="1" x14ac:dyDescent="0.3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203" t="s">
        <v>76</v>
      </c>
      <c r="L48" s="57">
        <f>SUM(($B$28*'Individual Sensor Performance'!K33),($B$29*'Individual Sensor Performance'!K34),($B$30*'Individual Sensor Performance'!K35),($B$31*'Individual Sensor Performance'!K36))/SUM($B$28:$B$31)</f>
        <v>0</v>
      </c>
      <c r="M48" s="46"/>
      <c r="N48" s="46"/>
      <c r="O48" s="46"/>
      <c r="P48" s="46"/>
    </row>
    <row r="49" spans="1:16" x14ac:dyDescent="0.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204" t="s">
        <v>90</v>
      </c>
      <c r="L49" s="146" t="e">
        <f>SUM(($B$30*'Individual Sensor Performance'!C21),($B$31*'Individual Sensor Performance'!C22))/SUM($B$30:$B$31)</f>
        <v>#DIV/0!</v>
      </c>
      <c r="M49" s="46"/>
      <c r="N49" s="46"/>
      <c r="O49" s="46"/>
      <c r="P49" s="46"/>
    </row>
    <row r="50" spans="1:16" x14ac:dyDescent="0.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205" t="s">
        <v>91</v>
      </c>
      <c r="L50" s="147" t="e">
        <f>SUM(($B$30*'Individual Sensor Performance'!D21),($B$31*'Individual Sensor Performance'!D22))/SUM($B$30:$B$31)</f>
        <v>#DIV/0!</v>
      </c>
      <c r="M50" s="46"/>
      <c r="N50" s="46"/>
      <c r="O50" s="46"/>
      <c r="P50" s="46"/>
    </row>
    <row r="51" spans="1:16" ht="15" thickBot="1" x14ac:dyDescent="0.3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206" t="s">
        <v>92</v>
      </c>
      <c r="L51" s="148" t="e">
        <f>SUM(($B$30*'Individual Sensor Performance'!E21),($B$31*'Individual Sensor Performance'!E22))/SUM($B$30:$B$31)</f>
        <v>#DIV/0!</v>
      </c>
      <c r="M51" s="46"/>
      <c r="N51" s="46"/>
      <c r="O51" s="46"/>
      <c r="P51" s="46"/>
    </row>
    <row r="52" spans="1:16" x14ac:dyDescent="0.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204" t="s">
        <v>93</v>
      </c>
      <c r="L52" s="146" t="e">
        <f>SUM(($B$30*'Individual Sensor Performance'!C35),($B$31*'Individual Sensor Performance'!C36))/SUM($B$30:$B$31)</f>
        <v>#DIV/0!</v>
      </c>
      <c r="M52" s="46"/>
      <c r="N52" s="46"/>
      <c r="O52" s="46"/>
      <c r="P52" s="46"/>
    </row>
    <row r="53" spans="1:16" x14ac:dyDescent="0.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205" t="s">
        <v>94</v>
      </c>
      <c r="L53" s="147" t="e">
        <f>SUM(($B$30*'Individual Sensor Performance'!D35),($B$31*'Individual Sensor Performance'!D36))/SUM($B$30:$B$31)</f>
        <v>#DIV/0!</v>
      </c>
      <c r="M53" s="46"/>
      <c r="N53" s="46"/>
      <c r="O53" s="46"/>
      <c r="P53" s="46"/>
    </row>
    <row r="54" spans="1:16" ht="15" thickBot="1" x14ac:dyDescent="0.3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206" t="s">
        <v>95</v>
      </c>
      <c r="L54" s="148" t="e">
        <f>SUM(($B$30*'Individual Sensor Performance'!E35),($B$31*'Individual Sensor Performance'!E36))/SUM($B$30:$B$31)</f>
        <v>#DIV/0!</v>
      </c>
      <c r="M54" s="46"/>
      <c r="N54" s="46"/>
      <c r="O54" s="46"/>
      <c r="P54" s="46"/>
    </row>
    <row r="55" spans="1:16" x14ac:dyDescent="0.3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207" t="s">
        <v>96</v>
      </c>
      <c r="L55" s="58" t="e">
        <f>SUM(($B$30*'Individual Sensor Performance'!I21),($B$31*'Individual Sensor Performance'!I22))/SUM($B$30:$B$31)</f>
        <v>#DIV/0!</v>
      </c>
      <c r="M55" s="46"/>
      <c r="N55" s="46"/>
      <c r="O55" s="46"/>
      <c r="P55" s="46"/>
    </row>
    <row r="56" spans="1:16" x14ac:dyDescent="0.3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208" t="s">
        <v>97</v>
      </c>
      <c r="L56" s="59" t="e">
        <f>SUM(($B$30*'Individual Sensor Performance'!J21),($B$31*'Individual Sensor Performance'!J22))/SUM($B$30:$B$31)</f>
        <v>#DIV/0!</v>
      </c>
      <c r="M56" s="46"/>
      <c r="N56" s="46"/>
      <c r="O56" s="46"/>
      <c r="P56" s="46"/>
    </row>
    <row r="57" spans="1:16" ht="15" thickBot="1" x14ac:dyDescent="0.3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209" t="s">
        <v>98</v>
      </c>
      <c r="L57" s="60" t="e">
        <f>SUM(($B$30*'Individual Sensor Performance'!K21),($B$31*'Individual Sensor Performance'!K22))/SUM($B$30:$B$31)</f>
        <v>#DIV/0!</v>
      </c>
      <c r="M57" s="46"/>
      <c r="N57" s="46"/>
      <c r="O57" s="46"/>
      <c r="P57" s="46"/>
    </row>
    <row r="58" spans="1:16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207" t="s">
        <v>99</v>
      </c>
      <c r="L58" s="58" t="e">
        <f>SUM(($B$30*'Individual Sensor Performance'!I35),($B$31*'Individual Sensor Performance'!I36))/SUM($B$30:$B$31)</f>
        <v>#DIV/0!</v>
      </c>
      <c r="M58" s="46"/>
      <c r="N58" s="46"/>
      <c r="O58" s="46"/>
      <c r="P58" s="46"/>
    </row>
    <row r="59" spans="1:16" x14ac:dyDescent="0.3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208" t="s">
        <v>100</v>
      </c>
      <c r="L59" s="59" t="e">
        <f>SUM(($B$30*'Individual Sensor Performance'!J35),($B$31*'Individual Sensor Performance'!J36))/SUM($B$30:$B$31)</f>
        <v>#DIV/0!</v>
      </c>
      <c r="M59" s="46"/>
      <c r="N59" s="46"/>
      <c r="O59" s="46"/>
      <c r="P59" s="46"/>
    </row>
    <row r="60" spans="1:16" ht="15" thickBot="1" x14ac:dyDescent="0.3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209" t="s">
        <v>101</v>
      </c>
      <c r="L60" s="60" t="e">
        <f>SUM(($B$30*'Individual Sensor Performance'!K35),($B$31*'Individual Sensor Performance'!K36))/SUM($B$30:$B$31)</f>
        <v>#DIV/0!</v>
      </c>
      <c r="M60" s="46"/>
      <c r="N60" s="46"/>
      <c r="O60" s="46"/>
      <c r="P60" s="46"/>
    </row>
    <row r="61" spans="1:16" x14ac:dyDescent="0.3">
      <c r="O61" s="25"/>
      <c r="P61" s="25"/>
    </row>
  </sheetData>
  <mergeCells count="17">
    <mergeCell ref="A27:B27"/>
    <mergeCell ref="E27:F27"/>
    <mergeCell ref="C27:D27"/>
    <mergeCell ref="G27:H27"/>
    <mergeCell ref="G32:H32"/>
    <mergeCell ref="O27:P27"/>
    <mergeCell ref="O28:P28"/>
    <mergeCell ref="M27:N27"/>
    <mergeCell ref="K36:L36"/>
    <mergeCell ref="C34:D34"/>
    <mergeCell ref="K27:L27"/>
    <mergeCell ref="O34:P34"/>
    <mergeCell ref="O33:P33"/>
    <mergeCell ref="O29:P29"/>
    <mergeCell ref="O30:P30"/>
    <mergeCell ref="O31:P31"/>
    <mergeCell ref="O32:P3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B22-D9FA-4375-84F0-3B31A8CC2DDA}">
  <dimension ref="A1:P116"/>
  <sheetViews>
    <sheetView topLeftCell="B1" zoomScale="70" zoomScaleNormal="70" workbookViewId="0">
      <selection activeCell="L5" sqref="L5"/>
    </sheetView>
  </sheetViews>
  <sheetFormatPr defaultRowHeight="14.4" x14ac:dyDescent="0.3"/>
  <cols>
    <col min="1" max="1" width="19.88671875" bestFit="1" customWidth="1"/>
    <col min="2" max="2" width="15" bestFit="1" customWidth="1"/>
    <col min="3" max="3" width="16.5546875" bestFit="1" customWidth="1"/>
    <col min="4" max="4" width="16.5546875" customWidth="1"/>
    <col min="5" max="5" width="16" bestFit="1" customWidth="1"/>
    <col min="6" max="6" width="28.44140625" bestFit="1" customWidth="1"/>
    <col min="7" max="7" width="10.5546875" bestFit="1" customWidth="1"/>
    <col min="8" max="8" width="27.44140625" bestFit="1" customWidth="1"/>
    <col min="9" max="9" width="26.21875" bestFit="1" customWidth="1"/>
    <col min="10" max="10" width="26.21875" hidden="1" customWidth="1"/>
    <col min="11" max="11" width="11.5546875" bestFit="1" customWidth="1"/>
    <col min="12" max="12" width="13.44140625" bestFit="1" customWidth="1"/>
    <col min="13" max="13" width="24.44140625" bestFit="1" customWidth="1"/>
    <col min="14" max="14" width="22.44140625" bestFit="1" customWidth="1"/>
    <col min="15" max="15" width="22.44140625" customWidth="1"/>
    <col min="16" max="16" width="31.21875" bestFit="1" customWidth="1"/>
  </cols>
  <sheetData>
    <row r="1" spans="1:16" ht="14.4" customHeight="1" thickBot="1" x14ac:dyDescent="0.35">
      <c r="A1" s="160" t="s">
        <v>104</v>
      </c>
      <c r="B1" s="161"/>
      <c r="C1" s="161"/>
      <c r="D1" s="161"/>
      <c r="E1" s="162"/>
      <c r="F1" s="163"/>
      <c r="G1" s="107"/>
      <c r="H1" s="108"/>
      <c r="I1" s="46"/>
      <c r="J1" s="46"/>
      <c r="K1" s="46"/>
      <c r="L1" s="46"/>
      <c r="M1" s="46"/>
    </row>
    <row r="2" spans="1:16" ht="43.8" thickBot="1" x14ac:dyDescent="0.35">
      <c r="A2" s="97" t="s">
        <v>118</v>
      </c>
      <c r="B2" s="98" t="s">
        <v>119</v>
      </c>
      <c r="C2" s="98" t="s">
        <v>120</v>
      </c>
      <c r="D2" s="111" t="s">
        <v>132</v>
      </c>
      <c r="E2" s="99" t="s">
        <v>133</v>
      </c>
      <c r="F2" s="111" t="s">
        <v>642</v>
      </c>
      <c r="G2" s="99" t="s">
        <v>103</v>
      </c>
      <c r="H2" s="100" t="s">
        <v>102</v>
      </c>
      <c r="I2" s="105" t="s">
        <v>131</v>
      </c>
      <c r="J2" s="130" t="s">
        <v>649</v>
      </c>
      <c r="K2" s="134" t="s">
        <v>645</v>
      </c>
      <c r="L2" s="134" t="s">
        <v>646</v>
      </c>
      <c r="M2" s="109" t="s">
        <v>650</v>
      </c>
      <c r="N2" s="106" t="s">
        <v>651</v>
      </c>
      <c r="O2" s="106" t="s">
        <v>657</v>
      </c>
      <c r="P2" s="106" t="s">
        <v>652</v>
      </c>
    </row>
    <row r="3" spans="1:16" x14ac:dyDescent="0.3">
      <c r="A3" s="91" t="s">
        <v>125</v>
      </c>
      <c r="B3" s="71" t="s">
        <v>121</v>
      </c>
      <c r="C3" s="91" t="s">
        <v>123</v>
      </c>
      <c r="D3" s="93" t="s">
        <v>112</v>
      </c>
      <c r="E3" s="92" t="s">
        <v>112</v>
      </c>
      <c r="F3" s="94" t="s">
        <v>153</v>
      </c>
      <c r="G3" s="95">
        <f>'Main Tree'!$F$29*'Main Tree'!$F$30*'Main Tree'!$L$28*'Main Tree'!$D$38*'Main Tree'!$F$31*'Main Tree'!$D$35</f>
        <v>3.3948288000000006E-3</v>
      </c>
      <c r="H3" s="102">
        <f>G3*'Main Tree'!$H$33</f>
        <v>1.4326177536000002E-4</v>
      </c>
      <c r="I3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RuralHighHigh2Yes</v>
      </c>
      <c r="K3" s="133">
        <f>VLOOKUP(Table1[[#This Row],['[Reference Only']
Vlookup Index]],Table2[['[EH']
Vlookup Index]:['[EH']
Lives Saved]],19,0)</f>
        <v>549.90495929371991</v>
      </c>
      <c r="L3" s="133">
        <f>VLOOKUP(Table1[[#This Row],['[Reference Only']
Vlookup Index]],Table2[['[EH']
Vlookup Index]:['[EH']
Lives Lost]],20,0)</f>
        <v>450.09504070628009</v>
      </c>
      <c r="M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3" s="127">
        <f>Table1[[#This Row],[Human Lives Saved]]*Table1[[#This Row],[Mean Rate of Events / Week]]</f>
        <v>7.8780360747686864E-2</v>
      </c>
      <c r="O3" s="127">
        <f>Table1[[#This Row],[Human Lives Lost]]*Table1[[#This Row],[Mean Rate of Events / Week]]</f>
        <v>6.4481414612313159E-2</v>
      </c>
      <c r="P3" s="138">
        <f>Table1[[#This Row],[$ Invested in Technology
(Purchase + Deploy Once)]]*Table1[[#This Row],[Mean Rate of Events / Week]]</f>
        <v>718.45780343040008</v>
      </c>
    </row>
    <row r="4" spans="1:16" x14ac:dyDescent="0.3">
      <c r="A4" s="91" t="s">
        <v>125</v>
      </c>
      <c r="B4" s="71" t="s">
        <v>121</v>
      </c>
      <c r="C4" s="91" t="s">
        <v>123</v>
      </c>
      <c r="D4" s="79" t="s">
        <v>114</v>
      </c>
      <c r="E4" s="64" t="s">
        <v>112</v>
      </c>
      <c r="F4" s="67" t="s">
        <v>153</v>
      </c>
      <c r="G4" s="74">
        <f>'Main Tree'!$F$29*'Main Tree'!$F$30*'Main Tree'!$L$28*'Main Tree'!$D$38*'Main Tree'!$F$31*'Main Tree'!$D$37</f>
        <v>1.3001472000000003E-3</v>
      </c>
      <c r="H4" s="102">
        <f>G4*'Main Tree'!$H$33</f>
        <v>5.4866211840000016E-5</v>
      </c>
      <c r="I4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RuralLowHigh2Yes</v>
      </c>
      <c r="K4" s="133">
        <f>VLOOKUP(Table1[[#This Row],['[Reference Only']
Vlookup Index]],Table2[['[EH']
Vlookup Index]:['[EH']
Lives Saved]],19,0)</f>
        <v>711.49371176288923</v>
      </c>
      <c r="L4" s="133">
        <f>VLOOKUP(Table1[[#This Row],['[Reference Only']
Vlookup Index]],Table2[['[EH']
Vlookup Index]:['[EH']
Lives Lost]],20,0)</f>
        <v>288.50628823711077</v>
      </c>
      <c r="M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4" s="127">
        <f>Table1[[#This Row],[Human Lives Saved]]*Table1[[#This Row],[Mean Rate of Events / Week]]</f>
        <v>3.9036964712410589E-2</v>
      </c>
      <c r="O4" s="127">
        <f>Table1[[#This Row],[Human Lives Lost]]*Table1[[#This Row],[Mean Rate of Events / Week]]</f>
        <v>1.5829247127589423E-2</v>
      </c>
      <c r="P4" s="138">
        <f>Table1[[#This Row],[$ Invested in Technology
(Purchase + Deploy Once)]]*Table1[[#This Row],[Mean Rate of Events / Week]]</f>
        <v>275.15405237760007</v>
      </c>
    </row>
    <row r="5" spans="1:16" x14ac:dyDescent="0.3">
      <c r="A5" s="91" t="s">
        <v>125</v>
      </c>
      <c r="B5" s="71" t="s">
        <v>121</v>
      </c>
      <c r="C5" s="91" t="s">
        <v>123</v>
      </c>
      <c r="D5" s="78" t="s">
        <v>113</v>
      </c>
      <c r="E5" s="64" t="s">
        <v>112</v>
      </c>
      <c r="F5" s="67" t="s">
        <v>153</v>
      </c>
      <c r="G5" s="74">
        <f>'Main Tree'!$F$29*'Main Tree'!$F$30*'Main Tree'!$L$28*'Main Tree'!$D$38*'Main Tree'!$F$31*'Main Tree'!$D$36</f>
        <v>2.5280640000000004E-3</v>
      </c>
      <c r="H5" s="102">
        <f>G5*'Main Tree'!$H$33</f>
        <v>1.0668430080000002E-4</v>
      </c>
      <c r="I5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5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RuralMediumHigh2Yes</v>
      </c>
      <c r="K5" s="133">
        <f>VLOOKUP(Table1[[#This Row],['[Reference Only']
Vlookup Index]],Table2[['[EH']
Vlookup Index]:['[EH']
Lives Saved]],19,0)</f>
        <v>776.15959326256188</v>
      </c>
      <c r="L5" s="133">
        <f>VLOOKUP(Table1[[#This Row],['[Reference Only']
Vlookup Index]],Table2[['[EH']
Vlookup Index]:['[EH']
Lives Lost]],20,0)</f>
        <v>223.84040673743812</v>
      </c>
      <c r="M5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5" s="127">
        <f>Table1[[#This Row],[Human Lives Saved]]*Table1[[#This Row],[Mean Rate of Events / Week]]</f>
        <v>8.2804043516428824E-2</v>
      </c>
      <c r="O5" s="127">
        <f>Table1[[#This Row],[Human Lives Lost]]*Table1[[#This Row],[Mean Rate of Events / Week]]</f>
        <v>2.38802572835712E-2</v>
      </c>
      <c r="P5" s="138">
        <f>Table1[[#This Row],[$ Invested in Technology
(Purchase + Deploy Once)]]*Table1[[#This Row],[Mean Rate of Events / Week]]</f>
        <v>535.02176851200011</v>
      </c>
    </row>
    <row r="6" spans="1:16" x14ac:dyDescent="0.3">
      <c r="A6" s="91" t="s">
        <v>125</v>
      </c>
      <c r="B6" s="71" t="s">
        <v>121</v>
      </c>
      <c r="C6" s="91" t="s">
        <v>123</v>
      </c>
      <c r="D6" s="77" t="s">
        <v>112</v>
      </c>
      <c r="E6" s="65" t="s">
        <v>114</v>
      </c>
      <c r="F6" s="67" t="s">
        <v>153</v>
      </c>
      <c r="G6" s="74">
        <f>'Main Tree'!$F$29*'Main Tree'!$F$30*'Main Tree'!$L$28*'Main Tree'!$D$39*'Main Tree'!$F$31*'Main Tree'!$D$35</f>
        <v>1.0750291200000003E-2</v>
      </c>
      <c r="H6" s="102">
        <f>G6*'Main Tree'!$H$33</f>
        <v>4.5366228864000016E-4</v>
      </c>
      <c r="I6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6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RuralHighLow2Yes</v>
      </c>
      <c r="K6" s="133">
        <f>VLOOKUP(Table1[[#This Row],['[Reference Only']
Vlookup Index]],Table2[['[EH']
Vlookup Index]:['[EH']
Lives Saved]],19,0)</f>
        <v>266.26769139470218</v>
      </c>
      <c r="L6" s="133">
        <f>VLOOKUP(Table1[[#This Row],['[Reference Only']
Vlookup Index]],Table2[['[EH']
Vlookup Index]:['[EH']
Lives Lost]],20,0)</f>
        <v>733.73230860529782</v>
      </c>
      <c r="M6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6" s="127">
        <f>Table1[[#This Row],[Human Lives Saved]]*Table1[[#This Row],[Mean Rate of Events / Week]]</f>
        <v>0.12079561026900987</v>
      </c>
      <c r="O6" s="127">
        <f>Table1[[#This Row],[Human Lives Lost]]*Table1[[#This Row],[Mean Rate of Events / Week]]</f>
        <v>0.33286667837099027</v>
      </c>
      <c r="P6" s="138">
        <f>Table1[[#This Row],[$ Invested in Technology
(Purchase + Deploy Once)]]*Table1[[#This Row],[Mean Rate of Events / Week]]</f>
        <v>2275.1163775296009</v>
      </c>
    </row>
    <row r="7" spans="1:16" x14ac:dyDescent="0.3">
      <c r="A7" s="91" t="s">
        <v>125</v>
      </c>
      <c r="B7" s="71" t="s">
        <v>121</v>
      </c>
      <c r="C7" s="91" t="s">
        <v>123</v>
      </c>
      <c r="D7" s="79" t="s">
        <v>114</v>
      </c>
      <c r="E7" s="65" t="s">
        <v>114</v>
      </c>
      <c r="F7" s="67" t="s">
        <v>153</v>
      </c>
      <c r="G7" s="74">
        <f>'Main Tree'!$F$29*'Main Tree'!$F$30*'Main Tree'!$L$28*'Main Tree'!$D$39*'Main Tree'!$F$31*'Main Tree'!$D$37</f>
        <v>4.117132800000001E-3</v>
      </c>
      <c r="H7" s="102">
        <f>G7*'Main Tree'!$H$33</f>
        <v>1.7374300416000006E-4</v>
      </c>
      <c r="I7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7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RuralLowLow2Yes</v>
      </c>
      <c r="K7" s="133">
        <f>VLOOKUP(Table1[[#This Row],['[Reference Only']
Vlookup Index]],Table2[['[EH']
Vlookup Index]:['[EH']
Lives Saved]],19,0)</f>
        <v>867.9085179385761</v>
      </c>
      <c r="L7" s="133">
        <f>VLOOKUP(Table1[[#This Row],['[Reference Only']
Vlookup Index]],Table2[['[EH']
Vlookup Index]:['[EH']
Lives Lost]],20,0)</f>
        <v>132.0914820614239</v>
      </c>
      <c r="M7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7" s="127">
        <f>Table1[[#This Row],[Human Lives Saved]]*Table1[[#This Row],[Mean Rate of Events / Week]]</f>
        <v>0.15079303324270152</v>
      </c>
      <c r="O7" s="127">
        <f>Table1[[#This Row],[Human Lives Lost]]*Table1[[#This Row],[Mean Rate of Events / Week]]</f>
        <v>2.2949970917298546E-2</v>
      </c>
      <c r="P7" s="138">
        <f>Table1[[#This Row],[$ Invested in Technology
(Purchase + Deploy Once)]]*Table1[[#This Row],[Mean Rate of Events / Week]]</f>
        <v>871.32116586240033</v>
      </c>
    </row>
    <row r="8" spans="1:16" x14ac:dyDescent="0.3">
      <c r="A8" s="91" t="s">
        <v>125</v>
      </c>
      <c r="B8" s="71" t="s">
        <v>121</v>
      </c>
      <c r="C8" s="91" t="s">
        <v>123</v>
      </c>
      <c r="D8" s="78" t="s">
        <v>113</v>
      </c>
      <c r="E8" s="65" t="s">
        <v>114</v>
      </c>
      <c r="F8" s="67" t="s">
        <v>153</v>
      </c>
      <c r="G8" s="74">
        <f>'Main Tree'!$F$29*'Main Tree'!$F$30*'Main Tree'!$L$28*'Main Tree'!$D$39*'Main Tree'!$F$31*'Main Tree'!$D$36</f>
        <v>8.0055360000000023E-3</v>
      </c>
      <c r="H8" s="102">
        <f>G8*'Main Tree'!$H$33</f>
        <v>3.3783361920000009E-4</v>
      </c>
      <c r="I8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8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RuralMediumLow2Yes</v>
      </c>
      <c r="K8" s="133">
        <f>VLOOKUP(Table1[[#This Row],['[Reference Only']
Vlookup Index]],Table2[['[EH']
Vlookup Index]:['[EH']
Lives Saved]],19,0)</f>
        <v>733.95893216156276</v>
      </c>
      <c r="L8" s="133">
        <f>VLOOKUP(Table1[[#This Row],['[Reference Only']
Vlookup Index]],Table2[['[EH']
Vlookup Index]:['[EH']
Lives Lost]],20,0)</f>
        <v>266.04106783843724</v>
      </c>
      <c r="M8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8" s="127">
        <f>Table1[[#This Row],[Human Lives Saved]]*Table1[[#This Row],[Mean Rate of Events / Week]]</f>
        <v>0.24795600239630808</v>
      </c>
      <c r="O8" s="127">
        <f>Table1[[#This Row],[Human Lives Lost]]*Table1[[#This Row],[Mean Rate of Events / Week]]</f>
        <v>8.9877616803691995E-2</v>
      </c>
      <c r="P8" s="138">
        <f>Table1[[#This Row],[$ Invested in Technology
(Purchase + Deploy Once)]]*Table1[[#This Row],[Mean Rate of Events / Week]]</f>
        <v>1694.2356002880003</v>
      </c>
    </row>
    <row r="9" spans="1:16" x14ac:dyDescent="0.3">
      <c r="A9" s="91" t="s">
        <v>125</v>
      </c>
      <c r="B9" s="71" t="s">
        <v>121</v>
      </c>
      <c r="C9" s="91" t="s">
        <v>123</v>
      </c>
      <c r="D9" s="69" t="s">
        <v>105</v>
      </c>
      <c r="E9" s="69" t="s">
        <v>105</v>
      </c>
      <c r="F9" s="67" t="s">
        <v>153</v>
      </c>
      <c r="G9" s="75">
        <f>'Main Tree'!$F$29*'Main Tree'!$F$30*'Main Tree'!$L$28*'Main Tree'!$D$40*'Main Tree'!$F$31</f>
        <v>0</v>
      </c>
      <c r="H9" s="102">
        <f>G9*'Main Tree'!$H$33</f>
        <v>0</v>
      </c>
      <c r="I9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9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RuralNoneNoneN/AYes</v>
      </c>
      <c r="K9" s="133">
        <f>VLOOKUP(Table1[[#This Row],['[Reference Only']
Vlookup Index]],Table2[['[EH']
Vlookup Index]:['[EH']
Lives Saved]],19,0)</f>
        <v>0</v>
      </c>
      <c r="L9" s="133">
        <f>VLOOKUP(Table1[[#This Row],['[Reference Only']
Vlookup Index]],Table2[['[EH']
Vlookup Index]:['[EH']
Lives Lost]],20,0)</f>
        <v>46.307284962172957</v>
      </c>
      <c r="M9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9" s="127">
        <f>Table1[[#This Row],[Human Lives Saved]]*Table1[[#This Row],[Mean Rate of Events / Week]]</f>
        <v>0</v>
      </c>
      <c r="O9" s="127">
        <f>Table1[[#This Row],[Human Lives Lost]]*Table1[[#This Row],[Mean Rate of Events / Week]]</f>
        <v>0</v>
      </c>
      <c r="P9" s="138">
        <f>Table1[[#This Row],[$ Invested in Technology
(Purchase + Deploy Once)]]*Table1[[#This Row],[Mean Rate of Events / Week]]</f>
        <v>0</v>
      </c>
    </row>
    <row r="10" spans="1:16" x14ac:dyDescent="0.3">
      <c r="A10" s="91" t="s">
        <v>125</v>
      </c>
      <c r="B10" s="71" t="s">
        <v>121</v>
      </c>
      <c r="C10" s="91" t="s">
        <v>123</v>
      </c>
      <c r="D10" s="78" t="s">
        <v>113</v>
      </c>
      <c r="E10" s="64" t="s">
        <v>112</v>
      </c>
      <c r="F10" s="66" t="s">
        <v>204</v>
      </c>
      <c r="G10" s="75">
        <f>'Main Tree'!$F$29*'Main Tree'!$F$30*'Main Tree'!$L$29*'Main Tree'!$D$38*'Main Tree'!$F$31*'Main Tree'!$D$36</f>
        <v>2.4393600000000004E-4</v>
      </c>
      <c r="H10" s="102">
        <f>G10*'Main Tree'!$H$33</f>
        <v>1.0294099200000002E-5</v>
      </c>
      <c r="I10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0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RuralMediumHighN/ANo</v>
      </c>
      <c r="K10" s="133">
        <f>VLOOKUP(Table1[[#This Row],['[Reference Only']
Vlookup Index]],Table2[['[EH']
Vlookup Index]:['[EH']
Lives Saved]],19,0)</f>
        <v>362.93488062541235</v>
      </c>
      <c r="L10" s="133">
        <f>VLOOKUP(Table1[[#This Row],['[Reference Only']
Vlookup Index]],Table2[['[EH']
Vlookup Index]:['[EH']
Lives Lost]],20,0)</f>
        <v>637.06511937458765</v>
      </c>
      <c r="M10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10" s="127">
        <f>Table1[[#This Row],[Human Lives Saved]]*Table1[[#This Row],[Mean Rate of Events / Week]]</f>
        <v>3.7360876642981537E-3</v>
      </c>
      <c r="O10" s="127">
        <f>Table1[[#This Row],[Human Lives Lost]]*Table1[[#This Row],[Mean Rate of Events / Week]]</f>
        <v>6.5580115357018491E-3</v>
      </c>
      <c r="P10" s="138">
        <f>Table1[[#This Row],[$ Invested in Technology
(Purchase + Deploy Once)]]*Table1[[#This Row],[Mean Rate of Events / Week]]</f>
        <v>51.624907488000012</v>
      </c>
    </row>
    <row r="11" spans="1:16" x14ac:dyDescent="0.3">
      <c r="A11" s="91" t="s">
        <v>125</v>
      </c>
      <c r="B11" s="71" t="s">
        <v>121</v>
      </c>
      <c r="C11" s="91" t="s">
        <v>123</v>
      </c>
      <c r="D11" s="77" t="s">
        <v>112</v>
      </c>
      <c r="E11" s="64" t="s">
        <v>112</v>
      </c>
      <c r="F11" s="66" t="s">
        <v>204</v>
      </c>
      <c r="G11" s="75">
        <f>'Main Tree'!$F$29*'Main Tree'!$F$30*'Main Tree'!$L$29*'Main Tree'!$D$38*'Main Tree'!$F$31*'Main Tree'!$D$35</f>
        <v>3.2757120000000004E-4</v>
      </c>
      <c r="H11" s="102">
        <f>G11*'Main Tree'!$H$33</f>
        <v>1.3823504640000002E-5</v>
      </c>
      <c r="I11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1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RuralHighHighN/ANo</v>
      </c>
      <c r="K11" s="133">
        <f>VLOOKUP(Table1[[#This Row],['[Reference Only']
Vlookup Index]],Table2[['[EH']
Vlookup Index]:['[EH']
Lives Saved]],19,0)</f>
        <v>89.093326560139175</v>
      </c>
      <c r="L11" s="133">
        <f>VLOOKUP(Table1[[#This Row],['[Reference Only']
Vlookup Index]],Table2[['[EH']
Vlookup Index]:['[EH']
Lives Lost]],20,0)</f>
        <v>910.90667343986081</v>
      </c>
      <c r="M11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11" s="127">
        <f>Table1[[#This Row],[Human Lives Saved]]*Table1[[#This Row],[Mean Rate of Events / Week]]</f>
        <v>1.2315820130971193E-3</v>
      </c>
      <c r="O11" s="127">
        <f>Table1[[#This Row],[Human Lives Lost]]*Table1[[#This Row],[Mean Rate of Events / Week]]</f>
        <v>1.2591922626902882E-2</v>
      </c>
      <c r="P11" s="138">
        <f>Table1[[#This Row],[$ Invested in Technology
(Purchase + Deploy Once)]]*Table1[[#This Row],[Mean Rate of Events / Week]]</f>
        <v>69.324875769600013</v>
      </c>
    </row>
    <row r="12" spans="1:16" x14ac:dyDescent="0.3">
      <c r="A12" s="91" t="s">
        <v>125</v>
      </c>
      <c r="B12" s="71" t="s">
        <v>121</v>
      </c>
      <c r="C12" s="91" t="s">
        <v>123</v>
      </c>
      <c r="D12" s="79" t="s">
        <v>114</v>
      </c>
      <c r="E12" s="64" t="s">
        <v>112</v>
      </c>
      <c r="F12" s="66" t="s">
        <v>204</v>
      </c>
      <c r="G12" s="75">
        <f>'Main Tree'!$F$29*'Main Tree'!$F$30*'Main Tree'!$L$29*'Main Tree'!$D$38*'Main Tree'!$F$31*'Main Tree'!$D$37</f>
        <v>1.2545280000000002E-4</v>
      </c>
      <c r="H12" s="102">
        <f>G12*'Main Tree'!$H$33</f>
        <v>5.2941081600000006E-6</v>
      </c>
      <c r="I12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2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RuralLowHighN/ANo</v>
      </c>
      <c r="K12" s="133">
        <f>VLOOKUP(Table1[[#This Row],['[Reference Only']
Vlookup Index]],Table2[['[EH']
Vlookup Index]:['[EH']
Lives Saved]],19,0)</f>
        <v>666.83915100021284</v>
      </c>
      <c r="L12" s="133">
        <f>VLOOKUP(Table1[[#This Row],['[Reference Only']
Vlookup Index]],Table2[['[EH']
Vlookup Index]:['[EH']
Lives Lost]],20,0)</f>
        <v>333.16084899978716</v>
      </c>
      <c r="M12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12" s="127">
        <f>Table1[[#This Row],[Human Lives Saved]]*Table1[[#This Row],[Mean Rate of Events / Week]]</f>
        <v>3.5303185907176993E-3</v>
      </c>
      <c r="O12" s="127">
        <f>Table1[[#This Row],[Human Lives Lost]]*Table1[[#This Row],[Mean Rate of Events / Week]]</f>
        <v>1.7637895692823012E-3</v>
      </c>
      <c r="P12" s="138">
        <f>Table1[[#This Row],[$ Invested in Technology
(Purchase + Deploy Once)]]*Table1[[#This Row],[Mean Rate of Events / Week]]</f>
        <v>26.549952422400004</v>
      </c>
    </row>
    <row r="13" spans="1:16" x14ac:dyDescent="0.3">
      <c r="A13" s="91" t="s">
        <v>125</v>
      </c>
      <c r="B13" s="71" t="s">
        <v>121</v>
      </c>
      <c r="C13" s="91" t="s">
        <v>123</v>
      </c>
      <c r="D13" s="78" t="s">
        <v>113</v>
      </c>
      <c r="E13" s="65" t="s">
        <v>114</v>
      </c>
      <c r="F13" s="66" t="s">
        <v>204</v>
      </c>
      <c r="G13" s="75">
        <f>'Main Tree'!$F$29*'Main Tree'!$F$30*'Main Tree'!$L$29*'Main Tree'!$D$39*'Main Tree'!$F$31*'Main Tree'!$D$36</f>
        <v>7.7246400000000027E-4</v>
      </c>
      <c r="H13" s="102">
        <f>G13*'Main Tree'!$H$33</f>
        <v>3.2597980800000014E-5</v>
      </c>
      <c r="I13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RuralMediumLowN/ANo</v>
      </c>
      <c r="K13" s="133">
        <f>VLOOKUP(Table1[[#This Row],['[Reference Only']
Vlookup Index]],Table2[['[EH']
Vlookup Index]:['[EH']
Lives Saved]],19,0)</f>
        <v>714.51546793932391</v>
      </c>
      <c r="L13" s="133">
        <f>VLOOKUP(Table1[[#This Row],['[Reference Only']
Vlookup Index]],Table2[['[EH']
Vlookup Index]:['[EH']
Lives Lost]],20,0)</f>
        <v>285.48453206067609</v>
      </c>
      <c r="M1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13" s="127">
        <f>Table1[[#This Row],[Human Lives Saved]]*Table1[[#This Row],[Mean Rate of Events / Week]]</f>
        <v>2.3291761505189107E-2</v>
      </c>
      <c r="O13" s="127">
        <f>Table1[[#This Row],[Human Lives Lost]]*Table1[[#This Row],[Mean Rate of Events / Week]]</f>
        <v>9.3062192948109076E-3</v>
      </c>
      <c r="P13" s="138">
        <f>Table1[[#This Row],[$ Invested in Technology
(Purchase + Deploy Once)]]*Table1[[#This Row],[Mean Rate of Events / Week]]</f>
        <v>163.47887371200008</v>
      </c>
    </row>
    <row r="14" spans="1:16" x14ac:dyDescent="0.3">
      <c r="A14" s="91" t="s">
        <v>125</v>
      </c>
      <c r="B14" s="71" t="s">
        <v>121</v>
      </c>
      <c r="C14" s="91" t="s">
        <v>123</v>
      </c>
      <c r="D14" s="77" t="s">
        <v>112</v>
      </c>
      <c r="E14" s="65" t="s">
        <v>114</v>
      </c>
      <c r="F14" s="66" t="s">
        <v>204</v>
      </c>
      <c r="G14" s="75">
        <f>'Main Tree'!$F$29*'Main Tree'!$F$30*'Main Tree'!$L$29*'Main Tree'!$D$39*'Main Tree'!$F$31*'Main Tree'!$D$35</f>
        <v>1.0373088000000003E-3</v>
      </c>
      <c r="H14" s="102">
        <f>G14*'Main Tree'!$H$33</f>
        <v>4.3774431360000011E-5</v>
      </c>
      <c r="I14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RuralHighLowN/ANo</v>
      </c>
      <c r="K14" s="133">
        <f>VLOOKUP(Table1[[#This Row],['[Reference Only']
Vlookup Index]],Table2[['[EH']
Vlookup Index]:['[EH']
Lives Saved]],19,0)</f>
        <v>439.63387546990083</v>
      </c>
      <c r="L14" s="133">
        <f>VLOOKUP(Table1[[#This Row],['[Reference Only']
Vlookup Index]],Table2[['[EH']
Vlookup Index]:['[EH']
Lives Lost]],20,0)</f>
        <v>560.36612453009911</v>
      </c>
      <c r="M1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14" s="127">
        <f>Table1[[#This Row],[Human Lives Saved]]*Table1[[#This Row],[Mean Rate of Events / Week]]</f>
        <v>1.9244722905287965E-2</v>
      </c>
      <c r="O14" s="127">
        <f>Table1[[#This Row],[Human Lives Lost]]*Table1[[#This Row],[Mean Rate of Events / Week]]</f>
        <v>2.4529708454712043E-2</v>
      </c>
      <c r="P14" s="138">
        <f>Table1[[#This Row],[$ Invested in Technology
(Purchase + Deploy Once)]]*Table1[[#This Row],[Mean Rate of Events / Week]]</f>
        <v>219.52877327040005</v>
      </c>
    </row>
    <row r="15" spans="1:16" x14ac:dyDescent="0.3">
      <c r="A15" s="91" t="s">
        <v>125</v>
      </c>
      <c r="B15" s="71" t="s">
        <v>121</v>
      </c>
      <c r="C15" s="91" t="s">
        <v>123</v>
      </c>
      <c r="D15" s="79" t="s">
        <v>114</v>
      </c>
      <c r="E15" s="65" t="s">
        <v>114</v>
      </c>
      <c r="F15" s="66" t="s">
        <v>204</v>
      </c>
      <c r="G15" s="75">
        <f>'Main Tree'!$F$29*'Main Tree'!$F$30*'Main Tree'!$L$29*'Main Tree'!$D$39*'Main Tree'!$F$31*'Main Tree'!$D$37</f>
        <v>3.9726720000000015E-4</v>
      </c>
      <c r="H15" s="102">
        <f>G15*'Main Tree'!$H$33</f>
        <v>1.6764675840000006E-5</v>
      </c>
      <c r="I15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5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RuralLowLowN/ANo</v>
      </c>
      <c r="K15" s="133">
        <f>VLOOKUP(Table1[[#This Row],['[Reference Only']
Vlookup Index]],Table2[['[EH']
Vlookup Index]:['[EH']
Lives Saved]],19,0)</f>
        <v>905.71167967005886</v>
      </c>
      <c r="L15" s="133">
        <f>VLOOKUP(Table1[[#This Row],['[Reference Only']
Vlookup Index]],Table2[['[EH']
Vlookup Index]:['[EH']
Lives Lost]],20,0)</f>
        <v>94.288320329941143</v>
      </c>
      <c r="M15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15" s="127">
        <f>Table1[[#This Row],[Human Lives Saved]]*Table1[[#This Row],[Mean Rate of Events / Week]]</f>
        <v>1.5183962714170461E-2</v>
      </c>
      <c r="O15" s="127">
        <f>Table1[[#This Row],[Human Lives Lost]]*Table1[[#This Row],[Mean Rate of Events / Week]]</f>
        <v>1.5807131258295457E-3</v>
      </c>
      <c r="P15" s="138">
        <f>Table1[[#This Row],[$ Invested in Technology
(Purchase + Deploy Once)]]*Table1[[#This Row],[Mean Rate of Events / Week]]</f>
        <v>84.074849337600028</v>
      </c>
    </row>
    <row r="16" spans="1:16" x14ac:dyDescent="0.3">
      <c r="A16" s="91" t="s">
        <v>125</v>
      </c>
      <c r="B16" s="71" t="s">
        <v>121</v>
      </c>
      <c r="C16" s="91" t="s">
        <v>123</v>
      </c>
      <c r="D16" s="69" t="s">
        <v>105</v>
      </c>
      <c r="E16" s="69" t="s">
        <v>105</v>
      </c>
      <c r="F16" s="66" t="s">
        <v>204</v>
      </c>
      <c r="G16" s="75">
        <f>'Main Tree'!$F$29*'Main Tree'!$F$30*'Main Tree'!$L$29*'Main Tree'!$D$40*'Main Tree'!$F$31</f>
        <v>0</v>
      </c>
      <c r="H16" s="102">
        <f>G16*'Main Tree'!$H$33</f>
        <v>0</v>
      </c>
      <c r="I16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6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RuralNoneNoneN/ANo</v>
      </c>
      <c r="K16" s="133">
        <f>VLOOKUP(Table1[[#This Row],['[Reference Only']
Vlookup Index]],Table2[['[EH']
Vlookup Index]:['[EH']
Lives Saved]],19,0)</f>
        <v>0</v>
      </c>
      <c r="L16" s="133">
        <f>VLOOKUP(Table1[[#This Row],['[Reference Only']
Vlookup Index]],Table2[['[EH']
Vlookup Index]:['[EH']
Lives Lost]],20,0)</f>
        <v>0</v>
      </c>
      <c r="M16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16" s="127">
        <f>Table1[[#This Row],[Human Lives Saved]]*Table1[[#This Row],[Mean Rate of Events / Week]]</f>
        <v>0</v>
      </c>
      <c r="O16" s="127">
        <f>Table1[[#This Row],[Human Lives Lost]]*Table1[[#This Row],[Mean Rate of Events / Week]]</f>
        <v>0</v>
      </c>
      <c r="P16" s="138">
        <f>Table1[[#This Row],[$ Invested in Technology
(Purchase + Deploy Once)]]*Table1[[#This Row],[Mean Rate of Events / Week]]</f>
        <v>0</v>
      </c>
    </row>
    <row r="17" spans="1:16" x14ac:dyDescent="0.3">
      <c r="A17" s="91" t="s">
        <v>125</v>
      </c>
      <c r="B17" s="72" t="s">
        <v>122</v>
      </c>
      <c r="C17" s="91" t="s">
        <v>123</v>
      </c>
      <c r="D17" s="77" t="s">
        <v>112</v>
      </c>
      <c r="E17" s="64" t="s">
        <v>112</v>
      </c>
      <c r="F17" s="67" t="s">
        <v>153</v>
      </c>
      <c r="G17" s="74">
        <f>'Main Tree'!$F$32*'Main Tree'!$F$30*'Main Tree'!$L$30*'Main Tree'!$D$38*'Main Tree'!$F$31*'Main Tree'!$D$35</f>
        <v>2.6679455999999999E-3</v>
      </c>
      <c r="H17" s="102">
        <f>G17*'Main Tree'!$H$33</f>
        <v>1.1258730432E-4</v>
      </c>
      <c r="I17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17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RuralHighHigh2Yes</v>
      </c>
      <c r="K17" s="133">
        <f>VLOOKUP(Table1[[#This Row],['[Reference Only']
Vlookup Index]],Table2[['[EH']
Vlookup Index]:['[EH']
Lives Saved]],19,0)</f>
        <v>549.90495929371991</v>
      </c>
      <c r="L17" s="133">
        <f>VLOOKUP(Table1[[#This Row],['[Reference Only']
Vlookup Index]],Table2[['[EH']
Vlookup Index]:['[EH']
Lives Lost]],20,0)</f>
        <v>450.09504070628009</v>
      </c>
      <c r="M17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17" s="127">
        <f>Table1[[#This Row],[Human Lives Saved]]*Table1[[#This Row],[Mean Rate of Events / Week]]</f>
        <v>6.1912316999079252E-2</v>
      </c>
      <c r="O17" s="127">
        <f>Table1[[#This Row],[Human Lives Lost]]*Table1[[#This Row],[Mean Rate of Events / Week]]</f>
        <v>5.0674987320920746E-2</v>
      </c>
      <c r="P17" s="138">
        <f>Table1[[#This Row],[$ Invested in Technology
(Purchase + Deploy Once)]]*Table1[[#This Row],[Mean Rate of Events / Week]]</f>
        <v>564.62533116479995</v>
      </c>
    </row>
    <row r="18" spans="1:16" x14ac:dyDescent="0.3">
      <c r="A18" s="91" t="s">
        <v>125</v>
      </c>
      <c r="B18" s="72" t="s">
        <v>122</v>
      </c>
      <c r="C18" s="91" t="s">
        <v>123</v>
      </c>
      <c r="D18" s="79" t="s">
        <v>114</v>
      </c>
      <c r="E18" s="64" t="s">
        <v>112</v>
      </c>
      <c r="F18" s="67" t="s">
        <v>153</v>
      </c>
      <c r="G18" s="74">
        <f>'Main Tree'!$F$32*'Main Tree'!$F$30*'Main Tree'!$L$30*'Main Tree'!$D$38*'Main Tree'!$F$31*'Main Tree'!$D$37</f>
        <v>1.0217664E-3</v>
      </c>
      <c r="H18" s="102">
        <f>G18*'Main Tree'!$H$33</f>
        <v>4.3118542080000004E-5</v>
      </c>
      <c r="I18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18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RuralLowHigh2Yes</v>
      </c>
      <c r="K18" s="133">
        <f>VLOOKUP(Table1[[#This Row],['[Reference Only']
Vlookup Index]],Table2[['[EH']
Vlookup Index]:['[EH']
Lives Saved]],19,0)</f>
        <v>711.49371176288923</v>
      </c>
      <c r="L18" s="133">
        <f>VLOOKUP(Table1[[#This Row],['[Reference Only']
Vlookup Index]],Table2[['[EH']
Vlookup Index]:['[EH']
Lives Lost]],20,0)</f>
        <v>288.50628823711077</v>
      </c>
      <c r="M18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18" s="127">
        <f>Table1[[#This Row],[Human Lives Saved]]*Table1[[#This Row],[Mean Rate of Events / Week]]</f>
        <v>3.0678571550303534E-2</v>
      </c>
      <c r="O18" s="127">
        <f>Table1[[#This Row],[Human Lives Lost]]*Table1[[#This Row],[Mean Rate of Events / Week]]</f>
        <v>1.2439970529696471E-2</v>
      </c>
      <c r="P18" s="138">
        <f>Table1[[#This Row],[$ Invested in Technology
(Purchase + Deploy Once)]]*Table1[[#This Row],[Mean Rate of Events / Week]]</f>
        <v>216.23948853120001</v>
      </c>
    </row>
    <row r="19" spans="1:16" x14ac:dyDescent="0.3">
      <c r="A19" s="91" t="s">
        <v>125</v>
      </c>
      <c r="B19" s="72" t="s">
        <v>122</v>
      </c>
      <c r="C19" s="91" t="s">
        <v>123</v>
      </c>
      <c r="D19" s="78" t="s">
        <v>113</v>
      </c>
      <c r="E19" s="64" t="s">
        <v>112</v>
      </c>
      <c r="F19" s="67" t="s">
        <v>153</v>
      </c>
      <c r="G19" s="74">
        <f>'Main Tree'!$F$32*'Main Tree'!$F$30*'Main Tree'!$L$30*'Main Tree'!$D$38*'Main Tree'!$F$31*'Main Tree'!$D$36</f>
        <v>1.9867679999999999E-3</v>
      </c>
      <c r="H19" s="102">
        <f>G19*'Main Tree'!$H$33</f>
        <v>8.3841609599999995E-5</v>
      </c>
      <c r="I19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19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RuralMediumHigh2Yes</v>
      </c>
      <c r="K19" s="133">
        <f>VLOOKUP(Table1[[#This Row],['[Reference Only']
Vlookup Index]],Table2[['[EH']
Vlookup Index]:['[EH']
Lives Saved]],19,0)</f>
        <v>776.15959326256188</v>
      </c>
      <c r="L19" s="133">
        <f>VLOOKUP(Table1[[#This Row],['[Reference Only']
Vlookup Index]],Table2[['[EH']
Vlookup Index]:['[EH']
Lives Lost]],20,0)</f>
        <v>223.84040673743812</v>
      </c>
      <c r="M19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19" s="127">
        <f>Table1[[#This Row],[Human Lives Saved]]*Table1[[#This Row],[Mean Rate of Events / Week]]</f>
        <v>6.5074469605614499E-2</v>
      </c>
      <c r="O19" s="127">
        <f>Table1[[#This Row],[Human Lives Lost]]*Table1[[#This Row],[Mean Rate of Events / Week]]</f>
        <v>1.8767139994385496E-2</v>
      </c>
      <c r="P19" s="138">
        <f>Table1[[#This Row],[$ Invested in Technology
(Purchase + Deploy Once)]]*Table1[[#This Row],[Mean Rate of Events / Week]]</f>
        <v>420.465672144</v>
      </c>
    </row>
    <row r="20" spans="1:16" x14ac:dyDescent="0.3">
      <c r="A20" s="91" t="s">
        <v>125</v>
      </c>
      <c r="B20" s="72" t="s">
        <v>122</v>
      </c>
      <c r="C20" s="91" t="s">
        <v>123</v>
      </c>
      <c r="D20" s="77" t="s">
        <v>112</v>
      </c>
      <c r="E20" s="65" t="s">
        <v>114</v>
      </c>
      <c r="F20" s="67" t="s">
        <v>153</v>
      </c>
      <c r="G20" s="74">
        <f>'Main Tree'!$F$32*'Main Tree'!$F$30*'Main Tree'!$L$30*'Main Tree'!$D$39*'Main Tree'!$F$31*'Main Tree'!$D$35</f>
        <v>8.448494400000001E-3</v>
      </c>
      <c r="H20" s="102">
        <f>G20*'Main Tree'!$H$33</f>
        <v>3.5652646368000007E-4</v>
      </c>
      <c r="I20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20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RuralHighLow2Yes</v>
      </c>
      <c r="K20" s="133">
        <f>VLOOKUP(Table1[[#This Row],['[Reference Only']
Vlookup Index]],Table2[['[EH']
Vlookup Index]:['[EH']
Lives Saved]],19,0)</f>
        <v>266.26769139470218</v>
      </c>
      <c r="L20" s="133">
        <f>VLOOKUP(Table1[[#This Row],['[Reference Only']
Vlookup Index]],Table2[['[EH']
Vlookup Index]:['[EH']
Lives Lost]],20,0)</f>
        <v>733.73230860529782</v>
      </c>
      <c r="M20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20" s="127">
        <f>Table1[[#This Row],[Human Lives Saved]]*Table1[[#This Row],[Mean Rate of Events / Week]]</f>
        <v>9.4931478405190756E-2</v>
      </c>
      <c r="O20" s="127">
        <f>Table1[[#This Row],[Human Lives Lost]]*Table1[[#This Row],[Mean Rate of Events / Week]]</f>
        <v>0.26159498527480929</v>
      </c>
      <c r="P20" s="138">
        <f>Table1[[#This Row],[$ Invested in Technology
(Purchase + Deploy Once)]]*Table1[[#This Row],[Mean Rate of Events / Week]]</f>
        <v>1787.9802153552002</v>
      </c>
    </row>
    <row r="21" spans="1:16" x14ac:dyDescent="0.3">
      <c r="A21" s="91" t="s">
        <v>125</v>
      </c>
      <c r="B21" s="72" t="s">
        <v>122</v>
      </c>
      <c r="C21" s="91" t="s">
        <v>123</v>
      </c>
      <c r="D21" s="79" t="s">
        <v>114</v>
      </c>
      <c r="E21" s="65" t="s">
        <v>114</v>
      </c>
      <c r="F21" s="67" t="s">
        <v>153</v>
      </c>
      <c r="G21" s="74">
        <f>'Main Tree'!$F$32*'Main Tree'!$F$30*'Main Tree'!$L$30*'Main Tree'!$D$39*'Main Tree'!$F$31*'Main Tree'!$D$37</f>
        <v>3.2355936000000004E-3</v>
      </c>
      <c r="H21" s="102">
        <f>G21*'Main Tree'!$H$33</f>
        <v>1.3654204992000001E-4</v>
      </c>
      <c r="I21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21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RuralLowLow2Yes</v>
      </c>
      <c r="K21" s="133">
        <f>VLOOKUP(Table1[[#This Row],['[Reference Only']
Vlookup Index]],Table2[['[EH']
Vlookup Index]:['[EH']
Lives Saved]],19,0)</f>
        <v>867.9085179385761</v>
      </c>
      <c r="L21" s="133">
        <f>VLOOKUP(Table1[[#This Row],['[Reference Only']
Vlookup Index]],Table2[['[EH']
Vlookup Index]:['[EH']
Lives Lost]],20,0)</f>
        <v>132.0914820614239</v>
      </c>
      <c r="M21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21" s="127">
        <f>Table1[[#This Row],[Human Lives Saved]]*Table1[[#This Row],[Mean Rate of Events / Week]]</f>
        <v>0.11850600818236229</v>
      </c>
      <c r="O21" s="127">
        <f>Table1[[#This Row],[Human Lives Lost]]*Table1[[#This Row],[Mean Rate of Events / Week]]</f>
        <v>1.8036041737637728E-2</v>
      </c>
      <c r="P21" s="138">
        <f>Table1[[#This Row],[$ Invested in Technology
(Purchase + Deploy Once)]]*Table1[[#This Row],[Mean Rate of Events / Week]]</f>
        <v>684.75838034880007</v>
      </c>
    </row>
    <row r="22" spans="1:16" x14ac:dyDescent="0.3">
      <c r="A22" s="91" t="s">
        <v>125</v>
      </c>
      <c r="B22" s="72" t="s">
        <v>122</v>
      </c>
      <c r="C22" s="91" t="s">
        <v>123</v>
      </c>
      <c r="D22" s="78" t="s">
        <v>113</v>
      </c>
      <c r="E22" s="65" t="s">
        <v>114</v>
      </c>
      <c r="F22" s="67" t="s">
        <v>153</v>
      </c>
      <c r="G22" s="74">
        <f>'Main Tree'!$F$32*'Main Tree'!$F$30*'Main Tree'!$L$30*'Main Tree'!$D$39*'Main Tree'!$F$31*'Main Tree'!$D$36</f>
        <v>6.2914320000000004E-3</v>
      </c>
      <c r="H22" s="102">
        <f>G22*'Main Tree'!$H$33</f>
        <v>2.6549843040000001E-4</v>
      </c>
      <c r="I22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22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RuralMediumLow2Yes</v>
      </c>
      <c r="K22" s="133">
        <f>VLOOKUP(Table1[[#This Row],['[Reference Only']
Vlookup Index]],Table2[['[EH']
Vlookup Index]:['[EH']
Lives Saved]],19,0)</f>
        <v>733.95893216156276</v>
      </c>
      <c r="L22" s="133">
        <f>VLOOKUP(Table1[[#This Row],['[Reference Only']
Vlookup Index]],Table2[['[EH']
Vlookup Index]:['[EH']
Lives Lost]],20,0)</f>
        <v>266.04106783843724</v>
      </c>
      <c r="M22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22" s="127">
        <f>Table1[[#This Row],[Human Lives Saved]]*Table1[[#This Row],[Mean Rate of Events / Week]]</f>
        <v>0.19486494446695499</v>
      </c>
      <c r="O22" s="127">
        <f>Table1[[#This Row],[Human Lives Lost]]*Table1[[#This Row],[Mean Rate of Events / Week]]</f>
        <v>7.0633485933045012E-2</v>
      </c>
      <c r="P22" s="138">
        <f>Table1[[#This Row],[$ Invested in Technology
(Purchase + Deploy Once)]]*Table1[[#This Row],[Mean Rate of Events / Week]]</f>
        <v>1331.4746284560001</v>
      </c>
    </row>
    <row r="23" spans="1:16" x14ac:dyDescent="0.3">
      <c r="A23" s="91" t="s">
        <v>125</v>
      </c>
      <c r="B23" s="72" t="s">
        <v>122</v>
      </c>
      <c r="C23" s="91" t="s">
        <v>123</v>
      </c>
      <c r="D23" s="69" t="s">
        <v>105</v>
      </c>
      <c r="E23" s="69" t="s">
        <v>105</v>
      </c>
      <c r="F23" s="67" t="s">
        <v>153</v>
      </c>
      <c r="G23" s="75">
        <f>'Main Tree'!$F$32*'Main Tree'!$F$30*'Main Tree'!$L$30*'Main Tree'!$D$40*'Main Tree'!$F$31</f>
        <v>0</v>
      </c>
      <c r="H23" s="102">
        <f>G23*'Main Tree'!$H$33</f>
        <v>0</v>
      </c>
      <c r="I23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2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RuralNoneNoneN/AYes</v>
      </c>
      <c r="K23" s="133">
        <f>VLOOKUP(Table1[[#This Row],['[Reference Only']
Vlookup Index]],Table2[['[EH']
Vlookup Index]:['[EH']
Lives Saved]],19,0)</f>
        <v>0</v>
      </c>
      <c r="L23" s="133">
        <f>VLOOKUP(Table1[[#This Row],['[Reference Only']
Vlookup Index]],Table2[['[EH']
Vlookup Index]:['[EH']
Lives Lost]],20,0)</f>
        <v>46.307284962172957</v>
      </c>
      <c r="M2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23" s="127">
        <f>Table1[[#This Row],[Human Lives Saved]]*Table1[[#This Row],[Mean Rate of Events / Week]]</f>
        <v>0</v>
      </c>
      <c r="O23" s="127">
        <f>Table1[[#This Row],[Human Lives Lost]]*Table1[[#This Row],[Mean Rate of Events / Week]]</f>
        <v>0</v>
      </c>
      <c r="P23" s="138">
        <f>Table1[[#This Row],[$ Invested in Technology
(Purchase + Deploy Once)]]*Table1[[#This Row],[Mean Rate of Events / Week]]</f>
        <v>0</v>
      </c>
    </row>
    <row r="24" spans="1:16" x14ac:dyDescent="0.3">
      <c r="A24" s="91" t="s">
        <v>125</v>
      </c>
      <c r="B24" s="72" t="s">
        <v>122</v>
      </c>
      <c r="C24" s="91" t="s">
        <v>123</v>
      </c>
      <c r="D24" s="78" t="s">
        <v>113</v>
      </c>
      <c r="E24" s="64" t="s">
        <v>112</v>
      </c>
      <c r="F24" s="66" t="s">
        <v>204</v>
      </c>
      <c r="G24" s="75">
        <f>'Main Tree'!$F$32*'Main Tree'!$F$30*'Main Tree'!$L$31*'Main Tree'!$D$38*'Main Tree'!$F$31*'Main Tree'!$D$36</f>
        <v>2.8123199999999991E-4</v>
      </c>
      <c r="H24" s="102">
        <f>G24*'Main Tree'!$H$33</f>
        <v>1.1867990399999996E-5</v>
      </c>
      <c r="I24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2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RuralMediumHighN/ANo</v>
      </c>
      <c r="K24" s="133">
        <f>VLOOKUP(Table1[[#This Row],['[Reference Only']
Vlookup Index]],Table2[['[EH']
Vlookup Index]:['[EH']
Lives Saved]],19,0)</f>
        <v>362.93488062541235</v>
      </c>
      <c r="L24" s="133">
        <f>VLOOKUP(Table1[[#This Row],['[Reference Only']
Vlookup Index]],Table2[['[EH']
Vlookup Index]:['[EH']
Lives Lost]],20,0)</f>
        <v>637.06511937458765</v>
      </c>
      <c r="M2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24" s="127">
        <f>Table1[[#This Row],[Human Lives Saved]]*Table1[[#This Row],[Mean Rate of Events / Week]]</f>
        <v>4.3073076790875386E-3</v>
      </c>
      <c r="O24" s="127">
        <f>Table1[[#This Row],[Human Lives Lost]]*Table1[[#This Row],[Mean Rate of Events / Week]]</f>
        <v>7.5606827209124582E-3</v>
      </c>
      <c r="P24" s="138">
        <f>Table1[[#This Row],[$ Invested in Technology
(Purchase + Deploy Once)]]*Table1[[#This Row],[Mean Rate of Events / Week]]</f>
        <v>59.517971855999981</v>
      </c>
    </row>
    <row r="25" spans="1:16" x14ac:dyDescent="0.3">
      <c r="A25" s="91" t="s">
        <v>125</v>
      </c>
      <c r="B25" s="72" t="s">
        <v>122</v>
      </c>
      <c r="C25" s="91" t="s">
        <v>123</v>
      </c>
      <c r="D25" s="77" t="s">
        <v>112</v>
      </c>
      <c r="E25" s="64" t="s">
        <v>112</v>
      </c>
      <c r="F25" s="66" t="s">
        <v>204</v>
      </c>
      <c r="G25" s="75">
        <f>'Main Tree'!$F$32*'Main Tree'!$F$30*'Main Tree'!$L$31*'Main Tree'!$D$38*'Main Tree'!$F$31*'Main Tree'!$D$35</f>
        <v>3.7765439999999992E-4</v>
      </c>
      <c r="H25" s="102">
        <f>G25*'Main Tree'!$H$33</f>
        <v>1.5937015679999996E-5</v>
      </c>
      <c r="I25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25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RuralHighHighN/ANo</v>
      </c>
      <c r="K25" s="133">
        <f>VLOOKUP(Table1[[#This Row],['[Reference Only']
Vlookup Index]],Table2[['[EH']
Vlookup Index]:['[EH']
Lives Saved]],19,0)</f>
        <v>89.093326560139175</v>
      </c>
      <c r="L25" s="133">
        <f>VLOOKUP(Table1[[#This Row],['[Reference Only']
Vlookup Index]],Table2[['[EH']
Vlookup Index]:['[EH']
Lives Lost]],20,0)</f>
        <v>910.90667343986081</v>
      </c>
      <c r="M25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25" s="127">
        <f>Table1[[#This Row],[Human Lives Saved]]*Table1[[#This Row],[Mean Rate of Events / Week]]</f>
        <v>1.4198817423722982E-3</v>
      </c>
      <c r="O25" s="127">
        <f>Table1[[#This Row],[Human Lives Lost]]*Table1[[#This Row],[Mean Rate of Events / Week]]</f>
        <v>1.4517133937627697E-2</v>
      </c>
      <c r="P25" s="138">
        <f>Table1[[#This Row],[$ Invested in Technology
(Purchase + Deploy Once)]]*Table1[[#This Row],[Mean Rate of Events / Week]]</f>
        <v>79.924133635199979</v>
      </c>
    </row>
    <row r="26" spans="1:16" x14ac:dyDescent="0.3">
      <c r="A26" s="91" t="s">
        <v>125</v>
      </c>
      <c r="B26" s="72" t="s">
        <v>122</v>
      </c>
      <c r="C26" s="91" t="s">
        <v>123</v>
      </c>
      <c r="D26" s="79" t="s">
        <v>114</v>
      </c>
      <c r="E26" s="64" t="s">
        <v>112</v>
      </c>
      <c r="F26" s="66" t="s">
        <v>204</v>
      </c>
      <c r="G26" s="75">
        <f>'Main Tree'!$F$32*'Main Tree'!$F$30*'Main Tree'!$L$31*'Main Tree'!$D$38*'Main Tree'!$F$31*'Main Tree'!$D$37</f>
        <v>1.4463359999999996E-4</v>
      </c>
      <c r="H26" s="102">
        <f>G26*'Main Tree'!$H$33</f>
        <v>6.1035379199999987E-6</v>
      </c>
      <c r="I26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26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RuralLowHighN/ANo</v>
      </c>
      <c r="K26" s="133">
        <f>VLOOKUP(Table1[[#This Row],['[Reference Only']
Vlookup Index]],Table2[['[EH']
Vlookup Index]:['[EH']
Lives Saved]],19,0)</f>
        <v>666.83915100021284</v>
      </c>
      <c r="L26" s="133">
        <f>VLOOKUP(Table1[[#This Row],['[Reference Only']
Vlookup Index]],Table2[['[EH']
Vlookup Index]:['[EH']
Lives Lost]],20,0)</f>
        <v>333.16084899978716</v>
      </c>
      <c r="M26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26" s="127">
        <f>Table1[[#This Row],[Human Lives Saved]]*Table1[[#This Row],[Mean Rate of Events / Week]]</f>
        <v>4.0700780446704041E-3</v>
      </c>
      <c r="O26" s="127">
        <f>Table1[[#This Row],[Human Lives Lost]]*Table1[[#This Row],[Mean Rate of Events / Week]]</f>
        <v>2.0334598753295944E-3</v>
      </c>
      <c r="P26" s="138">
        <f>Table1[[#This Row],[$ Invested in Technology
(Purchase + Deploy Once)]]*Table1[[#This Row],[Mean Rate of Events / Week]]</f>
        <v>30.609242668799993</v>
      </c>
    </row>
    <row r="27" spans="1:16" x14ac:dyDescent="0.3">
      <c r="A27" s="91" t="s">
        <v>125</v>
      </c>
      <c r="B27" s="72" t="s">
        <v>122</v>
      </c>
      <c r="C27" s="91" t="s">
        <v>123</v>
      </c>
      <c r="D27" s="78" t="s">
        <v>113</v>
      </c>
      <c r="E27" s="65" t="s">
        <v>114</v>
      </c>
      <c r="F27" s="66" t="s">
        <v>204</v>
      </c>
      <c r="G27" s="75">
        <f>'Main Tree'!$F$32*'Main Tree'!$F$30*'Main Tree'!$L$31*'Main Tree'!$D$39*'Main Tree'!$F$31*'Main Tree'!$D$36</f>
        <v>8.9056799999999979E-4</v>
      </c>
      <c r="H27" s="102">
        <f>G27*'Main Tree'!$H$33</f>
        <v>3.7581969599999992E-5</v>
      </c>
      <c r="I27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27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RuralMediumLowN/ANo</v>
      </c>
      <c r="K27" s="133">
        <f>VLOOKUP(Table1[[#This Row],['[Reference Only']
Vlookup Index]],Table2[['[EH']
Vlookup Index]:['[EH']
Lives Saved]],19,0)</f>
        <v>714.51546793932391</v>
      </c>
      <c r="L27" s="133">
        <f>VLOOKUP(Table1[[#This Row],['[Reference Only']
Vlookup Index]],Table2[['[EH']
Vlookup Index]:['[EH']
Lives Lost]],20,0)</f>
        <v>285.48453206067609</v>
      </c>
      <c r="M27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27" s="127">
        <f>Table1[[#This Row],[Human Lives Saved]]*Table1[[#This Row],[Mean Rate of Events / Week]]</f>
        <v>2.6852898594825439E-2</v>
      </c>
      <c r="O27" s="127">
        <f>Table1[[#This Row],[Human Lives Lost]]*Table1[[#This Row],[Mean Rate of Events / Week]]</f>
        <v>1.0729071005174552E-2</v>
      </c>
      <c r="P27" s="138">
        <f>Table1[[#This Row],[$ Invested in Technology
(Purchase + Deploy Once)]]*Table1[[#This Row],[Mean Rate of Events / Week]]</f>
        <v>188.47357754399997</v>
      </c>
    </row>
    <row r="28" spans="1:16" x14ac:dyDescent="0.3">
      <c r="A28" s="91" t="s">
        <v>125</v>
      </c>
      <c r="B28" s="72" t="s">
        <v>122</v>
      </c>
      <c r="C28" s="91" t="s">
        <v>123</v>
      </c>
      <c r="D28" s="77" t="s">
        <v>112</v>
      </c>
      <c r="E28" s="65" t="s">
        <v>114</v>
      </c>
      <c r="F28" s="66" t="s">
        <v>204</v>
      </c>
      <c r="G28" s="75">
        <f>'Main Tree'!$F$32*'Main Tree'!$F$30*'Main Tree'!$L$31*'Main Tree'!$D$39*'Main Tree'!$F$31*'Main Tree'!$D$35</f>
        <v>1.1959055999999997E-3</v>
      </c>
      <c r="H28" s="102">
        <f>G28*'Main Tree'!$H$33</f>
        <v>5.0467216319999988E-5</v>
      </c>
      <c r="I28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28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RuralHighLowN/ANo</v>
      </c>
      <c r="K28" s="133">
        <f>VLOOKUP(Table1[[#This Row],['[Reference Only']
Vlookup Index]],Table2[['[EH']
Vlookup Index]:['[EH']
Lives Saved]],19,0)</f>
        <v>439.63387546990083</v>
      </c>
      <c r="L28" s="133">
        <f>VLOOKUP(Table1[[#This Row],['[Reference Only']
Vlookup Index]],Table2[['[EH']
Vlookup Index]:['[EH']
Lives Lost]],20,0)</f>
        <v>560.36612453009911</v>
      </c>
      <c r="M28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28" s="127">
        <f>Table1[[#This Row],[Human Lives Saved]]*Table1[[#This Row],[Mean Rate of Events / Week]]</f>
        <v>2.2187097894939421E-2</v>
      </c>
      <c r="O28" s="127">
        <f>Table1[[#This Row],[Human Lives Lost]]*Table1[[#This Row],[Mean Rate of Events / Week]]</f>
        <v>2.8280118425060563E-2</v>
      </c>
      <c r="P28" s="138">
        <f>Table1[[#This Row],[$ Invested in Technology
(Purchase + Deploy Once)]]*Table1[[#This Row],[Mean Rate of Events / Week]]</f>
        <v>253.09308984479995</v>
      </c>
    </row>
    <row r="29" spans="1:16" x14ac:dyDescent="0.3">
      <c r="A29" s="91" t="s">
        <v>125</v>
      </c>
      <c r="B29" s="72" t="s">
        <v>122</v>
      </c>
      <c r="C29" s="91" t="s">
        <v>123</v>
      </c>
      <c r="D29" s="79" t="s">
        <v>114</v>
      </c>
      <c r="E29" s="65" t="s">
        <v>114</v>
      </c>
      <c r="F29" s="66" t="s">
        <v>204</v>
      </c>
      <c r="G29" s="75">
        <f>'Main Tree'!$F$32*'Main Tree'!$F$30*'Main Tree'!$L$31*'Main Tree'!$D$39*'Main Tree'!$F$31*'Main Tree'!$D$37</f>
        <v>4.5800639999999993E-4</v>
      </c>
      <c r="H29" s="102">
        <f>G29*'Main Tree'!$H$33</f>
        <v>1.9327870079999998E-5</v>
      </c>
      <c r="I29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29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RuralLowLowN/ANo</v>
      </c>
      <c r="K29" s="133">
        <f>VLOOKUP(Table1[[#This Row],['[Reference Only']
Vlookup Index]],Table2[['[EH']
Vlookup Index]:['[EH']
Lives Saved]],19,0)</f>
        <v>905.71167967005886</v>
      </c>
      <c r="L29" s="133">
        <f>VLOOKUP(Table1[[#This Row],['[Reference Only']
Vlookup Index]],Table2[['[EH']
Vlookup Index]:['[EH']
Lives Lost]],20,0)</f>
        <v>94.288320329941143</v>
      </c>
      <c r="M29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29" s="127">
        <f>Table1[[#This Row],[Human Lives Saved]]*Table1[[#This Row],[Mean Rate of Events / Week]]</f>
        <v>1.7505477674601474E-2</v>
      </c>
      <c r="O29" s="127">
        <f>Table1[[#This Row],[Human Lives Lost]]*Table1[[#This Row],[Mean Rate of Events / Week]]</f>
        <v>1.822392405398525E-3</v>
      </c>
      <c r="P29" s="138">
        <f>Table1[[#This Row],[$ Invested in Technology
(Purchase + Deploy Once)]]*Table1[[#This Row],[Mean Rate of Events / Week]]</f>
        <v>96.929268451199988</v>
      </c>
    </row>
    <row r="30" spans="1:16" x14ac:dyDescent="0.3">
      <c r="A30" s="91" t="s">
        <v>125</v>
      </c>
      <c r="B30" s="72" t="s">
        <v>122</v>
      </c>
      <c r="C30" s="91" t="s">
        <v>123</v>
      </c>
      <c r="D30" s="69" t="s">
        <v>105</v>
      </c>
      <c r="E30" s="69" t="s">
        <v>105</v>
      </c>
      <c r="F30" s="66" t="s">
        <v>204</v>
      </c>
      <c r="G30" s="75">
        <f>'Main Tree'!$F$32*'Main Tree'!$F$30*'Main Tree'!$L$31*'Main Tree'!$D$40*'Main Tree'!$F$31</f>
        <v>0</v>
      </c>
      <c r="H30" s="102">
        <f>G30*'Main Tree'!$H$33</f>
        <v>0</v>
      </c>
      <c r="I30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30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RuralNoneNoneN/ANo</v>
      </c>
      <c r="K30" s="133">
        <f>VLOOKUP(Table1[[#This Row],['[Reference Only']
Vlookup Index]],Table2[['[EH']
Vlookup Index]:['[EH']
Lives Saved]],19,0)</f>
        <v>0</v>
      </c>
      <c r="L30" s="133">
        <f>VLOOKUP(Table1[[#This Row],['[Reference Only']
Vlookup Index]],Table2[['[EH']
Vlookup Index]:['[EH']
Lives Lost]],20,0)</f>
        <v>0</v>
      </c>
      <c r="M30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30" s="127">
        <f>Table1[[#This Row],[Human Lives Saved]]*Table1[[#This Row],[Mean Rate of Events / Week]]</f>
        <v>0</v>
      </c>
      <c r="O30" s="127">
        <f>Table1[[#This Row],[Human Lives Lost]]*Table1[[#This Row],[Mean Rate of Events / Week]]</f>
        <v>0</v>
      </c>
      <c r="P30" s="138">
        <f>Table1[[#This Row],[$ Invested in Technology
(Purchase + Deploy Once)]]*Table1[[#This Row],[Mean Rate of Events / Week]]</f>
        <v>0</v>
      </c>
    </row>
    <row r="31" spans="1:16" x14ac:dyDescent="0.3">
      <c r="A31" s="91" t="s">
        <v>125</v>
      </c>
      <c r="B31" s="71" t="s">
        <v>121</v>
      </c>
      <c r="C31" s="96" t="s">
        <v>124</v>
      </c>
      <c r="D31" s="77" t="s">
        <v>112</v>
      </c>
      <c r="E31" s="64" t="s">
        <v>112</v>
      </c>
      <c r="F31" s="67" t="s">
        <v>153</v>
      </c>
      <c r="G31" s="74">
        <f>'Main Tree'!$F$29*'Main Tree'!$F$33*'Main Tree'!$L$32*'Main Tree'!$D$38*'Main Tree'!$F$31*'Main Tree'!$D$35</f>
        <v>0</v>
      </c>
      <c r="H31" s="102">
        <f>G31*'Main Tree'!$H$33</f>
        <v>0</v>
      </c>
      <c r="I31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31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RuralHighHigh0Yes</v>
      </c>
      <c r="K31" s="133">
        <f>VLOOKUP(Table1[[#This Row],['[Reference Only']
Vlookup Index]],Table2[['[EH']
Vlookup Index]:['[EH']
Lives Saved]],19,0)</f>
        <v>579.26002525260844</v>
      </c>
      <c r="L31" s="133">
        <f>VLOOKUP(Table1[[#This Row],['[Reference Only']
Vlookup Index]],Table2[['[EH']
Vlookup Index]:['[EH']
Lives Lost]],20,0)</f>
        <v>420.73997474739156</v>
      </c>
      <c r="M31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31" s="127">
        <f>Table1[[#This Row],[Human Lives Saved]]*Table1[[#This Row],[Mean Rate of Events / Week]]</f>
        <v>0</v>
      </c>
      <c r="O31" s="127">
        <f>Table1[[#This Row],[Human Lives Lost]]*Table1[[#This Row],[Mean Rate of Events / Week]]</f>
        <v>0</v>
      </c>
      <c r="P31" s="138">
        <f>Table1[[#This Row],[$ Invested in Technology
(Purchase + Deploy Once)]]*Table1[[#This Row],[Mean Rate of Events / Week]]</f>
        <v>0</v>
      </c>
    </row>
    <row r="32" spans="1:16" x14ac:dyDescent="0.3">
      <c r="A32" s="91" t="s">
        <v>125</v>
      </c>
      <c r="B32" s="71" t="s">
        <v>121</v>
      </c>
      <c r="C32" s="96" t="s">
        <v>124</v>
      </c>
      <c r="D32" s="79" t="s">
        <v>114</v>
      </c>
      <c r="E32" s="64" t="s">
        <v>112</v>
      </c>
      <c r="F32" s="67" t="s">
        <v>153</v>
      </c>
      <c r="G32" s="74">
        <f>'Main Tree'!$F$29*'Main Tree'!$F$33*'Main Tree'!$L$32*'Main Tree'!$D$38*'Main Tree'!$F$31*'Main Tree'!$D$37</f>
        <v>0</v>
      </c>
      <c r="H32" s="102">
        <f>G32*'Main Tree'!$H$33</f>
        <v>0</v>
      </c>
      <c r="I32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32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RuralLowHigh0Yes</v>
      </c>
      <c r="K32" s="133">
        <f>VLOOKUP(Table1[[#This Row],['[Reference Only']
Vlookup Index]],Table2[['[EH']
Vlookup Index]:['[EH']
Lives Saved]],19,0)</f>
        <v>777.39645990750171</v>
      </c>
      <c r="L32" s="133">
        <f>VLOOKUP(Table1[[#This Row],['[Reference Only']
Vlookup Index]],Table2[['[EH']
Vlookup Index]:['[EH']
Lives Lost]],20,0)</f>
        <v>222.60354009249829</v>
      </c>
      <c r="M32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32" s="127">
        <f>Table1[[#This Row],[Human Lives Saved]]*Table1[[#This Row],[Mean Rate of Events / Week]]</f>
        <v>0</v>
      </c>
      <c r="O32" s="127">
        <f>Table1[[#This Row],[Human Lives Lost]]*Table1[[#This Row],[Mean Rate of Events / Week]]</f>
        <v>0</v>
      </c>
      <c r="P32" s="138">
        <f>Table1[[#This Row],[$ Invested in Technology
(Purchase + Deploy Once)]]*Table1[[#This Row],[Mean Rate of Events / Week]]</f>
        <v>0</v>
      </c>
    </row>
    <row r="33" spans="1:16" x14ac:dyDescent="0.3">
      <c r="A33" s="91" t="s">
        <v>125</v>
      </c>
      <c r="B33" s="71" t="s">
        <v>121</v>
      </c>
      <c r="C33" s="96" t="s">
        <v>124</v>
      </c>
      <c r="D33" s="78" t="s">
        <v>113</v>
      </c>
      <c r="E33" s="64" t="s">
        <v>112</v>
      </c>
      <c r="F33" s="67" t="s">
        <v>153</v>
      </c>
      <c r="G33" s="74">
        <f>'Main Tree'!$F$29*'Main Tree'!$F$33*'Main Tree'!$L$32*'Main Tree'!$D$38*'Main Tree'!$F$31*'Main Tree'!$D$36</f>
        <v>0</v>
      </c>
      <c r="H33" s="102">
        <f>G33*'Main Tree'!$H$33</f>
        <v>0</v>
      </c>
      <c r="I33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3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RuralMediumHigh0Yes</v>
      </c>
      <c r="K33" s="133">
        <f>VLOOKUP(Table1[[#This Row],['[Reference Only']
Vlookup Index]],Table2[['[EH']
Vlookup Index]:['[EH']
Lives Saved]],19,0)</f>
        <v>370.9749048841187</v>
      </c>
      <c r="L33" s="133">
        <f>VLOOKUP(Table1[[#This Row],['[Reference Only']
Vlookup Index]],Table2[['[EH']
Vlookup Index]:['[EH']
Lives Lost]],20,0)</f>
        <v>629.0250951158813</v>
      </c>
      <c r="M3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33" s="127">
        <f>Table1[[#This Row],[Human Lives Saved]]*Table1[[#This Row],[Mean Rate of Events / Week]]</f>
        <v>0</v>
      </c>
      <c r="O33" s="127">
        <f>Table1[[#This Row],[Human Lives Lost]]*Table1[[#This Row],[Mean Rate of Events / Week]]</f>
        <v>0</v>
      </c>
      <c r="P33" s="138">
        <f>Table1[[#This Row],[$ Invested in Technology
(Purchase + Deploy Once)]]*Table1[[#This Row],[Mean Rate of Events / Week]]</f>
        <v>0</v>
      </c>
    </row>
    <row r="34" spans="1:16" x14ac:dyDescent="0.3">
      <c r="A34" s="91" t="s">
        <v>125</v>
      </c>
      <c r="B34" s="71" t="s">
        <v>121</v>
      </c>
      <c r="C34" s="96" t="s">
        <v>124</v>
      </c>
      <c r="D34" s="77" t="s">
        <v>112</v>
      </c>
      <c r="E34" s="65" t="s">
        <v>114</v>
      </c>
      <c r="F34" s="67" t="s">
        <v>153</v>
      </c>
      <c r="G34" s="74">
        <f>'Main Tree'!$F$29*'Main Tree'!$F$33*'Main Tree'!$L$32*'Main Tree'!$D$39*'Main Tree'!$F$31*'Main Tree'!$D$35</f>
        <v>0</v>
      </c>
      <c r="H34" s="102">
        <f>G34*'Main Tree'!$H$33</f>
        <v>0</v>
      </c>
      <c r="I34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3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RuralHighLow0Yes</v>
      </c>
      <c r="K34" s="133">
        <f>VLOOKUP(Table1[[#This Row],['[Reference Only']
Vlookup Index]],Table2[['[EH']
Vlookup Index]:['[EH']
Lives Saved]],19,0)</f>
        <v>451.38406181028211</v>
      </c>
      <c r="L34" s="133">
        <f>VLOOKUP(Table1[[#This Row],['[Reference Only']
Vlookup Index]],Table2[['[EH']
Vlookup Index]:['[EH']
Lives Lost]],20,0)</f>
        <v>548.61593818971789</v>
      </c>
      <c r="M3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34" s="127">
        <f>Table1[[#This Row],[Human Lives Saved]]*Table1[[#This Row],[Mean Rate of Events / Week]]</f>
        <v>0</v>
      </c>
      <c r="O34" s="127">
        <f>Table1[[#This Row],[Human Lives Lost]]*Table1[[#This Row],[Mean Rate of Events / Week]]</f>
        <v>0</v>
      </c>
      <c r="P34" s="138">
        <f>Table1[[#This Row],[$ Invested in Technology
(Purchase + Deploy Once)]]*Table1[[#This Row],[Mean Rate of Events / Week]]</f>
        <v>0</v>
      </c>
    </row>
    <row r="35" spans="1:16" x14ac:dyDescent="0.3">
      <c r="A35" s="91" t="s">
        <v>125</v>
      </c>
      <c r="B35" s="71" t="s">
        <v>121</v>
      </c>
      <c r="C35" s="96" t="s">
        <v>124</v>
      </c>
      <c r="D35" s="79" t="s">
        <v>114</v>
      </c>
      <c r="E35" s="65" t="s">
        <v>114</v>
      </c>
      <c r="F35" s="67" t="s">
        <v>153</v>
      </c>
      <c r="G35" s="74">
        <f>'Main Tree'!$F$29*'Main Tree'!$F$33*'Main Tree'!$L$32*'Main Tree'!$D$39*'Main Tree'!$F$31*'Main Tree'!$D$37</f>
        <v>0</v>
      </c>
      <c r="H35" s="102">
        <f>G35*'Main Tree'!$H$33</f>
        <v>0</v>
      </c>
      <c r="I35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35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RuralLowLow0Yes</v>
      </c>
      <c r="K35" s="133">
        <f>VLOOKUP(Table1[[#This Row],['[Reference Only']
Vlookup Index]],Table2[['[EH']
Vlookup Index]:['[EH']
Lives Saved]],19,0)</f>
        <v>749.16887421091189</v>
      </c>
      <c r="L35" s="133">
        <f>VLOOKUP(Table1[[#This Row],['[Reference Only']
Vlookup Index]],Table2[['[EH']
Vlookup Index]:['[EH']
Lives Lost]],20,0)</f>
        <v>250.83112578908811</v>
      </c>
      <c r="M35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35" s="127">
        <f>Table1[[#This Row],[Human Lives Saved]]*Table1[[#This Row],[Mean Rate of Events / Week]]</f>
        <v>0</v>
      </c>
      <c r="O35" s="127">
        <f>Table1[[#This Row],[Human Lives Lost]]*Table1[[#This Row],[Mean Rate of Events / Week]]</f>
        <v>0</v>
      </c>
      <c r="P35" s="138">
        <f>Table1[[#This Row],[$ Invested in Technology
(Purchase + Deploy Once)]]*Table1[[#This Row],[Mean Rate of Events / Week]]</f>
        <v>0</v>
      </c>
    </row>
    <row r="36" spans="1:16" x14ac:dyDescent="0.3">
      <c r="A36" s="91" t="s">
        <v>125</v>
      </c>
      <c r="B36" s="71" t="s">
        <v>121</v>
      </c>
      <c r="C36" s="96" t="s">
        <v>124</v>
      </c>
      <c r="D36" s="78" t="s">
        <v>113</v>
      </c>
      <c r="E36" s="65" t="s">
        <v>114</v>
      </c>
      <c r="F36" s="67" t="s">
        <v>153</v>
      </c>
      <c r="G36" s="74">
        <f>'Main Tree'!$F$29*'Main Tree'!$F$33*'Main Tree'!$L$32*'Main Tree'!$D$39*'Main Tree'!$F$31*'Main Tree'!$D$36</f>
        <v>0</v>
      </c>
      <c r="H36" s="102">
        <f>G36*'Main Tree'!$H$33</f>
        <v>0</v>
      </c>
      <c r="I36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36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RuralMediumLow0Yes</v>
      </c>
      <c r="K36" s="133">
        <f>VLOOKUP(Table1[[#This Row],['[Reference Only']
Vlookup Index]],Table2[['[EH']
Vlookup Index]:['[EH']
Lives Saved]],19,0)</f>
        <v>632.51611583201759</v>
      </c>
      <c r="L36" s="133">
        <f>VLOOKUP(Table1[[#This Row],['[Reference Only']
Vlookup Index]],Table2[['[EH']
Vlookup Index]:['[EH']
Lives Lost]],20,0)</f>
        <v>367.48388416798241</v>
      </c>
      <c r="M36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36" s="127">
        <f>Table1[[#This Row],[Human Lives Saved]]*Table1[[#This Row],[Mean Rate of Events / Week]]</f>
        <v>0</v>
      </c>
      <c r="O36" s="127">
        <f>Table1[[#This Row],[Human Lives Lost]]*Table1[[#This Row],[Mean Rate of Events / Week]]</f>
        <v>0</v>
      </c>
      <c r="P36" s="138">
        <f>Table1[[#This Row],[$ Invested in Technology
(Purchase + Deploy Once)]]*Table1[[#This Row],[Mean Rate of Events / Week]]</f>
        <v>0</v>
      </c>
    </row>
    <row r="37" spans="1:16" x14ac:dyDescent="0.3">
      <c r="A37" s="91" t="s">
        <v>125</v>
      </c>
      <c r="B37" s="71" t="s">
        <v>121</v>
      </c>
      <c r="C37" s="96" t="s">
        <v>124</v>
      </c>
      <c r="D37" s="69" t="s">
        <v>105</v>
      </c>
      <c r="E37" s="69" t="s">
        <v>105</v>
      </c>
      <c r="F37" s="67" t="s">
        <v>153</v>
      </c>
      <c r="G37" s="75">
        <f>'Main Tree'!$F$29*'Main Tree'!$F$33*'Main Tree'!$L$32*'Main Tree'!$D$40*'Main Tree'!$F$31</f>
        <v>0</v>
      </c>
      <c r="H37" s="102">
        <f>G37*'Main Tree'!$H$33</f>
        <v>0</v>
      </c>
      <c r="I37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37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RuralNoneNoneN/AYes</v>
      </c>
      <c r="K37" s="133">
        <f>VLOOKUP(Table1[[#This Row],['[Reference Only']
Vlookup Index]],Table2[['[EH']
Vlookup Index]:['[EH']
Lives Saved]],19,0)</f>
        <v>0</v>
      </c>
      <c r="L37" s="133">
        <f>VLOOKUP(Table1[[#This Row],['[Reference Only']
Vlookup Index]],Table2[['[EH']
Vlookup Index]:['[EH']
Lives Lost]],20,0)</f>
        <v>46.307284962172957</v>
      </c>
      <c r="M37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37" s="127">
        <f>Table1[[#This Row],[Human Lives Saved]]*Table1[[#This Row],[Mean Rate of Events / Week]]</f>
        <v>0</v>
      </c>
      <c r="O37" s="127">
        <f>Table1[[#This Row],[Human Lives Lost]]*Table1[[#This Row],[Mean Rate of Events / Week]]</f>
        <v>0</v>
      </c>
      <c r="P37" s="138">
        <f>Table1[[#This Row],[$ Invested in Technology
(Purchase + Deploy Once)]]*Table1[[#This Row],[Mean Rate of Events / Week]]</f>
        <v>0</v>
      </c>
    </row>
    <row r="38" spans="1:16" x14ac:dyDescent="0.3">
      <c r="A38" s="91" t="s">
        <v>125</v>
      </c>
      <c r="B38" s="71" t="s">
        <v>121</v>
      </c>
      <c r="C38" s="96" t="s">
        <v>124</v>
      </c>
      <c r="D38" s="78" t="s">
        <v>113</v>
      </c>
      <c r="E38" s="64" t="s">
        <v>112</v>
      </c>
      <c r="F38" s="66" t="s">
        <v>204</v>
      </c>
      <c r="G38" s="74">
        <f>'Main Tree'!$F$29*'Main Tree'!$F$33*'Main Tree'!$L$33*'Main Tree'!$D$38*'Main Tree'!$F$31*'Main Tree'!$D$36</f>
        <v>4.1580000000000011E-3</v>
      </c>
      <c r="H38" s="102">
        <f>G38*'Main Tree'!$H$33</f>
        <v>1.7546760000000005E-4</v>
      </c>
      <c r="I38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38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RuralMediumHighN/ANo</v>
      </c>
      <c r="K38" s="133">
        <f>VLOOKUP(Table1[[#This Row],['[Reference Only']
Vlookup Index]],Table2[['[EH']
Vlookup Index]:['[EH']
Lives Saved]],19,0)</f>
        <v>362.93488062541235</v>
      </c>
      <c r="L38" s="133">
        <f>VLOOKUP(Table1[[#This Row],['[Reference Only']
Vlookup Index]],Table2[['[EH']
Vlookup Index]:['[EH']
Lives Lost]],20,0)</f>
        <v>637.06511937458765</v>
      </c>
      <c r="M38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38" s="127">
        <f>Table1[[#This Row],[Human Lives Saved]]*Table1[[#This Row],[Mean Rate of Events / Week]]</f>
        <v>6.368331245962762E-2</v>
      </c>
      <c r="O38" s="127">
        <f>Table1[[#This Row],[Human Lives Lost]]*Table1[[#This Row],[Mean Rate of Events / Week]]</f>
        <v>0.11178428754037242</v>
      </c>
      <c r="P38" s="138">
        <f>Table1[[#This Row],[$ Invested in Technology
(Purchase + Deploy Once)]]*Table1[[#This Row],[Mean Rate of Events / Week]]</f>
        <v>877.33800000000019</v>
      </c>
    </row>
    <row r="39" spans="1:16" x14ac:dyDescent="0.3">
      <c r="A39" s="91" t="s">
        <v>125</v>
      </c>
      <c r="B39" s="71" t="s">
        <v>121</v>
      </c>
      <c r="C39" s="96" t="s">
        <v>124</v>
      </c>
      <c r="D39" s="77" t="s">
        <v>112</v>
      </c>
      <c r="E39" s="64" t="s">
        <v>112</v>
      </c>
      <c r="F39" s="66" t="s">
        <v>204</v>
      </c>
      <c r="G39" s="74">
        <f>'Main Tree'!$F$29*'Main Tree'!$F$33*'Main Tree'!$L$33*'Main Tree'!$D$38*'Main Tree'!$F$31*'Main Tree'!$D$35</f>
        <v>5.5836000000000011E-3</v>
      </c>
      <c r="H39" s="102">
        <f>G39*'Main Tree'!$H$33</f>
        <v>2.3562792000000006E-4</v>
      </c>
      <c r="I39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39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RuralHighHighN/ANo</v>
      </c>
      <c r="K39" s="133">
        <f>VLOOKUP(Table1[[#This Row],['[Reference Only']
Vlookup Index]],Table2[['[EH']
Vlookup Index]:['[EH']
Lives Saved]],19,0)</f>
        <v>89.093326560139175</v>
      </c>
      <c r="L39" s="133">
        <f>VLOOKUP(Table1[[#This Row],['[Reference Only']
Vlookup Index]],Table2[['[EH']
Vlookup Index]:['[EH']
Lives Lost]],20,0)</f>
        <v>910.90667343986081</v>
      </c>
      <c r="M39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39" s="127">
        <f>Table1[[#This Row],[Human Lives Saved]]*Table1[[#This Row],[Mean Rate of Events / Week]]</f>
        <v>2.0992875223246353E-2</v>
      </c>
      <c r="O39" s="127">
        <f>Table1[[#This Row],[Human Lives Lost]]*Table1[[#This Row],[Mean Rate of Events / Week]]</f>
        <v>0.21463504477675371</v>
      </c>
      <c r="P39" s="138">
        <f>Table1[[#This Row],[$ Invested in Technology
(Purchase + Deploy Once)]]*Table1[[#This Row],[Mean Rate of Events / Week]]</f>
        <v>1178.1396000000004</v>
      </c>
    </row>
    <row r="40" spans="1:16" x14ac:dyDescent="0.3">
      <c r="A40" s="91" t="s">
        <v>125</v>
      </c>
      <c r="B40" s="71" t="s">
        <v>121</v>
      </c>
      <c r="C40" s="96" t="s">
        <v>124</v>
      </c>
      <c r="D40" s="79" t="s">
        <v>114</v>
      </c>
      <c r="E40" s="64" t="s">
        <v>112</v>
      </c>
      <c r="F40" s="66" t="s">
        <v>204</v>
      </c>
      <c r="G40" s="74">
        <f>'Main Tree'!$F$29*'Main Tree'!$F$33*'Main Tree'!$L$33*'Main Tree'!$D$38*'Main Tree'!$F$31*'Main Tree'!$D$37</f>
        <v>2.1384000000000004E-3</v>
      </c>
      <c r="H40" s="102">
        <f>G40*'Main Tree'!$H$33</f>
        <v>9.0240480000000023E-5</v>
      </c>
      <c r="I40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40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RuralLowHighN/ANo</v>
      </c>
      <c r="K40" s="133">
        <f>VLOOKUP(Table1[[#This Row],['[Reference Only']
Vlookup Index]],Table2[['[EH']
Vlookup Index]:['[EH']
Lives Saved]],19,0)</f>
        <v>666.83915100021284</v>
      </c>
      <c r="L40" s="133">
        <f>VLOOKUP(Table1[[#This Row],['[Reference Only']
Vlookup Index]],Table2[['[EH']
Vlookup Index]:['[EH']
Lives Lost]],20,0)</f>
        <v>333.16084899978716</v>
      </c>
      <c r="M40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40" s="127">
        <f>Table1[[#This Row],[Human Lives Saved]]*Table1[[#This Row],[Mean Rate of Events / Week]]</f>
        <v>6.01758850690517E-2</v>
      </c>
      <c r="O40" s="127">
        <f>Table1[[#This Row],[Human Lives Lost]]*Table1[[#This Row],[Mean Rate of Events / Week]]</f>
        <v>3.0064594930948322E-2</v>
      </c>
      <c r="P40" s="138">
        <f>Table1[[#This Row],[$ Invested in Technology
(Purchase + Deploy Once)]]*Table1[[#This Row],[Mean Rate of Events / Week]]</f>
        <v>451.20240000000013</v>
      </c>
    </row>
    <row r="41" spans="1:16" x14ac:dyDescent="0.3">
      <c r="A41" s="91" t="s">
        <v>125</v>
      </c>
      <c r="B41" s="71" t="s">
        <v>121</v>
      </c>
      <c r="C41" s="96" t="s">
        <v>124</v>
      </c>
      <c r="D41" s="78" t="s">
        <v>113</v>
      </c>
      <c r="E41" s="65" t="s">
        <v>114</v>
      </c>
      <c r="F41" s="66" t="s">
        <v>204</v>
      </c>
      <c r="G41" s="75">
        <f>'Main Tree'!$F$29*'Main Tree'!$F$33*'Main Tree'!$L$33*'Main Tree'!$D$39*'Main Tree'!$F$31*'Main Tree'!$D$36</f>
        <v>1.3167000000000002E-2</v>
      </c>
      <c r="H41" s="102">
        <f>G41*'Main Tree'!$H$33</f>
        <v>5.5564740000000007E-4</v>
      </c>
      <c r="I41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41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RuralMediumLowN/ANo</v>
      </c>
      <c r="K41" s="133">
        <f>VLOOKUP(Table1[[#This Row],['[Reference Only']
Vlookup Index]],Table2[['[EH']
Vlookup Index]:['[EH']
Lives Saved]],19,0)</f>
        <v>714.51546793932391</v>
      </c>
      <c r="L41" s="133">
        <f>VLOOKUP(Table1[[#This Row],['[Reference Only']
Vlookup Index]],Table2[['[EH']
Vlookup Index]:['[EH']
Lives Lost]],20,0)</f>
        <v>285.48453206067609</v>
      </c>
      <c r="M41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41" s="127">
        <f>Table1[[#This Row],[Human Lives Saved]]*Table1[[#This Row],[Mean Rate of Events / Week]]</f>
        <v>0.39701866202026875</v>
      </c>
      <c r="O41" s="127">
        <f>Table1[[#This Row],[Human Lives Lost]]*Table1[[#This Row],[Mean Rate of Events / Week]]</f>
        <v>0.15862873797973134</v>
      </c>
      <c r="P41" s="138">
        <f>Table1[[#This Row],[$ Invested in Technology
(Purchase + Deploy Once)]]*Table1[[#This Row],[Mean Rate of Events / Week]]</f>
        <v>2778.2370000000005</v>
      </c>
    </row>
    <row r="42" spans="1:16" x14ac:dyDescent="0.3">
      <c r="A42" s="91" t="s">
        <v>125</v>
      </c>
      <c r="B42" s="71" t="s">
        <v>121</v>
      </c>
      <c r="C42" s="96" t="s">
        <v>124</v>
      </c>
      <c r="D42" s="77" t="s">
        <v>112</v>
      </c>
      <c r="E42" s="65" t="s">
        <v>114</v>
      </c>
      <c r="F42" s="66" t="s">
        <v>204</v>
      </c>
      <c r="G42" s="75">
        <f>'Main Tree'!$F$29*'Main Tree'!$F$33*'Main Tree'!$L$33*'Main Tree'!$D$39*'Main Tree'!$F$31*'Main Tree'!$D$35</f>
        <v>1.7681400000000003E-2</v>
      </c>
      <c r="H42" s="102">
        <f>G42*'Main Tree'!$H$33</f>
        <v>7.461550800000002E-4</v>
      </c>
      <c r="I42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42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RuralHighLowN/ANo</v>
      </c>
      <c r="K42" s="133">
        <f>VLOOKUP(Table1[[#This Row],['[Reference Only']
Vlookup Index]],Table2[['[EH']
Vlookup Index]:['[EH']
Lives Saved]],19,0)</f>
        <v>439.63387546990083</v>
      </c>
      <c r="L42" s="133">
        <f>VLOOKUP(Table1[[#This Row],['[Reference Only']
Vlookup Index]],Table2[['[EH']
Vlookup Index]:['[EH']
Lives Lost]],20,0)</f>
        <v>560.36612453009911</v>
      </c>
      <c r="M42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42" s="127">
        <f>Table1[[#This Row],[Human Lives Saved]]*Table1[[#This Row],[Mean Rate of Events / Week]]</f>
        <v>0.328035049521954</v>
      </c>
      <c r="O42" s="127">
        <f>Table1[[#This Row],[Human Lives Lost]]*Table1[[#This Row],[Mean Rate of Events / Week]]</f>
        <v>0.41812003047804619</v>
      </c>
      <c r="P42" s="138">
        <f>Table1[[#This Row],[$ Invested in Technology
(Purchase + Deploy Once)]]*Table1[[#This Row],[Mean Rate of Events / Week]]</f>
        <v>3730.7754000000009</v>
      </c>
    </row>
    <row r="43" spans="1:16" x14ac:dyDescent="0.3">
      <c r="A43" s="91" t="s">
        <v>125</v>
      </c>
      <c r="B43" s="71" t="s">
        <v>121</v>
      </c>
      <c r="C43" s="96" t="s">
        <v>124</v>
      </c>
      <c r="D43" s="79" t="s">
        <v>114</v>
      </c>
      <c r="E43" s="65" t="s">
        <v>114</v>
      </c>
      <c r="F43" s="66" t="s">
        <v>204</v>
      </c>
      <c r="G43" s="75">
        <f>'Main Tree'!$F$29*'Main Tree'!$F$33*'Main Tree'!$L$33*'Main Tree'!$D$39*'Main Tree'!$F$31*'Main Tree'!$D$37</f>
        <v>6.7716000000000009E-3</v>
      </c>
      <c r="H43" s="102">
        <f>G43*'Main Tree'!$H$33</f>
        <v>2.8576152000000003E-4</v>
      </c>
      <c r="I43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4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RuralLowLowN/ANo</v>
      </c>
      <c r="K43" s="133">
        <f>VLOOKUP(Table1[[#This Row],['[Reference Only']
Vlookup Index]],Table2[['[EH']
Vlookup Index]:['[EH']
Lives Saved]],19,0)</f>
        <v>905.71167967005886</v>
      </c>
      <c r="L43" s="133">
        <f>VLOOKUP(Table1[[#This Row],['[Reference Only']
Vlookup Index]],Table2[['[EH']
Vlookup Index]:['[EH']
Lives Lost]],20,0)</f>
        <v>94.288320329941143</v>
      </c>
      <c r="M4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43" s="127">
        <f>Table1[[#This Row],[Human Lives Saved]]*Table1[[#This Row],[Mean Rate of Events / Week]]</f>
        <v>0.25881754626426912</v>
      </c>
      <c r="O43" s="127">
        <f>Table1[[#This Row],[Human Lives Lost]]*Table1[[#This Row],[Mean Rate of Events / Week]]</f>
        <v>2.6943973735730885E-2</v>
      </c>
      <c r="P43" s="138">
        <f>Table1[[#This Row],[$ Invested in Technology
(Purchase + Deploy Once)]]*Table1[[#This Row],[Mean Rate of Events / Week]]</f>
        <v>1428.8076000000001</v>
      </c>
    </row>
    <row r="44" spans="1:16" x14ac:dyDescent="0.3">
      <c r="A44" s="91" t="s">
        <v>125</v>
      </c>
      <c r="B44" s="71" t="s">
        <v>121</v>
      </c>
      <c r="C44" s="96" t="s">
        <v>124</v>
      </c>
      <c r="D44" s="69" t="s">
        <v>105</v>
      </c>
      <c r="E44" s="69" t="s">
        <v>105</v>
      </c>
      <c r="F44" s="66" t="s">
        <v>204</v>
      </c>
      <c r="G44" s="75">
        <f>'Main Tree'!$F$29*'Main Tree'!$F$33*'Main Tree'!$L$33*'Main Tree'!$D$40*'Main Tree'!$F$31</f>
        <v>0</v>
      </c>
      <c r="H44" s="102">
        <f>G44*'Main Tree'!$H$33</f>
        <v>0</v>
      </c>
      <c r="I44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4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RuralNoneNoneN/ANo</v>
      </c>
      <c r="K44" s="133">
        <f>VLOOKUP(Table1[[#This Row],['[Reference Only']
Vlookup Index]],Table2[['[EH']
Vlookup Index]:['[EH']
Lives Saved]],19,0)</f>
        <v>0</v>
      </c>
      <c r="L44" s="133">
        <f>VLOOKUP(Table1[[#This Row],['[Reference Only']
Vlookup Index]],Table2[['[EH']
Vlookup Index]:['[EH']
Lives Lost]],20,0)</f>
        <v>0</v>
      </c>
      <c r="M4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44" s="127">
        <f>Table1[[#This Row],[Human Lives Saved]]*Table1[[#This Row],[Mean Rate of Events / Week]]</f>
        <v>0</v>
      </c>
      <c r="O44" s="127">
        <f>Table1[[#This Row],[Human Lives Lost]]*Table1[[#This Row],[Mean Rate of Events / Week]]</f>
        <v>0</v>
      </c>
      <c r="P44" s="138">
        <f>Table1[[#This Row],[$ Invested in Technology
(Purchase + Deploy Once)]]*Table1[[#This Row],[Mean Rate of Events / Week]]</f>
        <v>0</v>
      </c>
    </row>
    <row r="45" spans="1:16" x14ac:dyDescent="0.3">
      <c r="A45" s="91" t="s">
        <v>125</v>
      </c>
      <c r="B45" s="72" t="s">
        <v>122</v>
      </c>
      <c r="C45" s="96" t="s">
        <v>124</v>
      </c>
      <c r="D45" s="77" t="s">
        <v>112</v>
      </c>
      <c r="E45" s="64" t="s">
        <v>112</v>
      </c>
      <c r="F45" s="67" t="s">
        <v>153</v>
      </c>
      <c r="G45" s="74">
        <f>'Main Tree'!$F$33*'Main Tree'!$F$32*'Main Tree'!$L$34*'Main Tree'!$D$38*'Main Tree'!$F$31*'Main Tree'!$D$35</f>
        <v>0</v>
      </c>
      <c r="H45" s="102">
        <f>G45*'Main Tree'!$H$33</f>
        <v>0</v>
      </c>
      <c r="I45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45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RuralHighHigh0Yes</v>
      </c>
      <c r="K45" s="133">
        <f>VLOOKUP(Table1[[#This Row],['[Reference Only']
Vlookup Index]],Table2[['[EH']
Vlookup Index]:['[EH']
Lives Saved]],19,0)</f>
        <v>579.26002525260844</v>
      </c>
      <c r="L45" s="133">
        <f>VLOOKUP(Table1[[#This Row],['[Reference Only']
Vlookup Index]],Table2[['[EH']
Vlookup Index]:['[EH']
Lives Lost]],20,0)</f>
        <v>420.73997474739156</v>
      </c>
      <c r="M45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45" s="127">
        <f>Table1[[#This Row],[Human Lives Saved]]*Table1[[#This Row],[Mean Rate of Events / Week]]</f>
        <v>0</v>
      </c>
      <c r="O45" s="127">
        <f>Table1[[#This Row],[Human Lives Lost]]*Table1[[#This Row],[Mean Rate of Events / Week]]</f>
        <v>0</v>
      </c>
      <c r="P45" s="138">
        <f>Table1[[#This Row],[$ Invested in Technology
(Purchase + Deploy Once)]]*Table1[[#This Row],[Mean Rate of Events / Week]]</f>
        <v>0</v>
      </c>
    </row>
    <row r="46" spans="1:16" x14ac:dyDescent="0.3">
      <c r="A46" s="91" t="s">
        <v>125</v>
      </c>
      <c r="B46" s="72" t="s">
        <v>122</v>
      </c>
      <c r="C46" s="96" t="s">
        <v>124</v>
      </c>
      <c r="D46" s="79" t="s">
        <v>114</v>
      </c>
      <c r="E46" s="64" t="s">
        <v>112</v>
      </c>
      <c r="F46" s="67" t="s">
        <v>153</v>
      </c>
      <c r="G46" s="74">
        <f>'Main Tree'!$F$33*'Main Tree'!$F$32*'Main Tree'!$L$34*'Main Tree'!$D$38*'Main Tree'!$F$31*'Main Tree'!$D$37</f>
        <v>0</v>
      </c>
      <c r="H46" s="102">
        <f>G46*'Main Tree'!$H$33</f>
        <v>0</v>
      </c>
      <c r="I46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46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RuralLowHigh0Yes</v>
      </c>
      <c r="K46" s="133">
        <f>VLOOKUP(Table1[[#This Row],['[Reference Only']
Vlookup Index]],Table2[['[EH']
Vlookup Index]:['[EH']
Lives Saved]],19,0)</f>
        <v>777.39645990750171</v>
      </c>
      <c r="L46" s="133">
        <f>VLOOKUP(Table1[[#This Row],['[Reference Only']
Vlookup Index]],Table2[['[EH']
Vlookup Index]:['[EH']
Lives Lost]],20,0)</f>
        <v>222.60354009249829</v>
      </c>
      <c r="M46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46" s="127">
        <f>Table1[[#This Row],[Human Lives Saved]]*Table1[[#This Row],[Mean Rate of Events / Week]]</f>
        <v>0</v>
      </c>
      <c r="O46" s="127">
        <f>Table1[[#This Row],[Human Lives Lost]]*Table1[[#This Row],[Mean Rate of Events / Week]]</f>
        <v>0</v>
      </c>
      <c r="P46" s="138">
        <f>Table1[[#This Row],[$ Invested in Technology
(Purchase + Deploy Once)]]*Table1[[#This Row],[Mean Rate of Events / Week]]</f>
        <v>0</v>
      </c>
    </row>
    <row r="47" spans="1:16" x14ac:dyDescent="0.3">
      <c r="A47" s="91" t="s">
        <v>125</v>
      </c>
      <c r="B47" s="72" t="s">
        <v>122</v>
      </c>
      <c r="C47" s="96" t="s">
        <v>124</v>
      </c>
      <c r="D47" s="78" t="s">
        <v>113</v>
      </c>
      <c r="E47" s="64" t="s">
        <v>112</v>
      </c>
      <c r="F47" s="67" t="s">
        <v>153</v>
      </c>
      <c r="G47" s="74">
        <f>'Main Tree'!$F$33*'Main Tree'!$F$32*'Main Tree'!$L$34*'Main Tree'!$D$38*'Main Tree'!$F$31*'Main Tree'!$D$36</f>
        <v>0</v>
      </c>
      <c r="H47" s="102">
        <f>G47*'Main Tree'!$H$33</f>
        <v>0</v>
      </c>
      <c r="I47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47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RuralMediumHigh0Yes</v>
      </c>
      <c r="K47" s="133">
        <f>VLOOKUP(Table1[[#This Row],['[Reference Only']
Vlookup Index]],Table2[['[EH']
Vlookup Index]:['[EH']
Lives Saved]],19,0)</f>
        <v>370.9749048841187</v>
      </c>
      <c r="L47" s="133">
        <f>VLOOKUP(Table1[[#This Row],['[Reference Only']
Vlookup Index]],Table2[['[EH']
Vlookup Index]:['[EH']
Lives Lost]],20,0)</f>
        <v>629.0250951158813</v>
      </c>
      <c r="M47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47" s="127">
        <f>Table1[[#This Row],[Human Lives Saved]]*Table1[[#This Row],[Mean Rate of Events / Week]]</f>
        <v>0</v>
      </c>
      <c r="O47" s="127">
        <f>Table1[[#This Row],[Human Lives Lost]]*Table1[[#This Row],[Mean Rate of Events / Week]]</f>
        <v>0</v>
      </c>
      <c r="P47" s="138">
        <f>Table1[[#This Row],[$ Invested in Technology
(Purchase + Deploy Once)]]*Table1[[#This Row],[Mean Rate of Events / Week]]</f>
        <v>0</v>
      </c>
    </row>
    <row r="48" spans="1:16" x14ac:dyDescent="0.3">
      <c r="A48" s="91" t="s">
        <v>125</v>
      </c>
      <c r="B48" s="72" t="s">
        <v>122</v>
      </c>
      <c r="C48" s="96" t="s">
        <v>124</v>
      </c>
      <c r="D48" s="77" t="s">
        <v>112</v>
      </c>
      <c r="E48" s="65" t="s">
        <v>114</v>
      </c>
      <c r="F48" s="67" t="s">
        <v>153</v>
      </c>
      <c r="G48" s="74">
        <f>'Main Tree'!$F$33*'Main Tree'!$F$32*'Main Tree'!$L$34*'Main Tree'!$D$39*'Main Tree'!$F$31*'Main Tree'!$D$35</f>
        <v>0</v>
      </c>
      <c r="H48" s="102">
        <f>G48*'Main Tree'!$H$33</f>
        <v>0</v>
      </c>
      <c r="I48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48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RuralHighLow0Yes</v>
      </c>
      <c r="K48" s="133">
        <f>VLOOKUP(Table1[[#This Row],['[Reference Only']
Vlookup Index]],Table2[['[EH']
Vlookup Index]:['[EH']
Lives Saved]],19,0)</f>
        <v>451.38406181028211</v>
      </c>
      <c r="L48" s="133">
        <f>VLOOKUP(Table1[[#This Row],['[Reference Only']
Vlookup Index]],Table2[['[EH']
Vlookup Index]:['[EH']
Lives Lost]],20,0)</f>
        <v>548.61593818971789</v>
      </c>
      <c r="M48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48" s="127">
        <f>Table1[[#This Row],[Human Lives Saved]]*Table1[[#This Row],[Mean Rate of Events / Week]]</f>
        <v>0</v>
      </c>
      <c r="O48" s="127">
        <f>Table1[[#This Row],[Human Lives Lost]]*Table1[[#This Row],[Mean Rate of Events / Week]]</f>
        <v>0</v>
      </c>
      <c r="P48" s="138">
        <f>Table1[[#This Row],[$ Invested in Technology
(Purchase + Deploy Once)]]*Table1[[#This Row],[Mean Rate of Events / Week]]</f>
        <v>0</v>
      </c>
    </row>
    <row r="49" spans="1:16" x14ac:dyDescent="0.3">
      <c r="A49" s="91" t="s">
        <v>125</v>
      </c>
      <c r="B49" s="72" t="s">
        <v>122</v>
      </c>
      <c r="C49" s="96" t="s">
        <v>124</v>
      </c>
      <c r="D49" s="79" t="s">
        <v>114</v>
      </c>
      <c r="E49" s="65" t="s">
        <v>114</v>
      </c>
      <c r="F49" s="67" t="s">
        <v>153</v>
      </c>
      <c r="G49" s="74">
        <f>'Main Tree'!$F$33*'Main Tree'!$F$32*'Main Tree'!$L$34*'Main Tree'!$D$39*'Main Tree'!$F$31*'Main Tree'!$D$37</f>
        <v>0</v>
      </c>
      <c r="H49" s="102">
        <f>G49*'Main Tree'!$H$33</f>
        <v>0</v>
      </c>
      <c r="I49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49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RuralLowLow0Yes</v>
      </c>
      <c r="K49" s="133">
        <f>VLOOKUP(Table1[[#This Row],['[Reference Only']
Vlookup Index]],Table2[['[EH']
Vlookup Index]:['[EH']
Lives Saved]],19,0)</f>
        <v>749.16887421091189</v>
      </c>
      <c r="L49" s="133">
        <f>VLOOKUP(Table1[[#This Row],['[Reference Only']
Vlookup Index]],Table2[['[EH']
Vlookup Index]:['[EH']
Lives Lost]],20,0)</f>
        <v>250.83112578908811</v>
      </c>
      <c r="M49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49" s="127">
        <f>Table1[[#This Row],[Human Lives Saved]]*Table1[[#This Row],[Mean Rate of Events / Week]]</f>
        <v>0</v>
      </c>
      <c r="O49" s="127">
        <f>Table1[[#This Row],[Human Lives Lost]]*Table1[[#This Row],[Mean Rate of Events / Week]]</f>
        <v>0</v>
      </c>
      <c r="P49" s="138">
        <f>Table1[[#This Row],[$ Invested in Technology
(Purchase + Deploy Once)]]*Table1[[#This Row],[Mean Rate of Events / Week]]</f>
        <v>0</v>
      </c>
    </row>
    <row r="50" spans="1:16" x14ac:dyDescent="0.3">
      <c r="A50" s="91" t="s">
        <v>125</v>
      </c>
      <c r="B50" s="72" t="s">
        <v>122</v>
      </c>
      <c r="C50" s="96" t="s">
        <v>124</v>
      </c>
      <c r="D50" s="78" t="s">
        <v>113</v>
      </c>
      <c r="E50" s="65" t="s">
        <v>114</v>
      </c>
      <c r="F50" s="67" t="s">
        <v>153</v>
      </c>
      <c r="G50" s="74">
        <f>'Main Tree'!$F$33*'Main Tree'!$F$32*'Main Tree'!$L$34*'Main Tree'!$D$39*'Main Tree'!$F$31*'Main Tree'!$D$36</f>
        <v>0</v>
      </c>
      <c r="H50" s="102">
        <f>G50*'Main Tree'!$H$33</f>
        <v>0</v>
      </c>
      <c r="I50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50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RuralMediumLow0Yes</v>
      </c>
      <c r="K50" s="133">
        <f>VLOOKUP(Table1[[#This Row],['[Reference Only']
Vlookup Index]],Table2[['[EH']
Vlookup Index]:['[EH']
Lives Saved]],19,0)</f>
        <v>632.51611583201759</v>
      </c>
      <c r="L50" s="133">
        <f>VLOOKUP(Table1[[#This Row],['[Reference Only']
Vlookup Index]],Table2[['[EH']
Vlookup Index]:['[EH']
Lives Lost]],20,0)</f>
        <v>367.48388416798241</v>
      </c>
      <c r="M50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50" s="127">
        <f>Table1[[#This Row],[Human Lives Saved]]*Table1[[#This Row],[Mean Rate of Events / Week]]</f>
        <v>0</v>
      </c>
      <c r="O50" s="127">
        <f>Table1[[#This Row],[Human Lives Lost]]*Table1[[#This Row],[Mean Rate of Events / Week]]</f>
        <v>0</v>
      </c>
      <c r="P50" s="138">
        <f>Table1[[#This Row],[$ Invested in Technology
(Purchase + Deploy Once)]]*Table1[[#This Row],[Mean Rate of Events / Week]]</f>
        <v>0</v>
      </c>
    </row>
    <row r="51" spans="1:16" x14ac:dyDescent="0.3">
      <c r="A51" s="91" t="s">
        <v>125</v>
      </c>
      <c r="B51" s="72" t="s">
        <v>122</v>
      </c>
      <c r="C51" s="96" t="s">
        <v>124</v>
      </c>
      <c r="D51" s="69" t="s">
        <v>105</v>
      </c>
      <c r="E51" s="69" t="s">
        <v>105</v>
      </c>
      <c r="F51" s="67" t="s">
        <v>153</v>
      </c>
      <c r="G51" s="75">
        <f>'Main Tree'!$F$33*'Main Tree'!$F$32*'Main Tree'!$L$34*'Main Tree'!$D$40*'Main Tree'!$F$31</f>
        <v>0</v>
      </c>
      <c r="H51" s="102">
        <f>G51*'Main Tree'!$H$33</f>
        <v>0</v>
      </c>
      <c r="I51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51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RuralNoneNoneN/AYes</v>
      </c>
      <c r="K51" s="133">
        <f>VLOOKUP(Table1[[#This Row],['[Reference Only']
Vlookup Index]],Table2[['[EH']
Vlookup Index]:['[EH']
Lives Saved]],19,0)</f>
        <v>0</v>
      </c>
      <c r="L51" s="133">
        <f>VLOOKUP(Table1[[#This Row],['[Reference Only']
Vlookup Index]],Table2[['[EH']
Vlookup Index]:['[EH']
Lives Lost]],20,0)</f>
        <v>46.307284962172957</v>
      </c>
      <c r="M51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51" s="127">
        <f>Table1[[#This Row],[Human Lives Saved]]*Table1[[#This Row],[Mean Rate of Events / Week]]</f>
        <v>0</v>
      </c>
      <c r="O51" s="127">
        <f>Table1[[#This Row],[Human Lives Lost]]*Table1[[#This Row],[Mean Rate of Events / Week]]</f>
        <v>0</v>
      </c>
      <c r="P51" s="138">
        <f>Table1[[#This Row],[$ Invested in Technology
(Purchase + Deploy Once)]]*Table1[[#This Row],[Mean Rate of Events / Week]]</f>
        <v>0</v>
      </c>
    </row>
    <row r="52" spans="1:16" x14ac:dyDescent="0.3">
      <c r="A52" s="91" t="s">
        <v>125</v>
      </c>
      <c r="B52" s="72" t="s">
        <v>122</v>
      </c>
      <c r="C52" s="96" t="s">
        <v>124</v>
      </c>
      <c r="D52" s="78" t="s">
        <v>113</v>
      </c>
      <c r="E52" s="64" t="s">
        <v>112</v>
      </c>
      <c r="F52" s="66" t="s">
        <v>204</v>
      </c>
      <c r="G52" s="75">
        <f>'Main Tree'!$F$33*'Main Tree'!$F$32*'Main Tree'!$L$35*'Main Tree'!$D$38*'Main Tree'!$F$31*'Main Tree'!$D$36</f>
        <v>3.4019999999999996E-3</v>
      </c>
      <c r="H52" s="102">
        <f>G52*'Main Tree'!$H$33</f>
        <v>1.435644E-4</v>
      </c>
      <c r="I52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52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RuralMediumHighN/ANo</v>
      </c>
      <c r="K52" s="133">
        <f>VLOOKUP(Table1[[#This Row],['[Reference Only']
Vlookup Index]],Table2[['[EH']
Vlookup Index]:['[EH']
Lives Saved]],19,0)</f>
        <v>362.93488062541235</v>
      </c>
      <c r="L52" s="133">
        <f>VLOOKUP(Table1[[#This Row],['[Reference Only']
Vlookup Index]],Table2[['[EH']
Vlookup Index]:['[EH']
Lives Lost]],20,0)</f>
        <v>637.06511937458765</v>
      </c>
      <c r="M52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52" s="127">
        <f>Table1[[#This Row],[Human Lives Saved]]*Table1[[#This Row],[Mean Rate of Events / Week]]</f>
        <v>5.2104528376058945E-2</v>
      </c>
      <c r="O52" s="127">
        <f>Table1[[#This Row],[Human Lives Lost]]*Table1[[#This Row],[Mean Rate of Events / Week]]</f>
        <v>9.145987162394105E-2</v>
      </c>
      <c r="P52" s="138">
        <f>Table1[[#This Row],[$ Invested in Technology
(Purchase + Deploy Once)]]*Table1[[#This Row],[Mean Rate of Events / Week]]</f>
        <v>717.822</v>
      </c>
    </row>
    <row r="53" spans="1:16" x14ac:dyDescent="0.3">
      <c r="A53" s="91" t="s">
        <v>125</v>
      </c>
      <c r="B53" s="72" t="s">
        <v>122</v>
      </c>
      <c r="C53" s="96" t="s">
        <v>124</v>
      </c>
      <c r="D53" s="77" t="s">
        <v>112</v>
      </c>
      <c r="E53" s="64" t="s">
        <v>112</v>
      </c>
      <c r="F53" s="66" t="s">
        <v>204</v>
      </c>
      <c r="G53" s="75">
        <f>'Main Tree'!$F$33*'Main Tree'!$F$32*'Main Tree'!$L$35*'Main Tree'!$D$38*'Main Tree'!$F$31*'Main Tree'!$D$35</f>
        <v>4.5683999999999994E-3</v>
      </c>
      <c r="H53" s="102">
        <f>G53*'Main Tree'!$H$33</f>
        <v>1.9278647999999997E-4</v>
      </c>
      <c r="I53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5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RuralHighHighN/ANo</v>
      </c>
      <c r="K53" s="133">
        <f>VLOOKUP(Table1[[#This Row],['[Reference Only']
Vlookup Index]],Table2[['[EH']
Vlookup Index]:['[EH']
Lives Saved]],19,0)</f>
        <v>89.093326560139175</v>
      </c>
      <c r="L53" s="133">
        <f>VLOOKUP(Table1[[#This Row],['[Reference Only']
Vlookup Index]],Table2[['[EH']
Vlookup Index]:['[EH']
Lives Lost]],20,0)</f>
        <v>910.90667343986081</v>
      </c>
      <c r="M5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53" s="127">
        <f>Table1[[#This Row],[Human Lives Saved]]*Table1[[#This Row],[Mean Rate of Events / Week]]</f>
        <v>1.7175988819019737E-2</v>
      </c>
      <c r="O53" s="127">
        <f>Table1[[#This Row],[Human Lives Lost]]*Table1[[#This Row],[Mean Rate of Events / Week]]</f>
        <v>0.17561049118098024</v>
      </c>
      <c r="P53" s="138">
        <f>Table1[[#This Row],[$ Invested in Technology
(Purchase + Deploy Once)]]*Table1[[#This Row],[Mean Rate of Events / Week]]</f>
        <v>963.93239999999992</v>
      </c>
    </row>
    <row r="54" spans="1:16" x14ac:dyDescent="0.3">
      <c r="A54" s="91" t="s">
        <v>125</v>
      </c>
      <c r="B54" s="72" t="s">
        <v>122</v>
      </c>
      <c r="C54" s="96" t="s">
        <v>124</v>
      </c>
      <c r="D54" s="79" t="s">
        <v>114</v>
      </c>
      <c r="E54" s="64" t="s">
        <v>112</v>
      </c>
      <c r="F54" s="66" t="s">
        <v>204</v>
      </c>
      <c r="G54" s="75">
        <f>'Main Tree'!$F$33*'Main Tree'!$F$32*'Main Tree'!$L$35*'Main Tree'!$D$38*'Main Tree'!$F$31*'Main Tree'!$D$37</f>
        <v>1.7495999999999998E-3</v>
      </c>
      <c r="H54" s="102">
        <f>G54*'Main Tree'!$H$33</f>
        <v>7.3833119999999991E-5</v>
      </c>
      <c r="I54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5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RuralLowHighN/ANo</v>
      </c>
      <c r="K54" s="133">
        <f>VLOOKUP(Table1[[#This Row],['[Reference Only']
Vlookup Index]],Table2[['[EH']
Vlookup Index]:['[EH']
Lives Saved]],19,0)</f>
        <v>666.83915100021284</v>
      </c>
      <c r="L54" s="133">
        <f>VLOOKUP(Table1[[#This Row],['[Reference Only']
Vlookup Index]],Table2[['[EH']
Vlookup Index]:['[EH']
Lives Lost]],20,0)</f>
        <v>333.16084899978716</v>
      </c>
      <c r="M5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54" s="127">
        <f>Table1[[#This Row],[Human Lives Saved]]*Table1[[#This Row],[Mean Rate of Events / Week]]</f>
        <v>4.9234815056496829E-2</v>
      </c>
      <c r="O54" s="127">
        <f>Table1[[#This Row],[Human Lives Lost]]*Table1[[#This Row],[Mean Rate of Events / Week]]</f>
        <v>2.4598304943503162E-2</v>
      </c>
      <c r="P54" s="138">
        <f>Table1[[#This Row],[$ Invested in Technology
(Purchase + Deploy Once)]]*Table1[[#This Row],[Mean Rate of Events / Week]]</f>
        <v>369.16559999999993</v>
      </c>
    </row>
    <row r="55" spans="1:16" x14ac:dyDescent="0.3">
      <c r="A55" s="91" t="s">
        <v>125</v>
      </c>
      <c r="B55" s="72" t="s">
        <v>122</v>
      </c>
      <c r="C55" s="96" t="s">
        <v>124</v>
      </c>
      <c r="D55" s="78" t="s">
        <v>113</v>
      </c>
      <c r="E55" s="65" t="s">
        <v>114</v>
      </c>
      <c r="F55" s="66" t="s">
        <v>204</v>
      </c>
      <c r="G55" s="75">
        <f>'Main Tree'!$F$33*'Main Tree'!$F$32*'Main Tree'!$L$35*'Main Tree'!$D$39*'Main Tree'!$F$31*'Main Tree'!$D$36</f>
        <v>1.0773E-2</v>
      </c>
      <c r="H55" s="102">
        <f>G55*'Main Tree'!$H$33</f>
        <v>4.5462060000000002E-4</v>
      </c>
      <c r="I55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55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RuralMediumLowN/ANo</v>
      </c>
      <c r="K55" s="133">
        <f>VLOOKUP(Table1[[#This Row],['[Reference Only']
Vlookup Index]],Table2[['[EH']
Vlookup Index]:['[EH']
Lives Saved]],19,0)</f>
        <v>714.51546793932391</v>
      </c>
      <c r="L55" s="133">
        <f>VLOOKUP(Table1[[#This Row],['[Reference Only']
Vlookup Index]],Table2[['[EH']
Vlookup Index]:['[EH']
Lives Lost]],20,0)</f>
        <v>285.48453206067609</v>
      </c>
      <c r="M55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55" s="127">
        <f>Table1[[#This Row],[Human Lives Saved]]*Table1[[#This Row],[Mean Rate of Events / Week]]</f>
        <v>0.32483345074385622</v>
      </c>
      <c r="O55" s="127">
        <f>Table1[[#This Row],[Human Lives Lost]]*Table1[[#This Row],[Mean Rate of Events / Week]]</f>
        <v>0.12978714925614382</v>
      </c>
      <c r="P55" s="138">
        <f>Table1[[#This Row],[$ Invested in Technology
(Purchase + Deploy Once)]]*Table1[[#This Row],[Mean Rate of Events / Week]]</f>
        <v>2273.1030000000001</v>
      </c>
    </row>
    <row r="56" spans="1:16" x14ac:dyDescent="0.3">
      <c r="A56" s="91" t="s">
        <v>125</v>
      </c>
      <c r="B56" s="72" t="s">
        <v>122</v>
      </c>
      <c r="C56" s="96" t="s">
        <v>124</v>
      </c>
      <c r="D56" s="77" t="s">
        <v>112</v>
      </c>
      <c r="E56" s="65" t="s">
        <v>114</v>
      </c>
      <c r="F56" s="66" t="s">
        <v>204</v>
      </c>
      <c r="G56" s="75">
        <f>'Main Tree'!$F$33*'Main Tree'!$F$32*'Main Tree'!$L$35*'Main Tree'!$D$39*'Main Tree'!$F$31*'Main Tree'!$D$35</f>
        <v>1.4466599999999998E-2</v>
      </c>
      <c r="H56" s="102">
        <f>G56*'Main Tree'!$H$33</f>
        <v>6.1049051999999997E-4</v>
      </c>
      <c r="I56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56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RuralHighLowN/ANo</v>
      </c>
      <c r="K56" s="133">
        <f>VLOOKUP(Table1[[#This Row],['[Reference Only']
Vlookup Index]],Table2[['[EH']
Vlookup Index]:['[EH']
Lives Saved]],19,0)</f>
        <v>439.63387546990083</v>
      </c>
      <c r="L56" s="133">
        <f>VLOOKUP(Table1[[#This Row],['[Reference Only']
Vlookup Index]],Table2[['[EH']
Vlookup Index]:['[EH']
Lives Lost]],20,0)</f>
        <v>560.36612453009911</v>
      </c>
      <c r="M56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56" s="127">
        <f>Table1[[#This Row],[Human Lives Saved]]*Table1[[#This Row],[Mean Rate of Events / Week]]</f>
        <v>0.26839231324523499</v>
      </c>
      <c r="O56" s="127">
        <f>Table1[[#This Row],[Human Lives Lost]]*Table1[[#This Row],[Mean Rate of Events / Week]]</f>
        <v>0.34209820675476493</v>
      </c>
      <c r="P56" s="138">
        <f>Table1[[#This Row],[$ Invested in Technology
(Purchase + Deploy Once)]]*Table1[[#This Row],[Mean Rate of Events / Week]]</f>
        <v>3052.4526000000001</v>
      </c>
    </row>
    <row r="57" spans="1:16" x14ac:dyDescent="0.3">
      <c r="A57" s="91" t="s">
        <v>125</v>
      </c>
      <c r="B57" s="72" t="s">
        <v>122</v>
      </c>
      <c r="C57" s="96" t="s">
        <v>124</v>
      </c>
      <c r="D57" s="79" t="s">
        <v>114</v>
      </c>
      <c r="E57" s="65" t="s">
        <v>114</v>
      </c>
      <c r="F57" s="66" t="s">
        <v>204</v>
      </c>
      <c r="G57" s="75">
        <f>'Main Tree'!$F$33*'Main Tree'!$F$32*'Main Tree'!$L$35*'Main Tree'!$D$39*'Main Tree'!$F$31*'Main Tree'!$D$37</f>
        <v>5.5403999999999991E-3</v>
      </c>
      <c r="H57" s="102">
        <f>G57*'Main Tree'!$H$33</f>
        <v>2.3380487999999998E-4</v>
      </c>
      <c r="I57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57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RuralLowLowN/ANo</v>
      </c>
      <c r="K57" s="133">
        <f>VLOOKUP(Table1[[#This Row],['[Reference Only']
Vlookup Index]],Table2[['[EH']
Vlookup Index]:['[EH']
Lives Saved]],19,0)</f>
        <v>905.71167967005886</v>
      </c>
      <c r="L57" s="133">
        <f>VLOOKUP(Table1[[#This Row],['[Reference Only']
Vlookup Index]],Table2[['[EH']
Vlookup Index]:['[EH']
Lives Lost]],20,0)</f>
        <v>94.288320329941143</v>
      </c>
      <c r="M57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57" s="127">
        <f>Table1[[#This Row],[Human Lives Saved]]*Table1[[#This Row],[Mean Rate of Events / Week]]</f>
        <v>0.21175981057985654</v>
      </c>
      <c r="O57" s="127">
        <f>Table1[[#This Row],[Human Lives Lost]]*Table1[[#This Row],[Mean Rate of Events / Week]]</f>
        <v>2.2045069420143448E-2</v>
      </c>
      <c r="P57" s="138">
        <f>Table1[[#This Row],[$ Invested in Technology
(Purchase + Deploy Once)]]*Table1[[#This Row],[Mean Rate of Events / Week]]</f>
        <v>1169.0243999999998</v>
      </c>
    </row>
    <row r="58" spans="1:16" x14ac:dyDescent="0.3">
      <c r="A58" s="91" t="s">
        <v>125</v>
      </c>
      <c r="B58" s="72" t="s">
        <v>122</v>
      </c>
      <c r="C58" s="96" t="s">
        <v>124</v>
      </c>
      <c r="D58" s="69" t="s">
        <v>105</v>
      </c>
      <c r="E58" s="68" t="s">
        <v>105</v>
      </c>
      <c r="F58" s="73" t="s">
        <v>204</v>
      </c>
      <c r="G58" s="76">
        <f>'Main Tree'!$F$33*'Main Tree'!$F$32*'Main Tree'!$L$35*'Main Tree'!$D$40*'Main Tree'!$F$31</f>
        <v>0</v>
      </c>
      <c r="H58" s="102">
        <f>G58*'Main Tree'!$H$33</f>
        <v>0</v>
      </c>
      <c r="I58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58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RuralNoneNoneN/ANo</v>
      </c>
      <c r="K58" s="133">
        <f>VLOOKUP(Table1[[#This Row],['[Reference Only']
Vlookup Index]],Table2[['[EH']
Vlookup Index]:['[EH']
Lives Saved]],19,0)</f>
        <v>0</v>
      </c>
      <c r="L58" s="133">
        <f>VLOOKUP(Table1[[#This Row],['[Reference Only']
Vlookup Index]],Table2[['[EH']
Vlookup Index]:['[EH']
Lives Lost]],20,0)</f>
        <v>0</v>
      </c>
      <c r="M58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58" s="127">
        <f>Table1[[#This Row],[Human Lives Saved]]*Table1[[#This Row],[Mean Rate of Events / Week]]</f>
        <v>0</v>
      </c>
      <c r="O58" s="127">
        <f>Table1[[#This Row],[Human Lives Lost]]*Table1[[#This Row],[Mean Rate of Events / Week]]</f>
        <v>0</v>
      </c>
      <c r="P58" s="138">
        <f>Table1[[#This Row],[$ Invested in Technology
(Purchase + Deploy Once)]]*Table1[[#This Row],[Mean Rate of Events / Week]]</f>
        <v>0</v>
      </c>
    </row>
    <row r="59" spans="1:16" x14ac:dyDescent="0.3">
      <c r="A59" s="70" t="s">
        <v>126</v>
      </c>
      <c r="B59" s="71" t="s">
        <v>121</v>
      </c>
      <c r="C59" s="91" t="s">
        <v>123</v>
      </c>
      <c r="D59" s="77" t="s">
        <v>112</v>
      </c>
      <c r="E59" s="64" t="s">
        <v>112</v>
      </c>
      <c r="F59" s="67" t="s">
        <v>153</v>
      </c>
      <c r="G59" s="74">
        <f>'Main Tree'!$F$29*'Main Tree'!$F$30*'Main Tree'!$L$28*'Main Tree'!$D$38*'Main Tree'!$F$28*'Main Tree'!$D$35</f>
        <v>1.92373632E-2</v>
      </c>
      <c r="H59" s="103">
        <f>G59*'Main Tree'!$H$33</f>
        <v>8.1181672703999996E-4</v>
      </c>
      <c r="I59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59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UrbanHighHigh2Yes</v>
      </c>
      <c r="K59" s="133">
        <f>VLOOKUP(Table1[[#This Row],['[Reference Only']
Vlookup Index]],Table2[['[EH']
Vlookup Index]:['[EH']
Lives Saved]],19,0)</f>
        <v>6359.4936226239815</v>
      </c>
      <c r="L59" s="133">
        <f>VLOOKUP(Table1[[#This Row],['[Reference Only']
Vlookup Index]],Table2[['[EH']
Vlookup Index]:['[EH']
Lives Lost]],20,0)</f>
        <v>3640.5063773760185</v>
      </c>
      <c r="M59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59" s="127">
        <f>Table1[[#This Row],[Human Lives Saved]]*Table1[[#This Row],[Mean Rate of Events / Week]]</f>
        <v>5.1627432983503532</v>
      </c>
      <c r="O59" s="127">
        <f>Table1[[#This Row],[Human Lives Lost]]*Table1[[#This Row],[Mean Rate of Events / Week]]</f>
        <v>2.9554239720496462</v>
      </c>
      <c r="P59" s="138">
        <f>Table1[[#This Row],[$ Invested in Technology
(Purchase + Deploy Once)]]*Table1[[#This Row],[Mean Rate of Events / Week]]</f>
        <v>4071.2608861055996</v>
      </c>
    </row>
    <row r="60" spans="1:16" x14ac:dyDescent="0.3">
      <c r="A60" s="70" t="s">
        <v>126</v>
      </c>
      <c r="B60" s="71" t="s">
        <v>121</v>
      </c>
      <c r="C60" s="91" t="s">
        <v>123</v>
      </c>
      <c r="D60" s="79" t="s">
        <v>114</v>
      </c>
      <c r="E60" s="64" t="s">
        <v>112</v>
      </c>
      <c r="F60" s="67" t="s">
        <v>153</v>
      </c>
      <c r="G60" s="74">
        <f>'Main Tree'!$F$29*'Main Tree'!$F$30*'Main Tree'!$L$28*'Main Tree'!$D$38*'Main Tree'!$F$28*'Main Tree'!$D$37</f>
        <v>7.3675008000000002E-3</v>
      </c>
      <c r="H60" s="103">
        <f>G60*'Main Tree'!$H$33</f>
        <v>3.1090853376E-4</v>
      </c>
      <c r="I60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60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UrbanLowHigh2Yes</v>
      </c>
      <c r="K60" s="133">
        <f>VLOOKUP(Table1[[#This Row],['[Reference Only']
Vlookup Index]],Table2[['[EH']
Vlookup Index]:['[EH']
Lives Saved]],19,0)</f>
        <v>8760.1538107007018</v>
      </c>
      <c r="L60" s="133">
        <f>VLOOKUP(Table1[[#This Row],['[Reference Only']
Vlookup Index]],Table2[['[EH']
Vlookup Index]:['[EH']
Lives Lost]],20,0)</f>
        <v>1239.8461892992982</v>
      </c>
      <c r="M60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60" s="127">
        <f>Table1[[#This Row],[Human Lives Saved]]*Table1[[#This Row],[Mean Rate of Events / Week]]</f>
        <v>2.7236065767970317</v>
      </c>
      <c r="O60" s="127">
        <f>Table1[[#This Row],[Human Lives Lost]]*Table1[[#This Row],[Mean Rate of Events / Week]]</f>
        <v>0.38547876080296822</v>
      </c>
      <c r="P60" s="138">
        <f>Table1[[#This Row],[$ Invested in Technology
(Purchase + Deploy Once)]]*Table1[[#This Row],[Mean Rate of Events / Week]]</f>
        <v>1559.2062968063999</v>
      </c>
    </row>
    <row r="61" spans="1:16" x14ac:dyDescent="0.3">
      <c r="A61" s="70" t="s">
        <v>126</v>
      </c>
      <c r="B61" s="71" t="s">
        <v>121</v>
      </c>
      <c r="C61" s="91" t="s">
        <v>123</v>
      </c>
      <c r="D61" s="78" t="s">
        <v>113</v>
      </c>
      <c r="E61" s="64" t="s">
        <v>112</v>
      </c>
      <c r="F61" s="67" t="s">
        <v>153</v>
      </c>
      <c r="G61" s="74">
        <f>'Main Tree'!$F$29*'Main Tree'!$F$30*'Main Tree'!$L$28*'Main Tree'!$D$38*'Main Tree'!$F$28*'Main Tree'!$D$36</f>
        <v>1.4325696000000001E-2</v>
      </c>
      <c r="H61" s="103">
        <f>G61*'Main Tree'!$H$33</f>
        <v>6.0454437120000004E-4</v>
      </c>
      <c r="I61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61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UrbanMediumHigh2Yes</v>
      </c>
      <c r="K61" s="133">
        <f>VLOOKUP(Table1[[#This Row],['[Reference Only']
Vlookup Index]],Table2[['[EH']
Vlookup Index]:['[EH']
Lives Saved]],19,0)</f>
        <v>4419.9914286900612</v>
      </c>
      <c r="L61" s="133">
        <f>VLOOKUP(Table1[[#This Row],['[Reference Only']
Vlookup Index]],Table2[['[EH']
Vlookup Index]:['[EH']
Lives Lost]],20,0)</f>
        <v>5580.0085713099388</v>
      </c>
      <c r="M61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61" s="127">
        <f>Table1[[#This Row],[Human Lives Saved]]*Table1[[#This Row],[Mean Rate of Events / Week]]</f>
        <v>2.6720809389668227</v>
      </c>
      <c r="O61" s="127">
        <f>Table1[[#This Row],[Human Lives Lost]]*Table1[[#This Row],[Mean Rate of Events / Week]]</f>
        <v>3.3733627730331777</v>
      </c>
      <c r="P61" s="138">
        <f>Table1[[#This Row],[$ Invested in Technology
(Purchase + Deploy Once)]]*Table1[[#This Row],[Mean Rate of Events / Week]]</f>
        <v>3031.7900215680002</v>
      </c>
    </row>
    <row r="62" spans="1:16" x14ac:dyDescent="0.3">
      <c r="A62" s="70" t="s">
        <v>126</v>
      </c>
      <c r="B62" s="71" t="s">
        <v>121</v>
      </c>
      <c r="C62" s="91" t="s">
        <v>123</v>
      </c>
      <c r="D62" s="77" t="s">
        <v>112</v>
      </c>
      <c r="E62" s="65" t="s">
        <v>114</v>
      </c>
      <c r="F62" s="67" t="s">
        <v>153</v>
      </c>
      <c r="G62" s="74">
        <f>'Main Tree'!$F$29*'Main Tree'!$F$30*'Main Tree'!$L$28*'Main Tree'!$D$39*'Main Tree'!$F$28*'Main Tree'!$D$35</f>
        <v>6.0918316800000011E-2</v>
      </c>
      <c r="H62" s="103">
        <f>G62*'Main Tree'!$H$33</f>
        <v>2.5707529689600007E-3</v>
      </c>
      <c r="I62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62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UrbanHighLow2Yes</v>
      </c>
      <c r="K62" s="133">
        <f>VLOOKUP(Table1[[#This Row],['[Reference Only']
Vlookup Index]],Table2[['[EH']
Vlookup Index]:['[EH']
Lives Saved]],19,0)</f>
        <v>3480.0097102314585</v>
      </c>
      <c r="L62" s="133">
        <f>VLOOKUP(Table1[[#This Row],['[Reference Only']
Vlookup Index]],Table2[['[EH']
Vlookup Index]:['[EH']
Lives Lost]],20,0)</f>
        <v>6519.9902897685415</v>
      </c>
      <c r="M62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62" s="127">
        <f>Table1[[#This Row],[Human Lives Saved]]*Table1[[#This Row],[Mean Rate of Events / Week]]</f>
        <v>8.946245294587154</v>
      </c>
      <c r="O62" s="127">
        <f>Table1[[#This Row],[Human Lives Lost]]*Table1[[#This Row],[Mean Rate of Events / Week]]</f>
        <v>16.761284395012854</v>
      </c>
      <c r="P62" s="138">
        <f>Table1[[#This Row],[$ Invested in Technology
(Purchase + Deploy Once)]]*Table1[[#This Row],[Mean Rate of Events / Week]]</f>
        <v>12892.326139334404</v>
      </c>
    </row>
    <row r="63" spans="1:16" x14ac:dyDescent="0.3">
      <c r="A63" s="70" t="s">
        <v>126</v>
      </c>
      <c r="B63" s="71" t="s">
        <v>121</v>
      </c>
      <c r="C63" s="91" t="s">
        <v>123</v>
      </c>
      <c r="D63" s="79" t="s">
        <v>114</v>
      </c>
      <c r="E63" s="65" t="s">
        <v>114</v>
      </c>
      <c r="F63" s="67" t="s">
        <v>153</v>
      </c>
      <c r="G63" s="74">
        <f>'Main Tree'!$F$29*'Main Tree'!$F$30*'Main Tree'!$L$28*'Main Tree'!$D$39*'Main Tree'!$F$28*'Main Tree'!$D$37</f>
        <v>2.3330419200000004E-2</v>
      </c>
      <c r="H63" s="103">
        <f>G63*'Main Tree'!$H$33</f>
        <v>9.8454369024000019E-4</v>
      </c>
      <c r="I63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6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UrbanLowLow2Yes</v>
      </c>
      <c r="K63" s="133">
        <f>VLOOKUP(Table1[[#This Row],['[Reference Only']
Vlookup Index]],Table2[['[EH']
Vlookup Index]:['[EH']
Lives Saved]],19,0)</f>
        <v>9004.808263478446</v>
      </c>
      <c r="L63" s="133">
        <f>VLOOKUP(Table1[[#This Row],['[Reference Only']
Vlookup Index]],Table2[['[EH']
Vlookup Index]:['[EH']
Lives Lost]],20,0)</f>
        <v>995.19173652155405</v>
      </c>
      <c r="M6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63" s="127">
        <f>Table1[[#This Row],[Human Lives Saved]]*Table1[[#This Row],[Mean Rate of Events / Week]]</f>
        <v>8.8656271576287171</v>
      </c>
      <c r="O63" s="127">
        <f>Table1[[#This Row],[Human Lives Lost]]*Table1[[#This Row],[Mean Rate of Events / Week]]</f>
        <v>0.9798097447712848</v>
      </c>
      <c r="P63" s="138">
        <f>Table1[[#This Row],[$ Invested in Technology
(Purchase + Deploy Once)]]*Table1[[#This Row],[Mean Rate of Events / Week]]</f>
        <v>4937.4866065536007</v>
      </c>
    </row>
    <row r="64" spans="1:16" x14ac:dyDescent="0.3">
      <c r="A64" s="70" t="s">
        <v>126</v>
      </c>
      <c r="B64" s="71" t="s">
        <v>121</v>
      </c>
      <c r="C64" s="91" t="s">
        <v>123</v>
      </c>
      <c r="D64" s="78" t="s">
        <v>113</v>
      </c>
      <c r="E64" s="65" t="s">
        <v>114</v>
      </c>
      <c r="F64" s="67" t="s">
        <v>153</v>
      </c>
      <c r="G64" s="74">
        <f>'Main Tree'!$F$29*'Main Tree'!$F$30*'Main Tree'!$L$28*'Main Tree'!$D$39*'Main Tree'!$F$28*'Main Tree'!$D$36</f>
        <v>4.5364704000000006E-2</v>
      </c>
      <c r="H64" s="103">
        <f>G64*'Main Tree'!$H$33</f>
        <v>1.9143905088000004E-3</v>
      </c>
      <c r="I64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6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UrbanMediumLow2Yes</v>
      </c>
      <c r="K64" s="133">
        <f>VLOOKUP(Table1[[#This Row],['[Reference Only']
Vlookup Index]],Table2[['[EH']
Vlookup Index]:['[EH']
Lives Saved]],19,0)</f>
        <v>6702.7643281518122</v>
      </c>
      <c r="L64" s="133">
        <f>VLOOKUP(Table1[[#This Row],['[Reference Only']
Vlookup Index]],Table2[['[EH']
Vlookup Index]:['[EH']
Lives Lost]],20,0)</f>
        <v>3297.2356718481878</v>
      </c>
      <c r="M6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64" s="127">
        <f>Table1[[#This Row],[Human Lives Saved]]*Table1[[#This Row],[Mean Rate of Events / Week]]</f>
        <v>12.83170841253704</v>
      </c>
      <c r="O64" s="127">
        <f>Table1[[#This Row],[Human Lives Lost]]*Table1[[#This Row],[Mean Rate of Events / Week]]</f>
        <v>6.312196675462963</v>
      </c>
      <c r="P64" s="138">
        <f>Table1[[#This Row],[$ Invested in Technology
(Purchase + Deploy Once)]]*Table1[[#This Row],[Mean Rate of Events / Week]]</f>
        <v>9600.6684016320014</v>
      </c>
    </row>
    <row r="65" spans="1:16" x14ac:dyDescent="0.3">
      <c r="A65" s="70" t="s">
        <v>126</v>
      </c>
      <c r="B65" s="71" t="s">
        <v>121</v>
      </c>
      <c r="C65" s="91" t="s">
        <v>123</v>
      </c>
      <c r="D65" s="69" t="s">
        <v>105</v>
      </c>
      <c r="E65" s="69" t="s">
        <v>105</v>
      </c>
      <c r="F65" s="67" t="s">
        <v>153</v>
      </c>
      <c r="G65" s="75">
        <f>'Main Tree'!$F$29*'Main Tree'!$F$30*'Main Tree'!$L$28*'Main Tree'!$D$40*'Main Tree'!$F$28</f>
        <v>0</v>
      </c>
      <c r="H65" s="103">
        <f>G65*'Main Tree'!$H$33</f>
        <v>0</v>
      </c>
      <c r="I65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65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UrbanNoneNoneN/AYes</v>
      </c>
      <c r="K65" s="133">
        <f>VLOOKUP(Table1[[#This Row],['[Reference Only']
Vlookup Index]],Table2[['[EH']
Vlookup Index]:['[EH']
Lives Saved]],19,0)</f>
        <v>0</v>
      </c>
      <c r="L65" s="133">
        <f>VLOOKUP(Table1[[#This Row],['[Reference Only']
Vlookup Index]],Table2[['[EH']
Vlookup Index]:['[EH']
Lives Lost]],20,0)</f>
        <v>503.49006539125202</v>
      </c>
      <c r="M65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65" s="127">
        <f>Table1[[#This Row],[Human Lives Saved]]*Table1[[#This Row],[Mean Rate of Events / Week]]</f>
        <v>0</v>
      </c>
      <c r="O65" s="127">
        <f>Table1[[#This Row],[Human Lives Lost]]*Table1[[#This Row],[Mean Rate of Events / Week]]</f>
        <v>0</v>
      </c>
      <c r="P65" s="138">
        <f>Table1[[#This Row],[$ Invested in Technology
(Purchase + Deploy Once)]]*Table1[[#This Row],[Mean Rate of Events / Week]]</f>
        <v>0</v>
      </c>
    </row>
    <row r="66" spans="1:16" x14ac:dyDescent="0.3">
      <c r="A66" s="70" t="s">
        <v>126</v>
      </c>
      <c r="B66" s="71" t="s">
        <v>121</v>
      </c>
      <c r="C66" s="91" t="s">
        <v>123</v>
      </c>
      <c r="D66" s="78" t="s">
        <v>113</v>
      </c>
      <c r="E66" s="64" t="s">
        <v>112</v>
      </c>
      <c r="F66" s="66" t="s">
        <v>204</v>
      </c>
      <c r="G66" s="75">
        <f>'Main Tree'!$F$29*'Main Tree'!$F$30*'Main Tree'!$L$29*'Main Tree'!$D$38*'Main Tree'!$F$28*'Main Tree'!$D$36</f>
        <v>1.382304E-3</v>
      </c>
      <c r="H66" s="103">
        <f>G66*'Main Tree'!$H$33</f>
        <v>5.8333228800000002E-5</v>
      </c>
      <c r="I66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66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UrbanMediumHighN/ANo</v>
      </c>
      <c r="K66" s="133">
        <f>VLOOKUP(Table1[[#This Row],['[Reference Only']
Vlookup Index]],Table2[['[EH']
Vlookup Index]:['[EH']
Lives Saved]],19,0)</f>
        <v>3422.3657163382172</v>
      </c>
      <c r="L66" s="133">
        <f>VLOOKUP(Table1[[#This Row],['[Reference Only']
Vlookup Index]],Table2[['[EH']
Vlookup Index]:['[EH']
Lives Lost]],20,0)</f>
        <v>6577.6342836617823</v>
      </c>
      <c r="M66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66" s="127">
        <f>Table1[[#This Row],[Human Lives Saved]]*Table1[[#This Row],[Mean Rate of Events / Week]]</f>
        <v>0.19963764236843312</v>
      </c>
      <c r="O66" s="127">
        <f>Table1[[#This Row],[Human Lives Lost]]*Table1[[#This Row],[Mean Rate of Events / Week]]</f>
        <v>0.38369464563156686</v>
      </c>
      <c r="P66" s="138">
        <f>Table1[[#This Row],[$ Invested in Technology
(Purchase + Deploy Once)]]*Table1[[#This Row],[Mean Rate of Events / Week]]</f>
        <v>292.54114243200002</v>
      </c>
    </row>
    <row r="67" spans="1:16" x14ac:dyDescent="0.3">
      <c r="A67" s="70" t="s">
        <v>126</v>
      </c>
      <c r="B67" s="71" t="s">
        <v>121</v>
      </c>
      <c r="C67" s="91" t="s">
        <v>123</v>
      </c>
      <c r="D67" s="77" t="s">
        <v>112</v>
      </c>
      <c r="E67" s="64" t="s">
        <v>112</v>
      </c>
      <c r="F67" s="66" t="s">
        <v>204</v>
      </c>
      <c r="G67" s="75">
        <f>'Main Tree'!$F$29*'Main Tree'!$F$30*'Main Tree'!$L$29*'Main Tree'!$D$38*'Main Tree'!$F$28*'Main Tree'!$D$35</f>
        <v>1.8562368000000001E-3</v>
      </c>
      <c r="H67" s="103">
        <f>G67*'Main Tree'!$H$33</f>
        <v>7.8333192960000012E-5</v>
      </c>
      <c r="I67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67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UrbanHighHighN/ANo</v>
      </c>
      <c r="K67" s="133">
        <f>VLOOKUP(Table1[[#This Row],['[Reference Only']
Vlookup Index]],Table2[['[EH']
Vlookup Index]:['[EH']
Lives Saved]],19,0)</f>
        <v>992.17314750707385</v>
      </c>
      <c r="L67" s="133">
        <f>VLOOKUP(Table1[[#This Row],['[Reference Only']
Vlookup Index]],Table2[['[EH']
Vlookup Index]:['[EH']
Lives Lost]],20,0)</f>
        <v>9007.8268524929263</v>
      </c>
      <c r="M67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67" s="127">
        <f>Table1[[#This Row],[Human Lives Saved]]*Table1[[#This Row],[Mean Rate of Events / Week]]</f>
        <v>7.7720090613402168E-2</v>
      </c>
      <c r="O67" s="127">
        <f>Table1[[#This Row],[Human Lives Lost]]*Table1[[#This Row],[Mean Rate of Events / Week]]</f>
        <v>0.70561183898659796</v>
      </c>
      <c r="P67" s="138">
        <f>Table1[[#This Row],[$ Invested in Technology
(Purchase + Deploy Once)]]*Table1[[#This Row],[Mean Rate of Events / Week]]</f>
        <v>392.84096269440005</v>
      </c>
    </row>
    <row r="68" spans="1:16" x14ac:dyDescent="0.3">
      <c r="A68" s="70" t="s">
        <v>126</v>
      </c>
      <c r="B68" s="71" t="s">
        <v>121</v>
      </c>
      <c r="C68" s="91" t="s">
        <v>123</v>
      </c>
      <c r="D68" s="79" t="s">
        <v>114</v>
      </c>
      <c r="E68" s="64" t="s">
        <v>112</v>
      </c>
      <c r="F68" s="66" t="s">
        <v>204</v>
      </c>
      <c r="G68" s="75">
        <f>'Main Tree'!$F$29*'Main Tree'!$F$30*'Main Tree'!$L$29*'Main Tree'!$D$38*'Main Tree'!$F$28*'Main Tree'!$D$37</f>
        <v>7.1089920000000004E-4</v>
      </c>
      <c r="H68" s="103">
        <f>G68*'Main Tree'!$H$33</f>
        <v>2.9999946240000002E-5</v>
      </c>
      <c r="I68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68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UrbanLowHighN/ANo</v>
      </c>
      <c r="K68" s="133">
        <f>VLOOKUP(Table1[[#This Row],['[Reference Only']
Vlookup Index]],Table2[['[EH']
Vlookup Index]:['[EH']
Lives Saved]],19,0)</f>
        <v>6833.0245980411382</v>
      </c>
      <c r="L68" s="133">
        <f>VLOOKUP(Table1[[#This Row],['[Reference Only']
Vlookup Index]],Table2[['[EH']
Vlookup Index]:['[EH']
Lives Lost]],20,0)</f>
        <v>3166.9754019588618</v>
      </c>
      <c r="M68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68" s="127">
        <f>Table1[[#This Row],[Human Lives Saved]]*Table1[[#This Row],[Mean Rate of Events / Week]]</f>
        <v>0.20499037059783176</v>
      </c>
      <c r="O68" s="127">
        <f>Table1[[#This Row],[Human Lives Lost]]*Table1[[#This Row],[Mean Rate of Events / Week]]</f>
        <v>9.5009091802168252E-2</v>
      </c>
      <c r="P68" s="138">
        <f>Table1[[#This Row],[$ Invested in Technology
(Purchase + Deploy Once)]]*Table1[[#This Row],[Mean Rate of Events / Week]]</f>
        <v>150.44973039360002</v>
      </c>
    </row>
    <row r="69" spans="1:16" x14ac:dyDescent="0.3">
      <c r="A69" s="70" t="s">
        <v>126</v>
      </c>
      <c r="B69" s="71" t="s">
        <v>121</v>
      </c>
      <c r="C69" s="91" t="s">
        <v>123</v>
      </c>
      <c r="D69" s="78" t="s">
        <v>113</v>
      </c>
      <c r="E69" s="65" t="s">
        <v>114</v>
      </c>
      <c r="F69" s="66" t="s">
        <v>204</v>
      </c>
      <c r="G69" s="75">
        <f>'Main Tree'!$F$29*'Main Tree'!$F$30*'Main Tree'!$L$29*'Main Tree'!$D$39*'Main Tree'!$F$28*'Main Tree'!$D$36</f>
        <v>4.3772960000000001E-3</v>
      </c>
      <c r="H69" s="103">
        <f>G69*'Main Tree'!$H$33</f>
        <v>1.8472189120000002E-4</v>
      </c>
      <c r="I69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69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UrbanMediumLowN/ANo</v>
      </c>
      <c r="K69" s="133">
        <f>VLOOKUP(Table1[[#This Row],['[Reference Only']
Vlookup Index]],Table2[['[EH']
Vlookup Index]:['[EH']
Lives Saved]],19,0)</f>
        <v>7388.7317455446691</v>
      </c>
      <c r="L69" s="133">
        <f>VLOOKUP(Table1[[#This Row],['[Reference Only']
Vlookup Index]],Table2[['[EH']
Vlookup Index]:['[EH']
Lives Lost]],20,0)</f>
        <v>2611.2682544553309</v>
      </c>
      <c r="M69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69" s="127">
        <f>Table1[[#This Row],[Human Lives Saved]]*Table1[[#This Row],[Mean Rate of Events / Week]]</f>
        <v>1.3648605016064885</v>
      </c>
      <c r="O69" s="127">
        <f>Table1[[#This Row],[Human Lives Lost]]*Table1[[#This Row],[Mean Rate of Events / Week]]</f>
        <v>0.48235841039351163</v>
      </c>
      <c r="P69" s="138">
        <f>Table1[[#This Row],[$ Invested in Technology
(Purchase + Deploy Once)]]*Table1[[#This Row],[Mean Rate of Events / Week]]</f>
        <v>926.38028436800016</v>
      </c>
    </row>
    <row r="70" spans="1:16" x14ac:dyDescent="0.3">
      <c r="A70" s="70" t="s">
        <v>126</v>
      </c>
      <c r="B70" s="71" t="s">
        <v>121</v>
      </c>
      <c r="C70" s="91" t="s">
        <v>123</v>
      </c>
      <c r="D70" s="77" t="s">
        <v>112</v>
      </c>
      <c r="E70" s="65" t="s">
        <v>114</v>
      </c>
      <c r="F70" s="66" t="s">
        <v>204</v>
      </c>
      <c r="G70" s="75">
        <f>'Main Tree'!$F$29*'Main Tree'!$F$30*'Main Tree'!$L$29*'Main Tree'!$D$39*'Main Tree'!$F$28*'Main Tree'!$D$35</f>
        <v>5.8780832000000002E-3</v>
      </c>
      <c r="H70" s="103">
        <f>G70*'Main Tree'!$H$33</f>
        <v>2.4805511104000001E-4</v>
      </c>
      <c r="I70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70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UrbanHighLowN/ANo</v>
      </c>
      <c r="K70" s="133">
        <f>VLOOKUP(Table1[[#This Row],['[Reference Only']
Vlookup Index]],Table2[['[EH']
Vlookup Index]:['[EH']
Lives Saved]],19,0)</f>
        <v>4348.2083089304515</v>
      </c>
      <c r="L70" s="133">
        <f>VLOOKUP(Table1[[#This Row],['[Reference Only']
Vlookup Index]],Table2[['[EH']
Vlookup Index]:['[EH']
Lives Lost]],20,0)</f>
        <v>5651.7916910695485</v>
      </c>
      <c r="M70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70" s="127">
        <f>Table1[[#This Row],[Human Lives Saved]]*Table1[[#This Row],[Mean Rate of Events / Week]]</f>
        <v>1.0785952948967938</v>
      </c>
      <c r="O70" s="127">
        <f>Table1[[#This Row],[Human Lives Lost]]*Table1[[#This Row],[Mean Rate of Events / Week]]</f>
        <v>1.4019558155032064</v>
      </c>
      <c r="P70" s="138">
        <f>Table1[[#This Row],[$ Invested in Technology
(Purchase + Deploy Once)]]*Table1[[#This Row],[Mean Rate of Events / Week]]</f>
        <v>1243.9963818656001</v>
      </c>
    </row>
    <row r="71" spans="1:16" x14ac:dyDescent="0.3">
      <c r="A71" s="70" t="s">
        <v>126</v>
      </c>
      <c r="B71" s="71" t="s">
        <v>121</v>
      </c>
      <c r="C71" s="91" t="s">
        <v>123</v>
      </c>
      <c r="D71" s="79" t="s">
        <v>114</v>
      </c>
      <c r="E71" s="65" t="s">
        <v>114</v>
      </c>
      <c r="F71" s="66" t="s">
        <v>204</v>
      </c>
      <c r="G71" s="75">
        <f>'Main Tree'!$F$29*'Main Tree'!$F$30*'Main Tree'!$L$29*'Main Tree'!$D$39*'Main Tree'!$F$28*'Main Tree'!$D$37</f>
        <v>2.2511808E-3</v>
      </c>
      <c r="H71" s="103">
        <f>G71*'Main Tree'!$H$33</f>
        <v>9.4999829760000011E-5</v>
      </c>
      <c r="I71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71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UrbanLowLowN/ANo</v>
      </c>
      <c r="K71" s="133">
        <f>VLOOKUP(Table1[[#This Row],['[Reference Only']
Vlookup Index]],Table2[['[EH']
Vlookup Index]:['[EH']
Lives Saved]],19,0)</f>
        <v>8960.5718609431933</v>
      </c>
      <c r="L71" s="133">
        <f>VLOOKUP(Table1[[#This Row],['[Reference Only']
Vlookup Index]],Table2[['[EH']
Vlookup Index]:['[EH']
Lives Lost]],20,0)</f>
        <v>1039.4281390568067</v>
      </c>
      <c r="M71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71" s="127">
        <f>Table1[[#This Row],[Human Lives Saved]]*Table1[[#This Row],[Mean Rate of Events / Week]]</f>
        <v>0.85125280134184989</v>
      </c>
      <c r="O71" s="127">
        <f>Table1[[#This Row],[Human Lives Lost]]*Table1[[#This Row],[Mean Rate of Events / Week]]</f>
        <v>9.8745496258150253E-2</v>
      </c>
      <c r="P71" s="138">
        <f>Table1[[#This Row],[$ Invested in Technology
(Purchase + Deploy Once)]]*Table1[[#This Row],[Mean Rate of Events / Week]]</f>
        <v>476.42414624640003</v>
      </c>
    </row>
    <row r="72" spans="1:16" x14ac:dyDescent="0.3">
      <c r="A72" s="70" t="s">
        <v>126</v>
      </c>
      <c r="B72" s="71" t="s">
        <v>121</v>
      </c>
      <c r="C72" s="91" t="s">
        <v>123</v>
      </c>
      <c r="D72" s="69" t="s">
        <v>105</v>
      </c>
      <c r="E72" s="69" t="s">
        <v>105</v>
      </c>
      <c r="F72" s="66" t="s">
        <v>204</v>
      </c>
      <c r="G72" s="75">
        <f>'Main Tree'!$F$29*'Main Tree'!$F$30*'Main Tree'!$L$29*'Main Tree'!$D$40*'Main Tree'!$F$28</f>
        <v>0</v>
      </c>
      <c r="H72" s="103">
        <f>G72*'Main Tree'!$H$33</f>
        <v>0</v>
      </c>
      <c r="I72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72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UrbanNoneNoneN/ANo</v>
      </c>
      <c r="K72" s="133">
        <f>VLOOKUP(Table1[[#This Row],['[Reference Only']
Vlookup Index]],Table2[['[EH']
Vlookup Index]:['[EH']
Lives Saved]],19,0)</f>
        <v>0</v>
      </c>
      <c r="L72" s="133">
        <f>VLOOKUP(Table1[[#This Row],['[Reference Only']
Vlookup Index]],Table2[['[EH']
Vlookup Index]:['[EH']
Lives Lost]],20,0)</f>
        <v>0</v>
      </c>
      <c r="M72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72" s="127">
        <f>Table1[[#This Row],[Human Lives Saved]]*Table1[[#This Row],[Mean Rate of Events / Week]]</f>
        <v>0</v>
      </c>
      <c r="O72" s="127">
        <f>Table1[[#This Row],[Human Lives Lost]]*Table1[[#This Row],[Mean Rate of Events / Week]]</f>
        <v>0</v>
      </c>
      <c r="P72" s="138">
        <f>Table1[[#This Row],[$ Invested in Technology
(Purchase + Deploy Once)]]*Table1[[#This Row],[Mean Rate of Events / Week]]</f>
        <v>0</v>
      </c>
    </row>
    <row r="73" spans="1:16" x14ac:dyDescent="0.3">
      <c r="A73" s="70" t="s">
        <v>126</v>
      </c>
      <c r="B73" s="72" t="s">
        <v>122</v>
      </c>
      <c r="C73" s="91" t="s">
        <v>123</v>
      </c>
      <c r="D73" s="77" t="s">
        <v>112</v>
      </c>
      <c r="E73" s="64" t="s">
        <v>112</v>
      </c>
      <c r="F73" s="67" t="s">
        <v>153</v>
      </c>
      <c r="G73" s="74">
        <f>'Main Tree'!$F$32*'Main Tree'!$F$30*'Main Tree'!$L$30*'Main Tree'!$D$38*'Main Tree'!$F$28*'Main Tree'!$D$35</f>
        <v>1.5118358399999997E-2</v>
      </c>
      <c r="H73" s="103">
        <f>G73*'Main Tree'!$H$33</f>
        <v>6.3799472447999988E-4</v>
      </c>
      <c r="I73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7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UrbanHighHigh2Yes</v>
      </c>
      <c r="K73" s="133">
        <f>VLOOKUP(Table1[[#This Row],['[Reference Only']
Vlookup Index]],Table2[['[EH']
Vlookup Index]:['[EH']
Lives Saved]],19,0)</f>
        <v>6359.4936226239815</v>
      </c>
      <c r="L73" s="133">
        <f>VLOOKUP(Table1[[#This Row],['[Reference Only']
Vlookup Index]],Table2[['[EH']
Vlookup Index]:['[EH']
Lives Lost]],20,0)</f>
        <v>3640.5063773760185</v>
      </c>
      <c r="M7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73" s="127">
        <f>Table1[[#This Row],[Human Lives Saved]]*Table1[[#This Row],[Mean Rate of Events / Week]]</f>
        <v>4.0573233815983034</v>
      </c>
      <c r="O73" s="127">
        <f>Table1[[#This Row],[Human Lives Lost]]*Table1[[#This Row],[Mean Rate of Events / Week]]</f>
        <v>2.3226238632016956</v>
      </c>
      <c r="P73" s="138">
        <f>Table1[[#This Row],[$ Invested in Technology
(Purchase + Deploy Once)]]*Table1[[#This Row],[Mean Rate of Events / Week]]</f>
        <v>3199.5435432671993</v>
      </c>
    </row>
    <row r="74" spans="1:16" x14ac:dyDescent="0.3">
      <c r="A74" s="70" t="s">
        <v>126</v>
      </c>
      <c r="B74" s="72" t="s">
        <v>122</v>
      </c>
      <c r="C74" s="91" t="s">
        <v>123</v>
      </c>
      <c r="D74" s="79" t="s">
        <v>114</v>
      </c>
      <c r="E74" s="64" t="s">
        <v>112</v>
      </c>
      <c r="F74" s="67" t="s">
        <v>153</v>
      </c>
      <c r="G74" s="74">
        <f>'Main Tree'!$F$32*'Main Tree'!$F$30*'Main Tree'!$L$30*'Main Tree'!$D$38*'Main Tree'!$F$28*'Main Tree'!$D$37</f>
        <v>5.7900095999999989E-3</v>
      </c>
      <c r="H74" s="103">
        <f>G74*'Main Tree'!$H$33</f>
        <v>2.4433840511999997E-4</v>
      </c>
      <c r="I74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7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UrbanLowHigh2Yes</v>
      </c>
      <c r="K74" s="133">
        <f>VLOOKUP(Table1[[#This Row],['[Reference Only']
Vlookup Index]],Table2[['[EH']
Vlookup Index]:['[EH']
Lives Saved]],19,0)</f>
        <v>8760.1538107007018</v>
      </c>
      <c r="L74" s="133">
        <f>VLOOKUP(Table1[[#This Row],['[Reference Only']
Vlookup Index]],Table2[['[EH']
Vlookup Index]:['[EH']
Lives Lost]],20,0)</f>
        <v>1239.8461892992982</v>
      </c>
      <c r="M7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74" s="127">
        <f>Table1[[#This Row],[Human Lives Saved]]*Table1[[#This Row],[Mean Rate of Events / Week]]</f>
        <v>2.1404420107124995</v>
      </c>
      <c r="O74" s="127">
        <f>Table1[[#This Row],[Human Lives Lost]]*Table1[[#This Row],[Mean Rate of Events / Week]]</f>
        <v>0.30294204048750012</v>
      </c>
      <c r="P74" s="138">
        <f>Table1[[#This Row],[$ Invested in Technology
(Purchase + Deploy Once)]]*Table1[[#This Row],[Mean Rate of Events / Week]]</f>
        <v>1225.3571016767999</v>
      </c>
    </row>
    <row r="75" spans="1:16" x14ac:dyDescent="0.3">
      <c r="A75" s="70" t="s">
        <v>126</v>
      </c>
      <c r="B75" s="72" t="s">
        <v>122</v>
      </c>
      <c r="C75" s="91" t="s">
        <v>123</v>
      </c>
      <c r="D75" s="78" t="s">
        <v>113</v>
      </c>
      <c r="E75" s="64" t="s">
        <v>112</v>
      </c>
      <c r="F75" s="67" t="s">
        <v>153</v>
      </c>
      <c r="G75" s="74">
        <f>'Main Tree'!$F$32*'Main Tree'!$F$30*'Main Tree'!$L$30*'Main Tree'!$D$38*'Main Tree'!$F$28*'Main Tree'!$D$36</f>
        <v>1.1258351999999998E-2</v>
      </c>
      <c r="H75" s="103">
        <f>G75*'Main Tree'!$H$33</f>
        <v>4.7510245439999992E-4</v>
      </c>
      <c r="I75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75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UrbanMediumHigh2Yes</v>
      </c>
      <c r="K75" s="133">
        <f>VLOOKUP(Table1[[#This Row],['[Reference Only']
Vlookup Index]],Table2[['[EH']
Vlookup Index]:['[EH']
Lives Saved]],19,0)</f>
        <v>4419.9914286900612</v>
      </c>
      <c r="L75" s="133">
        <f>VLOOKUP(Table1[[#This Row],['[Reference Only']
Vlookup Index]],Table2[['[EH']
Vlookup Index]:['[EH']
Lives Lost]],20,0)</f>
        <v>5580.0085713099388</v>
      </c>
      <c r="M75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75" s="127">
        <f>Table1[[#This Row],[Human Lives Saved]]*Table1[[#This Row],[Mean Rate of Events / Week]]</f>
        <v>2.0999487761976101</v>
      </c>
      <c r="O75" s="127">
        <f>Table1[[#This Row],[Human Lives Lost]]*Table1[[#This Row],[Mean Rate of Events / Week]]</f>
        <v>2.6510757678023888</v>
      </c>
      <c r="P75" s="138">
        <f>Table1[[#This Row],[$ Invested in Technology
(Purchase + Deploy Once)]]*Table1[[#This Row],[Mean Rate of Events / Week]]</f>
        <v>2382.6388088159997</v>
      </c>
    </row>
    <row r="76" spans="1:16" x14ac:dyDescent="0.3">
      <c r="A76" s="70" t="s">
        <v>126</v>
      </c>
      <c r="B76" s="72" t="s">
        <v>122</v>
      </c>
      <c r="C76" s="91" t="s">
        <v>123</v>
      </c>
      <c r="D76" s="77" t="s">
        <v>112</v>
      </c>
      <c r="E76" s="65" t="s">
        <v>114</v>
      </c>
      <c r="F76" s="67" t="s">
        <v>153</v>
      </c>
      <c r="G76" s="74">
        <f>'Main Tree'!$F$32*'Main Tree'!$F$30*'Main Tree'!$L$30*'Main Tree'!$D$39*'Main Tree'!$F$28*'Main Tree'!$D$35</f>
        <v>4.7874801599999996E-2</v>
      </c>
      <c r="H76" s="103">
        <f>G76*'Main Tree'!$H$33</f>
        <v>2.0203166275199998E-3</v>
      </c>
      <c r="I76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76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UrbanHighLow2Yes</v>
      </c>
      <c r="K76" s="133">
        <f>VLOOKUP(Table1[[#This Row],['[Reference Only']
Vlookup Index]],Table2[['[EH']
Vlookup Index]:['[EH']
Lives Saved]],19,0)</f>
        <v>3480.0097102314585</v>
      </c>
      <c r="L76" s="133">
        <f>VLOOKUP(Table1[[#This Row],['[Reference Only']
Vlookup Index]],Table2[['[EH']
Vlookup Index]:['[EH']
Lives Lost]],20,0)</f>
        <v>6519.9902897685415</v>
      </c>
      <c r="M76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76" s="127">
        <f>Table1[[#This Row],[Human Lives Saved]]*Table1[[#This Row],[Mean Rate of Events / Week]]</f>
        <v>7.0307214815116721</v>
      </c>
      <c r="O76" s="127">
        <f>Table1[[#This Row],[Human Lives Lost]]*Table1[[#This Row],[Mean Rate of Events / Week]]</f>
        <v>13.172444793688326</v>
      </c>
      <c r="P76" s="138">
        <f>Table1[[#This Row],[$ Invested in Technology
(Purchase + Deploy Once)]]*Table1[[#This Row],[Mean Rate of Events / Week]]</f>
        <v>10131.887887012799</v>
      </c>
    </row>
    <row r="77" spans="1:16" x14ac:dyDescent="0.3">
      <c r="A77" s="70" t="s">
        <v>126</v>
      </c>
      <c r="B77" s="72" t="s">
        <v>122</v>
      </c>
      <c r="C77" s="91" t="s">
        <v>123</v>
      </c>
      <c r="D77" s="79" t="s">
        <v>114</v>
      </c>
      <c r="E77" s="65" t="s">
        <v>114</v>
      </c>
      <c r="F77" s="67" t="s">
        <v>153</v>
      </c>
      <c r="G77" s="74">
        <f>'Main Tree'!$F$32*'Main Tree'!$F$30*'Main Tree'!$L$30*'Main Tree'!$D$39*'Main Tree'!$F$28*'Main Tree'!$D$37</f>
        <v>1.8335030400000001E-2</v>
      </c>
      <c r="H77" s="103">
        <f>G77*'Main Tree'!$H$33</f>
        <v>7.7373828288000007E-4</v>
      </c>
      <c r="I77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77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UrbanLowLow2Yes</v>
      </c>
      <c r="K77" s="133">
        <f>VLOOKUP(Table1[[#This Row],['[Reference Only']
Vlookup Index]],Table2[['[EH']
Vlookup Index]:['[EH']
Lives Saved]],19,0)</f>
        <v>9004.808263478446</v>
      </c>
      <c r="L77" s="133">
        <f>VLOOKUP(Table1[[#This Row],['[Reference Only']
Vlookup Index]],Table2[['[EH']
Vlookup Index]:['[EH']
Lives Lost]],20,0)</f>
        <v>995.19173652155405</v>
      </c>
      <c r="M77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77" s="127">
        <f>Table1[[#This Row],[Human Lives Saved]]*Table1[[#This Row],[Mean Rate of Events / Week]]</f>
        <v>6.9673648834474484</v>
      </c>
      <c r="O77" s="127">
        <f>Table1[[#This Row],[Human Lives Lost]]*Table1[[#This Row],[Mean Rate of Events / Week]]</f>
        <v>0.77001794535255264</v>
      </c>
      <c r="P77" s="138">
        <f>Table1[[#This Row],[$ Invested in Technology
(Purchase + Deploy Once)]]*Table1[[#This Row],[Mean Rate of Events / Week]]</f>
        <v>3880.2974886432003</v>
      </c>
    </row>
    <row r="78" spans="1:16" x14ac:dyDescent="0.3">
      <c r="A78" s="70" t="s">
        <v>126</v>
      </c>
      <c r="B78" s="72" t="s">
        <v>122</v>
      </c>
      <c r="C78" s="91" t="s">
        <v>123</v>
      </c>
      <c r="D78" s="78" t="s">
        <v>113</v>
      </c>
      <c r="E78" s="65" t="s">
        <v>114</v>
      </c>
      <c r="F78" s="67" t="s">
        <v>153</v>
      </c>
      <c r="G78" s="74">
        <f>'Main Tree'!$F$32*'Main Tree'!$F$30*'Main Tree'!$L$30*'Main Tree'!$D$39*'Main Tree'!$F$28*'Main Tree'!$D$36</f>
        <v>3.5651447999999995E-2</v>
      </c>
      <c r="H78" s="103">
        <f>G78*'Main Tree'!$H$33</f>
        <v>1.5044911055999998E-3</v>
      </c>
      <c r="I78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2</v>
      </c>
      <c r="J78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UrbanMediumLow2Yes</v>
      </c>
      <c r="K78" s="133">
        <f>VLOOKUP(Table1[[#This Row],['[Reference Only']
Vlookup Index]],Table2[['[EH']
Vlookup Index]:['[EH']
Lives Saved]],19,0)</f>
        <v>6702.7643281518122</v>
      </c>
      <c r="L78" s="133">
        <f>VLOOKUP(Table1[[#This Row],['[Reference Only']
Vlookup Index]],Table2[['[EH']
Vlookup Index]:['[EH']
Lives Lost]],20,0)</f>
        <v>3297.2356718481878</v>
      </c>
      <c r="M78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78" s="127">
        <f>Table1[[#This Row],[Human Lives Saved]]*Table1[[#This Row],[Mean Rate of Events / Week]]</f>
        <v>10.08424931463736</v>
      </c>
      <c r="O78" s="127">
        <f>Table1[[#This Row],[Human Lives Lost]]*Table1[[#This Row],[Mean Rate of Events / Week]]</f>
        <v>4.9606617413626379</v>
      </c>
      <c r="P78" s="138">
        <f>Table1[[#This Row],[$ Invested in Technology
(Purchase + Deploy Once)]]*Table1[[#This Row],[Mean Rate of Events / Week]]</f>
        <v>7545.022894583999</v>
      </c>
    </row>
    <row r="79" spans="1:16" x14ac:dyDescent="0.3">
      <c r="A79" s="70" t="s">
        <v>126</v>
      </c>
      <c r="B79" s="72" t="s">
        <v>122</v>
      </c>
      <c r="C79" s="91" t="s">
        <v>123</v>
      </c>
      <c r="D79" s="69" t="s">
        <v>105</v>
      </c>
      <c r="E79" s="69" t="s">
        <v>105</v>
      </c>
      <c r="F79" s="67" t="s">
        <v>153</v>
      </c>
      <c r="G79" s="75">
        <f>'Main Tree'!$F$32*'Main Tree'!$F$30*'Main Tree'!$L$30*'Main Tree'!$D$40*'Main Tree'!$F$28</f>
        <v>0</v>
      </c>
      <c r="H79" s="103">
        <f>G79*'Main Tree'!$H$33</f>
        <v>0</v>
      </c>
      <c r="I79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79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UrbanNoneNoneN/AYes</v>
      </c>
      <c r="K79" s="133">
        <f>VLOOKUP(Table1[[#This Row],['[Reference Only']
Vlookup Index]],Table2[['[EH']
Vlookup Index]:['[EH']
Lives Saved]],19,0)</f>
        <v>0</v>
      </c>
      <c r="L79" s="133">
        <f>VLOOKUP(Table1[[#This Row],['[Reference Only']
Vlookup Index]],Table2[['[EH']
Vlookup Index]:['[EH']
Lives Lost]],20,0)</f>
        <v>503.49006539125202</v>
      </c>
      <c r="M79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79" s="127">
        <f>Table1[[#This Row],[Human Lives Saved]]*Table1[[#This Row],[Mean Rate of Events / Week]]</f>
        <v>0</v>
      </c>
      <c r="O79" s="127">
        <f>Table1[[#This Row],[Human Lives Lost]]*Table1[[#This Row],[Mean Rate of Events / Week]]</f>
        <v>0</v>
      </c>
      <c r="P79" s="138">
        <f>Table1[[#This Row],[$ Invested in Technology
(Purchase + Deploy Once)]]*Table1[[#This Row],[Mean Rate of Events / Week]]</f>
        <v>0</v>
      </c>
    </row>
    <row r="80" spans="1:16" x14ac:dyDescent="0.3">
      <c r="A80" s="70" t="s">
        <v>126</v>
      </c>
      <c r="B80" s="72" t="s">
        <v>122</v>
      </c>
      <c r="C80" s="91" t="s">
        <v>123</v>
      </c>
      <c r="D80" s="78" t="s">
        <v>113</v>
      </c>
      <c r="E80" s="64" t="s">
        <v>112</v>
      </c>
      <c r="F80" s="66" t="s">
        <v>204</v>
      </c>
      <c r="G80" s="75">
        <f>'Main Tree'!$F$32*'Main Tree'!$F$30*'Main Tree'!$L$31*'Main Tree'!$D$38*'Main Tree'!$F$28*'Main Tree'!$D$36</f>
        <v>1.5936479999999992E-3</v>
      </c>
      <c r="H80" s="103">
        <f>G80*'Main Tree'!$H$33</f>
        <v>6.7251945599999964E-5</v>
      </c>
      <c r="I80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80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UrbanMediumHighN/ANo</v>
      </c>
      <c r="K80" s="133">
        <f>VLOOKUP(Table1[[#This Row],['[Reference Only']
Vlookup Index]],Table2[['[EH']
Vlookup Index]:['[EH']
Lives Saved]],19,0)</f>
        <v>3422.3657163382172</v>
      </c>
      <c r="L80" s="133">
        <f>VLOOKUP(Table1[[#This Row],['[Reference Only']
Vlookup Index]],Table2[['[EH']
Vlookup Index]:['[EH']
Lives Lost]],20,0)</f>
        <v>6577.6342836617823</v>
      </c>
      <c r="M80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80" s="127">
        <f>Table1[[#This Row],[Human Lives Saved]]*Table1[[#This Row],[Mean Rate of Events / Week]]</f>
        <v>0.23016075297848271</v>
      </c>
      <c r="O80" s="127">
        <f>Table1[[#This Row],[Human Lives Lost]]*Table1[[#This Row],[Mean Rate of Events / Week]]</f>
        <v>0.44235870302151692</v>
      </c>
      <c r="P80" s="138">
        <f>Table1[[#This Row],[$ Invested in Technology
(Purchase + Deploy Once)]]*Table1[[#This Row],[Mean Rate of Events / Week]]</f>
        <v>337.26850718399982</v>
      </c>
    </row>
    <row r="81" spans="1:16" x14ac:dyDescent="0.3">
      <c r="A81" s="70" t="s">
        <v>126</v>
      </c>
      <c r="B81" s="72" t="s">
        <v>122</v>
      </c>
      <c r="C81" s="91" t="s">
        <v>123</v>
      </c>
      <c r="D81" s="77" t="s">
        <v>112</v>
      </c>
      <c r="E81" s="64" t="s">
        <v>112</v>
      </c>
      <c r="F81" s="66" t="s">
        <v>204</v>
      </c>
      <c r="G81" s="75">
        <f>'Main Tree'!$F$32*'Main Tree'!$F$30*'Main Tree'!$L$31*'Main Tree'!$D$38*'Main Tree'!$F$28*'Main Tree'!$D$35</f>
        <v>2.140041599999999E-3</v>
      </c>
      <c r="H81" s="103">
        <f>G81*'Main Tree'!$H$33</f>
        <v>9.0309755519999961E-5</v>
      </c>
      <c r="I81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81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UrbanHighHighN/ANo</v>
      </c>
      <c r="K81" s="133">
        <f>VLOOKUP(Table1[[#This Row],['[Reference Only']
Vlookup Index]],Table2[['[EH']
Vlookup Index]:['[EH']
Lives Saved]],19,0)</f>
        <v>992.17314750707385</v>
      </c>
      <c r="L81" s="133">
        <f>VLOOKUP(Table1[[#This Row],['[Reference Only']
Vlookup Index]],Table2[['[EH']
Vlookup Index]:['[EH']
Lives Lost]],20,0)</f>
        <v>9007.8268524929263</v>
      </c>
      <c r="M81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81" s="127">
        <f>Table1[[#This Row],[Human Lives Saved]]*Table1[[#This Row],[Mean Rate of Events / Week]]</f>
        <v>8.9602914384872695E-2</v>
      </c>
      <c r="O81" s="127">
        <f>Table1[[#This Row],[Human Lives Lost]]*Table1[[#This Row],[Mean Rate of Events / Week]]</f>
        <v>0.8134946408151269</v>
      </c>
      <c r="P81" s="138">
        <f>Table1[[#This Row],[$ Invested in Technology
(Purchase + Deploy Once)]]*Table1[[#This Row],[Mean Rate of Events / Week]]</f>
        <v>452.9034239327998</v>
      </c>
    </row>
    <row r="82" spans="1:16" x14ac:dyDescent="0.3">
      <c r="A82" s="70" t="s">
        <v>126</v>
      </c>
      <c r="B82" s="72" t="s">
        <v>122</v>
      </c>
      <c r="C82" s="91" t="s">
        <v>123</v>
      </c>
      <c r="D82" s="79" t="s">
        <v>114</v>
      </c>
      <c r="E82" s="64" t="s">
        <v>112</v>
      </c>
      <c r="F82" s="66" t="s">
        <v>204</v>
      </c>
      <c r="G82" s="75">
        <f>'Main Tree'!$F$32*'Main Tree'!$F$30*'Main Tree'!$L$31*'Main Tree'!$D$38*'Main Tree'!$F$28*'Main Tree'!$D$37</f>
        <v>8.1959039999999963E-4</v>
      </c>
      <c r="H82" s="103">
        <f>G82*'Main Tree'!$H$33</f>
        <v>3.4586714879999988E-5</v>
      </c>
      <c r="I82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82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UrbanLowHighN/ANo</v>
      </c>
      <c r="K82" s="133">
        <f>VLOOKUP(Table1[[#This Row],['[Reference Only']
Vlookup Index]],Table2[['[EH']
Vlookup Index]:['[EH']
Lives Saved]],19,0)</f>
        <v>6833.0245980411382</v>
      </c>
      <c r="L82" s="133">
        <f>VLOOKUP(Table1[[#This Row],['[Reference Only']
Vlookup Index]],Table2[['[EH']
Vlookup Index]:['[EH']
Lives Lost]],20,0)</f>
        <v>3166.9754019588618</v>
      </c>
      <c r="M82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82" s="127">
        <f>Table1[[#This Row],[Human Lives Saved]]*Table1[[#This Row],[Mean Rate of Events / Week]]</f>
        <v>0.23633187354047538</v>
      </c>
      <c r="O82" s="127">
        <f>Table1[[#This Row],[Human Lives Lost]]*Table1[[#This Row],[Mean Rate of Events / Week]]</f>
        <v>0.10953527525952451</v>
      </c>
      <c r="P82" s="138">
        <f>Table1[[#This Row],[$ Invested in Technology
(Purchase + Deploy Once)]]*Table1[[#This Row],[Mean Rate of Events / Week]]</f>
        <v>173.45237512319994</v>
      </c>
    </row>
    <row r="83" spans="1:16" x14ac:dyDescent="0.3">
      <c r="A83" s="70" t="s">
        <v>126</v>
      </c>
      <c r="B83" s="72" t="s">
        <v>122</v>
      </c>
      <c r="C83" s="91" t="s">
        <v>123</v>
      </c>
      <c r="D83" s="78" t="s">
        <v>113</v>
      </c>
      <c r="E83" s="65" t="s">
        <v>114</v>
      </c>
      <c r="F83" s="66" t="s">
        <v>204</v>
      </c>
      <c r="G83" s="75">
        <f>'Main Tree'!$F$32*'Main Tree'!$F$30*'Main Tree'!$L$31*'Main Tree'!$D$39*'Main Tree'!$F$28*'Main Tree'!$D$36</f>
        <v>5.0465519999999976E-3</v>
      </c>
      <c r="H83" s="103">
        <f>G83*'Main Tree'!$H$33</f>
        <v>2.1296449439999989E-4</v>
      </c>
      <c r="I83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8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UrbanMediumLowN/ANo</v>
      </c>
      <c r="K83" s="133">
        <f>VLOOKUP(Table1[[#This Row],['[Reference Only']
Vlookup Index]],Table2[['[EH']
Vlookup Index]:['[EH']
Lives Saved]],19,0)</f>
        <v>7388.7317455446691</v>
      </c>
      <c r="L83" s="133">
        <f>VLOOKUP(Table1[[#This Row],['[Reference Only']
Vlookup Index]],Table2[['[EH']
Vlookup Index]:['[EH']
Lives Lost]],20,0)</f>
        <v>2611.2682544553309</v>
      </c>
      <c r="M8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83" s="127">
        <f>Table1[[#This Row],[Human Lives Saved]]*Table1[[#This Row],[Mean Rate of Events / Week]]</f>
        <v>1.5735375204471491</v>
      </c>
      <c r="O83" s="127">
        <f>Table1[[#This Row],[Human Lives Lost]]*Table1[[#This Row],[Mean Rate of Events / Week]]</f>
        <v>0.55610742355284981</v>
      </c>
      <c r="P83" s="138">
        <f>Table1[[#This Row],[$ Invested in Technology
(Purchase + Deploy Once)]]*Table1[[#This Row],[Mean Rate of Events / Week]]</f>
        <v>1068.0169394159996</v>
      </c>
    </row>
    <row r="84" spans="1:16" x14ac:dyDescent="0.3">
      <c r="A84" s="70" t="s">
        <v>126</v>
      </c>
      <c r="B84" s="72" t="s">
        <v>122</v>
      </c>
      <c r="C84" s="91" t="s">
        <v>123</v>
      </c>
      <c r="D84" s="77" t="s">
        <v>112</v>
      </c>
      <c r="E84" s="65" t="s">
        <v>114</v>
      </c>
      <c r="F84" s="66" t="s">
        <v>204</v>
      </c>
      <c r="G84" s="75">
        <f>'Main Tree'!$F$32*'Main Tree'!$F$30*'Main Tree'!$L$31*'Main Tree'!$D$39*'Main Tree'!$F$28*'Main Tree'!$D$35</f>
        <v>6.7767983999999972E-3</v>
      </c>
      <c r="H84" s="103">
        <f>G84*'Main Tree'!$H$33</f>
        <v>2.8598089247999987E-4</v>
      </c>
      <c r="I84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8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UrbanHighLowN/ANo</v>
      </c>
      <c r="K84" s="133">
        <f>VLOOKUP(Table1[[#This Row],['[Reference Only']
Vlookup Index]],Table2[['[EH']
Vlookup Index]:['[EH']
Lives Saved]],19,0)</f>
        <v>4348.2083089304515</v>
      </c>
      <c r="L84" s="133">
        <f>VLOOKUP(Table1[[#This Row],['[Reference Only']
Vlookup Index]],Table2[['[EH']
Vlookup Index]:['[EH']
Lives Lost]],20,0)</f>
        <v>5651.7916910695485</v>
      </c>
      <c r="M8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84" s="127">
        <f>Table1[[#This Row],[Human Lives Saved]]*Table1[[#This Row],[Mean Rate of Events / Week]]</f>
        <v>1.2435044928768815</v>
      </c>
      <c r="O84" s="127">
        <f>Table1[[#This Row],[Human Lives Lost]]*Table1[[#This Row],[Mean Rate of Events / Week]]</f>
        <v>1.6163044319231172</v>
      </c>
      <c r="P84" s="138">
        <f>Table1[[#This Row],[$ Invested in Technology
(Purchase + Deploy Once)]]*Table1[[#This Row],[Mean Rate of Events / Week]]</f>
        <v>1434.1941757871994</v>
      </c>
    </row>
    <row r="85" spans="1:16" x14ac:dyDescent="0.3">
      <c r="A85" s="70" t="s">
        <v>126</v>
      </c>
      <c r="B85" s="72" t="s">
        <v>122</v>
      </c>
      <c r="C85" s="91" t="s">
        <v>123</v>
      </c>
      <c r="D85" s="79" t="s">
        <v>114</v>
      </c>
      <c r="E85" s="65" t="s">
        <v>114</v>
      </c>
      <c r="F85" s="66" t="s">
        <v>204</v>
      </c>
      <c r="G85" s="75">
        <f>'Main Tree'!$F$32*'Main Tree'!$F$30*'Main Tree'!$L$31*'Main Tree'!$D$39*'Main Tree'!$F$28*'Main Tree'!$D$37</f>
        <v>2.5953695999999991E-3</v>
      </c>
      <c r="H85" s="103">
        <f>G85*'Main Tree'!$H$33</f>
        <v>1.0952459711999996E-4</v>
      </c>
      <c r="I85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85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UrbanLowLowN/ANo</v>
      </c>
      <c r="K85" s="133">
        <f>VLOOKUP(Table1[[#This Row],['[Reference Only']
Vlookup Index]],Table2[['[EH']
Vlookup Index]:['[EH']
Lives Saved]],19,0)</f>
        <v>8960.5718609431933</v>
      </c>
      <c r="L85" s="133">
        <f>VLOOKUP(Table1[[#This Row],['[Reference Only']
Vlookup Index]],Table2[['[EH']
Vlookup Index]:['[EH']
Lives Lost]],20,0)</f>
        <v>1039.4281390568067</v>
      </c>
      <c r="M85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85" s="127">
        <f>Table1[[#This Row],[Human Lives Saved]]*Table1[[#This Row],[Mean Rate of Events / Week]]</f>
        <v>0.98140302303461158</v>
      </c>
      <c r="O85" s="127">
        <f>Table1[[#This Row],[Human Lives Lost]]*Table1[[#This Row],[Mean Rate of Events / Week]]</f>
        <v>0.11384294816538805</v>
      </c>
      <c r="P85" s="138">
        <f>Table1[[#This Row],[$ Invested in Technology
(Purchase + Deploy Once)]]*Table1[[#This Row],[Mean Rate of Events / Week]]</f>
        <v>549.26585455679981</v>
      </c>
    </row>
    <row r="86" spans="1:16" x14ac:dyDescent="0.3">
      <c r="A86" s="70" t="s">
        <v>126</v>
      </c>
      <c r="B86" s="72" t="s">
        <v>122</v>
      </c>
      <c r="C86" s="91" t="s">
        <v>123</v>
      </c>
      <c r="D86" s="69" t="s">
        <v>105</v>
      </c>
      <c r="E86" s="69" t="s">
        <v>105</v>
      </c>
      <c r="F86" s="66" t="s">
        <v>204</v>
      </c>
      <c r="G86" s="75">
        <f>'Main Tree'!$F$32*'Main Tree'!$F$30*'Main Tree'!$L$31*'Main Tree'!$D$40*'Main Tree'!$F$28</f>
        <v>0</v>
      </c>
      <c r="H86" s="103">
        <f>G86*'Main Tree'!$H$33</f>
        <v>0</v>
      </c>
      <c r="I86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86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UrbanNoneNoneN/ANo</v>
      </c>
      <c r="K86" s="133">
        <f>VLOOKUP(Table1[[#This Row],['[Reference Only']
Vlookup Index]],Table2[['[EH']
Vlookup Index]:['[EH']
Lives Saved]],19,0)</f>
        <v>0</v>
      </c>
      <c r="L86" s="133">
        <f>VLOOKUP(Table1[[#This Row],['[Reference Only']
Vlookup Index]],Table2[['[EH']
Vlookup Index]:['[EH']
Lives Lost]],20,0)</f>
        <v>0</v>
      </c>
      <c r="M86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5015000</v>
      </c>
      <c r="N86" s="127">
        <f>Table1[[#This Row],[Human Lives Saved]]*Table1[[#This Row],[Mean Rate of Events / Week]]</f>
        <v>0</v>
      </c>
      <c r="O86" s="127">
        <f>Table1[[#This Row],[Human Lives Lost]]*Table1[[#This Row],[Mean Rate of Events / Week]]</f>
        <v>0</v>
      </c>
      <c r="P86" s="138">
        <f>Table1[[#This Row],[$ Invested in Technology
(Purchase + Deploy Once)]]*Table1[[#This Row],[Mean Rate of Events / Week]]</f>
        <v>0</v>
      </c>
    </row>
    <row r="87" spans="1:16" x14ac:dyDescent="0.3">
      <c r="A87" s="70" t="s">
        <v>126</v>
      </c>
      <c r="B87" s="71" t="s">
        <v>121</v>
      </c>
      <c r="C87" s="96" t="s">
        <v>124</v>
      </c>
      <c r="D87" s="77" t="s">
        <v>112</v>
      </c>
      <c r="E87" s="64" t="s">
        <v>112</v>
      </c>
      <c r="F87" s="67" t="s">
        <v>153</v>
      </c>
      <c r="G87" s="74">
        <f>'Main Tree'!$F$29*'Main Tree'!$F$33*'Main Tree'!$L$32*'Main Tree'!$D$38*'Main Tree'!$F$28*'Main Tree'!$D$35</f>
        <v>0</v>
      </c>
      <c r="H87" s="103">
        <f>G87*'Main Tree'!$H$33</f>
        <v>0</v>
      </c>
      <c r="I87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87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UrbanHighHigh0Yes</v>
      </c>
      <c r="K87" s="133">
        <f>VLOOKUP(Table1[[#This Row],['[Reference Only']
Vlookup Index]],Table2[['[EH']
Vlookup Index]:['[EH']
Lives Saved]],19,0)</f>
        <v>1922.7287676525709</v>
      </c>
      <c r="L87" s="133">
        <f>VLOOKUP(Table1[[#This Row],['[Reference Only']
Vlookup Index]],Table2[['[EH']
Vlookup Index]:['[EH']
Lives Lost]],20,0)</f>
        <v>8077.2712323474288</v>
      </c>
      <c r="M87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87" s="127">
        <f>Table1[[#This Row],[Human Lives Saved]]*Table1[[#This Row],[Mean Rate of Events / Week]]</f>
        <v>0</v>
      </c>
      <c r="O87" s="127">
        <f>Table1[[#This Row],[Human Lives Lost]]*Table1[[#This Row],[Mean Rate of Events / Week]]</f>
        <v>0</v>
      </c>
      <c r="P87" s="138">
        <f>Table1[[#This Row],[$ Invested in Technology
(Purchase + Deploy Once)]]*Table1[[#This Row],[Mean Rate of Events / Week]]</f>
        <v>0</v>
      </c>
    </row>
    <row r="88" spans="1:16" x14ac:dyDescent="0.3">
      <c r="A88" s="70" t="s">
        <v>126</v>
      </c>
      <c r="B88" s="71" t="s">
        <v>121</v>
      </c>
      <c r="C88" s="96" t="s">
        <v>124</v>
      </c>
      <c r="D88" s="79" t="s">
        <v>114</v>
      </c>
      <c r="E88" s="64" t="s">
        <v>112</v>
      </c>
      <c r="F88" s="67" t="s">
        <v>153</v>
      </c>
      <c r="G88" s="74">
        <f>'Main Tree'!$F$29*'Main Tree'!$F$33*'Main Tree'!$L$32*'Main Tree'!$D$38*'Main Tree'!$F$28*'Main Tree'!$D$37</f>
        <v>0</v>
      </c>
      <c r="H88" s="103">
        <f>G88*'Main Tree'!$H$33</f>
        <v>0</v>
      </c>
      <c r="I88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88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UrbanLowHigh0Yes</v>
      </c>
      <c r="K88" s="133">
        <f>VLOOKUP(Table1[[#This Row],['[Reference Only']
Vlookup Index]],Table2[['[EH']
Vlookup Index]:['[EH']
Lives Saved]],19,0)</f>
        <v>6926.3724243360948</v>
      </c>
      <c r="L88" s="133">
        <f>VLOOKUP(Table1[[#This Row],['[Reference Only']
Vlookup Index]],Table2[['[EH']
Vlookup Index]:['[EH']
Lives Lost]],20,0)</f>
        <v>3073.6275756639052</v>
      </c>
      <c r="M88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88" s="127">
        <f>Table1[[#This Row],[Human Lives Saved]]*Table1[[#This Row],[Mean Rate of Events / Week]]</f>
        <v>0</v>
      </c>
      <c r="O88" s="127">
        <f>Table1[[#This Row],[Human Lives Lost]]*Table1[[#This Row],[Mean Rate of Events / Week]]</f>
        <v>0</v>
      </c>
      <c r="P88" s="138">
        <f>Table1[[#This Row],[$ Invested in Technology
(Purchase + Deploy Once)]]*Table1[[#This Row],[Mean Rate of Events / Week]]</f>
        <v>0</v>
      </c>
    </row>
    <row r="89" spans="1:16" x14ac:dyDescent="0.3">
      <c r="A89" s="70" t="s">
        <v>126</v>
      </c>
      <c r="B89" s="71" t="s">
        <v>121</v>
      </c>
      <c r="C89" s="96" t="s">
        <v>124</v>
      </c>
      <c r="D89" s="78" t="s">
        <v>113</v>
      </c>
      <c r="E89" s="64" t="s">
        <v>112</v>
      </c>
      <c r="F89" s="67" t="s">
        <v>153</v>
      </c>
      <c r="G89" s="74">
        <f>'Main Tree'!$F$29*'Main Tree'!$F$33*'Main Tree'!$L$32*'Main Tree'!$D$38*'Main Tree'!$F$28*'Main Tree'!$D$36</f>
        <v>0</v>
      </c>
      <c r="H89" s="103">
        <f>G89*'Main Tree'!$H$33</f>
        <v>0</v>
      </c>
      <c r="I89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89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UrbanMediumHigh0Yes</v>
      </c>
      <c r="K89" s="133">
        <f>VLOOKUP(Table1[[#This Row],['[Reference Only']
Vlookup Index]],Table2[['[EH']
Vlookup Index]:['[EH']
Lives Saved]],19,0)</f>
        <v>6647.2999234881972</v>
      </c>
      <c r="L89" s="133">
        <f>VLOOKUP(Table1[[#This Row],['[Reference Only']
Vlookup Index]],Table2[['[EH']
Vlookup Index]:['[EH']
Lives Lost]],20,0)</f>
        <v>3352.7000765118028</v>
      </c>
      <c r="M89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89" s="127">
        <f>Table1[[#This Row],[Human Lives Saved]]*Table1[[#This Row],[Mean Rate of Events / Week]]</f>
        <v>0</v>
      </c>
      <c r="O89" s="127">
        <f>Table1[[#This Row],[Human Lives Lost]]*Table1[[#This Row],[Mean Rate of Events / Week]]</f>
        <v>0</v>
      </c>
      <c r="P89" s="138">
        <f>Table1[[#This Row],[$ Invested in Technology
(Purchase + Deploy Once)]]*Table1[[#This Row],[Mean Rate of Events / Week]]</f>
        <v>0</v>
      </c>
    </row>
    <row r="90" spans="1:16" x14ac:dyDescent="0.3">
      <c r="A90" s="70" t="s">
        <v>126</v>
      </c>
      <c r="B90" s="71" t="s">
        <v>121</v>
      </c>
      <c r="C90" s="96" t="s">
        <v>124</v>
      </c>
      <c r="D90" s="77" t="s">
        <v>112</v>
      </c>
      <c r="E90" s="65" t="s">
        <v>114</v>
      </c>
      <c r="F90" s="67" t="s">
        <v>153</v>
      </c>
      <c r="G90" s="74">
        <f>'Main Tree'!$F$29*'Main Tree'!$F$33*'Main Tree'!$L$32*'Main Tree'!$D$39*'Main Tree'!$F$28*'Main Tree'!$D$35</f>
        <v>0</v>
      </c>
      <c r="H90" s="103">
        <f>G90*'Main Tree'!$H$33</f>
        <v>0</v>
      </c>
      <c r="I90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90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UrbanHighLow0Yes</v>
      </c>
      <c r="K90" s="133">
        <f>VLOOKUP(Table1[[#This Row],['[Reference Only']
Vlookup Index]],Table2[['[EH']
Vlookup Index]:['[EH']
Lives Saved]],19,0)</f>
        <v>6289.2453769687854</v>
      </c>
      <c r="L90" s="133">
        <f>VLOOKUP(Table1[[#This Row],['[Reference Only']
Vlookup Index]],Table2[['[EH']
Vlookup Index]:['[EH']
Lives Lost]],20,0)</f>
        <v>3710.7546230312146</v>
      </c>
      <c r="M90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90" s="127">
        <f>Table1[[#This Row],[Human Lives Saved]]*Table1[[#This Row],[Mean Rate of Events / Week]]</f>
        <v>0</v>
      </c>
      <c r="O90" s="127">
        <f>Table1[[#This Row],[Human Lives Lost]]*Table1[[#This Row],[Mean Rate of Events / Week]]</f>
        <v>0</v>
      </c>
      <c r="P90" s="138">
        <f>Table1[[#This Row],[$ Invested in Technology
(Purchase + Deploy Once)]]*Table1[[#This Row],[Mean Rate of Events / Week]]</f>
        <v>0</v>
      </c>
    </row>
    <row r="91" spans="1:16" x14ac:dyDescent="0.3">
      <c r="A91" s="70" t="s">
        <v>126</v>
      </c>
      <c r="B91" s="71" t="s">
        <v>121</v>
      </c>
      <c r="C91" s="96" t="s">
        <v>124</v>
      </c>
      <c r="D91" s="79" t="s">
        <v>114</v>
      </c>
      <c r="E91" s="65" t="s">
        <v>114</v>
      </c>
      <c r="F91" s="67" t="s">
        <v>153</v>
      </c>
      <c r="G91" s="74">
        <f>'Main Tree'!$F$29*'Main Tree'!$F$33*'Main Tree'!$L$32*'Main Tree'!$D$39*'Main Tree'!$F$28*'Main Tree'!$D$37</f>
        <v>0</v>
      </c>
      <c r="H91" s="103">
        <f>G91*'Main Tree'!$H$33</f>
        <v>0</v>
      </c>
      <c r="I91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91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UrbanLowLow0Yes</v>
      </c>
      <c r="K91" s="133">
        <f>VLOOKUP(Table1[[#This Row],['[Reference Only']
Vlookup Index]],Table2[['[EH']
Vlookup Index]:['[EH']
Lives Saved]],19,0)</f>
        <v>8455.1954584764208</v>
      </c>
      <c r="L91" s="133">
        <f>VLOOKUP(Table1[[#This Row],['[Reference Only']
Vlookup Index]],Table2[['[EH']
Vlookup Index]:['[EH']
Lives Lost]],20,0)</f>
        <v>1544.8045415235792</v>
      </c>
      <c r="M91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91" s="127">
        <f>Table1[[#This Row],[Human Lives Saved]]*Table1[[#This Row],[Mean Rate of Events / Week]]</f>
        <v>0</v>
      </c>
      <c r="O91" s="127">
        <f>Table1[[#This Row],[Human Lives Lost]]*Table1[[#This Row],[Mean Rate of Events / Week]]</f>
        <v>0</v>
      </c>
      <c r="P91" s="138">
        <f>Table1[[#This Row],[$ Invested in Technology
(Purchase + Deploy Once)]]*Table1[[#This Row],[Mean Rate of Events / Week]]</f>
        <v>0</v>
      </c>
    </row>
    <row r="92" spans="1:16" x14ac:dyDescent="0.3">
      <c r="A92" s="70" t="s">
        <v>126</v>
      </c>
      <c r="B92" s="71" t="s">
        <v>121</v>
      </c>
      <c r="C92" s="96" t="s">
        <v>124</v>
      </c>
      <c r="D92" s="78" t="s">
        <v>113</v>
      </c>
      <c r="E92" s="65" t="s">
        <v>114</v>
      </c>
      <c r="F92" s="67" t="s">
        <v>153</v>
      </c>
      <c r="G92" s="74">
        <f>'Main Tree'!$F$29*'Main Tree'!$F$33*'Main Tree'!$L$32*'Main Tree'!$D$39*'Main Tree'!$F$28*'Main Tree'!$D$36</f>
        <v>0</v>
      </c>
      <c r="H92" s="103">
        <f>G92*'Main Tree'!$H$33</f>
        <v>0</v>
      </c>
      <c r="I92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92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UrbanMediumLow0Yes</v>
      </c>
      <c r="K92" s="133">
        <f>VLOOKUP(Table1[[#This Row],['[Reference Only']
Vlookup Index]],Table2[['[EH']
Vlookup Index]:['[EH']
Lives Saved]],19,0)</f>
        <v>8225.0683047671155</v>
      </c>
      <c r="L92" s="133">
        <f>VLOOKUP(Table1[[#This Row],['[Reference Only']
Vlookup Index]],Table2[['[EH']
Vlookup Index]:['[EH']
Lives Lost]],20,0)</f>
        <v>1774.9316952328845</v>
      </c>
      <c r="M92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92" s="127">
        <f>Table1[[#This Row],[Human Lives Saved]]*Table1[[#This Row],[Mean Rate of Events / Week]]</f>
        <v>0</v>
      </c>
      <c r="O92" s="127">
        <f>Table1[[#This Row],[Human Lives Lost]]*Table1[[#This Row],[Mean Rate of Events / Week]]</f>
        <v>0</v>
      </c>
      <c r="P92" s="138">
        <f>Table1[[#This Row],[$ Invested in Technology
(Purchase + Deploy Once)]]*Table1[[#This Row],[Mean Rate of Events / Week]]</f>
        <v>0</v>
      </c>
    </row>
    <row r="93" spans="1:16" x14ac:dyDescent="0.3">
      <c r="A93" s="70" t="s">
        <v>126</v>
      </c>
      <c r="B93" s="71" t="s">
        <v>121</v>
      </c>
      <c r="C93" s="96" t="s">
        <v>124</v>
      </c>
      <c r="D93" s="69" t="s">
        <v>105</v>
      </c>
      <c r="E93" s="69" t="s">
        <v>105</v>
      </c>
      <c r="F93" s="67" t="s">
        <v>153</v>
      </c>
      <c r="G93" s="75">
        <f>'Main Tree'!$F$29*'Main Tree'!$F$33*'Main Tree'!$L$32*'Main Tree'!$D$40*'Main Tree'!$F$28</f>
        <v>0</v>
      </c>
      <c r="H93" s="103">
        <f>G93*'Main Tree'!$H$33</f>
        <v>0</v>
      </c>
      <c r="I93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9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UrbanNoneNoneN/AYes</v>
      </c>
      <c r="K93" s="133">
        <f>VLOOKUP(Table1[[#This Row],['[Reference Only']
Vlookup Index]],Table2[['[EH']
Vlookup Index]:['[EH']
Lives Saved]],19,0)</f>
        <v>0</v>
      </c>
      <c r="L93" s="133">
        <f>VLOOKUP(Table1[[#This Row],['[Reference Only']
Vlookup Index]],Table2[['[EH']
Vlookup Index]:['[EH']
Lives Lost]],20,0)</f>
        <v>503.49006539125202</v>
      </c>
      <c r="M9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93" s="127">
        <f>Table1[[#This Row],[Human Lives Saved]]*Table1[[#This Row],[Mean Rate of Events / Week]]</f>
        <v>0</v>
      </c>
      <c r="O93" s="127">
        <f>Table1[[#This Row],[Human Lives Lost]]*Table1[[#This Row],[Mean Rate of Events / Week]]</f>
        <v>0</v>
      </c>
      <c r="P93" s="138">
        <f>Table1[[#This Row],[$ Invested in Technology
(Purchase + Deploy Once)]]*Table1[[#This Row],[Mean Rate of Events / Week]]</f>
        <v>0</v>
      </c>
    </row>
    <row r="94" spans="1:16" x14ac:dyDescent="0.3">
      <c r="A94" s="70" t="s">
        <v>126</v>
      </c>
      <c r="B94" s="71" t="s">
        <v>121</v>
      </c>
      <c r="C94" s="96" t="s">
        <v>124</v>
      </c>
      <c r="D94" s="78" t="s">
        <v>113</v>
      </c>
      <c r="E94" s="64" t="s">
        <v>112</v>
      </c>
      <c r="F94" s="66" t="s">
        <v>204</v>
      </c>
      <c r="G94" s="74">
        <f>'Main Tree'!$F$29*'Main Tree'!$F$33*'Main Tree'!$L$33*'Main Tree'!$D$38*'Main Tree'!$F$28*'Main Tree'!$D$36</f>
        <v>2.3562E-2</v>
      </c>
      <c r="H94" s="103">
        <f>G94*'Main Tree'!$H$33</f>
        <v>9.943164E-4</v>
      </c>
      <c r="I94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9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UrbanMediumHighN/ANo</v>
      </c>
      <c r="K94" s="133">
        <f>VLOOKUP(Table1[[#This Row],['[Reference Only']
Vlookup Index]],Table2[['[EH']
Vlookup Index]:['[EH']
Lives Saved]],19,0)</f>
        <v>3422.3657163382172</v>
      </c>
      <c r="L94" s="133">
        <f>VLOOKUP(Table1[[#This Row],['[Reference Only']
Vlookup Index]],Table2[['[EH']
Vlookup Index]:['[EH']
Lives Lost]],20,0)</f>
        <v>6577.6342836617823</v>
      </c>
      <c r="M9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94" s="127">
        <f>Table1[[#This Row],[Human Lives Saved]]*Table1[[#This Row],[Mean Rate of Events / Week]]</f>
        <v>3.4029143585528372</v>
      </c>
      <c r="O94" s="127">
        <f>Table1[[#This Row],[Human Lives Lost]]*Table1[[#This Row],[Mean Rate of Events / Week]]</f>
        <v>6.5402496414471623</v>
      </c>
      <c r="P94" s="138">
        <f>Table1[[#This Row],[$ Invested in Technology
(Purchase + Deploy Once)]]*Table1[[#This Row],[Mean Rate of Events / Week]]</f>
        <v>4971.5820000000003</v>
      </c>
    </row>
    <row r="95" spans="1:16" x14ac:dyDescent="0.3">
      <c r="A95" s="70" t="s">
        <v>126</v>
      </c>
      <c r="B95" s="71" t="s">
        <v>121</v>
      </c>
      <c r="C95" s="96" t="s">
        <v>124</v>
      </c>
      <c r="D95" s="77" t="s">
        <v>112</v>
      </c>
      <c r="E95" s="64" t="s">
        <v>112</v>
      </c>
      <c r="F95" s="66" t="s">
        <v>204</v>
      </c>
      <c r="G95" s="74">
        <f>'Main Tree'!$F$29*'Main Tree'!$F$33*'Main Tree'!$L$33*'Main Tree'!$D$38*'Main Tree'!$F$28*'Main Tree'!$D$35</f>
        <v>3.1640399999999999E-2</v>
      </c>
      <c r="H95" s="103">
        <f>G95*'Main Tree'!$H$33</f>
        <v>1.33522488E-3</v>
      </c>
      <c r="I95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95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UrbanHighHighN/ANo</v>
      </c>
      <c r="K95" s="133">
        <f>VLOOKUP(Table1[[#This Row],['[Reference Only']
Vlookup Index]],Table2[['[EH']
Vlookup Index]:['[EH']
Lives Saved]],19,0)</f>
        <v>992.17314750707385</v>
      </c>
      <c r="L95" s="133">
        <f>VLOOKUP(Table1[[#This Row],['[Reference Only']
Vlookup Index]],Table2[['[EH']
Vlookup Index]:['[EH']
Lives Lost]],20,0)</f>
        <v>9007.8268524929263</v>
      </c>
      <c r="M95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95" s="127">
        <f>Table1[[#This Row],[Human Lives Saved]]*Table1[[#This Row],[Mean Rate of Events / Week]]</f>
        <v>1.3247742718193549</v>
      </c>
      <c r="O95" s="127">
        <f>Table1[[#This Row],[Human Lives Lost]]*Table1[[#This Row],[Mean Rate of Events / Week]]</f>
        <v>12.027474528180646</v>
      </c>
      <c r="P95" s="138">
        <f>Table1[[#This Row],[$ Invested in Technology
(Purchase + Deploy Once)]]*Table1[[#This Row],[Mean Rate of Events / Week]]</f>
        <v>6676.1244000000006</v>
      </c>
    </row>
    <row r="96" spans="1:16" x14ac:dyDescent="0.3">
      <c r="A96" s="70" t="s">
        <v>126</v>
      </c>
      <c r="B96" s="71" t="s">
        <v>121</v>
      </c>
      <c r="C96" s="96" t="s">
        <v>124</v>
      </c>
      <c r="D96" s="79" t="s">
        <v>114</v>
      </c>
      <c r="E96" s="64" t="s">
        <v>112</v>
      </c>
      <c r="F96" s="66" t="s">
        <v>204</v>
      </c>
      <c r="G96" s="74">
        <f>'Main Tree'!$F$29*'Main Tree'!$F$33*'Main Tree'!$L$33*'Main Tree'!$D$38*'Main Tree'!$F$28*'Main Tree'!$D$37</f>
        <v>1.2117600000000001E-2</v>
      </c>
      <c r="H96" s="103">
        <f>G96*'Main Tree'!$H$33</f>
        <v>5.1136272000000006E-4</v>
      </c>
      <c r="I96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96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UrbanLowHighN/ANo</v>
      </c>
      <c r="K96" s="133">
        <f>VLOOKUP(Table1[[#This Row],['[Reference Only']
Vlookup Index]],Table2[['[EH']
Vlookup Index]:['[EH']
Lives Saved]],19,0)</f>
        <v>6833.0245980411382</v>
      </c>
      <c r="L96" s="133">
        <f>VLOOKUP(Table1[[#This Row],['[Reference Only']
Vlookup Index]],Table2[['[EH']
Vlookup Index]:['[EH']
Lives Lost]],20,0)</f>
        <v>3166.9754019588618</v>
      </c>
      <c r="M96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96" s="127">
        <f>Table1[[#This Row],[Human Lives Saved]]*Table1[[#This Row],[Mean Rate of Events / Week]]</f>
        <v>3.4941540442812236</v>
      </c>
      <c r="O96" s="127">
        <f>Table1[[#This Row],[Human Lives Lost]]*Table1[[#This Row],[Mean Rate of Events / Week]]</f>
        <v>1.6194731557187771</v>
      </c>
      <c r="P96" s="138">
        <f>Table1[[#This Row],[$ Invested in Technology
(Purchase + Deploy Once)]]*Table1[[#This Row],[Mean Rate of Events / Week]]</f>
        <v>2556.8136000000004</v>
      </c>
    </row>
    <row r="97" spans="1:16" x14ac:dyDescent="0.3">
      <c r="A97" s="70" t="s">
        <v>126</v>
      </c>
      <c r="B97" s="71" t="s">
        <v>121</v>
      </c>
      <c r="C97" s="96" t="s">
        <v>124</v>
      </c>
      <c r="D97" s="78" t="s">
        <v>113</v>
      </c>
      <c r="E97" s="65" t="s">
        <v>114</v>
      </c>
      <c r="F97" s="66" t="s">
        <v>204</v>
      </c>
      <c r="G97" s="75">
        <f>'Main Tree'!$F$29*'Main Tree'!$F$33*'Main Tree'!$L$33*'Main Tree'!$D$39*'Main Tree'!$F$28*'Main Tree'!$D$36</f>
        <v>7.4612999999999999E-2</v>
      </c>
      <c r="H97" s="103">
        <f>G97*'Main Tree'!$H$33</f>
        <v>3.1486686000000001E-3</v>
      </c>
      <c r="I97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97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UrbanMediumLowN/ANo</v>
      </c>
      <c r="K97" s="133">
        <f>VLOOKUP(Table1[[#This Row],['[Reference Only']
Vlookup Index]],Table2[['[EH']
Vlookup Index]:['[EH']
Lives Saved]],19,0)</f>
        <v>7388.7317455446691</v>
      </c>
      <c r="L97" s="133">
        <f>VLOOKUP(Table1[[#This Row],['[Reference Only']
Vlookup Index]],Table2[['[EH']
Vlookup Index]:['[EH']
Lives Lost]],20,0)</f>
        <v>2611.2682544553309</v>
      </c>
      <c r="M97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97" s="127">
        <f>Table1[[#This Row],[Human Lives Saved]]*Table1[[#This Row],[Mean Rate of Events / Week]]</f>
        <v>23.264667641019692</v>
      </c>
      <c r="O97" s="127">
        <f>Table1[[#This Row],[Human Lives Lost]]*Table1[[#This Row],[Mean Rate of Events / Week]]</f>
        <v>8.2220183589803106</v>
      </c>
      <c r="P97" s="138">
        <f>Table1[[#This Row],[$ Invested in Technology
(Purchase + Deploy Once)]]*Table1[[#This Row],[Mean Rate of Events / Week]]</f>
        <v>15743.343000000001</v>
      </c>
    </row>
    <row r="98" spans="1:16" x14ac:dyDescent="0.3">
      <c r="A98" s="70" t="s">
        <v>126</v>
      </c>
      <c r="B98" s="71" t="s">
        <v>121</v>
      </c>
      <c r="C98" s="96" t="s">
        <v>124</v>
      </c>
      <c r="D98" s="77" t="s">
        <v>112</v>
      </c>
      <c r="E98" s="65" t="s">
        <v>114</v>
      </c>
      <c r="F98" s="66" t="s">
        <v>204</v>
      </c>
      <c r="G98" s="75">
        <f>'Main Tree'!$F$29*'Main Tree'!$F$33*'Main Tree'!$L$33*'Main Tree'!$D$39*'Main Tree'!$F$28*'Main Tree'!$D$35</f>
        <v>0.10019459999999999</v>
      </c>
      <c r="H98" s="103">
        <f>G98*'Main Tree'!$H$33</f>
        <v>4.2282121199999998E-3</v>
      </c>
      <c r="I98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98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UrbanHighLowN/ANo</v>
      </c>
      <c r="K98" s="133">
        <f>VLOOKUP(Table1[[#This Row],['[Reference Only']
Vlookup Index]],Table2[['[EH']
Vlookup Index]:['[EH']
Lives Saved]],19,0)</f>
        <v>4348.2083089304515</v>
      </c>
      <c r="L98" s="133">
        <f>VLOOKUP(Table1[[#This Row],['[Reference Only']
Vlookup Index]],Table2[['[EH']
Vlookup Index]:['[EH']
Lives Lost]],20,0)</f>
        <v>5651.7916910695485</v>
      </c>
      <c r="M98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98" s="127">
        <f>Table1[[#This Row],[Human Lives Saved]]*Table1[[#This Row],[Mean Rate of Events / Week]]</f>
        <v>18.385147072104438</v>
      </c>
      <c r="O98" s="127">
        <f>Table1[[#This Row],[Human Lives Lost]]*Table1[[#This Row],[Mean Rate of Events / Week]]</f>
        <v>23.896974127895561</v>
      </c>
      <c r="P98" s="138">
        <f>Table1[[#This Row],[$ Invested in Technology
(Purchase + Deploy Once)]]*Table1[[#This Row],[Mean Rate of Events / Week]]</f>
        <v>21141.060600000001</v>
      </c>
    </row>
    <row r="99" spans="1:16" x14ac:dyDescent="0.3">
      <c r="A99" s="70" t="s">
        <v>126</v>
      </c>
      <c r="B99" s="71" t="s">
        <v>121</v>
      </c>
      <c r="C99" s="96" t="s">
        <v>124</v>
      </c>
      <c r="D99" s="79" t="s">
        <v>114</v>
      </c>
      <c r="E99" s="65" t="s">
        <v>114</v>
      </c>
      <c r="F99" s="66" t="s">
        <v>204</v>
      </c>
      <c r="G99" s="75">
        <f>'Main Tree'!$F$29*'Main Tree'!$F$33*'Main Tree'!$L$33*'Main Tree'!$D$39*'Main Tree'!$F$28*'Main Tree'!$D$37</f>
        <v>3.8372400000000001E-2</v>
      </c>
      <c r="H99" s="103">
        <f>G99*'Main Tree'!$H$33</f>
        <v>1.61931528E-3</v>
      </c>
      <c r="I99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99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UrbanLowLowN/ANo</v>
      </c>
      <c r="K99" s="133">
        <f>VLOOKUP(Table1[[#This Row],['[Reference Only']
Vlookup Index]],Table2[['[EH']
Vlookup Index]:['[EH']
Lives Saved]],19,0)</f>
        <v>8960.5718609431933</v>
      </c>
      <c r="L99" s="133">
        <f>VLOOKUP(Table1[[#This Row],['[Reference Only']
Vlookup Index]],Table2[['[EH']
Vlookup Index]:['[EH']
Lives Lost]],20,0)</f>
        <v>1039.4281390568067</v>
      </c>
      <c r="M99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99" s="127">
        <f>Table1[[#This Row],[Human Lives Saved]]*Table1[[#This Row],[Mean Rate of Events / Week]]</f>
        <v>14.509990931963349</v>
      </c>
      <c r="O99" s="127">
        <f>Table1[[#This Row],[Human Lives Lost]]*Table1[[#This Row],[Mean Rate of Events / Week]]</f>
        <v>1.6831618680366518</v>
      </c>
      <c r="P99" s="138">
        <f>Table1[[#This Row],[$ Invested in Technology
(Purchase + Deploy Once)]]*Table1[[#This Row],[Mean Rate of Events / Week]]</f>
        <v>8096.5763999999999</v>
      </c>
    </row>
    <row r="100" spans="1:16" x14ac:dyDescent="0.3">
      <c r="A100" s="70" t="s">
        <v>126</v>
      </c>
      <c r="B100" s="71" t="s">
        <v>121</v>
      </c>
      <c r="C100" s="96" t="s">
        <v>124</v>
      </c>
      <c r="D100" s="69" t="s">
        <v>105</v>
      </c>
      <c r="E100" s="69" t="s">
        <v>105</v>
      </c>
      <c r="F100" s="66" t="s">
        <v>204</v>
      </c>
      <c r="G100" s="75">
        <f>'Main Tree'!$F$29*'Main Tree'!$F$33*'Main Tree'!$L$33*'Main Tree'!$D$40*'Main Tree'!$F$28</f>
        <v>0</v>
      </c>
      <c r="H100" s="103">
        <f>G100*'Main Tree'!$H$33</f>
        <v>0</v>
      </c>
      <c r="I100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00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UrbanNoneNoneN/ANo</v>
      </c>
      <c r="K100" s="133">
        <f>VLOOKUP(Table1[[#This Row],['[Reference Only']
Vlookup Index]],Table2[['[EH']
Vlookup Index]:['[EH']
Lives Saved]],19,0)</f>
        <v>0</v>
      </c>
      <c r="L100" s="133">
        <f>VLOOKUP(Table1[[#This Row],['[Reference Only']
Vlookup Index]],Table2[['[EH']
Vlookup Index]:['[EH']
Lives Lost]],20,0)</f>
        <v>0</v>
      </c>
      <c r="M100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00" s="127">
        <f>Table1[[#This Row],[Human Lives Saved]]*Table1[[#This Row],[Mean Rate of Events / Week]]</f>
        <v>0</v>
      </c>
      <c r="O100" s="127">
        <f>Table1[[#This Row],[Human Lives Lost]]*Table1[[#This Row],[Mean Rate of Events / Week]]</f>
        <v>0</v>
      </c>
      <c r="P100" s="138">
        <f>Table1[[#This Row],[$ Invested in Technology
(Purchase + Deploy Once)]]*Table1[[#This Row],[Mean Rate of Events / Week]]</f>
        <v>0</v>
      </c>
    </row>
    <row r="101" spans="1:16" x14ac:dyDescent="0.3">
      <c r="A101" s="70" t="s">
        <v>126</v>
      </c>
      <c r="B101" s="72" t="s">
        <v>122</v>
      </c>
      <c r="C101" s="96" t="s">
        <v>124</v>
      </c>
      <c r="D101" s="77" t="s">
        <v>112</v>
      </c>
      <c r="E101" s="64" t="s">
        <v>112</v>
      </c>
      <c r="F101" s="67" t="s">
        <v>153</v>
      </c>
      <c r="G101" s="74">
        <f>'Main Tree'!$F$33*'Main Tree'!$F$32*'Main Tree'!$L$34*'Main Tree'!$D$38*'Main Tree'!$F$28*'Main Tree'!$D$35</f>
        <v>0</v>
      </c>
      <c r="H101" s="103">
        <f>G101*'Main Tree'!$H$33</f>
        <v>0</v>
      </c>
      <c r="I101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101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UrbanHighHigh0Yes</v>
      </c>
      <c r="K101" s="133">
        <f>VLOOKUP(Table1[[#This Row],['[Reference Only']
Vlookup Index]],Table2[['[EH']
Vlookup Index]:['[EH']
Lives Saved]],19,0)</f>
        <v>1922.7287676525709</v>
      </c>
      <c r="L101" s="133">
        <f>VLOOKUP(Table1[[#This Row],['[Reference Only']
Vlookup Index]],Table2[['[EH']
Vlookup Index]:['[EH']
Lives Lost]],20,0)</f>
        <v>8077.2712323474288</v>
      </c>
      <c r="M101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01" s="127">
        <f>Table1[[#This Row],[Human Lives Saved]]*Table1[[#This Row],[Mean Rate of Events / Week]]</f>
        <v>0</v>
      </c>
      <c r="O101" s="127">
        <f>Table1[[#This Row],[Human Lives Lost]]*Table1[[#This Row],[Mean Rate of Events / Week]]</f>
        <v>0</v>
      </c>
      <c r="P101" s="138">
        <f>Table1[[#This Row],[$ Invested in Technology
(Purchase + Deploy Once)]]*Table1[[#This Row],[Mean Rate of Events / Week]]</f>
        <v>0</v>
      </c>
    </row>
    <row r="102" spans="1:16" x14ac:dyDescent="0.3">
      <c r="A102" s="70" t="s">
        <v>126</v>
      </c>
      <c r="B102" s="72" t="s">
        <v>122</v>
      </c>
      <c r="C102" s="96" t="s">
        <v>124</v>
      </c>
      <c r="D102" s="79" t="s">
        <v>114</v>
      </c>
      <c r="E102" s="64" t="s">
        <v>112</v>
      </c>
      <c r="F102" s="67" t="s">
        <v>153</v>
      </c>
      <c r="G102" s="74">
        <f>'Main Tree'!$F$33*'Main Tree'!$F$32*'Main Tree'!$L$34*'Main Tree'!$D$38*'Main Tree'!$F$28*'Main Tree'!$D$37</f>
        <v>0</v>
      </c>
      <c r="H102" s="103">
        <f>G102*'Main Tree'!$H$33</f>
        <v>0</v>
      </c>
      <c r="I102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102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UrbanLowHigh0Yes</v>
      </c>
      <c r="K102" s="133">
        <f>VLOOKUP(Table1[[#This Row],['[Reference Only']
Vlookup Index]],Table2[['[EH']
Vlookup Index]:['[EH']
Lives Saved]],19,0)</f>
        <v>6926.3724243360948</v>
      </c>
      <c r="L102" s="133">
        <f>VLOOKUP(Table1[[#This Row],['[Reference Only']
Vlookup Index]],Table2[['[EH']
Vlookup Index]:['[EH']
Lives Lost]],20,0)</f>
        <v>3073.6275756639052</v>
      </c>
      <c r="M102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02" s="127">
        <f>Table1[[#This Row],[Human Lives Saved]]*Table1[[#This Row],[Mean Rate of Events / Week]]</f>
        <v>0</v>
      </c>
      <c r="O102" s="127">
        <f>Table1[[#This Row],[Human Lives Lost]]*Table1[[#This Row],[Mean Rate of Events / Week]]</f>
        <v>0</v>
      </c>
      <c r="P102" s="138">
        <f>Table1[[#This Row],[$ Invested in Technology
(Purchase + Deploy Once)]]*Table1[[#This Row],[Mean Rate of Events / Week]]</f>
        <v>0</v>
      </c>
    </row>
    <row r="103" spans="1:16" x14ac:dyDescent="0.3">
      <c r="A103" s="70" t="s">
        <v>126</v>
      </c>
      <c r="B103" s="72" t="s">
        <v>122</v>
      </c>
      <c r="C103" s="96" t="s">
        <v>124</v>
      </c>
      <c r="D103" s="78" t="s">
        <v>113</v>
      </c>
      <c r="E103" s="64" t="s">
        <v>112</v>
      </c>
      <c r="F103" s="67" t="s">
        <v>153</v>
      </c>
      <c r="G103" s="74">
        <f>'Main Tree'!$F$33*'Main Tree'!$F$32*'Main Tree'!$L$34*'Main Tree'!$D$38*'Main Tree'!$F$28*'Main Tree'!$D$36</f>
        <v>0</v>
      </c>
      <c r="H103" s="103">
        <f>G103*'Main Tree'!$H$33</f>
        <v>0</v>
      </c>
      <c r="I103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10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UrbanMediumHigh0Yes</v>
      </c>
      <c r="K103" s="133">
        <f>VLOOKUP(Table1[[#This Row],['[Reference Only']
Vlookup Index]],Table2[['[EH']
Vlookup Index]:['[EH']
Lives Saved]],19,0)</f>
        <v>6647.2999234881972</v>
      </c>
      <c r="L103" s="133">
        <f>VLOOKUP(Table1[[#This Row],['[Reference Only']
Vlookup Index]],Table2[['[EH']
Vlookup Index]:['[EH']
Lives Lost]],20,0)</f>
        <v>3352.7000765118028</v>
      </c>
      <c r="M10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03" s="127">
        <f>Table1[[#This Row],[Human Lives Saved]]*Table1[[#This Row],[Mean Rate of Events / Week]]</f>
        <v>0</v>
      </c>
      <c r="O103" s="127">
        <f>Table1[[#This Row],[Human Lives Lost]]*Table1[[#This Row],[Mean Rate of Events / Week]]</f>
        <v>0</v>
      </c>
      <c r="P103" s="138">
        <f>Table1[[#This Row],[$ Invested in Technology
(Purchase + Deploy Once)]]*Table1[[#This Row],[Mean Rate of Events / Week]]</f>
        <v>0</v>
      </c>
    </row>
    <row r="104" spans="1:16" x14ac:dyDescent="0.3">
      <c r="A104" s="70" t="s">
        <v>126</v>
      </c>
      <c r="B104" s="72" t="s">
        <v>122</v>
      </c>
      <c r="C104" s="96" t="s">
        <v>124</v>
      </c>
      <c r="D104" s="77" t="s">
        <v>112</v>
      </c>
      <c r="E104" s="65" t="s">
        <v>114</v>
      </c>
      <c r="F104" s="67" t="s">
        <v>153</v>
      </c>
      <c r="G104" s="74">
        <f>'Main Tree'!$F$33*'Main Tree'!$F$32*'Main Tree'!$L$34*'Main Tree'!$D$39*'Main Tree'!$F$28*'Main Tree'!$D$35</f>
        <v>0</v>
      </c>
      <c r="H104" s="103">
        <f>G104*'Main Tree'!$H$33</f>
        <v>0</v>
      </c>
      <c r="I104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10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UrbanHighLow0Yes</v>
      </c>
      <c r="K104" s="133">
        <f>VLOOKUP(Table1[[#This Row],['[Reference Only']
Vlookup Index]],Table2[['[EH']
Vlookup Index]:['[EH']
Lives Saved]],19,0)</f>
        <v>6289.2453769687854</v>
      </c>
      <c r="L104" s="133">
        <f>VLOOKUP(Table1[[#This Row],['[Reference Only']
Vlookup Index]],Table2[['[EH']
Vlookup Index]:['[EH']
Lives Lost]],20,0)</f>
        <v>3710.7546230312146</v>
      </c>
      <c r="M10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04" s="127">
        <f>Table1[[#This Row],[Human Lives Saved]]*Table1[[#This Row],[Mean Rate of Events / Week]]</f>
        <v>0</v>
      </c>
      <c r="O104" s="127">
        <f>Table1[[#This Row],[Human Lives Lost]]*Table1[[#This Row],[Mean Rate of Events / Week]]</f>
        <v>0</v>
      </c>
      <c r="P104" s="138">
        <f>Table1[[#This Row],[$ Invested in Technology
(Purchase + Deploy Once)]]*Table1[[#This Row],[Mean Rate of Events / Week]]</f>
        <v>0</v>
      </c>
    </row>
    <row r="105" spans="1:16" x14ac:dyDescent="0.3">
      <c r="A105" s="70" t="s">
        <v>126</v>
      </c>
      <c r="B105" s="72" t="s">
        <v>122</v>
      </c>
      <c r="C105" s="96" t="s">
        <v>124</v>
      </c>
      <c r="D105" s="79" t="s">
        <v>114</v>
      </c>
      <c r="E105" s="65" t="s">
        <v>114</v>
      </c>
      <c r="F105" s="67" t="s">
        <v>153</v>
      </c>
      <c r="G105" s="74">
        <f>'Main Tree'!$F$33*'Main Tree'!$F$32*'Main Tree'!$L$34*'Main Tree'!$D$39*'Main Tree'!$F$28*'Main Tree'!$D$37</f>
        <v>0</v>
      </c>
      <c r="H105" s="103">
        <f>G105*'Main Tree'!$H$33</f>
        <v>0</v>
      </c>
      <c r="I105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105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UrbanLowLow0Yes</v>
      </c>
      <c r="K105" s="133">
        <f>VLOOKUP(Table1[[#This Row],['[Reference Only']
Vlookup Index]],Table2[['[EH']
Vlookup Index]:['[EH']
Lives Saved]],19,0)</f>
        <v>8455.1954584764208</v>
      </c>
      <c r="L105" s="133">
        <f>VLOOKUP(Table1[[#This Row],['[Reference Only']
Vlookup Index]],Table2[['[EH']
Vlookup Index]:['[EH']
Lives Lost]],20,0)</f>
        <v>1544.8045415235792</v>
      </c>
      <c r="M105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05" s="127">
        <f>Table1[[#This Row],[Human Lives Saved]]*Table1[[#This Row],[Mean Rate of Events / Week]]</f>
        <v>0</v>
      </c>
      <c r="O105" s="127">
        <f>Table1[[#This Row],[Human Lives Lost]]*Table1[[#This Row],[Mean Rate of Events / Week]]</f>
        <v>0</v>
      </c>
      <c r="P105" s="138">
        <f>Table1[[#This Row],[$ Invested in Technology
(Purchase + Deploy Once)]]*Table1[[#This Row],[Mean Rate of Events / Week]]</f>
        <v>0</v>
      </c>
    </row>
    <row r="106" spans="1:16" x14ac:dyDescent="0.3">
      <c r="A106" s="70" t="s">
        <v>126</v>
      </c>
      <c r="B106" s="72" t="s">
        <v>122</v>
      </c>
      <c r="C106" s="96" t="s">
        <v>124</v>
      </c>
      <c r="D106" s="78" t="s">
        <v>113</v>
      </c>
      <c r="E106" s="65" t="s">
        <v>114</v>
      </c>
      <c r="F106" s="67" t="s">
        <v>153</v>
      </c>
      <c r="G106" s="74">
        <f>'Main Tree'!$F$33*'Main Tree'!$F$32*'Main Tree'!$L$34*'Main Tree'!$D$39*'Main Tree'!$F$28*'Main Tree'!$D$36</f>
        <v>0</v>
      </c>
      <c r="H106" s="103">
        <f>G106*'Main Tree'!$H$33</f>
        <v>0</v>
      </c>
      <c r="I106" s="22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0</v>
      </c>
      <c r="J106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UrbanMediumLow0Yes</v>
      </c>
      <c r="K106" s="133">
        <f>VLOOKUP(Table1[[#This Row],['[Reference Only']
Vlookup Index]],Table2[['[EH']
Vlookup Index]:['[EH']
Lives Saved]],19,0)</f>
        <v>8225.0683047671155</v>
      </c>
      <c r="L106" s="133">
        <f>VLOOKUP(Table1[[#This Row],['[Reference Only']
Vlookup Index]],Table2[['[EH']
Vlookup Index]:['[EH']
Lives Lost]],20,0)</f>
        <v>1774.9316952328845</v>
      </c>
      <c r="M106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06" s="127">
        <f>Table1[[#This Row],[Human Lives Saved]]*Table1[[#This Row],[Mean Rate of Events / Week]]</f>
        <v>0</v>
      </c>
      <c r="O106" s="127">
        <f>Table1[[#This Row],[Human Lives Lost]]*Table1[[#This Row],[Mean Rate of Events / Week]]</f>
        <v>0</v>
      </c>
      <c r="P106" s="138">
        <f>Table1[[#This Row],[$ Invested in Technology
(Purchase + Deploy Once)]]*Table1[[#This Row],[Mean Rate of Events / Week]]</f>
        <v>0</v>
      </c>
    </row>
    <row r="107" spans="1:16" x14ac:dyDescent="0.3">
      <c r="A107" s="70" t="s">
        <v>126</v>
      </c>
      <c r="B107" s="72" t="s">
        <v>122</v>
      </c>
      <c r="C107" s="96" t="s">
        <v>124</v>
      </c>
      <c r="D107" s="69" t="s">
        <v>105</v>
      </c>
      <c r="E107" s="69" t="s">
        <v>105</v>
      </c>
      <c r="F107" s="67" t="s">
        <v>153</v>
      </c>
      <c r="G107" s="75">
        <f>'Main Tree'!$F$33*'Main Tree'!$F$32*'Main Tree'!$L$34*'Main Tree'!$D$40*'Main Tree'!$F$28</f>
        <v>0</v>
      </c>
      <c r="H107" s="103">
        <f>G107*'Main Tree'!$H$33</f>
        <v>0</v>
      </c>
      <c r="I107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07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UrbanNoneNoneN/AYes</v>
      </c>
      <c r="K107" s="133">
        <f>VLOOKUP(Table1[[#This Row],['[Reference Only']
Vlookup Index]],Table2[['[EH']
Vlookup Index]:['[EH']
Lives Saved]],19,0)</f>
        <v>0</v>
      </c>
      <c r="L107" s="133">
        <f>VLOOKUP(Table1[[#This Row],['[Reference Only']
Vlookup Index]],Table2[['[EH']
Vlookup Index]:['[EH']
Lives Lost]],20,0)</f>
        <v>503.49006539125202</v>
      </c>
      <c r="M107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07" s="127">
        <f>Table1[[#This Row],[Human Lives Saved]]*Table1[[#This Row],[Mean Rate of Events / Week]]</f>
        <v>0</v>
      </c>
      <c r="O107" s="127">
        <f>Table1[[#This Row],[Human Lives Lost]]*Table1[[#This Row],[Mean Rate of Events / Week]]</f>
        <v>0</v>
      </c>
      <c r="P107" s="138">
        <f>Table1[[#This Row],[$ Invested in Technology
(Purchase + Deploy Once)]]*Table1[[#This Row],[Mean Rate of Events / Week]]</f>
        <v>0</v>
      </c>
    </row>
    <row r="108" spans="1:16" x14ac:dyDescent="0.3">
      <c r="A108" s="70" t="s">
        <v>126</v>
      </c>
      <c r="B108" s="72" t="s">
        <v>122</v>
      </c>
      <c r="C108" s="96" t="s">
        <v>124</v>
      </c>
      <c r="D108" s="78" t="s">
        <v>113</v>
      </c>
      <c r="E108" s="64" t="s">
        <v>112</v>
      </c>
      <c r="F108" s="66" t="s">
        <v>204</v>
      </c>
      <c r="G108" s="75">
        <f>'Main Tree'!$F$33*'Main Tree'!$F$32*'Main Tree'!$L$35*'Main Tree'!$D$38*'Main Tree'!$F$28*'Main Tree'!$D$36</f>
        <v>1.9277999999999993E-2</v>
      </c>
      <c r="H108" s="103">
        <f>G108*'Main Tree'!$H$33</f>
        <v>8.135315999999997E-4</v>
      </c>
      <c r="I108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08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UrbanMediumHighN/ANo</v>
      </c>
      <c r="K108" s="133">
        <f>VLOOKUP(Table1[[#This Row],['[Reference Only']
Vlookup Index]],Table2[['[EH']
Vlookup Index]:['[EH']
Lives Saved]],19,0)</f>
        <v>3422.3657163382172</v>
      </c>
      <c r="L108" s="133">
        <f>VLOOKUP(Table1[[#This Row],['[Reference Only']
Vlookup Index]],Table2[['[EH']
Vlookup Index]:['[EH']
Lives Lost]],20,0)</f>
        <v>6577.6342836617823</v>
      </c>
      <c r="M108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08" s="127">
        <f>Table1[[#This Row],[Human Lives Saved]]*Table1[[#This Row],[Mean Rate of Events / Week]]</f>
        <v>2.7842026569977749</v>
      </c>
      <c r="O108" s="127">
        <f>Table1[[#This Row],[Human Lives Lost]]*Table1[[#This Row],[Mean Rate of Events / Week]]</f>
        <v>5.351113343002222</v>
      </c>
      <c r="P108" s="138">
        <f>Table1[[#This Row],[$ Invested in Technology
(Purchase + Deploy Once)]]*Table1[[#This Row],[Mean Rate of Events / Week]]</f>
        <v>4067.6579999999985</v>
      </c>
    </row>
    <row r="109" spans="1:16" x14ac:dyDescent="0.3">
      <c r="A109" s="70" t="s">
        <v>126</v>
      </c>
      <c r="B109" s="72" t="s">
        <v>122</v>
      </c>
      <c r="C109" s="96" t="s">
        <v>124</v>
      </c>
      <c r="D109" s="77" t="s">
        <v>112</v>
      </c>
      <c r="E109" s="64" t="s">
        <v>112</v>
      </c>
      <c r="F109" s="66" t="s">
        <v>204</v>
      </c>
      <c r="G109" s="75">
        <f>'Main Tree'!$F$33*'Main Tree'!$F$32*'Main Tree'!$L$35*'Main Tree'!$D$38*'Main Tree'!$F$28*'Main Tree'!$D$35</f>
        <v>2.588759999999999E-2</v>
      </c>
      <c r="H109" s="103">
        <f>G109*'Main Tree'!$H$33</f>
        <v>1.0924567199999996E-3</v>
      </c>
      <c r="I109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09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UrbanHighHighN/ANo</v>
      </c>
      <c r="K109" s="133">
        <f>VLOOKUP(Table1[[#This Row],['[Reference Only']
Vlookup Index]],Table2[['[EH']
Vlookup Index]:['[EH']
Lives Saved]],19,0)</f>
        <v>992.17314750707385</v>
      </c>
      <c r="L109" s="133">
        <f>VLOOKUP(Table1[[#This Row],['[Reference Only']
Vlookup Index]],Table2[['[EH']
Vlookup Index]:['[EH']
Lives Lost]],20,0)</f>
        <v>9007.8268524929263</v>
      </c>
      <c r="M109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09" s="127">
        <f>Table1[[#This Row],[Human Lives Saved]]*Table1[[#This Row],[Mean Rate of Events / Week]]</f>
        <v>1.0839062223976537</v>
      </c>
      <c r="O109" s="127">
        <f>Table1[[#This Row],[Human Lives Lost]]*Table1[[#This Row],[Mean Rate of Events / Week]]</f>
        <v>9.8406609776023419</v>
      </c>
      <c r="P109" s="138">
        <f>Table1[[#This Row],[$ Invested in Technology
(Purchase + Deploy Once)]]*Table1[[#This Row],[Mean Rate of Events / Week]]</f>
        <v>5462.2835999999979</v>
      </c>
    </row>
    <row r="110" spans="1:16" x14ac:dyDescent="0.3">
      <c r="A110" s="70" t="s">
        <v>126</v>
      </c>
      <c r="B110" s="72" t="s">
        <v>122</v>
      </c>
      <c r="C110" s="96" t="s">
        <v>124</v>
      </c>
      <c r="D110" s="79" t="s">
        <v>114</v>
      </c>
      <c r="E110" s="64" t="s">
        <v>112</v>
      </c>
      <c r="F110" s="66" t="s">
        <v>204</v>
      </c>
      <c r="G110" s="75">
        <f>'Main Tree'!$F$33*'Main Tree'!$F$32*'Main Tree'!$L$35*'Main Tree'!$D$38*'Main Tree'!$F$28*'Main Tree'!$D$37</f>
        <v>9.9143999999999968E-3</v>
      </c>
      <c r="H110" s="103">
        <f>G110*'Main Tree'!$H$33</f>
        <v>4.1838767999999988E-4</v>
      </c>
      <c r="I110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10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UrbanLowHighN/ANo</v>
      </c>
      <c r="K110" s="133">
        <f>VLOOKUP(Table1[[#This Row],['[Reference Only']
Vlookup Index]],Table2[['[EH']
Vlookup Index]:['[EH']
Lives Saved]],19,0)</f>
        <v>6833.0245980411382</v>
      </c>
      <c r="L110" s="133">
        <f>VLOOKUP(Table1[[#This Row],['[Reference Only']
Vlookup Index]],Table2[['[EH']
Vlookup Index]:['[EH']
Lives Lost]],20,0)</f>
        <v>3166.9754019588618</v>
      </c>
      <c r="M110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10" s="127">
        <f>Table1[[#This Row],[Human Lives Saved]]*Table1[[#This Row],[Mean Rate of Events / Week]]</f>
        <v>2.8588533089573636</v>
      </c>
      <c r="O110" s="127">
        <f>Table1[[#This Row],[Human Lives Lost]]*Table1[[#This Row],[Mean Rate of Events / Week]]</f>
        <v>1.3250234910426353</v>
      </c>
      <c r="P110" s="138">
        <f>Table1[[#This Row],[$ Invested in Technology
(Purchase + Deploy Once)]]*Table1[[#This Row],[Mean Rate of Events / Week]]</f>
        <v>2091.9383999999995</v>
      </c>
    </row>
    <row r="111" spans="1:16" x14ac:dyDescent="0.3">
      <c r="A111" s="70" t="s">
        <v>126</v>
      </c>
      <c r="B111" s="72" t="s">
        <v>122</v>
      </c>
      <c r="C111" s="96" t="s">
        <v>124</v>
      </c>
      <c r="D111" s="78" t="s">
        <v>113</v>
      </c>
      <c r="E111" s="65" t="s">
        <v>114</v>
      </c>
      <c r="F111" s="66" t="s">
        <v>204</v>
      </c>
      <c r="G111" s="75">
        <f>'Main Tree'!$F$33*'Main Tree'!$F$32*'Main Tree'!$L$35*'Main Tree'!$D$39*'Main Tree'!$F$28*'Main Tree'!$D$36</f>
        <v>6.1046999999999983E-2</v>
      </c>
      <c r="H111" s="103">
        <f>G111*'Main Tree'!$H$33</f>
        <v>2.5761833999999994E-3</v>
      </c>
      <c r="I111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11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UrbanMediumLowN/ANo</v>
      </c>
      <c r="K111" s="133">
        <f>VLOOKUP(Table1[[#This Row],['[Reference Only']
Vlookup Index]],Table2[['[EH']
Vlookup Index]:['[EH']
Lives Saved]],19,0)</f>
        <v>7388.7317455446691</v>
      </c>
      <c r="L111" s="133">
        <f>VLOOKUP(Table1[[#This Row],['[Reference Only']
Vlookup Index]],Table2[['[EH']
Vlookup Index]:['[EH']
Lives Lost]],20,0)</f>
        <v>2611.2682544553309</v>
      </c>
      <c r="M111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11" s="127">
        <f>Table1[[#This Row],[Human Lives Saved]]*Table1[[#This Row],[Mean Rate of Events / Week]]</f>
        <v>19.034728069925198</v>
      </c>
      <c r="O111" s="127">
        <f>Table1[[#This Row],[Human Lives Lost]]*Table1[[#This Row],[Mean Rate of Events / Week]]</f>
        <v>6.7271059300747975</v>
      </c>
      <c r="P111" s="138">
        <f>Table1[[#This Row],[$ Invested in Technology
(Purchase + Deploy Once)]]*Table1[[#This Row],[Mean Rate of Events / Week]]</f>
        <v>12880.916999999998</v>
      </c>
    </row>
    <row r="112" spans="1:16" x14ac:dyDescent="0.3">
      <c r="A112" s="70" t="s">
        <v>126</v>
      </c>
      <c r="B112" s="72" t="s">
        <v>122</v>
      </c>
      <c r="C112" s="96" t="s">
        <v>124</v>
      </c>
      <c r="D112" s="77" t="s">
        <v>112</v>
      </c>
      <c r="E112" s="65" t="s">
        <v>114</v>
      </c>
      <c r="F112" s="66" t="s">
        <v>204</v>
      </c>
      <c r="G112" s="75">
        <f>'Main Tree'!$F$33*'Main Tree'!$F$32*'Main Tree'!$L$35*'Main Tree'!$D$39*'Main Tree'!$F$28*'Main Tree'!$D$35</f>
        <v>8.1977399999999978E-2</v>
      </c>
      <c r="H112" s="103">
        <f>G112*'Main Tree'!$H$33</f>
        <v>3.459446279999999E-3</v>
      </c>
      <c r="I112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12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UrbanHighLowN/ANo</v>
      </c>
      <c r="K112" s="133">
        <f>VLOOKUP(Table1[[#This Row],['[Reference Only']
Vlookup Index]],Table2[['[EH']
Vlookup Index]:['[EH']
Lives Saved]],19,0)</f>
        <v>4348.2083089304515</v>
      </c>
      <c r="L112" s="133">
        <f>VLOOKUP(Table1[[#This Row],['[Reference Only']
Vlookup Index]],Table2[['[EH']
Vlookup Index]:['[EH']
Lives Lost]],20,0)</f>
        <v>5651.7916910695485</v>
      </c>
      <c r="M112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12" s="127">
        <f>Table1[[#This Row],[Human Lives Saved]]*Table1[[#This Row],[Mean Rate of Events / Week]]</f>
        <v>15.042393058994536</v>
      </c>
      <c r="O112" s="127">
        <f>Table1[[#This Row],[Human Lives Lost]]*Table1[[#This Row],[Mean Rate of Events / Week]]</f>
        <v>19.552069741005454</v>
      </c>
      <c r="P112" s="138">
        <f>Table1[[#This Row],[$ Invested in Technology
(Purchase + Deploy Once)]]*Table1[[#This Row],[Mean Rate of Events / Week]]</f>
        <v>17297.231399999993</v>
      </c>
    </row>
    <row r="113" spans="1:16" x14ac:dyDescent="0.3">
      <c r="A113" s="70" t="s">
        <v>126</v>
      </c>
      <c r="B113" s="72" t="s">
        <v>122</v>
      </c>
      <c r="C113" s="96" t="s">
        <v>124</v>
      </c>
      <c r="D113" s="79" t="s">
        <v>114</v>
      </c>
      <c r="E113" s="65" t="s">
        <v>114</v>
      </c>
      <c r="F113" s="66" t="s">
        <v>204</v>
      </c>
      <c r="G113" s="75">
        <f>'Main Tree'!$F$33*'Main Tree'!$F$32*'Main Tree'!$L$35*'Main Tree'!$D$39*'Main Tree'!$F$28*'Main Tree'!$D$37</f>
        <v>3.1395599999999996E-2</v>
      </c>
      <c r="H113" s="103">
        <f>G113*'Main Tree'!$H$33</f>
        <v>1.3248943199999999E-3</v>
      </c>
      <c r="I113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13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UrbanLowLowN/ANo</v>
      </c>
      <c r="K113" s="133">
        <f>VLOOKUP(Table1[[#This Row],['[Reference Only']
Vlookup Index]],Table2[['[EH']
Vlookup Index]:['[EH']
Lives Saved]],19,0)</f>
        <v>8960.5718609431933</v>
      </c>
      <c r="L113" s="133">
        <f>VLOOKUP(Table1[[#This Row],['[Reference Only']
Vlookup Index]],Table2[['[EH']
Vlookup Index]:['[EH']
Lives Lost]],20,0)</f>
        <v>1039.4281390568067</v>
      </c>
      <c r="M113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13" s="127">
        <f>Table1[[#This Row],[Human Lives Saved]]*Table1[[#This Row],[Mean Rate of Events / Week]]</f>
        <v>11.871810762515466</v>
      </c>
      <c r="O113" s="127">
        <f>Table1[[#This Row],[Human Lives Lost]]*Table1[[#This Row],[Mean Rate of Events / Week]]</f>
        <v>1.3771324374845333</v>
      </c>
      <c r="P113" s="138">
        <f>Table1[[#This Row],[$ Invested in Technology
(Purchase + Deploy Once)]]*Table1[[#This Row],[Mean Rate of Events / Week]]</f>
        <v>6624.4715999999989</v>
      </c>
    </row>
    <row r="114" spans="1:16" ht="15" thickBot="1" x14ac:dyDescent="0.35">
      <c r="A114" s="70" t="s">
        <v>126</v>
      </c>
      <c r="B114" s="72" t="s">
        <v>122</v>
      </c>
      <c r="C114" s="96" t="s">
        <v>124</v>
      </c>
      <c r="D114" s="69" t="s">
        <v>105</v>
      </c>
      <c r="E114" s="68" t="s">
        <v>105</v>
      </c>
      <c r="F114" s="73" t="s">
        <v>204</v>
      </c>
      <c r="G114" s="76">
        <f>'Main Tree'!$F$33*'Main Tree'!$F$32*'Main Tree'!$L$35*'Main Tree'!$D$40*'Main Tree'!$F$28</f>
        <v>0</v>
      </c>
      <c r="H114" s="103">
        <f>G114*'Main Tree'!$H$33</f>
        <v>0</v>
      </c>
      <c r="I114" s="22" t="str">
        <f>IF(Table1[[#This Row],[CWA Danger (Lethality)]]="None","N/A",IF(Table1[[#This Row],[Evacuate from Sensor Result?
Yes = Positive Result
No = Negative Result]]="No","N/A",IF(Table1[[#This Row],[Attack Distance]]="Near",SUM(('Main Tree'!$N$29*OR('Main Tree'!$B$28,'Main Tree'!$B$29)),('Main Tree'!$N$30*'Main Tree'!$B$30),('Main Tree'!$N$31*'Main Tree'!$B$31))/MAX(SUM(OR('Main Tree'!$B$28,'Main Tree'!$B$29),'Main Tree'!$B$30,'Main Tree'!$B$31),1),IF(OR('Main Tree'!$B$30,'Main Tree'!$B$31),SUM(('Main Tree'!$N$30*'Main Tree'!$B$30),('Main Tree'!$N$31*'Main Tree'!$B$31))/MAX(SUM('Main Tree'!$B$30:$B$31),1),0))))</f>
        <v>N/A</v>
      </c>
      <c r="J114" s="10" t="str">
        <f>Table1[[#This Row],[Population Density]]&amp;Table1[[#This Row],[CWA Danger (Lethality)]]&amp;Table1[[#This Row],[CWA Persistence]]&amp;IF(ISNUMBER(Table1[[#This Row],[Time Before Evacuation, based on Investment (Timesteps)]]),ROUND(Table1[[#This Row],[Time Before Evacuation, based on Investment (Timesteps)]],0),Table1[[#This Row],[Time Before Evacuation, based on Investment (Timesteps)]])&amp;Table1[[#This Row],[Evacuate from Sensor Result?
Yes = Positive Result
No = Negative Result]]</f>
        <v>UrbanNoneNoneN/ANo</v>
      </c>
      <c r="K114" s="133">
        <f>VLOOKUP(Table1[[#This Row],['[Reference Only']
Vlookup Index]],Table2[['[EH']
Vlookup Index]:['[EH']
Lives Saved]],19,0)</f>
        <v>0</v>
      </c>
      <c r="L114" s="133">
        <f>VLOOKUP(Table1[[#This Row],['[Reference Only']
Vlookup Index]],Table2[['[EH']
Vlookup Index]:['[EH']
Lives Lost]],20,0)</f>
        <v>0</v>
      </c>
      <c r="M114" s="127">
        <f>IF(Table1[[#This Row],[Attack Distance]]="Near",SUM(('Main Tree'!$B$28*('Sensor Cost'!$B$2+'Sensor Cost'!$C$2)),('Main Tree'!$B$29*('Sensor Cost'!$B$3+'Sensor Cost'!$C$3)),('Main Tree'!$B$30*('Sensor Cost'!$B$4+'Sensor Cost'!$C$4)),('Main Tree'!$B$31*('Sensor Cost'!$B$5+'Sensor Cost'!$C$5))),SUM(('Main Tree'!$B$28*'Sensor Cost'!$B$2),('Main Tree'!$B$29*'Sensor Cost'!$B$3),('Main Tree'!$B$30*('Sensor Cost'!$B$4+'Sensor Cost'!$C$4)),('Main Tree'!$B$31*('Sensor Cost'!$B$5+'Sensor Cost'!$C$5))))</f>
        <v>5000000</v>
      </c>
      <c r="N114" s="127">
        <f>Table1[[#This Row],[Human Lives Saved]]*Table1[[#This Row],[Mean Rate of Events / Week]]</f>
        <v>0</v>
      </c>
      <c r="O114" s="127">
        <f>Table1[[#This Row],[Human Lives Lost]]*Table1[[#This Row],[Mean Rate of Events / Week]]</f>
        <v>0</v>
      </c>
      <c r="P114" s="138">
        <f>Table1[[#This Row],[$ Invested in Technology
(Purchase + Deploy Once)]]*Table1[[#This Row],[Mean Rate of Events / Week]]</f>
        <v>0</v>
      </c>
    </row>
    <row r="115" spans="1:16" ht="15" thickBot="1" x14ac:dyDescent="0.35">
      <c r="A115" s="81"/>
      <c r="B115" s="81"/>
      <c r="C115" s="81"/>
      <c r="D115" s="81"/>
      <c r="E115" s="81"/>
      <c r="F115" s="135" t="s">
        <v>653</v>
      </c>
      <c r="G115" s="82">
        <f>SUBTOTAL(109,Table1[P(Event)])</f>
        <v>0.99999999999999989</v>
      </c>
      <c r="H115" s="101">
        <f>SUBTOTAL(109,Table1[Mean Rate of Events / Week])</f>
        <v>4.2200000000000001E-2</v>
      </c>
      <c r="I115" s="81"/>
      <c r="J115" s="81"/>
      <c r="K115" s="104"/>
      <c r="L115" s="104"/>
      <c r="M115" s="136" t="s">
        <v>653</v>
      </c>
      <c r="N115" s="137">
        <f>SUM(Table1[Mean Lives Saved / Week])</f>
        <v>202.2521204236844</v>
      </c>
      <c r="O115" s="137">
        <f>SUM(Table1[Mean Lives Lost / Week])</f>
        <v>162.77787957631557</v>
      </c>
      <c r="P115" s="137">
        <f>SUM(Table1[Mean $ Invested / Week])</f>
        <v>211253.19999999995</v>
      </c>
    </row>
    <row r="116" spans="1:16" ht="15" thickBot="1" x14ac:dyDescent="0.35">
      <c r="F116" s="135" t="s">
        <v>29</v>
      </c>
      <c r="G116" s="83" t="b">
        <f>SUM(Table1[P(Event)])=1</f>
        <v>1</v>
      </c>
      <c r="H116" s="84" t="b">
        <f>SUM(Table1[Mean Rate of Events / Week])='Main Tree'!H33</f>
        <v>1</v>
      </c>
    </row>
  </sheetData>
  <mergeCells count="1">
    <mergeCell ref="A1:F1"/>
  </mergeCells>
  <phoneticPr fontId="15" type="noConversion"/>
  <conditionalFormatting sqref="G116">
    <cfRule type="cellIs" dxfId="3" priority="4" operator="equal">
      <formula>FALSE</formula>
    </cfRule>
    <cfRule type="cellIs" dxfId="2" priority="5" operator="equal">
      <formula>TRUE</formula>
    </cfRule>
  </conditionalFormatting>
  <conditionalFormatting sqref="H116">
    <cfRule type="cellIs" dxfId="1" priority="2" operator="equal">
      <formula>FALSE</formula>
    </cfRule>
    <cfRule type="cellIs" dxfId="0" priority="3" operator="equal">
      <formula>TRUE</formula>
    </cfRule>
  </conditionalFormatting>
  <conditionalFormatting sqref="H3:H1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3403-D2EE-413D-AB82-18FBA5E6DEFF}">
  <dimension ref="A1:O37"/>
  <sheetViews>
    <sheetView zoomScale="70" zoomScaleNormal="70" workbookViewId="0">
      <selection activeCell="C5" sqref="C5"/>
    </sheetView>
  </sheetViews>
  <sheetFormatPr defaultRowHeight="14.4" x14ac:dyDescent="0.3"/>
  <cols>
    <col min="1" max="1" width="1.88671875" style="46" customWidth="1"/>
    <col min="2" max="2" width="19.44140625" bestFit="1" customWidth="1"/>
    <col min="3" max="3" width="17.77734375" bestFit="1" customWidth="1"/>
    <col min="4" max="4" width="18.21875" bestFit="1" customWidth="1"/>
    <col min="5" max="5" width="19.88671875" bestFit="1" customWidth="1"/>
    <col min="6" max="6" width="19.88671875" customWidth="1"/>
    <col min="7" max="7" width="2" style="46" customWidth="1"/>
    <col min="8" max="8" width="22.44140625" customWidth="1"/>
    <col min="9" max="9" width="16" bestFit="1" customWidth="1"/>
    <col min="10" max="10" width="16.33203125" customWidth="1"/>
    <col min="11" max="11" width="24" customWidth="1"/>
    <col min="12" max="12" width="17.21875" style="25" customWidth="1"/>
    <col min="13" max="13" width="1.88671875" style="46" customWidth="1"/>
    <col min="14" max="14" width="21" customWidth="1"/>
    <col min="15" max="15" width="7.5546875" customWidth="1"/>
  </cols>
  <sheetData>
    <row r="1" spans="2:15" s="46" customFormat="1" ht="9" customHeight="1" x14ac:dyDescent="0.3"/>
    <row r="2" spans="2:15" ht="21" x14ac:dyDescent="0.4">
      <c r="B2" s="164" t="s">
        <v>20</v>
      </c>
      <c r="C2" s="164"/>
      <c r="D2" s="164"/>
      <c r="E2" s="164"/>
      <c r="F2" s="49"/>
      <c r="H2" s="165" t="s">
        <v>21</v>
      </c>
      <c r="I2" s="165"/>
      <c r="J2" s="165"/>
      <c r="K2" s="165"/>
      <c r="L2" s="46"/>
      <c r="N2" s="166" t="s">
        <v>57</v>
      </c>
      <c r="O2" s="166"/>
    </row>
    <row r="3" spans="2:15" ht="14.4" customHeight="1" x14ac:dyDescent="0.3">
      <c r="B3" s="175" t="s">
        <v>19</v>
      </c>
      <c r="C3" s="175"/>
      <c r="D3" s="175"/>
      <c r="E3" s="175"/>
      <c r="F3" s="47"/>
      <c r="G3" s="48"/>
      <c r="H3" s="176" t="s">
        <v>19</v>
      </c>
      <c r="I3" s="176"/>
      <c r="J3" s="176"/>
      <c r="K3" s="176"/>
      <c r="L3" s="46"/>
      <c r="N3" s="21" t="s">
        <v>30</v>
      </c>
      <c r="O3" s="22">
        <f>'Main Tree'!D38</f>
        <v>0.24</v>
      </c>
    </row>
    <row r="4" spans="2:15" x14ac:dyDescent="0.3">
      <c r="B4" s="20" t="s">
        <v>40</v>
      </c>
      <c r="C4" s="20" t="s">
        <v>33</v>
      </c>
      <c r="D4" s="20" t="s">
        <v>34</v>
      </c>
      <c r="E4" s="20" t="s">
        <v>35</v>
      </c>
      <c r="F4" s="50"/>
      <c r="G4" s="48"/>
      <c r="H4" s="20" t="s">
        <v>40</v>
      </c>
      <c r="I4" s="20" t="s">
        <v>33</v>
      </c>
      <c r="J4" s="20" t="s">
        <v>34</v>
      </c>
      <c r="K4" s="20" t="s">
        <v>35</v>
      </c>
      <c r="L4" s="46"/>
      <c r="N4" s="21" t="s">
        <v>32</v>
      </c>
      <c r="O4" s="22">
        <f>'Main Tree'!D39</f>
        <v>0.76</v>
      </c>
    </row>
    <row r="5" spans="2:15" x14ac:dyDescent="0.3">
      <c r="B5" s="16" t="s">
        <v>36</v>
      </c>
      <c r="C5" s="17">
        <v>0.95</v>
      </c>
      <c r="D5" s="17">
        <v>0.9</v>
      </c>
      <c r="E5" s="17">
        <v>0.95</v>
      </c>
      <c r="F5" s="51"/>
      <c r="G5" s="48"/>
      <c r="H5" s="16" t="s">
        <v>36</v>
      </c>
      <c r="I5" s="17">
        <v>0.8</v>
      </c>
      <c r="J5" s="17">
        <v>0.9</v>
      </c>
      <c r="K5" s="17">
        <v>0.95</v>
      </c>
      <c r="L5" s="46"/>
      <c r="N5" s="21" t="s">
        <v>31</v>
      </c>
      <c r="O5" s="22">
        <f>'Main Tree'!D40</f>
        <v>0</v>
      </c>
    </row>
    <row r="6" spans="2:15" x14ac:dyDescent="0.3">
      <c r="B6" s="18" t="s">
        <v>39</v>
      </c>
      <c r="C6" s="19">
        <v>0.85</v>
      </c>
      <c r="D6" s="19">
        <v>0.6</v>
      </c>
      <c r="E6" s="19">
        <v>0.75</v>
      </c>
      <c r="F6" s="51"/>
      <c r="G6" s="48"/>
      <c r="H6" s="18" t="s">
        <v>39</v>
      </c>
      <c r="I6" s="19">
        <v>0.1</v>
      </c>
      <c r="J6" s="19">
        <v>0.05</v>
      </c>
      <c r="K6" s="19">
        <v>0.75</v>
      </c>
      <c r="L6" s="46"/>
    </row>
    <row r="7" spans="2:15" x14ac:dyDescent="0.3">
      <c r="B7" s="16" t="s">
        <v>38</v>
      </c>
      <c r="C7" s="17">
        <v>0.9</v>
      </c>
      <c r="D7" s="17">
        <v>0.85</v>
      </c>
      <c r="E7" s="17">
        <v>0.9</v>
      </c>
      <c r="F7" s="51"/>
      <c r="G7" s="48"/>
      <c r="H7" s="16" t="s">
        <v>38</v>
      </c>
      <c r="I7" s="17">
        <v>0.75</v>
      </c>
      <c r="J7" s="17">
        <v>0.85</v>
      </c>
      <c r="K7" s="17">
        <v>0.9</v>
      </c>
      <c r="L7" s="46"/>
    </row>
    <row r="8" spans="2:15" x14ac:dyDescent="0.3">
      <c r="B8" s="18" t="s">
        <v>37</v>
      </c>
      <c r="C8" s="19">
        <v>0.75</v>
      </c>
      <c r="D8" s="19">
        <v>0.45</v>
      </c>
      <c r="E8" s="19">
        <v>0.7</v>
      </c>
      <c r="F8" s="51"/>
      <c r="G8" s="48"/>
      <c r="H8" s="18" t="s">
        <v>37</v>
      </c>
      <c r="I8" s="19">
        <v>0.1</v>
      </c>
      <c r="J8" s="19">
        <v>0.05</v>
      </c>
      <c r="K8" s="19">
        <v>0.7</v>
      </c>
      <c r="L8" s="46"/>
    </row>
    <row r="9" spans="2:15" s="46" customFormat="1" x14ac:dyDescent="0.3"/>
    <row r="10" spans="2:15" ht="21" x14ac:dyDescent="0.4">
      <c r="B10" s="164" t="s">
        <v>41</v>
      </c>
      <c r="C10" s="164"/>
      <c r="D10" s="164"/>
      <c r="E10" s="164"/>
      <c r="F10" s="164"/>
      <c r="H10" s="165" t="s">
        <v>42</v>
      </c>
      <c r="I10" s="165"/>
      <c r="J10" s="165"/>
      <c r="K10" s="165"/>
      <c r="L10" s="165"/>
      <c r="M10" s="49"/>
    </row>
    <row r="11" spans="2:15" x14ac:dyDescent="0.3">
      <c r="B11" s="42"/>
      <c r="C11" s="43" t="s">
        <v>45</v>
      </c>
      <c r="D11" s="43" t="s">
        <v>46</v>
      </c>
      <c r="E11" s="44" t="s">
        <v>47</v>
      </c>
      <c r="F11" s="45" t="s">
        <v>58</v>
      </c>
      <c r="H11" s="42"/>
      <c r="I11" s="43" t="s">
        <v>45</v>
      </c>
      <c r="J11" s="43" t="s">
        <v>46</v>
      </c>
      <c r="K11" s="43" t="s">
        <v>47</v>
      </c>
      <c r="L11" s="45" t="s">
        <v>58</v>
      </c>
      <c r="M11" s="47"/>
    </row>
    <row r="12" spans="2:15" x14ac:dyDescent="0.3">
      <c r="B12" s="28" t="s">
        <v>36</v>
      </c>
      <c r="C12" s="29">
        <f>($O$3*C5)</f>
        <v>0.22799999999999998</v>
      </c>
      <c r="D12" s="29">
        <f>($O$4*D5)</f>
        <v>0.68400000000000005</v>
      </c>
      <c r="E12" s="36">
        <f>($O$5*(1-E5))</f>
        <v>0</v>
      </c>
      <c r="F12" s="39">
        <f>SUM(C12:E12)</f>
        <v>0.91200000000000003</v>
      </c>
      <c r="H12" s="28" t="s">
        <v>36</v>
      </c>
      <c r="I12" s="29">
        <f>($O$3*I5)</f>
        <v>0.192</v>
      </c>
      <c r="J12" s="29">
        <f>($O$4*J5)</f>
        <v>0.68400000000000005</v>
      </c>
      <c r="K12" s="29">
        <f>($O$5*(1-K5))</f>
        <v>0</v>
      </c>
      <c r="L12" s="39">
        <f>SUM(I12:K12)</f>
        <v>0.87600000000000011</v>
      </c>
      <c r="M12" s="47"/>
    </row>
    <row r="13" spans="2:15" x14ac:dyDescent="0.3">
      <c r="B13" s="26" t="s">
        <v>39</v>
      </c>
      <c r="C13" s="27">
        <f t="shared" ref="C13:C15" si="0">($O$3*C6)</f>
        <v>0.20399999999999999</v>
      </c>
      <c r="D13" s="27">
        <f t="shared" ref="D13:D15" si="1">($O$4*D6)</f>
        <v>0.45599999999999996</v>
      </c>
      <c r="E13" s="37">
        <f t="shared" ref="E13:E15" si="2">($O$5*(1-E6))</f>
        <v>0</v>
      </c>
      <c r="F13" s="40">
        <f t="shared" ref="F13:F15" si="3">SUM(C13:E13)</f>
        <v>0.65999999999999992</v>
      </c>
      <c r="H13" s="26" t="s">
        <v>39</v>
      </c>
      <c r="I13" s="27">
        <f t="shared" ref="I13:I15" si="4">($O$3*I6)</f>
        <v>2.4E-2</v>
      </c>
      <c r="J13" s="27">
        <f t="shared" ref="J13:J15" si="5">($O$4*J6)</f>
        <v>3.8000000000000006E-2</v>
      </c>
      <c r="K13" s="27">
        <f t="shared" ref="K13:K14" si="6">($O$5*(1-K6))</f>
        <v>0</v>
      </c>
      <c r="L13" s="40">
        <f t="shared" ref="L13:L15" si="7">SUM(I13:K13)</f>
        <v>6.2000000000000006E-2</v>
      </c>
      <c r="M13" s="47"/>
    </row>
    <row r="14" spans="2:15" x14ac:dyDescent="0.3">
      <c r="B14" s="28" t="s">
        <v>38</v>
      </c>
      <c r="C14" s="29">
        <f t="shared" si="0"/>
        <v>0.216</v>
      </c>
      <c r="D14" s="29">
        <f t="shared" si="1"/>
        <v>0.64600000000000002</v>
      </c>
      <c r="E14" s="36">
        <f t="shared" si="2"/>
        <v>0</v>
      </c>
      <c r="F14" s="39">
        <f t="shared" si="3"/>
        <v>0.86199999999999999</v>
      </c>
      <c r="H14" s="28" t="s">
        <v>38</v>
      </c>
      <c r="I14" s="29">
        <f t="shared" si="4"/>
        <v>0.18</v>
      </c>
      <c r="J14" s="29">
        <f t="shared" si="5"/>
        <v>0.64600000000000002</v>
      </c>
      <c r="K14" s="29">
        <f t="shared" si="6"/>
        <v>0</v>
      </c>
      <c r="L14" s="39">
        <f t="shared" si="7"/>
        <v>0.82600000000000007</v>
      </c>
      <c r="M14" s="47"/>
    </row>
    <row r="15" spans="2:15" ht="15" thickBot="1" x14ac:dyDescent="0.35">
      <c r="B15" s="26" t="s">
        <v>37</v>
      </c>
      <c r="C15" s="27">
        <f t="shared" si="0"/>
        <v>0.18</v>
      </c>
      <c r="D15" s="27">
        <f t="shared" si="1"/>
        <v>0.34200000000000003</v>
      </c>
      <c r="E15" s="37">
        <f t="shared" si="2"/>
        <v>0</v>
      </c>
      <c r="F15" s="41">
        <f t="shared" si="3"/>
        <v>0.52200000000000002</v>
      </c>
      <c r="H15" s="26" t="s">
        <v>37</v>
      </c>
      <c r="I15" s="27">
        <f t="shared" si="4"/>
        <v>2.4E-2</v>
      </c>
      <c r="J15" s="27">
        <f t="shared" si="5"/>
        <v>3.8000000000000006E-2</v>
      </c>
      <c r="K15" s="27">
        <f>($O$5*(1-K8))</f>
        <v>0</v>
      </c>
      <c r="L15" s="41">
        <f t="shared" si="7"/>
        <v>6.2000000000000006E-2</v>
      </c>
      <c r="M15" s="47"/>
    </row>
    <row r="16" spans="2:15" s="46" customFormat="1" x14ac:dyDescent="0.3"/>
    <row r="17" spans="2:13" ht="21" x14ac:dyDescent="0.4">
      <c r="B17" s="180" t="s">
        <v>44</v>
      </c>
      <c r="C17" s="181"/>
      <c r="D17" s="181"/>
      <c r="E17" s="182"/>
      <c r="F17" s="49"/>
      <c r="H17" s="177" t="s">
        <v>43</v>
      </c>
      <c r="I17" s="178"/>
      <c r="J17" s="178"/>
      <c r="K17" s="179"/>
      <c r="L17" s="46"/>
    </row>
    <row r="18" spans="2:13" x14ac:dyDescent="0.3">
      <c r="B18" s="30"/>
      <c r="C18" s="31" t="s">
        <v>48</v>
      </c>
      <c r="D18" s="31" t="s">
        <v>49</v>
      </c>
      <c r="E18" s="31" t="s">
        <v>50</v>
      </c>
      <c r="F18" s="47"/>
      <c r="H18" s="30"/>
      <c r="I18" s="31" t="s">
        <v>48</v>
      </c>
      <c r="J18" s="31" t="s">
        <v>49</v>
      </c>
      <c r="K18" s="31" t="s">
        <v>50</v>
      </c>
      <c r="L18" s="46"/>
    </row>
    <row r="19" spans="2:13" x14ac:dyDescent="0.3">
      <c r="B19" s="28" t="s">
        <v>36</v>
      </c>
      <c r="C19" s="32">
        <f>C12/SUM($C12:$E12)</f>
        <v>0.24999999999999997</v>
      </c>
      <c r="D19" s="32">
        <f t="shared" ref="D19:E19" si="8">D12/SUM($C12:$E12)</f>
        <v>0.75</v>
      </c>
      <c r="E19" s="32">
        <f t="shared" si="8"/>
        <v>0</v>
      </c>
      <c r="F19" s="52"/>
      <c r="H19" s="28" t="s">
        <v>36</v>
      </c>
      <c r="I19" s="32">
        <f>I12/SUM($I12:$K12)</f>
        <v>0.21917808219178081</v>
      </c>
      <c r="J19" s="32">
        <f t="shared" ref="J19:K19" si="9">J12/SUM($I12:$K12)</f>
        <v>0.78082191780821919</v>
      </c>
      <c r="K19" s="32">
        <f t="shared" si="9"/>
        <v>0</v>
      </c>
      <c r="L19" s="46"/>
    </row>
    <row r="20" spans="2:13" x14ac:dyDescent="0.3">
      <c r="B20" s="26" t="s">
        <v>39</v>
      </c>
      <c r="C20" s="33">
        <f t="shared" ref="C20:E22" si="10">C13/SUM($C13:$E13)</f>
        <v>0.30909090909090908</v>
      </c>
      <c r="D20" s="33">
        <f t="shared" si="10"/>
        <v>0.69090909090909092</v>
      </c>
      <c r="E20" s="33">
        <f t="shared" si="10"/>
        <v>0</v>
      </c>
      <c r="F20" s="52"/>
      <c r="H20" s="26" t="s">
        <v>39</v>
      </c>
      <c r="I20" s="33">
        <f t="shared" ref="I20:K20" si="11">I13/SUM($I13:$K13)</f>
        <v>0.38709677419354838</v>
      </c>
      <c r="J20" s="33">
        <f t="shared" si="11"/>
        <v>0.61290322580645162</v>
      </c>
      <c r="K20" s="33">
        <f t="shared" si="11"/>
        <v>0</v>
      </c>
      <c r="L20" s="46"/>
    </row>
    <row r="21" spans="2:13" x14ac:dyDescent="0.3">
      <c r="B21" s="28" t="s">
        <v>38</v>
      </c>
      <c r="C21" s="32">
        <f t="shared" si="10"/>
        <v>0.25058004640371229</v>
      </c>
      <c r="D21" s="32">
        <f t="shared" si="10"/>
        <v>0.74941995359628777</v>
      </c>
      <c r="E21" s="32">
        <f t="shared" si="10"/>
        <v>0</v>
      </c>
      <c r="F21" s="52"/>
      <c r="H21" s="28" t="s">
        <v>38</v>
      </c>
      <c r="I21" s="32">
        <f t="shared" ref="I21:K21" si="12">I14/SUM($I14:$K14)</f>
        <v>0.21791767554479416</v>
      </c>
      <c r="J21" s="32">
        <f t="shared" si="12"/>
        <v>0.78208232445520576</v>
      </c>
      <c r="K21" s="32">
        <f t="shared" si="12"/>
        <v>0</v>
      </c>
      <c r="L21" s="46"/>
    </row>
    <row r="22" spans="2:13" x14ac:dyDescent="0.3">
      <c r="B22" s="26" t="s">
        <v>37</v>
      </c>
      <c r="C22" s="33">
        <f t="shared" si="10"/>
        <v>0.34482758620689652</v>
      </c>
      <c r="D22" s="33">
        <f t="shared" si="10"/>
        <v>0.65517241379310343</v>
      </c>
      <c r="E22" s="33">
        <f t="shared" si="10"/>
        <v>0</v>
      </c>
      <c r="F22" s="52"/>
      <c r="H22" s="26" t="s">
        <v>37</v>
      </c>
      <c r="I22" s="33">
        <f t="shared" ref="I22:K22" si="13">I15/SUM($I15:$K15)</f>
        <v>0.38709677419354838</v>
      </c>
      <c r="J22" s="33">
        <f t="shared" si="13"/>
        <v>0.61290322580645162</v>
      </c>
      <c r="K22" s="33">
        <f t="shared" si="13"/>
        <v>0</v>
      </c>
    </row>
    <row r="23" spans="2:13" s="46" customFormat="1" x14ac:dyDescent="0.3">
      <c r="B23" s="47"/>
    </row>
    <row r="24" spans="2:13" ht="21" x14ac:dyDescent="0.4">
      <c r="B24" s="173" t="s">
        <v>41</v>
      </c>
      <c r="C24" s="173"/>
      <c r="D24" s="173"/>
      <c r="E24" s="173"/>
      <c r="F24" s="173"/>
      <c r="H24" s="174" t="s">
        <v>42</v>
      </c>
      <c r="I24" s="174"/>
      <c r="J24" s="174"/>
      <c r="K24" s="174"/>
      <c r="L24" s="174"/>
      <c r="M24" s="49"/>
    </row>
    <row r="25" spans="2:13" x14ac:dyDescent="0.3">
      <c r="B25" s="42"/>
      <c r="C25" s="43" t="s">
        <v>52</v>
      </c>
      <c r="D25" s="43" t="s">
        <v>53</v>
      </c>
      <c r="E25" s="44" t="s">
        <v>51</v>
      </c>
      <c r="F25" s="45" t="s">
        <v>59</v>
      </c>
      <c r="H25" s="42"/>
      <c r="I25" s="43" t="s">
        <v>52</v>
      </c>
      <c r="J25" s="43" t="s">
        <v>53</v>
      </c>
      <c r="K25" s="43" t="s">
        <v>51</v>
      </c>
      <c r="L25" s="45" t="s">
        <v>59</v>
      </c>
      <c r="M25" s="47"/>
    </row>
    <row r="26" spans="2:13" x14ac:dyDescent="0.3">
      <c r="B26" s="28" t="s">
        <v>36</v>
      </c>
      <c r="C26" s="29">
        <f>($O$3*(1-C5))</f>
        <v>1.2000000000000011E-2</v>
      </c>
      <c r="D26" s="29">
        <f>($O$4*(1-D5))</f>
        <v>7.5999999999999984E-2</v>
      </c>
      <c r="E26" s="36">
        <f>($O$5*E5)</f>
        <v>0</v>
      </c>
      <c r="F26" s="39">
        <f>SUM(C26:E26)</f>
        <v>8.7999999999999995E-2</v>
      </c>
      <c r="H26" s="28" t="s">
        <v>36</v>
      </c>
      <c r="I26" s="29">
        <f>($O$3*(1-I5))</f>
        <v>4.7999999999999987E-2</v>
      </c>
      <c r="J26" s="29">
        <f>($O$4*(1-J5))</f>
        <v>7.5999999999999984E-2</v>
      </c>
      <c r="K26" s="29">
        <f>($O$5*K5)</f>
        <v>0</v>
      </c>
      <c r="L26" s="39">
        <f>SUM(I26:K26)</f>
        <v>0.12399999999999997</v>
      </c>
      <c r="M26" s="47"/>
    </row>
    <row r="27" spans="2:13" x14ac:dyDescent="0.3">
      <c r="B27" s="26" t="s">
        <v>39</v>
      </c>
      <c r="C27" s="34">
        <f t="shared" ref="C27:C29" si="14">($O$3*(1-C6))</f>
        <v>3.6000000000000004E-2</v>
      </c>
      <c r="D27" s="34">
        <f t="shared" ref="D27:D29" si="15">($O$4*(1-D6))</f>
        <v>0.30400000000000005</v>
      </c>
      <c r="E27" s="38">
        <f t="shared" ref="E27:E29" si="16">($O$5*E6)</f>
        <v>0</v>
      </c>
      <c r="F27" s="40">
        <f t="shared" ref="F27:F29" si="17">SUM(C27:E27)</f>
        <v>0.34000000000000008</v>
      </c>
      <c r="H27" s="26" t="s">
        <v>39</v>
      </c>
      <c r="I27" s="34">
        <f t="shared" ref="I27:I29" si="18">($O$3*(1-I6))</f>
        <v>0.216</v>
      </c>
      <c r="J27" s="34">
        <f t="shared" ref="J27:J29" si="19">($O$4*(1-J6))</f>
        <v>0.72199999999999998</v>
      </c>
      <c r="K27" s="34">
        <f t="shared" ref="K27:K29" si="20">($O$5*K6)</f>
        <v>0</v>
      </c>
      <c r="L27" s="40">
        <f t="shared" ref="L27:L29" si="21">SUM(I27:K27)</f>
        <v>0.93799999999999994</v>
      </c>
      <c r="M27" s="47"/>
    </row>
    <row r="28" spans="2:13" x14ac:dyDescent="0.3">
      <c r="B28" s="28" t="s">
        <v>38</v>
      </c>
      <c r="C28" s="29">
        <f t="shared" si="14"/>
        <v>2.3999999999999994E-2</v>
      </c>
      <c r="D28" s="29">
        <f t="shared" si="15"/>
        <v>0.11400000000000002</v>
      </c>
      <c r="E28" s="36">
        <f t="shared" si="16"/>
        <v>0</v>
      </c>
      <c r="F28" s="39">
        <f t="shared" si="17"/>
        <v>0.13800000000000001</v>
      </c>
      <c r="H28" s="28" t="s">
        <v>38</v>
      </c>
      <c r="I28" s="29">
        <f t="shared" si="18"/>
        <v>0.06</v>
      </c>
      <c r="J28" s="29">
        <f t="shared" si="19"/>
        <v>0.11400000000000002</v>
      </c>
      <c r="K28" s="29">
        <f t="shared" si="20"/>
        <v>0</v>
      </c>
      <c r="L28" s="39">
        <f t="shared" si="21"/>
        <v>0.17400000000000002</v>
      </c>
      <c r="M28" s="47"/>
    </row>
    <row r="29" spans="2:13" ht="15" thickBot="1" x14ac:dyDescent="0.35">
      <c r="B29" s="26" t="s">
        <v>37</v>
      </c>
      <c r="C29" s="34">
        <f t="shared" si="14"/>
        <v>0.06</v>
      </c>
      <c r="D29" s="34">
        <f t="shared" si="15"/>
        <v>0.41800000000000004</v>
      </c>
      <c r="E29" s="38">
        <f t="shared" si="16"/>
        <v>0</v>
      </c>
      <c r="F29" s="41">
        <f t="shared" si="17"/>
        <v>0.47800000000000004</v>
      </c>
      <c r="H29" s="26" t="s">
        <v>37</v>
      </c>
      <c r="I29" s="34">
        <f t="shared" si="18"/>
        <v>0.216</v>
      </c>
      <c r="J29" s="34">
        <f t="shared" si="19"/>
        <v>0.72199999999999998</v>
      </c>
      <c r="K29" s="34">
        <f t="shared" si="20"/>
        <v>0</v>
      </c>
      <c r="L29" s="41">
        <f t="shared" si="21"/>
        <v>0.93799999999999994</v>
      </c>
      <c r="M29" s="47"/>
    </row>
    <row r="30" spans="2:13" s="46" customFormat="1" x14ac:dyDescent="0.3"/>
    <row r="31" spans="2:13" ht="21" x14ac:dyDescent="0.4">
      <c r="B31" s="167" t="s">
        <v>44</v>
      </c>
      <c r="C31" s="168"/>
      <c r="D31" s="168"/>
      <c r="E31" s="169"/>
      <c r="F31" s="49"/>
      <c r="H31" s="170" t="s">
        <v>43</v>
      </c>
      <c r="I31" s="171"/>
      <c r="J31" s="171"/>
      <c r="K31" s="172"/>
      <c r="L31" s="46"/>
    </row>
    <row r="32" spans="2:13" x14ac:dyDescent="0.3">
      <c r="B32" s="30"/>
      <c r="C32" s="31" t="s">
        <v>54</v>
      </c>
      <c r="D32" s="31" t="s">
        <v>55</v>
      </c>
      <c r="E32" s="31" t="s">
        <v>56</v>
      </c>
      <c r="F32" s="47"/>
      <c r="H32" s="30"/>
      <c r="I32" s="31" t="s">
        <v>54</v>
      </c>
      <c r="J32" s="31" t="s">
        <v>55</v>
      </c>
      <c r="K32" s="31" t="s">
        <v>56</v>
      </c>
      <c r="L32" s="46"/>
    </row>
    <row r="33" spans="2:12" x14ac:dyDescent="0.3">
      <c r="B33" s="28" t="s">
        <v>36</v>
      </c>
      <c r="C33" s="32">
        <f>C26/SUM($C26:$E26)</f>
        <v>0.13636363636363649</v>
      </c>
      <c r="D33" s="32">
        <f t="shared" ref="D33" si="22">D26/SUM($C26:$E26)</f>
        <v>0.86363636363636354</v>
      </c>
      <c r="E33" s="32">
        <f>E26/SUM($C26:$E26)</f>
        <v>0</v>
      </c>
      <c r="F33" s="52"/>
      <c r="H33" s="28" t="s">
        <v>36</v>
      </c>
      <c r="I33" s="32">
        <f>I26/SUM($I26:$K26)</f>
        <v>0.38709677419354838</v>
      </c>
      <c r="J33" s="32">
        <f>J26/SUM($I26:$K26)</f>
        <v>0.61290322580645162</v>
      </c>
      <c r="K33" s="32">
        <f>K26/SUM($I26:$K26)</f>
        <v>0</v>
      </c>
      <c r="L33" s="46"/>
    </row>
    <row r="34" spans="2:12" x14ac:dyDescent="0.3">
      <c r="B34" s="26" t="s">
        <v>39</v>
      </c>
      <c r="C34" s="33">
        <f t="shared" ref="C34:D34" si="23">C27/SUM($C27:$E27)</f>
        <v>0.10588235294117646</v>
      </c>
      <c r="D34" s="33">
        <f t="shared" si="23"/>
        <v>0.89411764705882346</v>
      </c>
      <c r="E34" s="33">
        <f>E27/SUM($C27:$E27)</f>
        <v>0</v>
      </c>
      <c r="F34" s="52"/>
      <c r="H34" s="26" t="s">
        <v>39</v>
      </c>
      <c r="I34" s="35">
        <f t="shared" ref="I34:K34" si="24">I27/SUM($I27:$K27)</f>
        <v>0.2302771855010661</v>
      </c>
      <c r="J34" s="35">
        <f t="shared" si="24"/>
        <v>0.76972281449893387</v>
      </c>
      <c r="K34" s="35">
        <f t="shared" si="24"/>
        <v>0</v>
      </c>
      <c r="L34" s="46"/>
    </row>
    <row r="35" spans="2:12" x14ac:dyDescent="0.3">
      <c r="B35" s="28" t="s">
        <v>38</v>
      </c>
      <c r="C35" s="32">
        <f t="shared" ref="C35:E35" si="25">C28/SUM($C28:$E28)</f>
        <v>0.17391304347826081</v>
      </c>
      <c r="D35" s="32">
        <f t="shared" si="25"/>
        <v>0.82608695652173925</v>
      </c>
      <c r="E35" s="32">
        <f t="shared" si="25"/>
        <v>0</v>
      </c>
      <c r="F35" s="52"/>
      <c r="H35" s="28" t="s">
        <v>38</v>
      </c>
      <c r="I35" s="32">
        <f t="shared" ref="I35:K35" si="26">I28/SUM($I28:$K28)</f>
        <v>0.34482758620689652</v>
      </c>
      <c r="J35" s="32">
        <f t="shared" si="26"/>
        <v>0.65517241379310354</v>
      </c>
      <c r="K35" s="32">
        <f t="shared" si="26"/>
        <v>0</v>
      </c>
      <c r="L35" s="46"/>
    </row>
    <row r="36" spans="2:12" x14ac:dyDescent="0.3">
      <c r="B36" s="26" t="s">
        <v>37</v>
      </c>
      <c r="C36" s="33">
        <f>C29/SUM($C29:$E29)</f>
        <v>0.12552301255230125</v>
      </c>
      <c r="D36" s="33">
        <f t="shared" ref="D36" si="27">D29/SUM($C29:$E29)</f>
        <v>0.87447698744769875</v>
      </c>
      <c r="E36" s="33">
        <f>E29/SUM($C29:$E29)</f>
        <v>0</v>
      </c>
      <c r="F36" s="52"/>
      <c r="H36" s="26" t="s">
        <v>37</v>
      </c>
      <c r="I36" s="35">
        <f t="shared" ref="I36:K36" si="28">I29/SUM($I29:$K29)</f>
        <v>0.2302771855010661</v>
      </c>
      <c r="J36" s="35">
        <f t="shared" si="28"/>
        <v>0.76972281449893387</v>
      </c>
      <c r="K36" s="35">
        <f t="shared" si="28"/>
        <v>0</v>
      </c>
      <c r="L36" s="46"/>
    </row>
    <row r="37" spans="2:12" s="46" customFormat="1" x14ac:dyDescent="0.3"/>
  </sheetData>
  <mergeCells count="13">
    <mergeCell ref="B2:E2"/>
    <mergeCell ref="H2:K2"/>
    <mergeCell ref="N2:O2"/>
    <mergeCell ref="B31:E31"/>
    <mergeCell ref="H31:K31"/>
    <mergeCell ref="B24:F24"/>
    <mergeCell ref="H24:L24"/>
    <mergeCell ref="B3:E3"/>
    <mergeCell ref="H3:K3"/>
    <mergeCell ref="H17:K17"/>
    <mergeCell ref="B17:E17"/>
    <mergeCell ref="B10:F10"/>
    <mergeCell ref="H10:L1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3C57-9C40-477D-AA01-FF3CF4A878C2}">
  <dimension ref="A1:U93"/>
  <sheetViews>
    <sheetView topLeftCell="A88" workbookViewId="0">
      <selection activeCell="N6" sqref="N6:P91"/>
    </sheetView>
  </sheetViews>
  <sheetFormatPr defaultColWidth="8.77734375" defaultRowHeight="14.4" x14ac:dyDescent="0.3"/>
  <cols>
    <col min="2" max="2" width="14" hidden="1" customWidth="1"/>
    <col min="3" max="6" width="14" customWidth="1"/>
    <col min="7" max="7" width="17.44140625" customWidth="1"/>
    <col min="8" max="8" width="17.33203125" hidden="1" customWidth="1"/>
    <col min="9" max="9" width="28.5546875" hidden="1" customWidth="1"/>
    <col min="10" max="10" width="28.44140625" hidden="1" customWidth="1"/>
    <col min="11" max="11" width="28.109375" hidden="1" customWidth="1"/>
    <col min="12" max="12" width="27.5546875" hidden="1" customWidth="1"/>
    <col min="13" max="13" width="15.44140625" hidden="1" customWidth="1"/>
    <col min="14" max="14" width="14.44140625" bestFit="1" customWidth="1"/>
    <col min="15" max="15" width="19.44140625" bestFit="1" customWidth="1"/>
    <col min="16" max="16" width="18.5546875" bestFit="1" customWidth="1"/>
    <col min="17" max="17" width="21.77734375" hidden="1" customWidth="1"/>
    <col min="18" max="18" width="20.44140625" hidden="1" customWidth="1"/>
    <col min="19" max="19" width="0" hidden="1" customWidth="1"/>
    <col min="20" max="20" width="15.109375" bestFit="1" customWidth="1"/>
    <col min="21" max="21" width="13.44140625" bestFit="1" customWidth="1"/>
  </cols>
  <sheetData>
    <row r="1" spans="1:21" x14ac:dyDescent="0.3">
      <c r="C1" t="s">
        <v>134</v>
      </c>
    </row>
    <row r="2" spans="1:21" x14ac:dyDescent="0.3">
      <c r="C2" t="s">
        <v>126</v>
      </c>
      <c r="D2" s="127">
        <v>10000</v>
      </c>
      <c r="E2" t="s">
        <v>641</v>
      </c>
    </row>
    <row r="3" spans="1:21" x14ac:dyDescent="0.3">
      <c r="C3" t="s">
        <v>125</v>
      </c>
      <c r="D3" s="127">
        <v>1000</v>
      </c>
      <c r="E3" t="s">
        <v>641</v>
      </c>
    </row>
    <row r="5" spans="1:21" ht="34.049999999999997" customHeight="1" x14ac:dyDescent="0.3">
      <c r="A5" s="119" t="s">
        <v>135</v>
      </c>
      <c r="B5" s="119" t="s">
        <v>640</v>
      </c>
      <c r="C5" s="112" t="s">
        <v>118</v>
      </c>
      <c r="D5" s="112" t="s">
        <v>136</v>
      </c>
      <c r="E5" s="112" t="s">
        <v>137</v>
      </c>
      <c r="F5" s="112" t="s">
        <v>138</v>
      </c>
      <c r="G5" s="112" t="s">
        <v>139</v>
      </c>
      <c r="H5" s="113" t="s">
        <v>140</v>
      </c>
      <c r="I5" s="113" t="s">
        <v>141</v>
      </c>
      <c r="J5" s="113" t="s">
        <v>142</v>
      </c>
      <c r="K5" s="113" t="s">
        <v>143</v>
      </c>
      <c r="L5" s="113" t="s">
        <v>144</v>
      </c>
      <c r="M5" s="114" t="s">
        <v>145</v>
      </c>
      <c r="N5" s="115" t="s">
        <v>146</v>
      </c>
      <c r="O5" s="115" t="s">
        <v>147</v>
      </c>
      <c r="P5" s="115" t="s">
        <v>148</v>
      </c>
      <c r="Q5" s="115" t="s">
        <v>149</v>
      </c>
      <c r="R5" s="115" t="s">
        <v>150</v>
      </c>
      <c r="S5" s="123" t="s">
        <v>151</v>
      </c>
      <c r="T5" s="115" t="s">
        <v>643</v>
      </c>
      <c r="U5" s="115" t="s">
        <v>644</v>
      </c>
    </row>
    <row r="6" spans="1:21" x14ac:dyDescent="0.3">
      <c r="A6" s="120">
        <v>1</v>
      </c>
      <c r="B6" s="124" t="str">
        <f>Table2[[#This Row],[Population Density]]&amp;Table2[[#This Row],[Lethality]]&amp;Table2[[#This Row],[Persistence]]&amp;Table2[[#This Row],[Delay]]&amp;Table2[[#This Row],[Evacuate]]</f>
        <v>RuralNoneNoneN/AYes</v>
      </c>
      <c r="C6" s="116" t="s">
        <v>125</v>
      </c>
      <c r="D6" s="116" t="s">
        <v>105</v>
      </c>
      <c r="E6" s="116" t="s">
        <v>105</v>
      </c>
      <c r="F6" s="116" t="s">
        <v>152</v>
      </c>
      <c r="G6" s="116" t="s">
        <v>153</v>
      </c>
      <c r="H6" t="s">
        <v>154</v>
      </c>
      <c r="I6" t="s">
        <v>155</v>
      </c>
      <c r="J6" t="s">
        <v>156</v>
      </c>
      <c r="K6" t="s">
        <v>157</v>
      </c>
      <c r="L6" t="s">
        <v>152</v>
      </c>
      <c r="M6" t="s">
        <v>152</v>
      </c>
      <c r="N6" s="117">
        <v>0.95369271503782704</v>
      </c>
      <c r="O6" s="117">
        <v>4.6307284962172957E-2</v>
      </c>
      <c r="P6" s="117">
        <v>0</v>
      </c>
      <c r="Q6" s="117">
        <f>SQRT(H6*I6/((H6+I6)^2*(H6+I6+1)))</f>
        <v>9.0647682729840331E-4</v>
      </c>
      <c r="R6" s="117">
        <f>SQRT(J6*K6/((J6+K6)^2*(J6+K6+1)))</f>
        <v>9.0647682728516813E-4</v>
      </c>
      <c r="S6" s="110">
        <v>0</v>
      </c>
      <c r="T6" s="129">
        <f>IF(Table2[[#This Row],[Lethality]]="None",0,IF(Table2[[#This Row],[Population Density]]="Rural",($D$3*Table2[[#This Row],[Mean Safe]]),($D$2*Table2[[#This Row],[Mean Safe]])))</f>
        <v>0</v>
      </c>
      <c r="U6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46.307284962172957</v>
      </c>
    </row>
    <row r="7" spans="1:21" x14ac:dyDescent="0.3">
      <c r="A7" s="120">
        <v>2</v>
      </c>
      <c r="B7" s="124" t="str">
        <f>Table2[[#This Row],[Population Density]]&amp;Table2[[#This Row],[Lethality]]&amp;Table2[[#This Row],[Persistence]]&amp;Table2[[#This Row],[Delay]]&amp;Table2[[#This Row],[Evacuate]]</f>
        <v>UrbanNoneNoneN/AYes</v>
      </c>
      <c r="C7" s="116" t="s">
        <v>126</v>
      </c>
      <c r="D7" s="116" t="s">
        <v>105</v>
      </c>
      <c r="E7" s="116" t="s">
        <v>105</v>
      </c>
      <c r="F7" s="116" t="s">
        <v>152</v>
      </c>
      <c r="G7" s="116" t="s">
        <v>153</v>
      </c>
      <c r="H7" t="s">
        <v>158</v>
      </c>
      <c r="I7" t="s">
        <v>159</v>
      </c>
      <c r="J7" t="s">
        <v>160</v>
      </c>
      <c r="K7" t="s">
        <v>161</v>
      </c>
      <c r="L7" t="s">
        <v>152</v>
      </c>
      <c r="M7" t="s">
        <v>152</v>
      </c>
      <c r="N7" s="117">
        <v>0.949650993460874</v>
      </c>
      <c r="O7" s="117">
        <v>5.0349006539125205E-2</v>
      </c>
      <c r="P7" s="117">
        <v>0</v>
      </c>
      <c r="Q7" s="117">
        <f t="shared" ref="Q7:Q70" si="0">SQRT(H7*I7/((H7+I7)^2*(H7+I7+1)))</f>
        <v>9.6327019612683874E-4</v>
      </c>
      <c r="R7" s="117">
        <f t="shared" ref="R7:R69" si="1">SQRT(J7*K7/((J7+K7)^2*(J7+K7+1)))</f>
        <v>9.6327019602150622E-4</v>
      </c>
      <c r="S7" s="110">
        <v>0</v>
      </c>
      <c r="T7" s="129">
        <f>IF(Table2[[#This Row],[Lethality]]="None",0,IF(Table2[[#This Row],[Population Density]]="Rural",($D$3*Table2[[#This Row],[Mean Safe]]),($D$2*Table2[[#This Row],[Mean Safe]])))</f>
        <v>0</v>
      </c>
      <c r="U7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503.49006539125202</v>
      </c>
    </row>
    <row r="8" spans="1:21" x14ac:dyDescent="0.3">
      <c r="A8" s="121">
        <v>3</v>
      </c>
      <c r="B8" s="125" t="str">
        <f>Table2[[#This Row],[Population Density]]&amp;Table2[[#This Row],[Lethality]]&amp;Table2[[#This Row],[Persistence]]&amp;Table2[[#This Row],[Delay]]&amp;Table2[[#This Row],[Evacuate]]</f>
        <v>RuralLowLow0Yes</v>
      </c>
      <c r="C8" t="s">
        <v>125</v>
      </c>
      <c r="D8" t="s">
        <v>114</v>
      </c>
      <c r="E8" t="s">
        <v>114</v>
      </c>
      <c r="F8" t="s">
        <v>162</v>
      </c>
      <c r="G8" t="s">
        <v>153</v>
      </c>
      <c r="H8" t="s">
        <v>163</v>
      </c>
      <c r="I8" t="s">
        <v>164</v>
      </c>
      <c r="J8" t="s">
        <v>165</v>
      </c>
      <c r="K8" t="s">
        <v>166</v>
      </c>
      <c r="L8" t="s">
        <v>167</v>
      </c>
      <c r="M8" t="s">
        <v>168</v>
      </c>
      <c r="N8" s="117">
        <v>0.74916887421091194</v>
      </c>
      <c r="O8" s="117">
        <v>4.297566121555111E-2</v>
      </c>
      <c r="P8" s="117">
        <v>0.20102206298802816</v>
      </c>
      <c r="Q8" s="117">
        <f t="shared" si="0"/>
        <v>0.11508869830664201</v>
      </c>
      <c r="R8" s="117">
        <f t="shared" si="1"/>
        <v>9.7516259690864204E-3</v>
      </c>
      <c r="S8" s="110">
        <f t="shared" ref="S8:S71" si="2">SQRT(L8*M8/((L8+M8)^2*(L8+M8+1)))</f>
        <v>0.11984238199796543</v>
      </c>
      <c r="T8" s="129">
        <f>IF(Table2[[#This Row],[Lethality]]="None",0,IF(Table2[[#This Row],[Population Density]]="Rural",($D$3*Table2[[#This Row],[Mean Safe]]),($D$2*Table2[[#This Row],[Mean Safe]])))</f>
        <v>749.16887421091189</v>
      </c>
      <c r="U8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250.83112578908811</v>
      </c>
    </row>
    <row r="9" spans="1:21" x14ac:dyDescent="0.3">
      <c r="A9" s="121">
        <v>4</v>
      </c>
      <c r="B9" s="125" t="str">
        <f>Table2[[#This Row],[Population Density]]&amp;Table2[[#This Row],[Lethality]]&amp;Table2[[#This Row],[Persistence]]&amp;Table2[[#This Row],[Delay]]&amp;Table2[[#This Row],[Evacuate]]</f>
        <v>RuralLowLow1Yes</v>
      </c>
      <c r="C9" t="s">
        <v>125</v>
      </c>
      <c r="D9" t="s">
        <v>114</v>
      </c>
      <c r="E9" t="s">
        <v>114</v>
      </c>
      <c r="F9" t="s">
        <v>169</v>
      </c>
      <c r="G9" t="s">
        <v>153</v>
      </c>
      <c r="H9" t="s">
        <v>170</v>
      </c>
      <c r="I9" t="s">
        <v>171</v>
      </c>
      <c r="J9" t="s">
        <v>172</v>
      </c>
      <c r="K9" t="s">
        <v>173</v>
      </c>
      <c r="L9" t="s">
        <v>174</v>
      </c>
      <c r="M9" t="s">
        <v>175</v>
      </c>
      <c r="N9" s="117">
        <v>0.86151983965314283</v>
      </c>
      <c r="O9" s="117">
        <v>3.8384668189742316E-2</v>
      </c>
      <c r="P9" s="117">
        <v>9.6530309458678951E-2</v>
      </c>
      <c r="Q9" s="117">
        <f t="shared" si="0"/>
        <v>4.6712852740472467E-2</v>
      </c>
      <c r="R9" s="117">
        <f t="shared" si="1"/>
        <v>8.2948489747869097E-3</v>
      </c>
      <c r="S9" s="110">
        <f t="shared" si="2"/>
        <v>4.9921206000924229E-2</v>
      </c>
      <c r="T9" s="129">
        <f>IF(Table2[[#This Row],[Lethality]]="None",0,IF(Table2[[#This Row],[Population Density]]="Rural",($D$3*Table2[[#This Row],[Mean Safe]]),($D$2*Table2[[#This Row],[Mean Safe]])))</f>
        <v>861.51983965314287</v>
      </c>
      <c r="U9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138.48016034685713</v>
      </c>
    </row>
    <row r="10" spans="1:21" x14ac:dyDescent="0.3">
      <c r="A10" s="121">
        <v>5</v>
      </c>
      <c r="B10" s="125" t="str">
        <f>Table2[[#This Row],[Population Density]]&amp;Table2[[#This Row],[Lethality]]&amp;Table2[[#This Row],[Persistence]]&amp;Table2[[#This Row],[Delay]]&amp;Table2[[#This Row],[Evacuate]]</f>
        <v>RuralLowLow2Yes</v>
      </c>
      <c r="C10" t="s">
        <v>125</v>
      </c>
      <c r="D10" t="s">
        <v>114</v>
      </c>
      <c r="E10" t="s">
        <v>114</v>
      </c>
      <c r="F10" t="s">
        <v>176</v>
      </c>
      <c r="G10" t="s">
        <v>153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s="117">
        <v>0.86790851793857604</v>
      </c>
      <c r="O10" s="117">
        <v>3.8786937824606627E-2</v>
      </c>
      <c r="P10" s="117">
        <v>8.8406227641417159E-2</v>
      </c>
      <c r="Q10" s="117">
        <f t="shared" si="0"/>
        <v>5.2793856093254245E-2</v>
      </c>
      <c r="R10" s="117">
        <f t="shared" si="1"/>
        <v>8.4752803555756158E-3</v>
      </c>
      <c r="S10" s="110">
        <f t="shared" si="2"/>
        <v>5.6709025935548295E-2</v>
      </c>
      <c r="T10" s="129">
        <f>IF(Table2[[#This Row],[Lethality]]="None",0,IF(Table2[[#This Row],[Population Density]]="Rural",($D$3*Table2[[#This Row],[Mean Safe]]),($D$2*Table2[[#This Row],[Mean Safe]])))</f>
        <v>867.9085179385761</v>
      </c>
      <c r="U10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132.0914820614239</v>
      </c>
    </row>
    <row r="11" spans="1:21" x14ac:dyDescent="0.3">
      <c r="A11" s="121">
        <v>6</v>
      </c>
      <c r="B11" s="125" t="str">
        <f>Table2[[#This Row],[Population Density]]&amp;Table2[[#This Row],[Lethality]]&amp;Table2[[#This Row],[Persistence]]&amp;Table2[[#This Row],[Delay]]&amp;Table2[[#This Row],[Evacuate]]</f>
        <v>RuralLowLow3Yes</v>
      </c>
      <c r="C11" t="s">
        <v>125</v>
      </c>
      <c r="D11" t="s">
        <v>114</v>
      </c>
      <c r="E11" t="s">
        <v>114</v>
      </c>
      <c r="F11" t="s">
        <v>183</v>
      </c>
      <c r="G11" t="s">
        <v>153</v>
      </c>
      <c r="H11" t="s">
        <v>184</v>
      </c>
      <c r="I11" t="s">
        <v>185</v>
      </c>
      <c r="J11" t="s">
        <v>186</v>
      </c>
      <c r="K11" t="s">
        <v>187</v>
      </c>
      <c r="L11" t="s">
        <v>188</v>
      </c>
      <c r="M11" t="s">
        <v>189</v>
      </c>
      <c r="N11" s="117">
        <v>0.79113890074334181</v>
      </c>
      <c r="O11" s="117">
        <v>4.5506339796430685E-2</v>
      </c>
      <c r="P11" s="117">
        <v>0.14970145332859155</v>
      </c>
      <c r="Q11" s="117">
        <f t="shared" si="0"/>
        <v>0.13152356371801324</v>
      </c>
      <c r="R11" s="117">
        <f t="shared" si="1"/>
        <v>1.0623917185783172E-2</v>
      </c>
      <c r="S11" s="110">
        <f t="shared" si="2"/>
        <v>0.13836273824921552</v>
      </c>
      <c r="T11" s="129">
        <f>IF(Table2[[#This Row],[Lethality]]="None",0,IF(Table2[[#This Row],[Population Density]]="Rural",($D$3*Table2[[#This Row],[Mean Safe]]),($D$2*Table2[[#This Row],[Mean Safe]])))</f>
        <v>791.13890074334176</v>
      </c>
      <c r="U11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208.86109925665824</v>
      </c>
    </row>
    <row r="12" spans="1:21" x14ac:dyDescent="0.3">
      <c r="A12" s="121">
        <v>7</v>
      </c>
      <c r="B12" s="125" t="str">
        <f>Table2[[#This Row],[Population Density]]&amp;Table2[[#This Row],[Lethality]]&amp;Table2[[#This Row],[Persistence]]&amp;Table2[[#This Row],[Delay]]&amp;Table2[[#This Row],[Evacuate]]</f>
        <v>RuralLowLow4Yes</v>
      </c>
      <c r="C12" t="s">
        <v>125</v>
      </c>
      <c r="D12" t="s">
        <v>114</v>
      </c>
      <c r="E12" t="s">
        <v>114</v>
      </c>
      <c r="F12" t="s">
        <v>190</v>
      </c>
      <c r="G12" t="s">
        <v>153</v>
      </c>
      <c r="H12" t="s">
        <v>191</v>
      </c>
      <c r="I12" t="s">
        <v>192</v>
      </c>
      <c r="J12" t="s">
        <v>193</v>
      </c>
      <c r="K12" t="s">
        <v>194</v>
      </c>
      <c r="L12" t="s">
        <v>195</v>
      </c>
      <c r="M12" t="s">
        <v>196</v>
      </c>
      <c r="N12" s="117">
        <v>0.89663845937722753</v>
      </c>
      <c r="O12" s="117">
        <v>4.0119555034382255E-2</v>
      </c>
      <c r="P12" s="117">
        <v>5.6436801138516776E-2</v>
      </c>
      <c r="Q12" s="117">
        <f t="shared" si="0"/>
        <v>4.9265442742219716E-2</v>
      </c>
      <c r="R12" s="117">
        <f t="shared" si="1"/>
        <v>8.579289944889476E-3</v>
      </c>
      <c r="S12" s="110">
        <f t="shared" si="2"/>
        <v>5.2870611529831059E-2</v>
      </c>
      <c r="T12" s="129">
        <f>IF(Table2[[#This Row],[Lethality]]="None",0,IF(Table2[[#This Row],[Population Density]]="Rural",($D$3*Table2[[#This Row],[Mean Safe]]),($D$2*Table2[[#This Row],[Mean Safe]])))</f>
        <v>896.63845937722749</v>
      </c>
      <c r="U12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103.36154062277251</v>
      </c>
    </row>
    <row r="13" spans="1:21" x14ac:dyDescent="0.3">
      <c r="A13" s="121">
        <v>8</v>
      </c>
      <c r="B13" s="125" t="str">
        <f>Table2[[#This Row],[Population Density]]&amp;Table2[[#This Row],[Lethality]]&amp;Table2[[#This Row],[Persistence]]&amp;Table2[[#This Row],[Delay]]&amp;Table2[[#This Row],[Evacuate]]</f>
        <v>RuralLowLow5Yes</v>
      </c>
      <c r="C13" t="s">
        <v>125</v>
      </c>
      <c r="D13" t="s">
        <v>114</v>
      </c>
      <c r="E13" t="s">
        <v>114</v>
      </c>
      <c r="F13" t="s">
        <v>197</v>
      </c>
      <c r="G13" t="s">
        <v>153</v>
      </c>
      <c r="H13" t="s">
        <v>198</v>
      </c>
      <c r="I13" t="s">
        <v>199</v>
      </c>
      <c r="J13" t="s">
        <v>200</v>
      </c>
      <c r="K13" t="s">
        <v>201</v>
      </c>
      <c r="L13" t="s">
        <v>202</v>
      </c>
      <c r="M13" t="s">
        <v>203</v>
      </c>
      <c r="N13" s="117">
        <v>0.85876851549035682</v>
      </c>
      <c r="O13" s="117">
        <v>4.2430850732421525E-2</v>
      </c>
      <c r="P13" s="117">
        <v>8.4666487642159408E-2</v>
      </c>
      <c r="Q13" s="117">
        <f t="shared" si="0"/>
        <v>9.5024369300877237E-2</v>
      </c>
      <c r="R13" s="117">
        <f t="shared" si="1"/>
        <v>9.8333319125074627E-3</v>
      </c>
      <c r="S13" s="110">
        <f t="shared" si="2"/>
        <v>0.1027838594786163</v>
      </c>
      <c r="T13" s="129">
        <f>IF(Table2[[#This Row],[Lethality]]="None",0,IF(Table2[[#This Row],[Population Density]]="Rural",($D$3*Table2[[#This Row],[Mean Safe]]),($D$2*Table2[[#This Row],[Mean Safe]])))</f>
        <v>858.76851549035678</v>
      </c>
      <c r="U13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141.23148450964322</v>
      </c>
    </row>
    <row r="14" spans="1:21" x14ac:dyDescent="0.3">
      <c r="A14" s="122">
        <v>9</v>
      </c>
      <c r="B14" s="126" t="str">
        <f>Table2[[#This Row],[Population Density]]&amp;Table2[[#This Row],[Lethality]]&amp;Table2[[#This Row],[Persistence]]&amp;Table2[[#This Row],[Delay]]&amp;Table2[[#This Row],[Evacuate]]</f>
        <v>RuralLowLowN/ANo</v>
      </c>
      <c r="C14" s="118" t="s">
        <v>125</v>
      </c>
      <c r="D14" s="118" t="s">
        <v>114</v>
      </c>
      <c r="E14" s="118" t="s">
        <v>114</v>
      </c>
      <c r="F14" s="118" t="s">
        <v>152</v>
      </c>
      <c r="G14" s="118" t="s">
        <v>204</v>
      </c>
      <c r="H14" t="s">
        <v>205</v>
      </c>
      <c r="I14" t="s">
        <v>206</v>
      </c>
      <c r="J14" t="s">
        <v>152</v>
      </c>
      <c r="K14" t="s">
        <v>152</v>
      </c>
      <c r="L14" t="s">
        <v>207</v>
      </c>
      <c r="M14" t="s">
        <v>208</v>
      </c>
      <c r="N14" s="117">
        <v>0.90571167967005883</v>
      </c>
      <c r="O14" s="117">
        <v>0</v>
      </c>
      <c r="P14" s="117">
        <v>9.4288320329941097E-2</v>
      </c>
      <c r="Q14" s="117">
        <f t="shared" si="0"/>
        <v>0.14356748883110362</v>
      </c>
      <c r="R14" s="117">
        <v>0</v>
      </c>
      <c r="S14" s="110">
        <f t="shared" si="2"/>
        <v>0.14356748883110357</v>
      </c>
      <c r="T14" s="129">
        <f>IF(Table2[[#This Row],[Lethality]]="None",0,IF(Table2[[#This Row],[Population Density]]="Rural",($D$3*Table2[[#This Row],[Mean Safe]]),($D$2*Table2[[#This Row],[Mean Safe]])))</f>
        <v>905.71167967005886</v>
      </c>
      <c r="U14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94.288320329941143</v>
      </c>
    </row>
    <row r="15" spans="1:21" x14ac:dyDescent="0.3">
      <c r="A15" s="121">
        <v>10</v>
      </c>
      <c r="B15" s="125" t="str">
        <f>Table2[[#This Row],[Population Density]]&amp;Table2[[#This Row],[Lethality]]&amp;Table2[[#This Row],[Persistence]]&amp;Table2[[#This Row],[Delay]]&amp;Table2[[#This Row],[Evacuate]]</f>
        <v>UrbanLowLow0Yes</v>
      </c>
      <c r="C15" t="s">
        <v>126</v>
      </c>
      <c r="D15" t="s">
        <v>114</v>
      </c>
      <c r="E15" t="s">
        <v>114</v>
      </c>
      <c r="F15" t="s">
        <v>162</v>
      </c>
      <c r="G15" t="s">
        <v>153</v>
      </c>
      <c r="H15" t="s">
        <v>209</v>
      </c>
      <c r="I15" t="s">
        <v>210</v>
      </c>
      <c r="J15" t="s">
        <v>211</v>
      </c>
      <c r="K15" t="s">
        <v>212</v>
      </c>
      <c r="L15" t="s">
        <v>213</v>
      </c>
      <c r="M15" t="s">
        <v>214</v>
      </c>
      <c r="N15" s="117">
        <v>0.845519545847642</v>
      </c>
      <c r="O15" s="117">
        <v>3.8301567833718637E-2</v>
      </c>
      <c r="P15" s="117">
        <v>0.11232627905415191</v>
      </c>
      <c r="Q15" s="117">
        <f t="shared" si="0"/>
        <v>5.5647128320194555E-2</v>
      </c>
      <c r="R15" s="117">
        <f t="shared" si="1"/>
        <v>8.4640667564736347E-3</v>
      </c>
      <c r="S15" s="110">
        <f t="shared" si="2"/>
        <v>5.8981025969841457E-2</v>
      </c>
      <c r="T15" s="129">
        <f>IF(Table2[[#This Row],[Lethality]]="None",0,IF(Table2[[#This Row],[Population Density]]="Rural",($D$3*Table2[[#This Row],[Mean Safe]]),($D$2*Table2[[#This Row],[Mean Safe]])))</f>
        <v>8455.1954584764208</v>
      </c>
      <c r="U15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1544.8045415235792</v>
      </c>
    </row>
    <row r="16" spans="1:21" x14ac:dyDescent="0.3">
      <c r="A16" s="121">
        <v>11</v>
      </c>
      <c r="B16" s="125" t="str">
        <f>Table2[[#This Row],[Population Density]]&amp;Table2[[#This Row],[Lethality]]&amp;Table2[[#This Row],[Persistence]]&amp;Table2[[#This Row],[Delay]]&amp;Table2[[#This Row],[Evacuate]]</f>
        <v>UrbanLowLow1Yes</v>
      </c>
      <c r="C16" t="s">
        <v>126</v>
      </c>
      <c r="D16" t="s">
        <v>114</v>
      </c>
      <c r="E16" t="s">
        <v>114</v>
      </c>
      <c r="F16" t="s">
        <v>169</v>
      </c>
      <c r="G16" t="s">
        <v>153</v>
      </c>
      <c r="H16" t="s">
        <v>215</v>
      </c>
      <c r="I16" t="s">
        <v>216</v>
      </c>
      <c r="J16" t="s">
        <v>217</v>
      </c>
      <c r="K16" t="s">
        <v>218</v>
      </c>
      <c r="L16" t="s">
        <v>219</v>
      </c>
      <c r="M16" t="s">
        <v>220</v>
      </c>
      <c r="N16" s="117">
        <v>0.85384677969118106</v>
      </c>
      <c r="O16" s="117">
        <v>3.8566085922440319E-2</v>
      </c>
      <c r="P16" s="117">
        <v>0.10342383190165633</v>
      </c>
      <c r="Q16" s="117">
        <f t="shared" si="0"/>
        <v>5.3978795985715172E-2</v>
      </c>
      <c r="R16" s="117">
        <f t="shared" si="1"/>
        <v>8.6398373084589277E-3</v>
      </c>
      <c r="S16" s="110">
        <f t="shared" si="2"/>
        <v>5.7549490436088493E-2</v>
      </c>
      <c r="T16" s="129">
        <f>IF(Table2[[#This Row],[Lethality]]="None",0,IF(Table2[[#This Row],[Population Density]]="Rural",($D$3*Table2[[#This Row],[Mean Safe]]),($D$2*Table2[[#This Row],[Mean Safe]])))</f>
        <v>8538.4677969118111</v>
      </c>
      <c r="U16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1461.5322030881889</v>
      </c>
    </row>
    <row r="17" spans="1:21" x14ac:dyDescent="0.3">
      <c r="A17" s="121">
        <v>12</v>
      </c>
      <c r="B17" s="125" t="str">
        <f>Table2[[#This Row],[Population Density]]&amp;Table2[[#This Row],[Lethality]]&amp;Table2[[#This Row],[Persistence]]&amp;Table2[[#This Row],[Delay]]&amp;Table2[[#This Row],[Evacuate]]</f>
        <v>UrbanLowLow2Yes</v>
      </c>
      <c r="C17" t="s">
        <v>126</v>
      </c>
      <c r="D17" t="s">
        <v>114</v>
      </c>
      <c r="E17" t="s">
        <v>114</v>
      </c>
      <c r="F17" t="s">
        <v>176</v>
      </c>
      <c r="G17" t="s">
        <v>153</v>
      </c>
      <c r="H17" t="s">
        <v>221</v>
      </c>
      <c r="I17" t="s">
        <v>222</v>
      </c>
      <c r="J17" t="s">
        <v>223</v>
      </c>
      <c r="K17" t="s">
        <v>224</v>
      </c>
      <c r="L17" t="s">
        <v>225</v>
      </c>
      <c r="M17" t="s">
        <v>226</v>
      </c>
      <c r="N17" s="117">
        <v>0.90048082634784465</v>
      </c>
      <c r="O17" s="117">
        <v>3.9728794761963573E-2</v>
      </c>
      <c r="P17" s="117">
        <v>5.6069749377865123E-2</v>
      </c>
      <c r="Q17" s="117">
        <f t="shared" si="0"/>
        <v>3.4361317804123104E-2</v>
      </c>
      <c r="R17" s="117">
        <f t="shared" si="1"/>
        <v>8.4098041926197985E-3</v>
      </c>
      <c r="S17" s="110">
        <f t="shared" si="2"/>
        <v>3.6148261332282744E-2</v>
      </c>
      <c r="T17" s="129">
        <f>IF(Table2[[#This Row],[Lethality]]="None",0,IF(Table2[[#This Row],[Population Density]]="Rural",($D$3*Table2[[#This Row],[Mean Safe]]),($D$2*Table2[[#This Row],[Mean Safe]])))</f>
        <v>9004.808263478446</v>
      </c>
      <c r="U17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995.19173652155405</v>
      </c>
    </row>
    <row r="18" spans="1:21" x14ac:dyDescent="0.3">
      <c r="A18" s="121">
        <v>13</v>
      </c>
      <c r="B18" s="125" t="str">
        <f>Table2[[#This Row],[Population Density]]&amp;Table2[[#This Row],[Lethality]]&amp;Table2[[#This Row],[Persistence]]&amp;Table2[[#This Row],[Delay]]&amp;Table2[[#This Row],[Evacuate]]</f>
        <v>UrbanLowLow3Yes</v>
      </c>
      <c r="C18" t="s">
        <v>126</v>
      </c>
      <c r="D18" t="s">
        <v>114</v>
      </c>
      <c r="E18" t="s">
        <v>114</v>
      </c>
      <c r="F18" t="s">
        <v>183</v>
      </c>
      <c r="G18" t="s">
        <v>153</v>
      </c>
      <c r="H18" t="s">
        <v>227</v>
      </c>
      <c r="I18" t="s">
        <v>228</v>
      </c>
      <c r="J18" t="s">
        <v>229</v>
      </c>
      <c r="K18" t="s">
        <v>230</v>
      </c>
      <c r="L18" t="s">
        <v>231</v>
      </c>
      <c r="M18" t="s">
        <v>232</v>
      </c>
      <c r="N18" s="117">
        <v>0.87990724095915795</v>
      </c>
      <c r="O18" s="117">
        <v>3.9818576046135722E-2</v>
      </c>
      <c r="P18" s="117">
        <v>7.3393624726421705E-2</v>
      </c>
      <c r="Q18" s="117">
        <f t="shared" si="0"/>
        <v>6.0143535378931121E-2</v>
      </c>
      <c r="R18" s="117">
        <f t="shared" si="1"/>
        <v>8.7606652911852677E-3</v>
      </c>
      <c r="S18" s="110">
        <f t="shared" si="2"/>
        <v>6.367240591704626E-2</v>
      </c>
      <c r="T18" s="129">
        <f>IF(Table2[[#This Row],[Lethality]]="None",0,IF(Table2[[#This Row],[Population Density]]="Rural",($D$3*Table2[[#This Row],[Mean Safe]]),($D$2*Table2[[#This Row],[Mean Safe]])))</f>
        <v>8799.0724095915793</v>
      </c>
      <c r="U18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1200.9275904084207</v>
      </c>
    </row>
    <row r="19" spans="1:21" x14ac:dyDescent="0.3">
      <c r="A19" s="121">
        <v>14</v>
      </c>
      <c r="B19" s="125" t="str">
        <f>Table2[[#This Row],[Population Density]]&amp;Table2[[#This Row],[Lethality]]&amp;Table2[[#This Row],[Persistence]]&amp;Table2[[#This Row],[Delay]]&amp;Table2[[#This Row],[Evacuate]]</f>
        <v>UrbanLowLow4Yes</v>
      </c>
      <c r="C19" t="s">
        <v>126</v>
      </c>
      <c r="D19" t="s">
        <v>114</v>
      </c>
      <c r="E19" t="s">
        <v>114</v>
      </c>
      <c r="F19" t="s">
        <v>190</v>
      </c>
      <c r="G19" t="s">
        <v>153</v>
      </c>
      <c r="H19" t="s">
        <v>233</v>
      </c>
      <c r="I19" t="s">
        <v>234</v>
      </c>
      <c r="J19" t="s">
        <v>235</v>
      </c>
      <c r="K19" t="s">
        <v>236</v>
      </c>
      <c r="L19" t="s">
        <v>237</v>
      </c>
      <c r="M19" t="s">
        <v>238</v>
      </c>
      <c r="N19" s="117">
        <v>0.89211004680833506</v>
      </c>
      <c r="O19" s="117">
        <v>4.0317465282830318E-2</v>
      </c>
      <c r="P19" s="117">
        <v>5.9741931375247803E-2</v>
      </c>
      <c r="Q19" s="117">
        <f t="shared" si="0"/>
        <v>5.6634727339747844E-2</v>
      </c>
      <c r="R19" s="117">
        <f t="shared" si="1"/>
        <v>8.7687894271033674E-3</v>
      </c>
      <c r="S19" s="110">
        <f t="shared" si="2"/>
        <v>6.0467827891985904E-2</v>
      </c>
      <c r="T19" s="129">
        <f>IF(Table2[[#This Row],[Lethality]]="None",0,IF(Table2[[#This Row],[Population Density]]="Rural",($D$3*Table2[[#This Row],[Mean Safe]]),($D$2*Table2[[#This Row],[Mean Safe]])))</f>
        <v>8921.1004680833503</v>
      </c>
      <c r="U19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1078.8995319166497</v>
      </c>
    </row>
    <row r="20" spans="1:21" x14ac:dyDescent="0.3">
      <c r="A20" s="121">
        <v>15</v>
      </c>
      <c r="B20" s="125" t="str">
        <f>Table2[[#This Row],[Population Density]]&amp;Table2[[#This Row],[Lethality]]&amp;Table2[[#This Row],[Persistence]]&amp;Table2[[#This Row],[Delay]]&amp;Table2[[#This Row],[Evacuate]]</f>
        <v>UrbanLowLow5Yes</v>
      </c>
      <c r="C20" t="s">
        <v>126</v>
      </c>
      <c r="D20" t="s">
        <v>114</v>
      </c>
      <c r="E20" t="s">
        <v>114</v>
      </c>
      <c r="F20" t="s">
        <v>197</v>
      </c>
      <c r="G20" t="s">
        <v>153</v>
      </c>
      <c r="H20" t="s">
        <v>239</v>
      </c>
      <c r="I20" t="s">
        <v>240</v>
      </c>
      <c r="J20" t="s">
        <v>241</v>
      </c>
      <c r="K20" t="s">
        <v>242</v>
      </c>
      <c r="L20" t="s">
        <v>243</v>
      </c>
      <c r="M20" t="s">
        <v>244</v>
      </c>
      <c r="N20" s="117">
        <v>0.86854041370841351</v>
      </c>
      <c r="O20" s="117">
        <v>4.3473660886606903E-2</v>
      </c>
      <c r="P20" s="117">
        <v>7.4121076239111933E-2</v>
      </c>
      <c r="Q20" s="117">
        <f t="shared" si="0"/>
        <v>9.1070519830558305E-2</v>
      </c>
      <c r="R20" s="117">
        <f t="shared" si="1"/>
        <v>9.6946234078050652E-3</v>
      </c>
      <c r="S20" s="110">
        <f t="shared" si="2"/>
        <v>9.7191077803449127E-2</v>
      </c>
      <c r="T20" s="129">
        <f>IF(Table2[[#This Row],[Lethality]]="None",0,IF(Table2[[#This Row],[Population Density]]="Rural",($D$3*Table2[[#This Row],[Mean Safe]]),($D$2*Table2[[#This Row],[Mean Safe]])))</f>
        <v>8685.4041370841351</v>
      </c>
      <c r="U20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1314.5958629158649</v>
      </c>
    </row>
    <row r="21" spans="1:21" x14ac:dyDescent="0.3">
      <c r="A21" s="122">
        <v>16</v>
      </c>
      <c r="B21" s="126" t="str">
        <f>Table2[[#This Row],[Population Density]]&amp;Table2[[#This Row],[Lethality]]&amp;Table2[[#This Row],[Persistence]]&amp;Table2[[#This Row],[Delay]]&amp;Table2[[#This Row],[Evacuate]]</f>
        <v>UrbanLowLowN/ANo</v>
      </c>
      <c r="C21" s="118" t="s">
        <v>126</v>
      </c>
      <c r="D21" s="118" t="s">
        <v>114</v>
      </c>
      <c r="E21" s="118" t="s">
        <v>114</v>
      </c>
      <c r="F21" s="118" t="s">
        <v>152</v>
      </c>
      <c r="G21" s="118" t="s">
        <v>204</v>
      </c>
      <c r="H21" t="s">
        <v>245</v>
      </c>
      <c r="I21" t="s">
        <v>246</v>
      </c>
      <c r="J21" t="s">
        <v>152</v>
      </c>
      <c r="K21" t="s">
        <v>152</v>
      </c>
      <c r="L21" t="s">
        <v>247</v>
      </c>
      <c r="M21" t="s">
        <v>248</v>
      </c>
      <c r="N21" s="117">
        <v>0.89605718609431939</v>
      </c>
      <c r="O21" s="117">
        <v>0</v>
      </c>
      <c r="P21" s="117">
        <v>0.10394281390568075</v>
      </c>
      <c r="Q21" s="117">
        <f t="shared" si="0"/>
        <v>0.16168319615269774</v>
      </c>
      <c r="R21" s="117">
        <v>0</v>
      </c>
      <c r="S21" s="110">
        <f t="shared" si="2"/>
        <v>0.16168319615269774</v>
      </c>
      <c r="T21" s="129">
        <f>IF(Table2[[#This Row],[Lethality]]="None",0,IF(Table2[[#This Row],[Population Density]]="Rural",($D$3*Table2[[#This Row],[Mean Safe]]),($D$2*Table2[[#This Row],[Mean Safe]])))</f>
        <v>8960.5718609431933</v>
      </c>
      <c r="U21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1039.4281390568067</v>
      </c>
    </row>
    <row r="22" spans="1:21" x14ac:dyDescent="0.3">
      <c r="A22" s="121">
        <v>17</v>
      </c>
      <c r="B22" s="125" t="str">
        <f>Table2[[#This Row],[Population Density]]&amp;Table2[[#This Row],[Lethality]]&amp;Table2[[#This Row],[Persistence]]&amp;Table2[[#This Row],[Delay]]&amp;Table2[[#This Row],[Evacuate]]</f>
        <v>RuralLowHigh0Yes</v>
      </c>
      <c r="C22" t="s">
        <v>125</v>
      </c>
      <c r="D22" t="s">
        <v>114</v>
      </c>
      <c r="E22" t="s">
        <v>112</v>
      </c>
      <c r="F22" t="s">
        <v>162</v>
      </c>
      <c r="G22" t="s">
        <v>153</v>
      </c>
      <c r="H22" t="s">
        <v>249</v>
      </c>
      <c r="I22" t="s">
        <v>250</v>
      </c>
      <c r="J22" t="s">
        <v>251</v>
      </c>
      <c r="K22" t="s">
        <v>252</v>
      </c>
      <c r="L22" t="s">
        <v>253</v>
      </c>
      <c r="M22" t="s">
        <v>254</v>
      </c>
      <c r="N22" s="117">
        <v>0.77739645990750172</v>
      </c>
      <c r="O22" s="117">
        <v>3.6488478298051498E-2</v>
      </c>
      <c r="P22" s="117">
        <v>0.18332023782004239</v>
      </c>
      <c r="Q22" s="117">
        <f t="shared" si="0"/>
        <v>6.48380862055873E-2</v>
      </c>
      <c r="R22" s="117">
        <f t="shared" si="1"/>
        <v>8.0809458215141319E-3</v>
      </c>
      <c r="S22" s="110">
        <f t="shared" si="2"/>
        <v>6.8718464150630626E-2</v>
      </c>
      <c r="T22" s="129">
        <f>IF(Table2[[#This Row],[Lethality]]="None",0,IF(Table2[[#This Row],[Population Density]]="Rural",($D$3*Table2[[#This Row],[Mean Safe]]),($D$2*Table2[[#This Row],[Mean Safe]])))</f>
        <v>777.39645990750171</v>
      </c>
      <c r="U22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222.60354009249829</v>
      </c>
    </row>
    <row r="23" spans="1:21" x14ac:dyDescent="0.3">
      <c r="A23" s="121">
        <v>18</v>
      </c>
      <c r="B23" s="125" t="str">
        <f>Table2[[#This Row],[Population Density]]&amp;Table2[[#This Row],[Lethality]]&amp;Table2[[#This Row],[Persistence]]&amp;Table2[[#This Row],[Delay]]&amp;Table2[[#This Row],[Evacuate]]</f>
        <v>RuralLowHigh1Yes</v>
      </c>
      <c r="C23" t="s">
        <v>125</v>
      </c>
      <c r="D23" t="s">
        <v>114</v>
      </c>
      <c r="E23" t="s">
        <v>112</v>
      </c>
      <c r="F23" t="s">
        <v>169</v>
      </c>
      <c r="G23" t="s">
        <v>153</v>
      </c>
      <c r="H23" t="s">
        <v>255</v>
      </c>
      <c r="I23" t="s">
        <v>256</v>
      </c>
      <c r="J23" t="s">
        <v>257</v>
      </c>
      <c r="K23" t="s">
        <v>258</v>
      </c>
      <c r="L23" t="s">
        <v>259</v>
      </c>
      <c r="M23" t="s">
        <v>260</v>
      </c>
      <c r="N23" s="117">
        <v>0.82814842696689206</v>
      </c>
      <c r="O23" s="117">
        <v>3.6338888699169139E-2</v>
      </c>
      <c r="P23" s="117">
        <v>0.13265646569357434</v>
      </c>
      <c r="Q23" s="117">
        <f t="shared" si="0"/>
        <v>5.0923062310612242E-2</v>
      </c>
      <c r="R23" s="117">
        <f t="shared" si="1"/>
        <v>7.9018902578263453E-3</v>
      </c>
      <c r="S23" s="110">
        <f t="shared" si="2"/>
        <v>5.4570368272735627E-2</v>
      </c>
      <c r="T23" s="129">
        <f>IF(Table2[[#This Row],[Lethality]]="None",0,IF(Table2[[#This Row],[Population Density]]="Rural",($D$3*Table2[[#This Row],[Mean Safe]]),($D$2*Table2[[#This Row],[Mean Safe]])))</f>
        <v>828.14842696689209</v>
      </c>
      <c r="U23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171.85157303310791</v>
      </c>
    </row>
    <row r="24" spans="1:21" x14ac:dyDescent="0.3">
      <c r="A24" s="121">
        <v>19</v>
      </c>
      <c r="B24" s="125" t="str">
        <f>Table2[[#This Row],[Population Density]]&amp;Table2[[#This Row],[Lethality]]&amp;Table2[[#This Row],[Persistence]]&amp;Table2[[#This Row],[Delay]]&amp;Table2[[#This Row],[Evacuate]]</f>
        <v>RuralLowHigh2Yes</v>
      </c>
      <c r="C24" t="s">
        <v>125</v>
      </c>
      <c r="D24" t="s">
        <v>114</v>
      </c>
      <c r="E24" t="s">
        <v>112</v>
      </c>
      <c r="F24" t="s">
        <v>176</v>
      </c>
      <c r="G24" t="s">
        <v>153</v>
      </c>
      <c r="H24" t="s">
        <v>261</v>
      </c>
      <c r="I24" t="s">
        <v>262</v>
      </c>
      <c r="J24" t="s">
        <v>263</v>
      </c>
      <c r="K24" t="s">
        <v>264</v>
      </c>
      <c r="L24" t="s">
        <v>265</v>
      </c>
      <c r="M24" t="s">
        <v>266</v>
      </c>
      <c r="N24" s="117">
        <v>0.71149371176288922</v>
      </c>
      <c r="O24" s="117">
        <v>3.8129445129104426E-2</v>
      </c>
      <c r="P24" s="117">
        <v>0.24298738521322924</v>
      </c>
      <c r="Q24" s="117">
        <f t="shared" si="0"/>
        <v>0.12881558003954394</v>
      </c>
      <c r="R24" s="117">
        <f t="shared" si="1"/>
        <v>9.1702354850275326E-3</v>
      </c>
      <c r="S24" s="110">
        <f t="shared" si="2"/>
        <v>0.13619858083786565</v>
      </c>
      <c r="T24" s="129">
        <f>IF(Table2[[#This Row],[Lethality]]="None",0,IF(Table2[[#This Row],[Population Density]]="Rural",($D$3*Table2[[#This Row],[Mean Safe]]),($D$2*Table2[[#This Row],[Mean Safe]])))</f>
        <v>711.49371176288923</v>
      </c>
      <c r="U24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288.50628823711077</v>
      </c>
    </row>
    <row r="25" spans="1:21" x14ac:dyDescent="0.3">
      <c r="A25" s="121">
        <v>20</v>
      </c>
      <c r="B25" s="125" t="str">
        <f>Table2[[#This Row],[Population Density]]&amp;Table2[[#This Row],[Lethality]]&amp;Table2[[#This Row],[Persistence]]&amp;Table2[[#This Row],[Delay]]&amp;Table2[[#This Row],[Evacuate]]</f>
        <v>RuralLowHigh3Yes</v>
      </c>
      <c r="C25" t="s">
        <v>125</v>
      </c>
      <c r="D25" t="s">
        <v>114</v>
      </c>
      <c r="E25" t="s">
        <v>112</v>
      </c>
      <c r="F25" t="s">
        <v>183</v>
      </c>
      <c r="G25" t="s">
        <v>153</v>
      </c>
      <c r="H25" t="s">
        <v>267</v>
      </c>
      <c r="I25" t="s">
        <v>268</v>
      </c>
      <c r="J25" t="s">
        <v>269</v>
      </c>
      <c r="K25" t="s">
        <v>270</v>
      </c>
      <c r="L25" t="s">
        <v>271</v>
      </c>
      <c r="M25" t="s">
        <v>272</v>
      </c>
      <c r="N25" s="117">
        <v>0.75314212338999753</v>
      </c>
      <c r="O25" s="117">
        <v>3.6639875646166407E-2</v>
      </c>
      <c r="P25" s="117">
        <v>0.20235407117004128</v>
      </c>
      <c r="Q25" s="117">
        <f t="shared" si="0"/>
        <v>0.11747562594344049</v>
      </c>
      <c r="R25" s="117">
        <f t="shared" si="1"/>
        <v>9.1074154068780475E-3</v>
      </c>
      <c r="S25" s="110">
        <f t="shared" si="2"/>
        <v>0.12519346332048628</v>
      </c>
      <c r="T25" s="129">
        <f>IF(Table2[[#This Row],[Lethality]]="None",0,IF(Table2[[#This Row],[Population Density]]="Rural",($D$3*Table2[[#This Row],[Mean Safe]]),($D$2*Table2[[#This Row],[Mean Safe]])))</f>
        <v>753.14212338999755</v>
      </c>
      <c r="U25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246.85787661000245</v>
      </c>
    </row>
    <row r="26" spans="1:21" x14ac:dyDescent="0.3">
      <c r="A26" s="121">
        <v>21</v>
      </c>
      <c r="B26" s="125" t="str">
        <f>Table2[[#This Row],[Population Density]]&amp;Table2[[#This Row],[Lethality]]&amp;Table2[[#This Row],[Persistence]]&amp;Table2[[#This Row],[Delay]]&amp;Table2[[#This Row],[Evacuate]]</f>
        <v>RuralLowHigh4Yes</v>
      </c>
      <c r="C26" t="s">
        <v>125</v>
      </c>
      <c r="D26" t="s">
        <v>114</v>
      </c>
      <c r="E26" t="s">
        <v>112</v>
      </c>
      <c r="F26" t="s">
        <v>190</v>
      </c>
      <c r="G26" t="s">
        <v>153</v>
      </c>
      <c r="H26" t="s">
        <v>273</v>
      </c>
      <c r="I26" t="s">
        <v>274</v>
      </c>
      <c r="J26" t="s">
        <v>275</v>
      </c>
      <c r="K26" t="s">
        <v>276</v>
      </c>
      <c r="L26" t="s">
        <v>277</v>
      </c>
      <c r="M26" t="s">
        <v>278</v>
      </c>
      <c r="N26" s="117">
        <v>0.75192760865312758</v>
      </c>
      <c r="O26" s="117">
        <v>3.847958652835478E-2</v>
      </c>
      <c r="P26" s="117">
        <v>0.19883944563723202</v>
      </c>
      <c r="Q26" s="117">
        <f t="shared" si="0"/>
        <v>0.13130526889598701</v>
      </c>
      <c r="R26" s="117">
        <f t="shared" si="1"/>
        <v>9.8604154223770109E-3</v>
      </c>
      <c r="S26" s="110">
        <f t="shared" si="2"/>
        <v>0.14058333900777745</v>
      </c>
      <c r="T26" s="129">
        <f>IF(Table2[[#This Row],[Lethality]]="None",0,IF(Table2[[#This Row],[Population Density]]="Rural",($D$3*Table2[[#This Row],[Mean Safe]]),($D$2*Table2[[#This Row],[Mean Safe]])))</f>
        <v>751.92760865312755</v>
      </c>
      <c r="U26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248.07239134687245</v>
      </c>
    </row>
    <row r="27" spans="1:21" x14ac:dyDescent="0.3">
      <c r="A27" s="121">
        <v>22</v>
      </c>
      <c r="B27" s="125" t="str">
        <f>Table2[[#This Row],[Population Density]]&amp;Table2[[#This Row],[Lethality]]&amp;Table2[[#This Row],[Persistence]]&amp;Table2[[#This Row],[Delay]]&amp;Table2[[#This Row],[Evacuate]]</f>
        <v>RuralLowHigh5Yes</v>
      </c>
      <c r="C27" t="s">
        <v>125</v>
      </c>
      <c r="D27" t="s">
        <v>114</v>
      </c>
      <c r="E27" t="s">
        <v>112</v>
      </c>
      <c r="F27" t="s">
        <v>197</v>
      </c>
      <c r="G27" t="s">
        <v>153</v>
      </c>
      <c r="H27" t="s">
        <v>279</v>
      </c>
      <c r="I27" t="s">
        <v>280</v>
      </c>
      <c r="J27" t="s">
        <v>281</v>
      </c>
      <c r="K27" t="s">
        <v>282</v>
      </c>
      <c r="L27" t="s">
        <v>283</v>
      </c>
      <c r="M27" t="s">
        <v>284</v>
      </c>
      <c r="N27" s="117">
        <v>0.7513511163916744</v>
      </c>
      <c r="O27" s="117">
        <v>3.8478404019206602E-2</v>
      </c>
      <c r="P27" s="117">
        <v>0.19648150781093252</v>
      </c>
      <c r="Q27" s="117">
        <f t="shared" si="0"/>
        <v>0.14234501344322009</v>
      </c>
      <c r="R27" s="117">
        <f t="shared" si="1"/>
        <v>1.0272377863465191E-2</v>
      </c>
      <c r="S27" s="110">
        <f t="shared" si="2"/>
        <v>0.15348366597975716</v>
      </c>
      <c r="T27" s="129">
        <f>IF(Table2[[#This Row],[Lethality]]="None",0,IF(Table2[[#This Row],[Population Density]]="Rural",($D$3*Table2[[#This Row],[Mean Safe]]),($D$2*Table2[[#This Row],[Mean Safe]])))</f>
        <v>751.3511163916744</v>
      </c>
      <c r="U27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248.6488836083256</v>
      </c>
    </row>
    <row r="28" spans="1:21" x14ac:dyDescent="0.3">
      <c r="A28" s="122">
        <v>23</v>
      </c>
      <c r="B28" s="126" t="str">
        <f>Table2[[#This Row],[Population Density]]&amp;Table2[[#This Row],[Lethality]]&amp;Table2[[#This Row],[Persistence]]&amp;Table2[[#This Row],[Delay]]&amp;Table2[[#This Row],[Evacuate]]</f>
        <v>RuralLowHighN/ANo</v>
      </c>
      <c r="C28" s="118" t="s">
        <v>125</v>
      </c>
      <c r="D28" s="118" t="s">
        <v>114</v>
      </c>
      <c r="E28" s="118" t="s">
        <v>112</v>
      </c>
      <c r="F28" s="118" t="s">
        <v>152</v>
      </c>
      <c r="G28" s="118" t="s">
        <v>204</v>
      </c>
      <c r="H28" t="s">
        <v>285</v>
      </c>
      <c r="I28" t="s">
        <v>286</v>
      </c>
      <c r="J28" t="s">
        <v>152</v>
      </c>
      <c r="K28" t="s">
        <v>152</v>
      </c>
      <c r="L28" t="s">
        <v>287</v>
      </c>
      <c r="M28" t="s">
        <v>285</v>
      </c>
      <c r="N28" s="117">
        <v>0.66683915100021285</v>
      </c>
      <c r="O28" s="117">
        <v>0</v>
      </c>
      <c r="P28" s="117">
        <v>0.33316084899978715</v>
      </c>
      <c r="Q28" s="117">
        <f t="shared" si="0"/>
        <v>0.28460763134580674</v>
      </c>
      <c r="R28" s="117">
        <v>0</v>
      </c>
      <c r="S28" s="110">
        <f t="shared" si="2"/>
        <v>0.28460763134580674</v>
      </c>
      <c r="T28" s="129">
        <f>IF(Table2[[#This Row],[Lethality]]="None",0,IF(Table2[[#This Row],[Population Density]]="Rural",($D$3*Table2[[#This Row],[Mean Safe]]),($D$2*Table2[[#This Row],[Mean Safe]])))</f>
        <v>666.83915100021284</v>
      </c>
      <c r="U28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333.16084899978716</v>
      </c>
    </row>
    <row r="29" spans="1:21" x14ac:dyDescent="0.3">
      <c r="A29" s="121">
        <v>24</v>
      </c>
      <c r="B29" s="125" t="str">
        <f>Table2[[#This Row],[Population Density]]&amp;Table2[[#This Row],[Lethality]]&amp;Table2[[#This Row],[Persistence]]&amp;Table2[[#This Row],[Delay]]&amp;Table2[[#This Row],[Evacuate]]</f>
        <v>UrbanLowHigh0Yes</v>
      </c>
      <c r="C29" t="s">
        <v>126</v>
      </c>
      <c r="D29" t="s">
        <v>114</v>
      </c>
      <c r="E29" t="s">
        <v>112</v>
      </c>
      <c r="F29" t="s">
        <v>162</v>
      </c>
      <c r="G29" t="s">
        <v>153</v>
      </c>
      <c r="H29" t="s">
        <v>288</v>
      </c>
      <c r="I29" t="s">
        <v>289</v>
      </c>
      <c r="J29" t="s">
        <v>290</v>
      </c>
      <c r="K29" t="s">
        <v>291</v>
      </c>
      <c r="L29" t="s">
        <v>292</v>
      </c>
      <c r="M29" t="s">
        <v>293</v>
      </c>
      <c r="N29" s="117">
        <v>0.69263724243360947</v>
      </c>
      <c r="O29" s="117">
        <v>3.9060757595411312E-2</v>
      </c>
      <c r="P29" s="117">
        <v>0.26134829677066751</v>
      </c>
      <c r="Q29" s="117">
        <f t="shared" si="0"/>
        <v>0.13550402969252595</v>
      </c>
      <c r="R29" s="117">
        <f t="shared" si="1"/>
        <v>9.5245545344037827E-3</v>
      </c>
      <c r="S29" s="110">
        <f t="shared" si="2"/>
        <v>0.14186175084082631</v>
      </c>
      <c r="T29" s="129">
        <f>IF(Table2[[#This Row],[Lethality]]="None",0,IF(Table2[[#This Row],[Population Density]]="Rural",($D$3*Table2[[#This Row],[Mean Safe]]),($D$2*Table2[[#This Row],[Mean Safe]])))</f>
        <v>6926.3724243360948</v>
      </c>
      <c r="U29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3073.6275756639052</v>
      </c>
    </row>
    <row r="30" spans="1:21" x14ac:dyDescent="0.3">
      <c r="A30" s="121">
        <v>25</v>
      </c>
      <c r="B30" s="125" t="str">
        <f>Table2[[#This Row],[Population Density]]&amp;Table2[[#This Row],[Lethality]]&amp;Table2[[#This Row],[Persistence]]&amp;Table2[[#This Row],[Delay]]&amp;Table2[[#This Row],[Evacuate]]</f>
        <v>UrbanLowHigh1Yes</v>
      </c>
      <c r="C30" t="s">
        <v>126</v>
      </c>
      <c r="D30" t="s">
        <v>114</v>
      </c>
      <c r="E30" t="s">
        <v>112</v>
      </c>
      <c r="F30" t="s">
        <v>169</v>
      </c>
      <c r="G30" t="s">
        <v>153</v>
      </c>
      <c r="H30" t="s">
        <v>294</v>
      </c>
      <c r="I30" t="s">
        <v>295</v>
      </c>
      <c r="J30" t="s">
        <v>296</v>
      </c>
      <c r="K30" t="s">
        <v>297</v>
      </c>
      <c r="L30" t="s">
        <v>298</v>
      </c>
      <c r="M30" t="s">
        <v>299</v>
      </c>
      <c r="N30" s="117">
        <v>0.74864262029084583</v>
      </c>
      <c r="O30" s="117">
        <v>3.6618352116174285E-2</v>
      </c>
      <c r="P30" s="117">
        <v>0.20821311129713285</v>
      </c>
      <c r="Q30" s="117">
        <f t="shared" si="0"/>
        <v>0.1121854866596315</v>
      </c>
      <c r="R30" s="117">
        <f t="shared" si="1"/>
        <v>9.0304454744617214E-3</v>
      </c>
      <c r="S30" s="110">
        <f t="shared" si="2"/>
        <v>0.11874704916328427</v>
      </c>
      <c r="T30" s="129">
        <f>IF(Table2[[#This Row],[Lethality]]="None",0,IF(Table2[[#This Row],[Population Density]]="Rural",($D$3*Table2[[#This Row],[Mean Safe]]),($D$2*Table2[[#This Row],[Mean Safe]])))</f>
        <v>7486.4262029084584</v>
      </c>
      <c r="U30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2513.5737970915416</v>
      </c>
    </row>
    <row r="31" spans="1:21" x14ac:dyDescent="0.3">
      <c r="A31" s="121">
        <v>26</v>
      </c>
      <c r="B31" s="125" t="str">
        <f>Table2[[#This Row],[Population Density]]&amp;Table2[[#This Row],[Lethality]]&amp;Table2[[#This Row],[Persistence]]&amp;Table2[[#This Row],[Delay]]&amp;Table2[[#This Row],[Evacuate]]</f>
        <v>UrbanLowHigh2Yes</v>
      </c>
      <c r="C31" t="s">
        <v>126</v>
      </c>
      <c r="D31" t="s">
        <v>114</v>
      </c>
      <c r="E31" t="s">
        <v>112</v>
      </c>
      <c r="F31" t="s">
        <v>176</v>
      </c>
      <c r="G31" t="s">
        <v>153</v>
      </c>
      <c r="H31" t="s">
        <v>300</v>
      </c>
      <c r="I31" t="s">
        <v>301</v>
      </c>
      <c r="J31" t="s">
        <v>302</v>
      </c>
      <c r="K31" t="s">
        <v>303</v>
      </c>
      <c r="L31" t="s">
        <v>304</v>
      </c>
      <c r="M31" t="s">
        <v>305</v>
      </c>
      <c r="N31" s="117">
        <v>0.87601538107007026</v>
      </c>
      <c r="O31" s="117">
        <v>3.8133584735930252E-2</v>
      </c>
      <c r="P31" s="117">
        <v>8.2444808206244696E-2</v>
      </c>
      <c r="Q31" s="117">
        <f t="shared" si="0"/>
        <v>4.1070113982095334E-2</v>
      </c>
      <c r="R31" s="117">
        <f t="shared" si="1"/>
        <v>8.1772314458729862E-3</v>
      </c>
      <c r="S31" s="110">
        <f t="shared" si="2"/>
        <v>4.3847654268169715E-2</v>
      </c>
      <c r="T31" s="129">
        <f>IF(Table2[[#This Row],[Lethality]]="None",0,IF(Table2[[#This Row],[Population Density]]="Rural",($D$3*Table2[[#This Row],[Mean Safe]]),($D$2*Table2[[#This Row],[Mean Safe]])))</f>
        <v>8760.1538107007018</v>
      </c>
      <c r="U31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1239.8461892992982</v>
      </c>
    </row>
    <row r="32" spans="1:21" x14ac:dyDescent="0.3">
      <c r="A32" s="121">
        <v>27</v>
      </c>
      <c r="B32" s="125" t="str">
        <f>Table2[[#This Row],[Population Density]]&amp;Table2[[#This Row],[Lethality]]&amp;Table2[[#This Row],[Persistence]]&amp;Table2[[#This Row],[Delay]]&amp;Table2[[#This Row],[Evacuate]]</f>
        <v>UrbanLowHigh3Yes</v>
      </c>
      <c r="C32" t="s">
        <v>126</v>
      </c>
      <c r="D32" t="s">
        <v>114</v>
      </c>
      <c r="E32" t="s">
        <v>112</v>
      </c>
      <c r="F32" t="s">
        <v>183</v>
      </c>
      <c r="G32" t="s">
        <v>153</v>
      </c>
      <c r="H32" t="s">
        <v>306</v>
      </c>
      <c r="I32" t="s">
        <v>307</v>
      </c>
      <c r="J32" t="s">
        <v>308</v>
      </c>
      <c r="K32" t="s">
        <v>309</v>
      </c>
      <c r="L32" t="s">
        <v>310</v>
      </c>
      <c r="M32" t="s">
        <v>311</v>
      </c>
      <c r="N32" s="117">
        <v>0.84929589717802012</v>
      </c>
      <c r="O32" s="117">
        <v>3.7588146550399326E-2</v>
      </c>
      <c r="P32" s="117">
        <v>0.10749938776187969</v>
      </c>
      <c r="Q32" s="117">
        <f t="shared" si="0"/>
        <v>6.6113130872094125E-2</v>
      </c>
      <c r="R32" s="117">
        <f t="shared" si="1"/>
        <v>8.4799192066086042E-3</v>
      </c>
      <c r="S32" s="110">
        <f t="shared" si="2"/>
        <v>7.0764154323421771E-2</v>
      </c>
      <c r="T32" s="129">
        <f>IF(Table2[[#This Row],[Lethality]]="None",0,IF(Table2[[#This Row],[Population Density]]="Rural",($D$3*Table2[[#This Row],[Mean Safe]]),($D$2*Table2[[#This Row],[Mean Safe]])))</f>
        <v>8492.958971780201</v>
      </c>
      <c r="U32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1507.041028219799</v>
      </c>
    </row>
    <row r="33" spans="1:21" x14ac:dyDescent="0.3">
      <c r="A33" s="121">
        <v>28</v>
      </c>
      <c r="B33" s="125" t="str">
        <f>Table2[[#This Row],[Population Density]]&amp;Table2[[#This Row],[Lethality]]&amp;Table2[[#This Row],[Persistence]]&amp;Table2[[#This Row],[Delay]]&amp;Table2[[#This Row],[Evacuate]]</f>
        <v>UrbanLowHigh4Yes</v>
      </c>
      <c r="C33" t="s">
        <v>126</v>
      </c>
      <c r="D33" t="s">
        <v>114</v>
      </c>
      <c r="E33" t="s">
        <v>112</v>
      </c>
      <c r="F33" t="s">
        <v>190</v>
      </c>
      <c r="G33" t="s">
        <v>153</v>
      </c>
      <c r="H33" t="s">
        <v>312</v>
      </c>
      <c r="I33" t="s">
        <v>313</v>
      </c>
      <c r="J33" t="s">
        <v>314</v>
      </c>
      <c r="K33" t="s">
        <v>315</v>
      </c>
      <c r="L33" t="s">
        <v>316</v>
      </c>
      <c r="M33" t="s">
        <v>317</v>
      </c>
      <c r="N33" s="117">
        <v>0.82414726218640155</v>
      </c>
      <c r="O33" s="117">
        <v>3.6975918694696255E-2</v>
      </c>
      <c r="P33" s="117">
        <v>0.13126651371606984</v>
      </c>
      <c r="Q33" s="117">
        <f t="shared" si="0"/>
        <v>8.5915254604932573E-2</v>
      </c>
      <c r="R33" s="117">
        <f t="shared" si="1"/>
        <v>9.1252246059959959E-3</v>
      </c>
      <c r="S33" s="110">
        <f t="shared" si="2"/>
        <v>9.2918730370542768E-2</v>
      </c>
      <c r="T33" s="129">
        <f>IF(Table2[[#This Row],[Lethality]]="None",0,IF(Table2[[#This Row],[Population Density]]="Rural",($D$3*Table2[[#This Row],[Mean Safe]]),($D$2*Table2[[#This Row],[Mean Safe]])))</f>
        <v>8241.4726218640153</v>
      </c>
      <c r="U33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1758.5273781359847</v>
      </c>
    </row>
    <row r="34" spans="1:21" x14ac:dyDescent="0.3">
      <c r="A34" s="121">
        <v>29</v>
      </c>
      <c r="B34" s="125" t="str">
        <f>Table2[[#This Row],[Population Density]]&amp;Table2[[#This Row],[Lethality]]&amp;Table2[[#This Row],[Persistence]]&amp;Table2[[#This Row],[Delay]]&amp;Table2[[#This Row],[Evacuate]]</f>
        <v>UrbanLowHigh5Yes</v>
      </c>
      <c r="C34" t="s">
        <v>126</v>
      </c>
      <c r="D34" t="s">
        <v>114</v>
      </c>
      <c r="E34" t="s">
        <v>112</v>
      </c>
      <c r="F34" t="s">
        <v>197</v>
      </c>
      <c r="G34" t="s">
        <v>153</v>
      </c>
      <c r="H34" t="s">
        <v>318</v>
      </c>
      <c r="I34" t="s">
        <v>319</v>
      </c>
      <c r="J34" t="s">
        <v>320</v>
      </c>
      <c r="K34" t="s">
        <v>321</v>
      </c>
      <c r="L34" t="s">
        <v>322</v>
      </c>
      <c r="M34" t="s">
        <v>323</v>
      </c>
      <c r="N34" s="117">
        <v>0.86931362208677543</v>
      </c>
      <c r="O34" s="117">
        <v>3.8313265032396918E-2</v>
      </c>
      <c r="P34" s="117">
        <v>8.4834825223171914E-2</v>
      </c>
      <c r="Q34" s="117">
        <f t="shared" si="0"/>
        <v>6.567828946528706E-2</v>
      </c>
      <c r="R34" s="117">
        <f t="shared" si="1"/>
        <v>8.6301635742218538E-3</v>
      </c>
      <c r="S34" s="110">
        <f t="shared" si="2"/>
        <v>7.1164067081182253E-2</v>
      </c>
      <c r="T34" s="129">
        <f>IF(Table2[[#This Row],[Lethality]]="None",0,IF(Table2[[#This Row],[Population Density]]="Rural",($D$3*Table2[[#This Row],[Mean Safe]]),($D$2*Table2[[#This Row],[Mean Safe]])))</f>
        <v>8693.1362208677547</v>
      </c>
      <c r="U34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1306.8637791322453</v>
      </c>
    </row>
    <row r="35" spans="1:21" x14ac:dyDescent="0.3">
      <c r="A35" s="122">
        <v>30</v>
      </c>
      <c r="B35" s="126" t="str">
        <f>Table2[[#This Row],[Population Density]]&amp;Table2[[#This Row],[Lethality]]&amp;Table2[[#This Row],[Persistence]]&amp;Table2[[#This Row],[Delay]]&amp;Table2[[#This Row],[Evacuate]]</f>
        <v>UrbanLowHighN/ANo</v>
      </c>
      <c r="C35" s="118" t="s">
        <v>126</v>
      </c>
      <c r="D35" s="118" t="s">
        <v>114</v>
      </c>
      <c r="E35" s="118" t="s">
        <v>112</v>
      </c>
      <c r="F35" s="118" t="s">
        <v>152</v>
      </c>
      <c r="G35" s="118" t="s">
        <v>204</v>
      </c>
      <c r="H35" t="s">
        <v>324</v>
      </c>
      <c r="I35" t="s">
        <v>325</v>
      </c>
      <c r="J35" t="s">
        <v>152</v>
      </c>
      <c r="K35" t="s">
        <v>152</v>
      </c>
      <c r="L35" t="s">
        <v>326</v>
      </c>
      <c r="M35" t="s">
        <v>327</v>
      </c>
      <c r="N35" s="117">
        <v>0.68330245980411386</v>
      </c>
      <c r="O35" s="117">
        <v>0</v>
      </c>
      <c r="P35" s="117">
        <v>0.31669754019588581</v>
      </c>
      <c r="Q35" s="117">
        <f t="shared" si="0"/>
        <v>0.27476171250285908</v>
      </c>
      <c r="R35" s="117">
        <v>0</v>
      </c>
      <c r="S35" s="110">
        <f t="shared" si="2"/>
        <v>0.27476171250285902</v>
      </c>
      <c r="T35" s="129">
        <f>IF(Table2[[#This Row],[Lethality]]="None",0,IF(Table2[[#This Row],[Population Density]]="Rural",($D$3*Table2[[#This Row],[Mean Safe]]),($D$2*Table2[[#This Row],[Mean Safe]])))</f>
        <v>6833.0245980411382</v>
      </c>
      <c r="U35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3166.9754019588618</v>
      </c>
    </row>
    <row r="36" spans="1:21" x14ac:dyDescent="0.3">
      <c r="A36" s="121">
        <v>31</v>
      </c>
      <c r="B36" s="125" t="str">
        <f>Table2[[#This Row],[Population Density]]&amp;Table2[[#This Row],[Lethality]]&amp;Table2[[#This Row],[Persistence]]&amp;Table2[[#This Row],[Delay]]&amp;Table2[[#This Row],[Evacuate]]</f>
        <v>RuralMediumLow0Yes</v>
      </c>
      <c r="C36" t="s">
        <v>125</v>
      </c>
      <c r="D36" t="s">
        <v>113</v>
      </c>
      <c r="E36" t="s">
        <v>114</v>
      </c>
      <c r="F36" t="s">
        <v>162</v>
      </c>
      <c r="G36" t="s">
        <v>153</v>
      </c>
      <c r="H36" t="s">
        <v>328</v>
      </c>
      <c r="I36" t="s">
        <v>329</v>
      </c>
      <c r="J36" t="s">
        <v>330</v>
      </c>
      <c r="K36" t="s">
        <v>331</v>
      </c>
      <c r="L36" t="s">
        <v>332</v>
      </c>
      <c r="M36" t="s">
        <v>333</v>
      </c>
      <c r="N36" s="117">
        <v>0.63251611583201761</v>
      </c>
      <c r="O36" s="117">
        <v>3.31137993690441E-2</v>
      </c>
      <c r="P36" s="117">
        <v>0.33015048112820344</v>
      </c>
      <c r="Q36" s="117">
        <f t="shared" si="0"/>
        <v>0.12289184578651728</v>
      </c>
      <c r="R36" s="117">
        <f t="shared" si="1"/>
        <v>9.1608599717919598E-3</v>
      </c>
      <c r="S36" s="110">
        <f t="shared" si="2"/>
        <v>0.12973243307397656</v>
      </c>
      <c r="T36" s="129">
        <f>IF(Table2[[#This Row],[Lethality]]="None",0,IF(Table2[[#This Row],[Population Density]]="Rural",($D$3*Table2[[#This Row],[Mean Safe]]),($D$2*Table2[[#This Row],[Mean Safe]])))</f>
        <v>632.51611583201759</v>
      </c>
      <c r="U36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367.48388416798241</v>
      </c>
    </row>
    <row r="37" spans="1:21" x14ac:dyDescent="0.3">
      <c r="A37" s="121">
        <v>32</v>
      </c>
      <c r="B37" s="125" t="str">
        <f>Table2[[#This Row],[Population Density]]&amp;Table2[[#This Row],[Lethality]]&amp;Table2[[#This Row],[Persistence]]&amp;Table2[[#This Row],[Delay]]&amp;Table2[[#This Row],[Evacuate]]</f>
        <v>RuralMediumLow1Yes</v>
      </c>
      <c r="C37" t="s">
        <v>125</v>
      </c>
      <c r="D37" t="s">
        <v>113</v>
      </c>
      <c r="E37" t="s">
        <v>114</v>
      </c>
      <c r="F37" t="s">
        <v>169</v>
      </c>
      <c r="G37" t="s">
        <v>153</v>
      </c>
      <c r="H37" t="s">
        <v>334</v>
      </c>
      <c r="I37" t="s">
        <v>335</v>
      </c>
      <c r="J37" t="s">
        <v>336</v>
      </c>
      <c r="K37" t="s">
        <v>337</v>
      </c>
      <c r="L37" t="s">
        <v>338</v>
      </c>
      <c r="M37" t="s">
        <v>339</v>
      </c>
      <c r="N37" s="117">
        <v>0.63807633486103255</v>
      </c>
      <c r="O37" s="117">
        <v>3.4355182707830986E-2</v>
      </c>
      <c r="P37" s="117">
        <v>0.32151100100532815</v>
      </c>
      <c r="Q37" s="117">
        <f t="shared" si="0"/>
        <v>0.1498065870161932</v>
      </c>
      <c r="R37" s="117">
        <f t="shared" si="1"/>
        <v>9.6293360908486451E-3</v>
      </c>
      <c r="S37" s="110">
        <f t="shared" si="2"/>
        <v>0.15635707889938746</v>
      </c>
      <c r="T37" s="129">
        <f>IF(Table2[[#This Row],[Lethality]]="None",0,IF(Table2[[#This Row],[Population Density]]="Rural",($D$3*Table2[[#This Row],[Mean Safe]]),($D$2*Table2[[#This Row],[Mean Safe]])))</f>
        <v>638.07633486103259</v>
      </c>
      <c r="U37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361.92366513896741</v>
      </c>
    </row>
    <row r="38" spans="1:21" x14ac:dyDescent="0.3">
      <c r="A38" s="121">
        <v>33</v>
      </c>
      <c r="B38" s="125" t="str">
        <f>Table2[[#This Row],[Population Density]]&amp;Table2[[#This Row],[Lethality]]&amp;Table2[[#This Row],[Persistence]]&amp;Table2[[#This Row],[Delay]]&amp;Table2[[#This Row],[Evacuate]]</f>
        <v>RuralMediumLow2Yes</v>
      </c>
      <c r="C38" t="s">
        <v>125</v>
      </c>
      <c r="D38" t="s">
        <v>113</v>
      </c>
      <c r="E38" t="s">
        <v>114</v>
      </c>
      <c r="F38" t="s">
        <v>176</v>
      </c>
      <c r="G38" t="s">
        <v>153</v>
      </c>
      <c r="H38" t="s">
        <v>340</v>
      </c>
      <c r="I38" t="s">
        <v>341</v>
      </c>
      <c r="J38" t="s">
        <v>342</v>
      </c>
      <c r="K38" t="s">
        <v>343</v>
      </c>
      <c r="L38" t="s">
        <v>344</v>
      </c>
      <c r="M38" t="s">
        <v>345</v>
      </c>
      <c r="N38" s="117">
        <v>0.73395893216156272</v>
      </c>
      <c r="O38" s="117">
        <v>3.3556823215320462E-2</v>
      </c>
      <c r="P38" s="117">
        <v>0.22626496675633861</v>
      </c>
      <c r="Q38" s="117">
        <f t="shared" si="0"/>
        <v>0.119727242756465</v>
      </c>
      <c r="R38" s="117">
        <f t="shared" si="1"/>
        <v>9.094104547548448E-3</v>
      </c>
      <c r="S38" s="110">
        <f t="shared" si="2"/>
        <v>0.12623913866202904</v>
      </c>
      <c r="T38" s="129">
        <f>IF(Table2[[#This Row],[Lethality]]="None",0,IF(Table2[[#This Row],[Population Density]]="Rural",($D$3*Table2[[#This Row],[Mean Safe]]),($D$2*Table2[[#This Row],[Mean Safe]])))</f>
        <v>733.95893216156276</v>
      </c>
      <c r="U38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266.04106783843724</v>
      </c>
    </row>
    <row r="39" spans="1:21" x14ac:dyDescent="0.3">
      <c r="A39" s="121">
        <v>34</v>
      </c>
      <c r="B39" s="125" t="str">
        <f>Table2[[#This Row],[Population Density]]&amp;Table2[[#This Row],[Lethality]]&amp;Table2[[#This Row],[Persistence]]&amp;Table2[[#This Row],[Delay]]&amp;Table2[[#This Row],[Evacuate]]</f>
        <v>RuralMediumLow3Yes</v>
      </c>
      <c r="C39" t="s">
        <v>125</v>
      </c>
      <c r="D39" t="s">
        <v>113</v>
      </c>
      <c r="E39" t="s">
        <v>114</v>
      </c>
      <c r="F39" t="s">
        <v>183</v>
      </c>
      <c r="G39" t="s">
        <v>153</v>
      </c>
      <c r="H39" t="s">
        <v>346</v>
      </c>
      <c r="I39" t="s">
        <v>347</v>
      </c>
      <c r="J39" t="s">
        <v>348</v>
      </c>
      <c r="K39" t="s">
        <v>349</v>
      </c>
      <c r="L39" t="s">
        <v>350</v>
      </c>
      <c r="M39" t="s">
        <v>351</v>
      </c>
      <c r="N39" s="117">
        <v>0.65550487354314824</v>
      </c>
      <c r="O39" s="117">
        <v>3.5297827100449326E-2</v>
      </c>
      <c r="P39" s="117">
        <v>0.29738721662381773</v>
      </c>
      <c r="Q39" s="117">
        <f t="shared" si="0"/>
        <v>0.18509755391689628</v>
      </c>
      <c r="R39" s="117">
        <f t="shared" si="1"/>
        <v>1.1141658054452502E-2</v>
      </c>
      <c r="S39" s="110">
        <f t="shared" si="2"/>
        <v>0.1939060622746463</v>
      </c>
      <c r="T39" s="129">
        <f>IF(Table2[[#This Row],[Lethality]]="None",0,IF(Table2[[#This Row],[Population Density]]="Rural",($D$3*Table2[[#This Row],[Mean Safe]]),($D$2*Table2[[#This Row],[Mean Safe]])))</f>
        <v>655.50487354314828</v>
      </c>
      <c r="U39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344.49512645685172</v>
      </c>
    </row>
    <row r="40" spans="1:21" x14ac:dyDescent="0.3">
      <c r="A40" s="121">
        <v>35</v>
      </c>
      <c r="B40" s="125" t="str">
        <f>Table2[[#This Row],[Population Density]]&amp;Table2[[#This Row],[Lethality]]&amp;Table2[[#This Row],[Persistence]]&amp;Table2[[#This Row],[Delay]]&amp;Table2[[#This Row],[Evacuate]]</f>
        <v>RuralMediumLow4Yes</v>
      </c>
      <c r="C40" t="s">
        <v>125</v>
      </c>
      <c r="D40" t="s">
        <v>113</v>
      </c>
      <c r="E40" t="s">
        <v>114</v>
      </c>
      <c r="F40" t="s">
        <v>190</v>
      </c>
      <c r="G40" t="s">
        <v>153</v>
      </c>
      <c r="H40" t="s">
        <v>352</v>
      </c>
      <c r="I40" t="s">
        <v>353</v>
      </c>
      <c r="J40" t="s">
        <v>354</v>
      </c>
      <c r="K40" t="s">
        <v>355</v>
      </c>
      <c r="L40" t="s">
        <v>356</v>
      </c>
      <c r="M40" t="s">
        <v>357</v>
      </c>
      <c r="N40" s="117">
        <v>0.63015248817222425</v>
      </c>
      <c r="O40" s="117">
        <v>4.4501901458211736E-2</v>
      </c>
      <c r="P40" s="117">
        <v>0.30511281384279754</v>
      </c>
      <c r="Q40" s="117">
        <f t="shared" si="0"/>
        <v>0.22040616227098483</v>
      </c>
      <c r="R40" s="117">
        <f t="shared" si="1"/>
        <v>1.4088564542507846E-2</v>
      </c>
      <c r="S40" s="110">
        <f t="shared" si="2"/>
        <v>0.22931515700423905</v>
      </c>
      <c r="T40" s="129">
        <f>IF(Table2[[#This Row],[Lethality]]="None",0,IF(Table2[[#This Row],[Population Density]]="Rural",($D$3*Table2[[#This Row],[Mean Safe]]),($D$2*Table2[[#This Row],[Mean Safe]])))</f>
        <v>630.15248817222425</v>
      </c>
      <c r="U40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369.84751182777575</v>
      </c>
    </row>
    <row r="41" spans="1:21" x14ac:dyDescent="0.3">
      <c r="A41" s="121">
        <v>36</v>
      </c>
      <c r="B41" s="125" t="str">
        <f>Table2[[#This Row],[Population Density]]&amp;Table2[[#This Row],[Lethality]]&amp;Table2[[#This Row],[Persistence]]&amp;Table2[[#This Row],[Delay]]&amp;Table2[[#This Row],[Evacuate]]</f>
        <v>RuralMediumLow5Yes</v>
      </c>
      <c r="C41" t="s">
        <v>125</v>
      </c>
      <c r="D41" t="s">
        <v>113</v>
      </c>
      <c r="E41" t="s">
        <v>114</v>
      </c>
      <c r="F41" t="s">
        <v>197</v>
      </c>
      <c r="G41" t="s">
        <v>153</v>
      </c>
      <c r="H41" t="s">
        <v>358</v>
      </c>
      <c r="I41" t="s">
        <v>359</v>
      </c>
      <c r="J41" t="s">
        <v>360</v>
      </c>
      <c r="K41" t="s">
        <v>361</v>
      </c>
      <c r="L41" t="s">
        <v>362</v>
      </c>
      <c r="M41" t="s">
        <v>363</v>
      </c>
      <c r="N41" s="117">
        <v>0.68902942768450093</v>
      </c>
      <c r="O41" s="117">
        <v>4.000761624541626E-2</v>
      </c>
      <c r="P41" s="117">
        <v>0.24955385034603339</v>
      </c>
      <c r="Q41" s="117">
        <f t="shared" si="0"/>
        <v>0.21007738047783411</v>
      </c>
      <c r="R41" s="117">
        <f t="shared" si="1"/>
        <v>1.2061779740726431E-2</v>
      </c>
      <c r="S41" s="110">
        <f t="shared" si="2"/>
        <v>0.21923467115227654</v>
      </c>
      <c r="T41" s="129">
        <f>IF(Table2[[#This Row],[Lethality]]="None",0,IF(Table2[[#This Row],[Population Density]]="Rural",($D$3*Table2[[#This Row],[Mean Safe]]),($D$2*Table2[[#This Row],[Mean Safe]])))</f>
        <v>689.02942768450089</v>
      </c>
      <c r="U41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310.97057231549911</v>
      </c>
    </row>
    <row r="42" spans="1:21" x14ac:dyDescent="0.3">
      <c r="A42" s="122">
        <v>37</v>
      </c>
      <c r="B42" s="126" t="str">
        <f>Table2[[#This Row],[Population Density]]&amp;Table2[[#This Row],[Lethality]]&amp;Table2[[#This Row],[Persistence]]&amp;Table2[[#This Row],[Delay]]&amp;Table2[[#This Row],[Evacuate]]</f>
        <v>RuralMediumLowN/ANo</v>
      </c>
      <c r="C42" s="118" t="s">
        <v>125</v>
      </c>
      <c r="D42" s="118" t="s">
        <v>113</v>
      </c>
      <c r="E42" s="118" t="s">
        <v>114</v>
      </c>
      <c r="F42" s="118" t="s">
        <v>152</v>
      </c>
      <c r="G42" s="118" t="s">
        <v>204</v>
      </c>
      <c r="H42" t="s">
        <v>364</v>
      </c>
      <c r="I42" t="s">
        <v>365</v>
      </c>
      <c r="J42" t="s">
        <v>152</v>
      </c>
      <c r="K42" t="s">
        <v>152</v>
      </c>
      <c r="L42" t="s">
        <v>365</v>
      </c>
      <c r="M42" t="s">
        <v>366</v>
      </c>
      <c r="N42" s="117">
        <v>0.71451546793932397</v>
      </c>
      <c r="O42" s="117">
        <v>0</v>
      </c>
      <c r="P42" s="117">
        <v>0.28548453206067603</v>
      </c>
      <c r="Q42" s="117">
        <f t="shared" si="0"/>
        <v>0.28732608567656454</v>
      </c>
      <c r="R42" s="117">
        <v>0</v>
      </c>
      <c r="S42" s="110">
        <f t="shared" si="2"/>
        <v>0.28732608567656454</v>
      </c>
      <c r="T42" s="129">
        <f>IF(Table2[[#This Row],[Lethality]]="None",0,IF(Table2[[#This Row],[Population Density]]="Rural",($D$3*Table2[[#This Row],[Mean Safe]]),($D$2*Table2[[#This Row],[Mean Safe]])))</f>
        <v>714.51546793932391</v>
      </c>
      <c r="U42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285.48453206067609</v>
      </c>
    </row>
    <row r="43" spans="1:21" x14ac:dyDescent="0.3">
      <c r="A43" s="121">
        <v>38</v>
      </c>
      <c r="B43" s="125" t="str">
        <f>Table2[[#This Row],[Population Density]]&amp;Table2[[#This Row],[Lethality]]&amp;Table2[[#This Row],[Persistence]]&amp;Table2[[#This Row],[Delay]]&amp;Table2[[#This Row],[Evacuate]]</f>
        <v>UrbanMediumLow0Yes</v>
      </c>
      <c r="C43" t="s">
        <v>126</v>
      </c>
      <c r="D43" t="s">
        <v>113</v>
      </c>
      <c r="E43" t="s">
        <v>114</v>
      </c>
      <c r="F43" t="s">
        <v>162</v>
      </c>
      <c r="G43" t="s">
        <v>153</v>
      </c>
      <c r="H43" t="s">
        <v>367</v>
      </c>
      <c r="I43" t="s">
        <v>368</v>
      </c>
      <c r="J43" t="s">
        <v>369</v>
      </c>
      <c r="K43" t="s">
        <v>370</v>
      </c>
      <c r="L43" t="s">
        <v>371</v>
      </c>
      <c r="M43" t="s">
        <v>372</v>
      </c>
      <c r="N43" s="117">
        <v>0.82250683047671158</v>
      </c>
      <c r="O43" s="117">
        <v>3.5465113811642072E-2</v>
      </c>
      <c r="P43" s="117">
        <v>0.1398107696280162</v>
      </c>
      <c r="Q43" s="117">
        <f t="shared" si="0"/>
        <v>5.1782676505059515E-2</v>
      </c>
      <c r="R43" s="117">
        <f t="shared" si="1"/>
        <v>7.5791106685811419E-3</v>
      </c>
      <c r="S43" s="110">
        <f t="shared" si="2"/>
        <v>5.3581897359955638E-2</v>
      </c>
      <c r="T43" s="129">
        <f>IF(Table2[[#This Row],[Lethality]]="None",0,IF(Table2[[#This Row],[Population Density]]="Rural",($D$3*Table2[[#This Row],[Mean Safe]]),($D$2*Table2[[#This Row],[Mean Safe]])))</f>
        <v>8225.0683047671155</v>
      </c>
      <c r="U43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1774.9316952328845</v>
      </c>
    </row>
    <row r="44" spans="1:21" x14ac:dyDescent="0.3">
      <c r="A44" s="121">
        <v>39</v>
      </c>
      <c r="B44" s="125" t="str">
        <f>Table2[[#This Row],[Population Density]]&amp;Table2[[#This Row],[Lethality]]&amp;Table2[[#This Row],[Persistence]]&amp;Table2[[#This Row],[Delay]]&amp;Table2[[#This Row],[Evacuate]]</f>
        <v>UrbanMediumLow1Yes</v>
      </c>
      <c r="C44" t="s">
        <v>126</v>
      </c>
      <c r="D44" t="s">
        <v>113</v>
      </c>
      <c r="E44" t="s">
        <v>114</v>
      </c>
      <c r="F44" t="s">
        <v>169</v>
      </c>
      <c r="G44" t="s">
        <v>153</v>
      </c>
      <c r="H44" t="s">
        <v>373</v>
      </c>
      <c r="I44" t="s">
        <v>374</v>
      </c>
      <c r="J44" t="s">
        <v>375</v>
      </c>
      <c r="K44" t="s">
        <v>376</v>
      </c>
      <c r="L44" t="s">
        <v>377</v>
      </c>
      <c r="M44" t="s">
        <v>378</v>
      </c>
      <c r="N44" s="117">
        <v>0.5881526165585137</v>
      </c>
      <c r="O44" s="117">
        <v>3.3646998942149578E-2</v>
      </c>
      <c r="P44" s="117">
        <v>0.37093900350738312</v>
      </c>
      <c r="Q44" s="117">
        <f t="shared" si="0"/>
        <v>0.1749861727693296</v>
      </c>
      <c r="R44" s="117">
        <f t="shared" si="1"/>
        <v>1.066956987958081E-2</v>
      </c>
      <c r="S44" s="110">
        <f t="shared" si="2"/>
        <v>0.18261793609115595</v>
      </c>
      <c r="T44" s="129">
        <f>IF(Table2[[#This Row],[Lethality]]="None",0,IF(Table2[[#This Row],[Population Density]]="Rural",($D$3*Table2[[#This Row],[Mean Safe]]),($D$2*Table2[[#This Row],[Mean Safe]])))</f>
        <v>5881.5261655851373</v>
      </c>
      <c r="U44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4118.4738344148627</v>
      </c>
    </row>
    <row r="45" spans="1:21" x14ac:dyDescent="0.3">
      <c r="A45" s="121">
        <v>40</v>
      </c>
      <c r="B45" s="125" t="str">
        <f>Table2[[#This Row],[Population Density]]&amp;Table2[[#This Row],[Lethality]]&amp;Table2[[#This Row],[Persistence]]&amp;Table2[[#This Row],[Delay]]&amp;Table2[[#This Row],[Evacuate]]</f>
        <v>UrbanMediumLow2Yes</v>
      </c>
      <c r="C45" t="s">
        <v>126</v>
      </c>
      <c r="D45" t="s">
        <v>113</v>
      </c>
      <c r="E45" t="s">
        <v>114</v>
      </c>
      <c r="F45" t="s">
        <v>176</v>
      </c>
      <c r="G45" t="s">
        <v>153</v>
      </c>
      <c r="H45" t="s">
        <v>379</v>
      </c>
      <c r="I45" t="s">
        <v>380</v>
      </c>
      <c r="J45" t="s">
        <v>381</v>
      </c>
      <c r="K45" t="s">
        <v>382</v>
      </c>
      <c r="L45" t="s">
        <v>383</v>
      </c>
      <c r="M45" t="s">
        <v>384</v>
      </c>
      <c r="N45" s="117">
        <v>0.67027643281518123</v>
      </c>
      <c r="O45" s="117">
        <v>3.2964512511526073E-2</v>
      </c>
      <c r="P45" s="117">
        <v>0.28836334736713204</v>
      </c>
      <c r="Q45" s="117">
        <f t="shared" si="0"/>
        <v>0.15950049691657175</v>
      </c>
      <c r="R45" s="117">
        <f t="shared" si="1"/>
        <v>1.0134557641549684E-2</v>
      </c>
      <c r="S45" s="110">
        <f t="shared" si="2"/>
        <v>0.16760640279707045</v>
      </c>
      <c r="T45" s="129">
        <f>IF(Table2[[#This Row],[Lethality]]="None",0,IF(Table2[[#This Row],[Population Density]]="Rural",($D$3*Table2[[#This Row],[Mean Safe]]),($D$2*Table2[[#This Row],[Mean Safe]])))</f>
        <v>6702.7643281518122</v>
      </c>
      <c r="U45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3297.2356718481878</v>
      </c>
    </row>
    <row r="46" spans="1:21" x14ac:dyDescent="0.3">
      <c r="A46" s="121">
        <v>41</v>
      </c>
      <c r="B46" s="125" t="str">
        <f>Table2[[#This Row],[Population Density]]&amp;Table2[[#This Row],[Lethality]]&amp;Table2[[#This Row],[Persistence]]&amp;Table2[[#This Row],[Delay]]&amp;Table2[[#This Row],[Evacuate]]</f>
        <v>UrbanMediumLow3Yes</v>
      </c>
      <c r="C46" t="s">
        <v>126</v>
      </c>
      <c r="D46" t="s">
        <v>113</v>
      </c>
      <c r="E46" t="s">
        <v>114</v>
      </c>
      <c r="F46" t="s">
        <v>183</v>
      </c>
      <c r="G46" t="s">
        <v>153</v>
      </c>
      <c r="H46" t="s">
        <v>385</v>
      </c>
      <c r="I46" t="s">
        <v>386</v>
      </c>
      <c r="J46" t="s">
        <v>387</v>
      </c>
      <c r="K46" t="s">
        <v>388</v>
      </c>
      <c r="L46" t="s">
        <v>389</v>
      </c>
      <c r="M46" t="s">
        <v>390</v>
      </c>
      <c r="N46" s="117">
        <v>0.73198896442939243</v>
      </c>
      <c r="O46" s="117">
        <v>3.5172207012004686E-2</v>
      </c>
      <c r="P46" s="117">
        <v>0.22322091792107926</v>
      </c>
      <c r="Q46" s="117">
        <f t="shared" si="0"/>
        <v>0.13606816642432587</v>
      </c>
      <c r="R46" s="117">
        <f t="shared" si="1"/>
        <v>1.0798172264952825E-2</v>
      </c>
      <c r="S46" s="110">
        <f t="shared" si="2"/>
        <v>0.14555310347128186</v>
      </c>
      <c r="T46" s="129">
        <f>IF(Table2[[#This Row],[Lethality]]="None",0,IF(Table2[[#This Row],[Population Density]]="Rural",($D$3*Table2[[#This Row],[Mean Safe]]),($D$2*Table2[[#This Row],[Mean Safe]])))</f>
        <v>7319.889644293924</v>
      </c>
      <c r="U46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2680.110355706076</v>
      </c>
    </row>
    <row r="47" spans="1:21" x14ac:dyDescent="0.3">
      <c r="A47" s="121">
        <v>42</v>
      </c>
      <c r="B47" s="125" t="str">
        <f>Table2[[#This Row],[Population Density]]&amp;Table2[[#This Row],[Lethality]]&amp;Table2[[#This Row],[Persistence]]&amp;Table2[[#This Row],[Delay]]&amp;Table2[[#This Row],[Evacuate]]</f>
        <v>UrbanMediumLow4Yes</v>
      </c>
      <c r="C47" t="s">
        <v>126</v>
      </c>
      <c r="D47" t="s">
        <v>113</v>
      </c>
      <c r="E47" t="s">
        <v>114</v>
      </c>
      <c r="F47" t="s">
        <v>190</v>
      </c>
      <c r="G47" t="s">
        <v>153</v>
      </c>
      <c r="H47" t="s">
        <v>391</v>
      </c>
      <c r="I47" t="s">
        <v>392</v>
      </c>
      <c r="J47" t="s">
        <v>393</v>
      </c>
      <c r="K47" t="s">
        <v>394</v>
      </c>
      <c r="L47" t="s">
        <v>395</v>
      </c>
      <c r="M47" t="s">
        <v>396</v>
      </c>
      <c r="N47" s="117">
        <v>0.79003596440246715</v>
      </c>
      <c r="O47" s="117">
        <v>3.4934757720921694E-2</v>
      </c>
      <c r="P47" s="117">
        <v>0.16397265728129959</v>
      </c>
      <c r="Q47" s="117">
        <f t="shared" si="0"/>
        <v>0.12674754614562569</v>
      </c>
      <c r="R47" s="117">
        <f t="shared" si="1"/>
        <v>9.8044767103060201E-3</v>
      </c>
      <c r="S47" s="110">
        <f t="shared" si="2"/>
        <v>0.13499935192542761</v>
      </c>
      <c r="T47" s="129">
        <f>IF(Table2[[#This Row],[Lethality]]="None",0,IF(Table2[[#This Row],[Population Density]]="Rural",($D$3*Table2[[#This Row],[Mean Safe]]),($D$2*Table2[[#This Row],[Mean Safe]])))</f>
        <v>7900.3596440246711</v>
      </c>
      <c r="U47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2099.6403559753289</v>
      </c>
    </row>
    <row r="48" spans="1:21" x14ac:dyDescent="0.3">
      <c r="A48" s="121">
        <v>43</v>
      </c>
      <c r="B48" s="125" t="str">
        <f>Table2[[#This Row],[Population Density]]&amp;Table2[[#This Row],[Lethality]]&amp;Table2[[#This Row],[Persistence]]&amp;Table2[[#This Row],[Delay]]&amp;Table2[[#This Row],[Evacuate]]</f>
        <v>UrbanMediumLow5Yes</v>
      </c>
      <c r="C48" t="s">
        <v>126</v>
      </c>
      <c r="D48" t="s">
        <v>113</v>
      </c>
      <c r="E48" t="s">
        <v>114</v>
      </c>
      <c r="F48" t="s">
        <v>197</v>
      </c>
      <c r="G48" t="s">
        <v>153</v>
      </c>
      <c r="H48" t="s">
        <v>397</v>
      </c>
      <c r="I48" t="s">
        <v>398</v>
      </c>
      <c r="J48" t="s">
        <v>399</v>
      </c>
      <c r="K48" t="s">
        <v>400</v>
      </c>
      <c r="L48" t="s">
        <v>401</v>
      </c>
      <c r="M48" t="s">
        <v>402</v>
      </c>
      <c r="N48" s="117">
        <v>0.79469598150109599</v>
      </c>
      <c r="O48" s="117">
        <v>3.5975288503709159E-2</v>
      </c>
      <c r="P48" s="117">
        <v>0.15522499356876568</v>
      </c>
      <c r="Q48" s="117">
        <f t="shared" si="0"/>
        <v>0.13447996592155093</v>
      </c>
      <c r="R48" s="117">
        <f t="shared" si="1"/>
        <v>1.0497595358281632E-2</v>
      </c>
      <c r="S48" s="110">
        <f t="shared" si="2"/>
        <v>0.14427718435932552</v>
      </c>
      <c r="T48" s="129">
        <f>IF(Table2[[#This Row],[Lethality]]="None",0,IF(Table2[[#This Row],[Population Density]]="Rural",($D$3*Table2[[#This Row],[Mean Safe]]),($D$2*Table2[[#This Row],[Mean Safe]])))</f>
        <v>7946.9598150109596</v>
      </c>
      <c r="U48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2053.0401849890404</v>
      </c>
    </row>
    <row r="49" spans="1:21" x14ac:dyDescent="0.3">
      <c r="A49" s="122">
        <v>44</v>
      </c>
      <c r="B49" s="126" t="str">
        <f>Table2[[#This Row],[Population Density]]&amp;Table2[[#This Row],[Lethality]]&amp;Table2[[#This Row],[Persistence]]&amp;Table2[[#This Row],[Delay]]&amp;Table2[[#This Row],[Evacuate]]</f>
        <v>UrbanMediumLowN/ANo</v>
      </c>
      <c r="C49" s="118" t="s">
        <v>126</v>
      </c>
      <c r="D49" s="118" t="s">
        <v>113</v>
      </c>
      <c r="E49" s="118" t="s">
        <v>114</v>
      </c>
      <c r="F49" s="118" t="s">
        <v>152</v>
      </c>
      <c r="G49" s="118" t="s">
        <v>204</v>
      </c>
      <c r="H49" t="s">
        <v>403</v>
      </c>
      <c r="I49" t="s">
        <v>404</v>
      </c>
      <c r="J49" t="s">
        <v>152</v>
      </c>
      <c r="K49" t="s">
        <v>152</v>
      </c>
      <c r="L49" t="s">
        <v>405</v>
      </c>
      <c r="M49" t="s">
        <v>406</v>
      </c>
      <c r="N49" s="117">
        <v>0.73887317455446688</v>
      </c>
      <c r="O49" s="117">
        <v>0</v>
      </c>
      <c r="P49" s="117">
        <v>0.26112682544553301</v>
      </c>
      <c r="Q49" s="117">
        <f t="shared" si="0"/>
        <v>0.27775431447054938</v>
      </c>
      <c r="R49" s="117">
        <v>0</v>
      </c>
      <c r="S49" s="110">
        <f t="shared" si="2"/>
        <v>0.27775431447054938</v>
      </c>
      <c r="T49" s="129">
        <f>IF(Table2[[#This Row],[Lethality]]="None",0,IF(Table2[[#This Row],[Population Density]]="Rural",($D$3*Table2[[#This Row],[Mean Safe]]),($D$2*Table2[[#This Row],[Mean Safe]])))</f>
        <v>7388.7317455446691</v>
      </c>
      <c r="U49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2611.2682544553309</v>
      </c>
    </row>
    <row r="50" spans="1:21" x14ac:dyDescent="0.3">
      <c r="A50" s="121">
        <v>45</v>
      </c>
      <c r="B50" s="125" t="str">
        <f>Table2[[#This Row],[Population Density]]&amp;Table2[[#This Row],[Lethality]]&amp;Table2[[#This Row],[Persistence]]&amp;Table2[[#This Row],[Delay]]&amp;Table2[[#This Row],[Evacuate]]</f>
        <v>RuralMediumHigh0Yes</v>
      </c>
      <c r="C50" t="s">
        <v>125</v>
      </c>
      <c r="D50" t="s">
        <v>113</v>
      </c>
      <c r="E50" t="s">
        <v>112</v>
      </c>
      <c r="F50" t="s">
        <v>162</v>
      </c>
      <c r="G50" t="s">
        <v>153</v>
      </c>
      <c r="H50" t="s">
        <v>407</v>
      </c>
      <c r="I50" t="s">
        <v>408</v>
      </c>
      <c r="J50" t="s">
        <v>409</v>
      </c>
      <c r="K50" t="s">
        <v>410</v>
      </c>
      <c r="L50" t="s">
        <v>411</v>
      </c>
      <c r="M50" t="s">
        <v>412</v>
      </c>
      <c r="N50" s="117">
        <v>0.37097490488411872</v>
      </c>
      <c r="O50" s="117">
        <v>3.3380903776585862E-2</v>
      </c>
      <c r="P50" s="117">
        <v>0.59134493565301327</v>
      </c>
      <c r="Q50" s="117">
        <f t="shared" si="0"/>
        <v>0.15976051902446017</v>
      </c>
      <c r="R50" s="117">
        <f t="shared" si="1"/>
        <v>1.0317211230422734E-2</v>
      </c>
      <c r="S50" s="110">
        <f t="shared" si="2"/>
        <v>0.16797192402405453</v>
      </c>
      <c r="T50" s="129">
        <f>IF(Table2[[#This Row],[Lethality]]="None",0,IF(Table2[[#This Row],[Population Density]]="Rural",($D$3*Table2[[#This Row],[Mean Safe]]),($D$2*Table2[[#This Row],[Mean Safe]])))</f>
        <v>370.9749048841187</v>
      </c>
      <c r="U50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629.0250951158813</v>
      </c>
    </row>
    <row r="51" spans="1:21" x14ac:dyDescent="0.3">
      <c r="A51" s="121">
        <v>46</v>
      </c>
      <c r="B51" s="125" t="str">
        <f>Table2[[#This Row],[Population Density]]&amp;Table2[[#This Row],[Lethality]]&amp;Table2[[#This Row],[Persistence]]&amp;Table2[[#This Row],[Delay]]&amp;Table2[[#This Row],[Evacuate]]</f>
        <v>RuralMediumHigh1Yes</v>
      </c>
      <c r="C51" t="s">
        <v>125</v>
      </c>
      <c r="D51" t="s">
        <v>113</v>
      </c>
      <c r="E51" t="s">
        <v>112</v>
      </c>
      <c r="F51" t="s">
        <v>169</v>
      </c>
      <c r="G51" t="s">
        <v>153</v>
      </c>
      <c r="H51" t="s">
        <v>413</v>
      </c>
      <c r="I51" t="s">
        <v>414</v>
      </c>
      <c r="J51" t="s">
        <v>415</v>
      </c>
      <c r="K51" t="s">
        <v>416</v>
      </c>
      <c r="L51" t="s">
        <v>417</v>
      </c>
      <c r="M51" t="s">
        <v>418</v>
      </c>
      <c r="N51" s="117">
        <v>0.32543755260802082</v>
      </c>
      <c r="O51" s="117">
        <v>3.4309359845470573E-2</v>
      </c>
      <c r="P51" s="117">
        <v>0.63410250634242427</v>
      </c>
      <c r="Q51" s="117">
        <f t="shared" si="0"/>
        <v>0.18189880466940389</v>
      </c>
      <c r="R51" s="117">
        <f t="shared" si="1"/>
        <v>1.1244693980404601E-2</v>
      </c>
      <c r="S51" s="110">
        <f t="shared" si="2"/>
        <v>0.19113545829625431</v>
      </c>
      <c r="T51" s="129">
        <f>IF(Table2[[#This Row],[Lethality]]="None",0,IF(Table2[[#This Row],[Population Density]]="Rural",($D$3*Table2[[#This Row],[Mean Safe]]),($D$2*Table2[[#This Row],[Mean Safe]])))</f>
        <v>325.43755260802084</v>
      </c>
      <c r="U51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674.56244739197916</v>
      </c>
    </row>
    <row r="52" spans="1:21" x14ac:dyDescent="0.3">
      <c r="A52" s="121">
        <v>47</v>
      </c>
      <c r="B52" s="125" t="str">
        <f>Table2[[#This Row],[Population Density]]&amp;Table2[[#This Row],[Lethality]]&amp;Table2[[#This Row],[Persistence]]&amp;Table2[[#This Row],[Delay]]&amp;Table2[[#This Row],[Evacuate]]</f>
        <v>RuralMediumHigh2Yes</v>
      </c>
      <c r="C52" t="s">
        <v>125</v>
      </c>
      <c r="D52" t="s">
        <v>113</v>
      </c>
      <c r="E52" t="s">
        <v>112</v>
      </c>
      <c r="F52" t="s">
        <v>176</v>
      </c>
      <c r="G52" t="s">
        <v>153</v>
      </c>
      <c r="H52" t="s">
        <v>419</v>
      </c>
      <c r="I52" t="s">
        <v>420</v>
      </c>
      <c r="J52" t="s">
        <v>421</v>
      </c>
      <c r="K52" t="s">
        <v>422</v>
      </c>
      <c r="L52" t="s">
        <v>423</v>
      </c>
      <c r="M52" t="s">
        <v>424</v>
      </c>
      <c r="N52" s="117">
        <v>0.7761595932625619</v>
      </c>
      <c r="O52" s="117">
        <v>3.2820125563440723E-2</v>
      </c>
      <c r="P52" s="117">
        <v>0.18789349483503945</v>
      </c>
      <c r="Q52" s="117">
        <f t="shared" si="0"/>
        <v>7.0475859844561783E-2</v>
      </c>
      <c r="R52" s="117">
        <f t="shared" si="1"/>
        <v>7.7126808423630053E-3</v>
      </c>
      <c r="S52" s="110">
        <f t="shared" si="2"/>
        <v>7.5285584661890434E-2</v>
      </c>
      <c r="T52" s="129">
        <f>IF(Table2[[#This Row],[Lethality]]="None",0,IF(Table2[[#This Row],[Population Density]]="Rural",($D$3*Table2[[#This Row],[Mean Safe]]),($D$2*Table2[[#This Row],[Mean Safe]])))</f>
        <v>776.15959326256188</v>
      </c>
      <c r="U52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223.84040673743812</v>
      </c>
    </row>
    <row r="53" spans="1:21" x14ac:dyDescent="0.3">
      <c r="A53" s="121">
        <v>48</v>
      </c>
      <c r="B53" s="125" t="str">
        <f>Table2[[#This Row],[Population Density]]&amp;Table2[[#This Row],[Lethality]]&amp;Table2[[#This Row],[Persistence]]&amp;Table2[[#This Row],[Delay]]&amp;Table2[[#This Row],[Evacuate]]</f>
        <v>RuralMediumHigh3Yes</v>
      </c>
      <c r="C53" t="s">
        <v>125</v>
      </c>
      <c r="D53" t="s">
        <v>113</v>
      </c>
      <c r="E53" t="s">
        <v>112</v>
      </c>
      <c r="F53" t="s">
        <v>183</v>
      </c>
      <c r="G53" t="s">
        <v>153</v>
      </c>
      <c r="H53" t="s">
        <v>425</v>
      </c>
      <c r="I53" t="s">
        <v>426</v>
      </c>
      <c r="J53" t="s">
        <v>427</v>
      </c>
      <c r="K53" t="s">
        <v>428</v>
      </c>
      <c r="L53" t="s">
        <v>429</v>
      </c>
      <c r="M53" t="s">
        <v>430</v>
      </c>
      <c r="N53" s="117">
        <v>0.6268557563845043</v>
      </c>
      <c r="O53" s="117">
        <v>2.9237775104422423E-2</v>
      </c>
      <c r="P53" s="117">
        <v>0.33784419790024289</v>
      </c>
      <c r="Q53" s="117">
        <f t="shared" si="0"/>
        <v>0.15159271824566845</v>
      </c>
      <c r="R53" s="117">
        <f t="shared" si="1"/>
        <v>9.1105811472695971E-3</v>
      </c>
      <c r="S53" s="110">
        <f t="shared" si="2"/>
        <v>0.1596496798415071</v>
      </c>
      <c r="T53" s="129">
        <f>IF(Table2[[#This Row],[Lethality]]="None",0,IF(Table2[[#This Row],[Population Density]]="Rural",($D$3*Table2[[#This Row],[Mean Safe]]),($D$2*Table2[[#This Row],[Mean Safe]])))</f>
        <v>626.85575638450428</v>
      </c>
      <c r="U53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373.14424361549572</v>
      </c>
    </row>
    <row r="54" spans="1:21" x14ac:dyDescent="0.3">
      <c r="A54" s="121">
        <v>49</v>
      </c>
      <c r="B54" s="125" t="str">
        <f>Table2[[#This Row],[Population Density]]&amp;Table2[[#This Row],[Lethality]]&amp;Table2[[#This Row],[Persistence]]&amp;Table2[[#This Row],[Delay]]&amp;Table2[[#This Row],[Evacuate]]</f>
        <v>RuralMediumHigh4Yes</v>
      </c>
      <c r="C54" t="s">
        <v>125</v>
      </c>
      <c r="D54" t="s">
        <v>113</v>
      </c>
      <c r="E54" t="s">
        <v>112</v>
      </c>
      <c r="F54" t="s">
        <v>190</v>
      </c>
      <c r="G54" t="s">
        <v>153</v>
      </c>
      <c r="H54" t="s">
        <v>431</v>
      </c>
      <c r="I54" t="s">
        <v>432</v>
      </c>
      <c r="J54" t="s">
        <v>433</v>
      </c>
      <c r="K54" t="s">
        <v>434</v>
      </c>
      <c r="L54" t="s">
        <v>435</v>
      </c>
      <c r="M54" t="s">
        <v>436</v>
      </c>
      <c r="N54" s="117">
        <v>0.53902420133698481</v>
      </c>
      <c r="O54" s="117">
        <v>2.8938741547634254E-2</v>
      </c>
      <c r="P54" s="117">
        <v>0.42265480293578422</v>
      </c>
      <c r="Q54" s="117">
        <f t="shared" si="0"/>
        <v>0.19639131539118257</v>
      </c>
      <c r="R54" s="117">
        <f t="shared" si="1"/>
        <v>1.0685307787071132E-2</v>
      </c>
      <c r="S54" s="110">
        <f t="shared" si="2"/>
        <v>0.20697675485132908</v>
      </c>
      <c r="T54" s="129">
        <f>IF(Table2[[#This Row],[Lethality]]="None",0,IF(Table2[[#This Row],[Population Density]]="Rural",($D$3*Table2[[#This Row],[Mean Safe]]),($D$2*Table2[[#This Row],[Mean Safe]])))</f>
        <v>539.02420133698479</v>
      </c>
      <c r="U54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460.97579866301521</v>
      </c>
    </row>
    <row r="55" spans="1:21" x14ac:dyDescent="0.3">
      <c r="A55" s="121">
        <v>50</v>
      </c>
      <c r="B55" s="125" t="str">
        <f>Table2[[#This Row],[Population Density]]&amp;Table2[[#This Row],[Lethality]]&amp;Table2[[#This Row],[Persistence]]&amp;Table2[[#This Row],[Delay]]&amp;Table2[[#This Row],[Evacuate]]</f>
        <v>RuralMediumHigh5Yes</v>
      </c>
      <c r="C55" t="s">
        <v>125</v>
      </c>
      <c r="D55" t="s">
        <v>113</v>
      </c>
      <c r="E55" t="s">
        <v>112</v>
      </c>
      <c r="F55" t="s">
        <v>197</v>
      </c>
      <c r="G55" t="s">
        <v>153</v>
      </c>
      <c r="H55" t="s">
        <v>437</v>
      </c>
      <c r="I55" t="s">
        <v>438</v>
      </c>
      <c r="J55" t="s">
        <v>439</v>
      </c>
      <c r="K55" t="s">
        <v>440</v>
      </c>
      <c r="L55" t="s">
        <v>441</v>
      </c>
      <c r="M55" t="s">
        <v>442</v>
      </c>
      <c r="N55" s="117">
        <v>0.59391013454306452</v>
      </c>
      <c r="O55" s="117">
        <v>2.9926314825960112E-2</v>
      </c>
      <c r="P55" s="117">
        <v>0.3648883429359166</v>
      </c>
      <c r="Q55" s="117">
        <f t="shared" si="0"/>
        <v>0.19331949389763062</v>
      </c>
      <c r="R55" s="117">
        <f t="shared" si="1"/>
        <v>1.0786041055153701E-2</v>
      </c>
      <c r="S55" s="110">
        <f t="shared" si="2"/>
        <v>0.20452397487946514</v>
      </c>
      <c r="T55" s="129">
        <f>IF(Table2[[#This Row],[Lethality]]="None",0,IF(Table2[[#This Row],[Population Density]]="Rural",($D$3*Table2[[#This Row],[Mean Safe]]),($D$2*Table2[[#This Row],[Mean Safe]])))</f>
        <v>593.91013454306449</v>
      </c>
      <c r="U55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406.08986545693551</v>
      </c>
    </row>
    <row r="56" spans="1:21" x14ac:dyDescent="0.3">
      <c r="A56" s="122">
        <v>51</v>
      </c>
      <c r="B56" s="126" t="str">
        <f>Table2[[#This Row],[Population Density]]&amp;Table2[[#This Row],[Lethality]]&amp;Table2[[#This Row],[Persistence]]&amp;Table2[[#This Row],[Delay]]&amp;Table2[[#This Row],[Evacuate]]</f>
        <v>RuralMediumHighN/ANo</v>
      </c>
      <c r="C56" s="118" t="s">
        <v>125</v>
      </c>
      <c r="D56" s="118" t="s">
        <v>113</v>
      </c>
      <c r="E56" s="118" t="s">
        <v>112</v>
      </c>
      <c r="F56" s="118" t="s">
        <v>152</v>
      </c>
      <c r="G56" s="118" t="s">
        <v>204</v>
      </c>
      <c r="H56" t="s">
        <v>443</v>
      </c>
      <c r="I56" t="s">
        <v>444</v>
      </c>
      <c r="J56" t="s">
        <v>152</v>
      </c>
      <c r="K56" t="s">
        <v>152</v>
      </c>
      <c r="L56" t="s">
        <v>444</v>
      </c>
      <c r="M56" t="s">
        <v>443</v>
      </c>
      <c r="N56" s="117">
        <v>0.36293488062541235</v>
      </c>
      <c r="O56" s="117">
        <v>0</v>
      </c>
      <c r="P56" s="117">
        <v>0.63706511937458765</v>
      </c>
      <c r="Q56" s="117">
        <f t="shared" si="0"/>
        <v>0.32514088511017936</v>
      </c>
      <c r="R56" s="117">
        <v>0</v>
      </c>
      <c r="S56" s="110">
        <f t="shared" si="2"/>
        <v>0.32514088511017936</v>
      </c>
      <c r="T56" s="129">
        <f>IF(Table2[[#This Row],[Lethality]]="None",0,IF(Table2[[#This Row],[Population Density]]="Rural",($D$3*Table2[[#This Row],[Mean Safe]]),($D$2*Table2[[#This Row],[Mean Safe]])))</f>
        <v>362.93488062541235</v>
      </c>
      <c r="U56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637.06511937458765</v>
      </c>
    </row>
    <row r="57" spans="1:21" x14ac:dyDescent="0.3">
      <c r="A57" s="121">
        <v>52</v>
      </c>
      <c r="B57" s="125" t="str">
        <f>Table2[[#This Row],[Population Density]]&amp;Table2[[#This Row],[Lethality]]&amp;Table2[[#This Row],[Persistence]]&amp;Table2[[#This Row],[Delay]]&amp;Table2[[#This Row],[Evacuate]]</f>
        <v>UrbanMediumHigh0Yes</v>
      </c>
      <c r="C57" t="s">
        <v>126</v>
      </c>
      <c r="D57" t="s">
        <v>113</v>
      </c>
      <c r="E57" t="s">
        <v>112</v>
      </c>
      <c r="F57" t="s">
        <v>162</v>
      </c>
      <c r="G57" t="s">
        <v>153</v>
      </c>
      <c r="H57" t="s">
        <v>445</v>
      </c>
      <c r="I57" t="s">
        <v>446</v>
      </c>
      <c r="J57" t="s">
        <v>447</v>
      </c>
      <c r="K57" t="s">
        <v>448</v>
      </c>
      <c r="L57" t="s">
        <v>449</v>
      </c>
      <c r="M57" t="s">
        <v>450</v>
      </c>
      <c r="N57" s="117">
        <v>0.66472999234881969</v>
      </c>
      <c r="O57" s="117">
        <v>3.0422302825209496E-2</v>
      </c>
      <c r="P57" s="117">
        <v>0.30245177296427822</v>
      </c>
      <c r="Q57" s="117">
        <f t="shared" si="0"/>
        <v>8.9570606467722039E-2</v>
      </c>
      <c r="R57" s="117">
        <f t="shared" si="1"/>
        <v>7.6678294337097341E-3</v>
      </c>
      <c r="S57" s="110">
        <f t="shared" si="2"/>
        <v>9.4302825170328036E-2</v>
      </c>
      <c r="T57" s="129">
        <f>IF(Table2[[#This Row],[Lethality]]="None",0,IF(Table2[[#This Row],[Population Density]]="Rural",($D$3*Table2[[#This Row],[Mean Safe]]),($D$2*Table2[[#This Row],[Mean Safe]])))</f>
        <v>6647.2999234881972</v>
      </c>
      <c r="U57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3352.7000765118028</v>
      </c>
    </row>
    <row r="58" spans="1:21" x14ac:dyDescent="0.3">
      <c r="A58" s="121">
        <v>53</v>
      </c>
      <c r="B58" s="125" t="str">
        <f>Table2[[#This Row],[Population Density]]&amp;Table2[[#This Row],[Lethality]]&amp;Table2[[#This Row],[Persistence]]&amp;Table2[[#This Row],[Delay]]&amp;Table2[[#This Row],[Evacuate]]</f>
        <v>UrbanMediumHigh1Yes</v>
      </c>
      <c r="C58" t="s">
        <v>126</v>
      </c>
      <c r="D58" t="s">
        <v>113</v>
      </c>
      <c r="E58" t="s">
        <v>112</v>
      </c>
      <c r="F58" t="s">
        <v>169</v>
      </c>
      <c r="G58" t="s">
        <v>153</v>
      </c>
      <c r="H58" t="s">
        <v>451</v>
      </c>
      <c r="I58" t="s">
        <v>452</v>
      </c>
      <c r="J58" t="s">
        <v>453</v>
      </c>
      <c r="K58" t="s">
        <v>454</v>
      </c>
      <c r="L58" t="s">
        <v>455</v>
      </c>
      <c r="M58" t="s">
        <v>456</v>
      </c>
      <c r="N58" s="117">
        <v>0.38877002042833214</v>
      </c>
      <c r="O58" s="117">
        <v>3.0537686890004034E-2</v>
      </c>
      <c r="P58" s="117">
        <v>0.57561244913305276</v>
      </c>
      <c r="Q58" s="117">
        <f t="shared" si="0"/>
        <v>0.17607672784731865</v>
      </c>
      <c r="R58" s="117">
        <f t="shared" si="1"/>
        <v>1.092852155966095E-2</v>
      </c>
      <c r="S58" s="110">
        <f t="shared" si="2"/>
        <v>0.18511034745891428</v>
      </c>
      <c r="T58" s="129">
        <f>IF(Table2[[#This Row],[Lethality]]="None",0,IF(Table2[[#This Row],[Population Density]]="Rural",($D$3*Table2[[#This Row],[Mean Safe]]),($D$2*Table2[[#This Row],[Mean Safe]])))</f>
        <v>3887.7002042833215</v>
      </c>
      <c r="U58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6112.299795716679</v>
      </c>
    </row>
    <row r="59" spans="1:21" x14ac:dyDescent="0.3">
      <c r="A59" s="121">
        <v>54</v>
      </c>
      <c r="B59" s="125" t="str">
        <f>Table2[[#This Row],[Population Density]]&amp;Table2[[#This Row],[Lethality]]&amp;Table2[[#This Row],[Persistence]]&amp;Table2[[#This Row],[Delay]]&amp;Table2[[#This Row],[Evacuate]]</f>
        <v>UrbanMediumHigh2Yes</v>
      </c>
      <c r="C59" t="s">
        <v>126</v>
      </c>
      <c r="D59" t="s">
        <v>113</v>
      </c>
      <c r="E59" t="s">
        <v>112</v>
      </c>
      <c r="F59" t="s">
        <v>176</v>
      </c>
      <c r="G59" t="s">
        <v>153</v>
      </c>
      <c r="H59" t="s">
        <v>457</v>
      </c>
      <c r="I59" t="s">
        <v>458</v>
      </c>
      <c r="J59" t="s">
        <v>459</v>
      </c>
      <c r="K59" t="s">
        <v>460</v>
      </c>
      <c r="L59" t="s">
        <v>461</v>
      </c>
      <c r="M59" t="s">
        <v>462</v>
      </c>
      <c r="N59" s="117">
        <v>0.44199914286900616</v>
      </c>
      <c r="O59" s="117">
        <v>3.1022317597903134E-2</v>
      </c>
      <c r="P59" s="117">
        <v>0.51941974922166578</v>
      </c>
      <c r="Q59" s="117">
        <f t="shared" si="0"/>
        <v>0.20211488628906543</v>
      </c>
      <c r="R59" s="117">
        <f t="shared" si="1"/>
        <v>1.1166508548774759E-2</v>
      </c>
      <c r="S59" s="110">
        <f t="shared" si="2"/>
        <v>0.21107280031476808</v>
      </c>
      <c r="T59" s="129">
        <f>IF(Table2[[#This Row],[Lethality]]="None",0,IF(Table2[[#This Row],[Population Density]]="Rural",($D$3*Table2[[#This Row],[Mean Safe]]),($D$2*Table2[[#This Row],[Mean Safe]])))</f>
        <v>4419.9914286900612</v>
      </c>
      <c r="U59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5580.0085713099388</v>
      </c>
    </row>
    <row r="60" spans="1:21" x14ac:dyDescent="0.3">
      <c r="A60" s="121">
        <v>55</v>
      </c>
      <c r="B60" s="125" t="str">
        <f>Table2[[#This Row],[Population Density]]&amp;Table2[[#This Row],[Lethality]]&amp;Table2[[#This Row],[Persistence]]&amp;Table2[[#This Row],[Delay]]&amp;Table2[[#This Row],[Evacuate]]</f>
        <v>UrbanMediumHigh3Yes</v>
      </c>
      <c r="C60" t="s">
        <v>126</v>
      </c>
      <c r="D60" t="s">
        <v>113</v>
      </c>
      <c r="E60" t="s">
        <v>112</v>
      </c>
      <c r="F60" t="s">
        <v>183</v>
      </c>
      <c r="G60" t="s">
        <v>153</v>
      </c>
      <c r="H60" t="s">
        <v>463</v>
      </c>
      <c r="I60" t="s">
        <v>464</v>
      </c>
      <c r="J60" t="s">
        <v>465</v>
      </c>
      <c r="K60" t="s">
        <v>466</v>
      </c>
      <c r="L60" t="s">
        <v>467</v>
      </c>
      <c r="M60" t="s">
        <v>468</v>
      </c>
      <c r="N60" s="117">
        <v>0.61514795401261391</v>
      </c>
      <c r="O60" s="117">
        <v>2.9040941524206696E-2</v>
      </c>
      <c r="P60" s="117">
        <v>0.34891507229457142</v>
      </c>
      <c r="Q60" s="117">
        <f t="shared" si="0"/>
        <v>0.16387533430025547</v>
      </c>
      <c r="R60" s="117">
        <f t="shared" si="1"/>
        <v>9.5784516362851842E-3</v>
      </c>
      <c r="S60" s="110">
        <f t="shared" si="2"/>
        <v>0.17228823581856495</v>
      </c>
      <c r="T60" s="129">
        <f>IF(Table2[[#This Row],[Lethality]]="None",0,IF(Table2[[#This Row],[Population Density]]="Rural",($D$3*Table2[[#This Row],[Mean Safe]]),($D$2*Table2[[#This Row],[Mean Safe]])))</f>
        <v>6151.479540126139</v>
      </c>
      <c r="U60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3848.520459873861</v>
      </c>
    </row>
    <row r="61" spans="1:21" x14ac:dyDescent="0.3">
      <c r="A61" s="121">
        <v>56</v>
      </c>
      <c r="B61" s="125" t="str">
        <f>Table2[[#This Row],[Population Density]]&amp;Table2[[#This Row],[Lethality]]&amp;Table2[[#This Row],[Persistence]]&amp;Table2[[#This Row],[Delay]]&amp;Table2[[#This Row],[Evacuate]]</f>
        <v>UrbanMediumHigh4Yes</v>
      </c>
      <c r="C61" t="s">
        <v>126</v>
      </c>
      <c r="D61" t="s">
        <v>113</v>
      </c>
      <c r="E61" t="s">
        <v>112</v>
      </c>
      <c r="F61" t="s">
        <v>190</v>
      </c>
      <c r="G61" t="s">
        <v>153</v>
      </c>
      <c r="H61" t="s">
        <v>469</v>
      </c>
      <c r="I61" t="s">
        <v>470</v>
      </c>
      <c r="J61" t="s">
        <v>471</v>
      </c>
      <c r="K61" t="s">
        <v>472</v>
      </c>
      <c r="L61" t="s">
        <v>473</v>
      </c>
      <c r="M61" t="s">
        <v>474</v>
      </c>
      <c r="N61" s="117">
        <v>0.64162416604038908</v>
      </c>
      <c r="O61" s="117">
        <v>2.9137588323349839E-2</v>
      </c>
      <c r="P61" s="117">
        <v>0.32068209695647226</v>
      </c>
      <c r="Q61" s="117">
        <f t="shared" si="0"/>
        <v>0.16718345845659044</v>
      </c>
      <c r="R61" s="117">
        <f t="shared" si="1"/>
        <v>9.7752315469720671E-3</v>
      </c>
      <c r="S61" s="110">
        <f t="shared" si="2"/>
        <v>0.17665873016753422</v>
      </c>
      <c r="T61" s="129">
        <f>IF(Table2[[#This Row],[Lethality]]="None",0,IF(Table2[[#This Row],[Population Density]]="Rural",($D$3*Table2[[#This Row],[Mean Safe]]),($D$2*Table2[[#This Row],[Mean Safe]])))</f>
        <v>6416.2416604038908</v>
      </c>
      <c r="U61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3583.7583395961092</v>
      </c>
    </row>
    <row r="62" spans="1:21" x14ac:dyDescent="0.3">
      <c r="A62" s="121">
        <v>57</v>
      </c>
      <c r="B62" s="125" t="str">
        <f>Table2[[#This Row],[Population Density]]&amp;Table2[[#This Row],[Lethality]]&amp;Table2[[#This Row],[Persistence]]&amp;Table2[[#This Row],[Delay]]&amp;Table2[[#This Row],[Evacuate]]</f>
        <v>UrbanMediumHigh5Yes</v>
      </c>
      <c r="C62" t="s">
        <v>126</v>
      </c>
      <c r="D62" t="s">
        <v>113</v>
      </c>
      <c r="E62" t="s">
        <v>112</v>
      </c>
      <c r="F62" t="s">
        <v>197</v>
      </c>
      <c r="G62" t="s">
        <v>153</v>
      </c>
      <c r="H62" t="s">
        <v>475</v>
      </c>
      <c r="I62" t="s">
        <v>476</v>
      </c>
      <c r="J62" t="s">
        <v>477</v>
      </c>
      <c r="K62" t="s">
        <v>478</v>
      </c>
      <c r="L62" t="s">
        <v>479</v>
      </c>
      <c r="M62" t="s">
        <v>480</v>
      </c>
      <c r="N62" s="117">
        <v>0.59749292446334368</v>
      </c>
      <c r="O62" s="117">
        <v>3.1431397547030934E-2</v>
      </c>
      <c r="P62" s="117">
        <v>0.35805223490331323</v>
      </c>
      <c r="Q62" s="117">
        <f t="shared" si="0"/>
        <v>0.20863091614270604</v>
      </c>
      <c r="R62" s="117">
        <f t="shared" si="1"/>
        <v>1.0723042944775104E-2</v>
      </c>
      <c r="S62" s="110">
        <f t="shared" si="2"/>
        <v>0.21839401311153989</v>
      </c>
      <c r="T62" s="129">
        <f>IF(Table2[[#This Row],[Lethality]]="None",0,IF(Table2[[#This Row],[Population Density]]="Rural",($D$3*Table2[[#This Row],[Mean Safe]]),($D$2*Table2[[#This Row],[Mean Safe]])))</f>
        <v>5974.9292446334366</v>
      </c>
      <c r="U62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4025.0707553665634</v>
      </c>
    </row>
    <row r="63" spans="1:21" x14ac:dyDescent="0.3">
      <c r="A63" s="122">
        <v>58</v>
      </c>
      <c r="B63" s="126" t="str">
        <f>Table2[[#This Row],[Population Density]]&amp;Table2[[#This Row],[Lethality]]&amp;Table2[[#This Row],[Persistence]]&amp;Table2[[#This Row],[Delay]]&amp;Table2[[#This Row],[Evacuate]]</f>
        <v>UrbanMediumHighN/ANo</v>
      </c>
      <c r="C63" s="118" t="s">
        <v>126</v>
      </c>
      <c r="D63" s="118" t="s">
        <v>113</v>
      </c>
      <c r="E63" s="118" t="s">
        <v>112</v>
      </c>
      <c r="F63" s="118" t="s">
        <v>152</v>
      </c>
      <c r="G63" s="118" t="s">
        <v>204</v>
      </c>
      <c r="H63" t="s">
        <v>481</v>
      </c>
      <c r="I63" t="s">
        <v>482</v>
      </c>
      <c r="J63" t="s">
        <v>152</v>
      </c>
      <c r="K63" t="s">
        <v>152</v>
      </c>
      <c r="L63" t="s">
        <v>483</v>
      </c>
      <c r="M63" t="s">
        <v>481</v>
      </c>
      <c r="N63" s="117">
        <v>0.34223657163382171</v>
      </c>
      <c r="O63" s="117">
        <v>0</v>
      </c>
      <c r="P63" s="117">
        <v>0.65776342836617829</v>
      </c>
      <c r="Q63" s="117">
        <f t="shared" si="0"/>
        <v>0.32425881249412608</v>
      </c>
      <c r="R63" s="117">
        <v>0</v>
      </c>
      <c r="S63" s="110">
        <f t="shared" si="2"/>
        <v>0.32425881249412608</v>
      </c>
      <c r="T63" s="129">
        <f>IF(Table2[[#This Row],[Lethality]]="None",0,IF(Table2[[#This Row],[Population Density]]="Rural",($D$3*Table2[[#This Row],[Mean Safe]]),($D$2*Table2[[#This Row],[Mean Safe]])))</f>
        <v>3422.3657163382172</v>
      </c>
      <c r="U63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6577.6342836617823</v>
      </c>
    </row>
    <row r="64" spans="1:21" x14ac:dyDescent="0.3">
      <c r="A64" s="121">
        <v>59</v>
      </c>
      <c r="B64" s="125" t="str">
        <f>Table2[[#This Row],[Population Density]]&amp;Table2[[#This Row],[Lethality]]&amp;Table2[[#This Row],[Persistence]]&amp;Table2[[#This Row],[Delay]]&amp;Table2[[#This Row],[Evacuate]]</f>
        <v>RuralHighLow0Yes</v>
      </c>
      <c r="C64" t="s">
        <v>125</v>
      </c>
      <c r="D64" t="s">
        <v>112</v>
      </c>
      <c r="E64" t="s">
        <v>114</v>
      </c>
      <c r="F64" t="s">
        <v>162</v>
      </c>
      <c r="G64" t="s">
        <v>153</v>
      </c>
      <c r="H64" t="s">
        <v>484</v>
      </c>
      <c r="I64" t="s">
        <v>485</v>
      </c>
      <c r="J64" t="s">
        <v>486</v>
      </c>
      <c r="K64" t="s">
        <v>487</v>
      </c>
      <c r="L64" t="s">
        <v>488</v>
      </c>
      <c r="M64" t="s">
        <v>489</v>
      </c>
      <c r="N64" s="117">
        <v>0.45138406181028212</v>
      </c>
      <c r="O64" s="117">
        <v>2.4372985257263502E-2</v>
      </c>
      <c r="P64" s="117">
        <v>0.52246898862892466</v>
      </c>
      <c r="Q64" s="117">
        <f t="shared" si="0"/>
        <v>9.8511264242256577E-2</v>
      </c>
      <c r="R64" s="117">
        <f t="shared" si="1"/>
        <v>7.6464037442983586E-3</v>
      </c>
      <c r="S64" s="110">
        <f t="shared" si="2"/>
        <v>0.10531066489506087</v>
      </c>
      <c r="T64" s="129">
        <f>IF(Table2[[#This Row],[Lethality]]="None",0,IF(Table2[[#This Row],[Population Density]]="Rural",($D$3*Table2[[#This Row],[Mean Safe]]),($D$2*Table2[[#This Row],[Mean Safe]])))</f>
        <v>451.38406181028211</v>
      </c>
      <c r="U64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548.61593818971789</v>
      </c>
    </row>
    <row r="65" spans="1:21" x14ac:dyDescent="0.3">
      <c r="A65" s="121">
        <v>60</v>
      </c>
      <c r="B65" s="125" t="str">
        <f>Table2[[#This Row],[Population Density]]&amp;Table2[[#This Row],[Lethality]]&amp;Table2[[#This Row],[Persistence]]&amp;Table2[[#This Row],[Delay]]&amp;Table2[[#This Row],[Evacuate]]</f>
        <v>RuralHighLow1Yes</v>
      </c>
      <c r="C65" t="s">
        <v>125</v>
      </c>
      <c r="D65" t="s">
        <v>112</v>
      </c>
      <c r="E65" t="s">
        <v>114</v>
      </c>
      <c r="F65" t="s">
        <v>169</v>
      </c>
      <c r="G65" t="s">
        <v>153</v>
      </c>
      <c r="H65" t="s">
        <v>490</v>
      </c>
      <c r="I65" t="s">
        <v>491</v>
      </c>
      <c r="J65" t="s">
        <v>492</v>
      </c>
      <c r="K65" t="s">
        <v>493</v>
      </c>
      <c r="L65" t="s">
        <v>494</v>
      </c>
      <c r="M65" t="s">
        <v>495</v>
      </c>
      <c r="N65" s="117">
        <v>0.34804733900387186</v>
      </c>
      <c r="O65" s="117">
        <v>2.4254176623816195E-2</v>
      </c>
      <c r="P65" s="117">
        <v>0.62392923120719157</v>
      </c>
      <c r="Q65" s="117">
        <f t="shared" si="0"/>
        <v>0.16363717215665735</v>
      </c>
      <c r="R65" s="117">
        <f t="shared" si="1"/>
        <v>9.8200144331218077E-3</v>
      </c>
      <c r="S65" s="110">
        <f t="shared" si="2"/>
        <v>0.17257505704568168</v>
      </c>
      <c r="T65" s="129">
        <f>IF(Table2[[#This Row],[Lethality]]="None",0,IF(Table2[[#This Row],[Population Density]]="Rural",($D$3*Table2[[#This Row],[Mean Safe]]),($D$2*Table2[[#This Row],[Mean Safe]])))</f>
        <v>348.04733900387185</v>
      </c>
      <c r="U65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651.95266099612809</v>
      </c>
    </row>
    <row r="66" spans="1:21" x14ac:dyDescent="0.3">
      <c r="A66" s="121">
        <v>61</v>
      </c>
      <c r="B66" s="125" t="str">
        <f>Table2[[#This Row],[Population Density]]&amp;Table2[[#This Row],[Lethality]]&amp;Table2[[#This Row],[Persistence]]&amp;Table2[[#This Row],[Delay]]&amp;Table2[[#This Row],[Evacuate]]</f>
        <v>RuralHighLow2Yes</v>
      </c>
      <c r="C66" t="s">
        <v>125</v>
      </c>
      <c r="D66" t="s">
        <v>112</v>
      </c>
      <c r="E66" t="s">
        <v>114</v>
      </c>
      <c r="F66" t="s">
        <v>176</v>
      </c>
      <c r="G66" t="s">
        <v>153</v>
      </c>
      <c r="H66" t="s">
        <v>496</v>
      </c>
      <c r="I66" t="s">
        <v>497</v>
      </c>
      <c r="J66" t="s">
        <v>498</v>
      </c>
      <c r="K66" t="s">
        <v>499</v>
      </c>
      <c r="L66" t="s">
        <v>500</v>
      </c>
      <c r="M66" t="s">
        <v>501</v>
      </c>
      <c r="N66" s="117">
        <v>0.26626769139470219</v>
      </c>
      <c r="O66" s="117">
        <v>3.0604986957155047E-2</v>
      </c>
      <c r="P66" s="117">
        <v>0.69288017818159853</v>
      </c>
      <c r="Q66" s="117">
        <f t="shared" si="0"/>
        <v>0.2135937677371241</v>
      </c>
      <c r="R66" s="117">
        <f t="shared" si="1"/>
        <v>1.3200214817284979E-2</v>
      </c>
      <c r="S66" s="110">
        <f t="shared" si="2"/>
        <v>0.22267316577002019</v>
      </c>
      <c r="T66" s="129">
        <f>IF(Table2[[#This Row],[Lethality]]="None",0,IF(Table2[[#This Row],[Population Density]]="Rural",($D$3*Table2[[#This Row],[Mean Safe]]),($D$2*Table2[[#This Row],[Mean Safe]])))</f>
        <v>266.26769139470218</v>
      </c>
      <c r="U66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733.73230860529782</v>
      </c>
    </row>
    <row r="67" spans="1:21" x14ac:dyDescent="0.3">
      <c r="A67" s="121">
        <v>62</v>
      </c>
      <c r="B67" s="125" t="str">
        <f>Table2[[#This Row],[Population Density]]&amp;Table2[[#This Row],[Lethality]]&amp;Table2[[#This Row],[Persistence]]&amp;Table2[[#This Row],[Delay]]&amp;Table2[[#This Row],[Evacuate]]</f>
        <v>RuralHighLow3Yes</v>
      </c>
      <c r="C67" t="s">
        <v>125</v>
      </c>
      <c r="D67" t="s">
        <v>112</v>
      </c>
      <c r="E67" t="s">
        <v>114</v>
      </c>
      <c r="F67" t="s">
        <v>183</v>
      </c>
      <c r="G67" t="s">
        <v>153</v>
      </c>
      <c r="H67" t="s">
        <v>502</v>
      </c>
      <c r="I67" t="s">
        <v>503</v>
      </c>
      <c r="J67" t="s">
        <v>504</v>
      </c>
      <c r="K67" t="s">
        <v>505</v>
      </c>
      <c r="L67" t="s">
        <v>506</v>
      </c>
      <c r="M67" t="s">
        <v>507</v>
      </c>
      <c r="N67" s="117">
        <v>0.38646134408383376</v>
      </c>
      <c r="O67" s="117">
        <v>2.6692262556709378E-2</v>
      </c>
      <c r="P67" s="117">
        <v>0.57861960966179959</v>
      </c>
      <c r="Q67" s="117">
        <f t="shared" si="0"/>
        <v>0.21458671642292132</v>
      </c>
      <c r="R67" s="117">
        <f t="shared" si="1"/>
        <v>1.2080791307492815E-2</v>
      </c>
      <c r="S67" s="110">
        <f t="shared" si="2"/>
        <v>0.22526519957752972</v>
      </c>
      <c r="T67" s="129">
        <f>IF(Table2[[#This Row],[Lethality]]="None",0,IF(Table2[[#This Row],[Population Density]]="Rural",($D$3*Table2[[#This Row],[Mean Safe]]),($D$2*Table2[[#This Row],[Mean Safe]])))</f>
        <v>386.46134408383375</v>
      </c>
      <c r="U67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613.53865591616625</v>
      </c>
    </row>
    <row r="68" spans="1:21" x14ac:dyDescent="0.3">
      <c r="A68" s="121">
        <v>63</v>
      </c>
      <c r="B68" s="125" t="str">
        <f>Table2[[#This Row],[Population Density]]&amp;Table2[[#This Row],[Lethality]]&amp;Table2[[#This Row],[Persistence]]&amp;Table2[[#This Row],[Delay]]&amp;Table2[[#This Row],[Evacuate]]</f>
        <v>RuralHighLow4Yes</v>
      </c>
      <c r="C68" t="s">
        <v>125</v>
      </c>
      <c r="D68" t="s">
        <v>112</v>
      </c>
      <c r="E68" t="s">
        <v>114</v>
      </c>
      <c r="F68" t="s">
        <v>190</v>
      </c>
      <c r="G68" t="s">
        <v>153</v>
      </c>
      <c r="H68" t="s">
        <v>508</v>
      </c>
      <c r="I68" t="s">
        <v>509</v>
      </c>
      <c r="J68" t="s">
        <v>510</v>
      </c>
      <c r="K68" t="s">
        <v>511</v>
      </c>
      <c r="L68" t="s">
        <v>512</v>
      </c>
      <c r="M68" t="s">
        <v>513</v>
      </c>
      <c r="N68" s="117">
        <v>0.61401442148314456</v>
      </c>
      <c r="O68" s="117">
        <v>2.7527280241543887E-2</v>
      </c>
      <c r="P68" s="117">
        <v>0.3481580604539109</v>
      </c>
      <c r="Q68" s="117">
        <f t="shared" si="0"/>
        <v>0.18709332846669569</v>
      </c>
      <c r="R68" s="117">
        <f t="shared" si="1"/>
        <v>1.0684234158826718E-2</v>
      </c>
      <c r="S68" s="110">
        <f t="shared" si="2"/>
        <v>0.19776422369644028</v>
      </c>
      <c r="T68" s="129">
        <f>IF(Table2[[#This Row],[Lethality]]="None",0,IF(Table2[[#This Row],[Population Density]]="Rural",($D$3*Table2[[#This Row],[Mean Safe]]),($D$2*Table2[[#This Row],[Mean Safe]])))</f>
        <v>614.01442148314459</v>
      </c>
      <c r="U68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385.98557851685541</v>
      </c>
    </row>
    <row r="69" spans="1:21" x14ac:dyDescent="0.3">
      <c r="A69" s="121">
        <v>64</v>
      </c>
      <c r="B69" s="125" t="str">
        <f>Table2[[#This Row],[Population Density]]&amp;Table2[[#This Row],[Lethality]]&amp;Table2[[#This Row],[Persistence]]&amp;Table2[[#This Row],[Delay]]&amp;Table2[[#This Row],[Evacuate]]</f>
        <v>RuralHighLow5Yes</v>
      </c>
      <c r="C69" t="s">
        <v>125</v>
      </c>
      <c r="D69" t="s">
        <v>112</v>
      </c>
      <c r="E69" t="s">
        <v>114</v>
      </c>
      <c r="F69" t="s">
        <v>197</v>
      </c>
      <c r="G69" t="s">
        <v>153</v>
      </c>
      <c r="H69" t="s">
        <v>514</v>
      </c>
      <c r="I69" t="s">
        <v>515</v>
      </c>
      <c r="J69" t="s">
        <v>516</v>
      </c>
      <c r="K69" t="s">
        <v>517</v>
      </c>
      <c r="L69" t="s">
        <v>518</v>
      </c>
      <c r="M69" t="s">
        <v>519</v>
      </c>
      <c r="N69" s="117">
        <v>0.63459611603985644</v>
      </c>
      <c r="O69" s="117">
        <v>2.8133540628007731E-2</v>
      </c>
      <c r="P69" s="117">
        <v>0.32393352606011017</v>
      </c>
      <c r="Q69" s="117">
        <f t="shared" si="0"/>
        <v>0.19373847264509134</v>
      </c>
      <c r="R69" s="117">
        <f t="shared" si="1"/>
        <v>1.153709826288939E-2</v>
      </c>
      <c r="S69" s="110">
        <f t="shared" si="2"/>
        <v>0.2059256992138549</v>
      </c>
      <c r="T69" s="129">
        <f>IF(Table2[[#This Row],[Lethality]]="None",0,IF(Table2[[#This Row],[Population Density]]="Rural",($D$3*Table2[[#This Row],[Mean Safe]]),($D$2*Table2[[#This Row],[Mean Safe]])))</f>
        <v>634.59611603985638</v>
      </c>
      <c r="U69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365.40388396014362</v>
      </c>
    </row>
    <row r="70" spans="1:21" x14ac:dyDescent="0.3">
      <c r="A70" s="122">
        <v>65</v>
      </c>
      <c r="B70" s="126" t="str">
        <f>Table2[[#This Row],[Population Density]]&amp;Table2[[#This Row],[Lethality]]&amp;Table2[[#This Row],[Persistence]]&amp;Table2[[#This Row],[Delay]]&amp;Table2[[#This Row],[Evacuate]]</f>
        <v>RuralHighLowN/ANo</v>
      </c>
      <c r="C70" s="118" t="s">
        <v>125</v>
      </c>
      <c r="D70" s="118" t="s">
        <v>112</v>
      </c>
      <c r="E70" s="118" t="s">
        <v>114</v>
      </c>
      <c r="F70" s="118" t="s">
        <v>152</v>
      </c>
      <c r="G70" s="118" t="s">
        <v>204</v>
      </c>
      <c r="H70" t="s">
        <v>520</v>
      </c>
      <c r="I70" t="s">
        <v>521</v>
      </c>
      <c r="J70" t="s">
        <v>152</v>
      </c>
      <c r="K70" t="s">
        <v>152</v>
      </c>
      <c r="L70" t="s">
        <v>521</v>
      </c>
      <c r="M70" t="s">
        <v>520</v>
      </c>
      <c r="N70" s="117">
        <v>0.43963387546990085</v>
      </c>
      <c r="O70" s="117">
        <v>0</v>
      </c>
      <c r="P70" s="117">
        <v>0.56036612453009904</v>
      </c>
      <c r="Q70" s="117">
        <f t="shared" si="0"/>
        <v>0.33145983218085323</v>
      </c>
      <c r="R70" s="117">
        <v>0</v>
      </c>
      <c r="S70" s="110">
        <f t="shared" si="2"/>
        <v>0.33145983218085323</v>
      </c>
      <c r="T70" s="129">
        <f>IF(Table2[[#This Row],[Lethality]]="None",0,IF(Table2[[#This Row],[Population Density]]="Rural",($D$3*Table2[[#This Row],[Mean Safe]]),($D$2*Table2[[#This Row],[Mean Safe]])))</f>
        <v>439.63387546990083</v>
      </c>
      <c r="U70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560.36612453009911</v>
      </c>
    </row>
    <row r="71" spans="1:21" x14ac:dyDescent="0.3">
      <c r="A71" s="121">
        <v>66</v>
      </c>
      <c r="B71" s="125" t="str">
        <f>Table2[[#This Row],[Population Density]]&amp;Table2[[#This Row],[Lethality]]&amp;Table2[[#This Row],[Persistence]]&amp;Table2[[#This Row],[Delay]]&amp;Table2[[#This Row],[Evacuate]]</f>
        <v>UrbanHighLow0Yes</v>
      </c>
      <c r="C71" t="s">
        <v>126</v>
      </c>
      <c r="D71" t="s">
        <v>112</v>
      </c>
      <c r="E71" t="s">
        <v>114</v>
      </c>
      <c r="F71" t="s">
        <v>162</v>
      </c>
      <c r="G71" t="s">
        <v>153</v>
      </c>
      <c r="H71" t="s">
        <v>522</v>
      </c>
      <c r="I71" t="s">
        <v>523</v>
      </c>
      <c r="J71" t="s">
        <v>524</v>
      </c>
      <c r="K71" t="s">
        <v>525</v>
      </c>
      <c r="L71" t="s">
        <v>526</v>
      </c>
      <c r="M71" t="s">
        <v>527</v>
      </c>
      <c r="N71" s="117">
        <v>0.62892453769687851</v>
      </c>
      <c r="O71" s="117">
        <v>2.9542850016489996E-2</v>
      </c>
      <c r="P71" s="117">
        <v>0.33854745688143806</v>
      </c>
      <c r="Q71" s="117">
        <f t="shared" ref="Q71:Q91" si="3">SQRT(H71*I71/((H71+I71)^2*(H71+I71+1)))</f>
        <v>0.12437114322612425</v>
      </c>
      <c r="R71" s="117">
        <f t="shared" ref="R71:R90" si="4">SQRT(J71*K71/((J71+K71)^2*(J71+K71+1)))</f>
        <v>7.1211154713138446E-3</v>
      </c>
      <c r="S71" s="110">
        <f t="shared" si="2"/>
        <v>0.12791457786616145</v>
      </c>
      <c r="T71" s="129">
        <f>IF(Table2[[#This Row],[Lethality]]="None",0,IF(Table2[[#This Row],[Population Density]]="Rural",($D$3*Table2[[#This Row],[Mean Safe]]),($D$2*Table2[[#This Row],[Mean Safe]])))</f>
        <v>6289.2453769687854</v>
      </c>
      <c r="U71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3710.7546230312146</v>
      </c>
    </row>
    <row r="72" spans="1:21" x14ac:dyDescent="0.3">
      <c r="A72" s="121">
        <v>67</v>
      </c>
      <c r="B72" s="125" t="str">
        <f>Table2[[#This Row],[Population Density]]&amp;Table2[[#This Row],[Lethality]]&amp;Table2[[#This Row],[Persistence]]&amp;Table2[[#This Row],[Delay]]&amp;Table2[[#This Row],[Evacuate]]</f>
        <v>UrbanHighLow1Yes</v>
      </c>
      <c r="C72" t="s">
        <v>126</v>
      </c>
      <c r="D72" t="s">
        <v>112</v>
      </c>
      <c r="E72" t="s">
        <v>114</v>
      </c>
      <c r="F72" t="s">
        <v>169</v>
      </c>
      <c r="G72" t="s">
        <v>153</v>
      </c>
      <c r="H72" t="s">
        <v>528</v>
      </c>
      <c r="I72" t="s">
        <v>529</v>
      </c>
      <c r="J72" t="s">
        <v>530</v>
      </c>
      <c r="K72" t="s">
        <v>531</v>
      </c>
      <c r="L72" t="s">
        <v>532</v>
      </c>
      <c r="M72" t="s">
        <v>533</v>
      </c>
      <c r="N72" s="117">
        <v>0.45966775157572781</v>
      </c>
      <c r="O72" s="117">
        <v>2.3478502580332287E-2</v>
      </c>
      <c r="P72" s="117">
        <v>0.51390839987988224</v>
      </c>
      <c r="Q72" s="117">
        <f t="shared" si="3"/>
        <v>0.13374132880901321</v>
      </c>
      <c r="R72" s="117">
        <f t="shared" si="4"/>
        <v>8.6196262188270398E-3</v>
      </c>
      <c r="S72" s="110">
        <f t="shared" ref="S72:S91" si="5">SQRT(L72*M72/((L72+M72)^2*(L72+M72+1)))</f>
        <v>0.1419374274437524</v>
      </c>
      <c r="T72" s="129">
        <f>IF(Table2[[#This Row],[Lethality]]="None",0,IF(Table2[[#This Row],[Population Density]]="Rural",($D$3*Table2[[#This Row],[Mean Safe]]),($D$2*Table2[[#This Row],[Mean Safe]])))</f>
        <v>4596.6775157572783</v>
      </c>
      <c r="U72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5403.3224842427217</v>
      </c>
    </row>
    <row r="73" spans="1:21" x14ac:dyDescent="0.3">
      <c r="A73" s="121">
        <v>68</v>
      </c>
      <c r="B73" s="125" t="str">
        <f>Table2[[#This Row],[Population Density]]&amp;Table2[[#This Row],[Lethality]]&amp;Table2[[#This Row],[Persistence]]&amp;Table2[[#This Row],[Delay]]&amp;Table2[[#This Row],[Evacuate]]</f>
        <v>UrbanHighLow2Yes</v>
      </c>
      <c r="C73" t="s">
        <v>126</v>
      </c>
      <c r="D73" t="s">
        <v>112</v>
      </c>
      <c r="E73" t="s">
        <v>114</v>
      </c>
      <c r="F73" t="s">
        <v>176</v>
      </c>
      <c r="G73" t="s">
        <v>153</v>
      </c>
      <c r="H73" t="s">
        <v>534</v>
      </c>
      <c r="I73" t="s">
        <v>535</v>
      </c>
      <c r="J73" t="s">
        <v>536</v>
      </c>
      <c r="K73" t="s">
        <v>537</v>
      </c>
      <c r="L73" t="s">
        <v>538</v>
      </c>
      <c r="M73" t="s">
        <v>539</v>
      </c>
      <c r="N73" s="117">
        <v>0.34800097102314587</v>
      </c>
      <c r="O73" s="117">
        <v>2.3932069752477712E-2</v>
      </c>
      <c r="P73" s="117">
        <v>0.62204006768875508</v>
      </c>
      <c r="Q73" s="117">
        <f t="shared" si="3"/>
        <v>0.19886001707923878</v>
      </c>
      <c r="R73" s="117">
        <f t="shared" si="4"/>
        <v>1.1401994543225201E-2</v>
      </c>
      <c r="S73" s="110">
        <f t="shared" si="5"/>
        <v>0.20896622220150948</v>
      </c>
      <c r="T73" s="129">
        <f>IF(Table2[[#This Row],[Lethality]]="None",0,IF(Table2[[#This Row],[Population Density]]="Rural",($D$3*Table2[[#This Row],[Mean Safe]]),($D$2*Table2[[#This Row],[Mean Safe]])))</f>
        <v>3480.0097102314585</v>
      </c>
      <c r="U73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6519.9902897685415</v>
      </c>
    </row>
    <row r="74" spans="1:21" x14ac:dyDescent="0.3">
      <c r="A74" s="121">
        <v>69</v>
      </c>
      <c r="B74" s="125" t="str">
        <f>Table2[[#This Row],[Population Density]]&amp;Table2[[#This Row],[Lethality]]&amp;Table2[[#This Row],[Persistence]]&amp;Table2[[#This Row],[Delay]]&amp;Table2[[#This Row],[Evacuate]]</f>
        <v>UrbanHighLow3Yes</v>
      </c>
      <c r="C74" t="s">
        <v>126</v>
      </c>
      <c r="D74" t="s">
        <v>112</v>
      </c>
      <c r="E74" t="s">
        <v>114</v>
      </c>
      <c r="F74" t="s">
        <v>183</v>
      </c>
      <c r="G74" t="s">
        <v>153</v>
      </c>
      <c r="H74" t="s">
        <v>540</v>
      </c>
      <c r="I74" t="s">
        <v>541</v>
      </c>
      <c r="J74" t="s">
        <v>542</v>
      </c>
      <c r="K74" t="s">
        <v>543</v>
      </c>
      <c r="L74" t="s">
        <v>544</v>
      </c>
      <c r="M74" t="s">
        <v>545</v>
      </c>
      <c r="N74" s="117">
        <v>0.32130451801215465</v>
      </c>
      <c r="O74" s="117">
        <v>2.9336753135293967E-2</v>
      </c>
      <c r="P74" s="117">
        <v>0.63518651556739791</v>
      </c>
      <c r="Q74" s="117">
        <f t="shared" si="3"/>
        <v>0.24654208703164093</v>
      </c>
      <c r="R74" s="117">
        <f t="shared" si="4"/>
        <v>1.4124926836059176E-2</v>
      </c>
      <c r="S74" s="110">
        <f t="shared" si="5"/>
        <v>0.25470239634820968</v>
      </c>
      <c r="T74" s="129">
        <f>IF(Table2[[#This Row],[Lethality]]="None",0,IF(Table2[[#This Row],[Population Density]]="Rural",($D$3*Table2[[#This Row],[Mean Safe]]),($D$2*Table2[[#This Row],[Mean Safe]])))</f>
        <v>3213.0451801215463</v>
      </c>
      <c r="U74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6786.9548198784541</v>
      </c>
    </row>
    <row r="75" spans="1:21" x14ac:dyDescent="0.3">
      <c r="A75" s="121">
        <v>70</v>
      </c>
      <c r="B75" s="125" t="str">
        <f>Table2[[#This Row],[Population Density]]&amp;Table2[[#This Row],[Lethality]]&amp;Table2[[#This Row],[Persistence]]&amp;Table2[[#This Row],[Delay]]&amp;Table2[[#This Row],[Evacuate]]</f>
        <v>UrbanHighLow4Yes</v>
      </c>
      <c r="C75" t="s">
        <v>126</v>
      </c>
      <c r="D75" t="s">
        <v>112</v>
      </c>
      <c r="E75" t="s">
        <v>114</v>
      </c>
      <c r="F75" t="s">
        <v>190</v>
      </c>
      <c r="G75" t="s">
        <v>153</v>
      </c>
      <c r="H75" t="s">
        <v>546</v>
      </c>
      <c r="I75" t="s">
        <v>547</v>
      </c>
      <c r="J75" t="s">
        <v>548</v>
      </c>
      <c r="K75" t="s">
        <v>549</v>
      </c>
      <c r="L75" t="s">
        <v>550</v>
      </c>
      <c r="M75" t="s">
        <v>551</v>
      </c>
      <c r="N75" s="117">
        <v>0.42710632062956116</v>
      </c>
      <c r="O75" s="117">
        <v>2.7316327367187698E-2</v>
      </c>
      <c r="P75" s="117">
        <v>0.53332826061222371</v>
      </c>
      <c r="Q75" s="117">
        <f t="shared" si="3"/>
        <v>0.2417971933388722</v>
      </c>
      <c r="R75" s="117">
        <f t="shared" si="4"/>
        <v>1.3258504622707537E-2</v>
      </c>
      <c r="S75" s="110">
        <f t="shared" si="5"/>
        <v>0.25241234036702231</v>
      </c>
      <c r="T75" s="129">
        <f>IF(Table2[[#This Row],[Lethality]]="None",0,IF(Table2[[#This Row],[Population Density]]="Rural",($D$3*Table2[[#This Row],[Mean Safe]]),($D$2*Table2[[#This Row],[Mean Safe]])))</f>
        <v>4271.063206295612</v>
      </c>
      <c r="U75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5728.936793704388</v>
      </c>
    </row>
    <row r="76" spans="1:21" x14ac:dyDescent="0.3">
      <c r="A76" s="121">
        <v>71</v>
      </c>
      <c r="B76" s="125" t="str">
        <f>Table2[[#This Row],[Population Density]]&amp;Table2[[#This Row],[Lethality]]&amp;Table2[[#This Row],[Persistence]]&amp;Table2[[#This Row],[Delay]]&amp;Table2[[#This Row],[Evacuate]]</f>
        <v>UrbanHighLow5Yes</v>
      </c>
      <c r="C76" t="s">
        <v>126</v>
      </c>
      <c r="D76" t="s">
        <v>112</v>
      </c>
      <c r="E76" t="s">
        <v>114</v>
      </c>
      <c r="F76" t="s">
        <v>197</v>
      </c>
      <c r="G76" t="s">
        <v>153</v>
      </c>
      <c r="H76" t="s">
        <v>552</v>
      </c>
      <c r="I76" t="s">
        <v>553</v>
      </c>
      <c r="J76" t="s">
        <v>554</v>
      </c>
      <c r="K76" t="s">
        <v>555</v>
      </c>
      <c r="L76" t="s">
        <v>556</v>
      </c>
      <c r="M76" t="s">
        <v>557</v>
      </c>
      <c r="N76" s="117">
        <v>0.46953322290392435</v>
      </c>
      <c r="O76" s="117">
        <v>2.9425896477629599E-2</v>
      </c>
      <c r="P76" s="117">
        <v>0.48388349486683485</v>
      </c>
      <c r="Q76" s="117">
        <f t="shared" si="3"/>
        <v>0.25875246044779893</v>
      </c>
      <c r="R76" s="117">
        <f t="shared" si="4"/>
        <v>1.3900528160959205E-2</v>
      </c>
      <c r="S76" s="110">
        <f t="shared" si="5"/>
        <v>0.26877440419264836</v>
      </c>
      <c r="T76" s="129">
        <f>IF(Table2[[#This Row],[Lethality]]="None",0,IF(Table2[[#This Row],[Population Density]]="Rural",($D$3*Table2[[#This Row],[Mean Safe]]),($D$2*Table2[[#This Row],[Mean Safe]])))</f>
        <v>4695.3322290392434</v>
      </c>
      <c r="U76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5304.6677709607566</v>
      </c>
    </row>
    <row r="77" spans="1:21" x14ac:dyDescent="0.3">
      <c r="A77" s="122">
        <v>72</v>
      </c>
      <c r="B77" s="126" t="str">
        <f>Table2[[#This Row],[Population Density]]&amp;Table2[[#This Row],[Lethality]]&amp;Table2[[#This Row],[Persistence]]&amp;Table2[[#This Row],[Delay]]&amp;Table2[[#This Row],[Evacuate]]</f>
        <v>UrbanHighLowN/ANo</v>
      </c>
      <c r="C77" s="118" t="s">
        <v>126</v>
      </c>
      <c r="D77" s="118" t="s">
        <v>112</v>
      </c>
      <c r="E77" s="118" t="s">
        <v>114</v>
      </c>
      <c r="F77" s="118" t="s">
        <v>152</v>
      </c>
      <c r="G77" s="118" t="s">
        <v>204</v>
      </c>
      <c r="H77" t="s">
        <v>558</v>
      </c>
      <c r="I77" t="s">
        <v>559</v>
      </c>
      <c r="J77" t="s">
        <v>152</v>
      </c>
      <c r="K77" t="s">
        <v>152</v>
      </c>
      <c r="L77" t="s">
        <v>560</v>
      </c>
      <c r="M77" t="s">
        <v>558</v>
      </c>
      <c r="N77" s="117">
        <v>0.43482083089304513</v>
      </c>
      <c r="O77" s="117">
        <v>0</v>
      </c>
      <c r="P77" s="117">
        <v>0.56517916910695487</v>
      </c>
      <c r="Q77" s="117">
        <f t="shared" si="3"/>
        <v>0.33179744959406071</v>
      </c>
      <c r="R77" s="117">
        <v>0</v>
      </c>
      <c r="S77" s="110">
        <f t="shared" si="5"/>
        <v>0.33179744959406071</v>
      </c>
      <c r="T77" s="129">
        <f>IF(Table2[[#This Row],[Lethality]]="None",0,IF(Table2[[#This Row],[Population Density]]="Rural",($D$3*Table2[[#This Row],[Mean Safe]]),($D$2*Table2[[#This Row],[Mean Safe]])))</f>
        <v>4348.2083089304515</v>
      </c>
      <c r="U77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5651.7916910695485</v>
      </c>
    </row>
    <row r="78" spans="1:21" x14ac:dyDescent="0.3">
      <c r="A78" s="121">
        <v>73</v>
      </c>
      <c r="B78" s="125" t="str">
        <f>Table2[[#This Row],[Population Density]]&amp;Table2[[#This Row],[Lethality]]&amp;Table2[[#This Row],[Persistence]]&amp;Table2[[#This Row],[Delay]]&amp;Table2[[#This Row],[Evacuate]]</f>
        <v>RuralHighHigh0Yes</v>
      </c>
      <c r="C78" t="s">
        <v>125</v>
      </c>
      <c r="D78" t="s">
        <v>112</v>
      </c>
      <c r="E78" t="s">
        <v>112</v>
      </c>
      <c r="F78" t="s">
        <v>162</v>
      </c>
      <c r="G78" t="s">
        <v>153</v>
      </c>
      <c r="H78" t="s">
        <v>561</v>
      </c>
      <c r="I78" t="s">
        <v>562</v>
      </c>
      <c r="J78" t="s">
        <v>563</v>
      </c>
      <c r="K78" t="s">
        <v>564</v>
      </c>
      <c r="L78" t="s">
        <v>565</v>
      </c>
      <c r="M78" t="s">
        <v>566</v>
      </c>
      <c r="N78" s="117">
        <v>0.57926002525260845</v>
      </c>
      <c r="O78" s="117">
        <v>2.5418113967728213E-2</v>
      </c>
      <c r="P78" s="117">
        <v>0.39448837745443827</v>
      </c>
      <c r="Q78" s="117">
        <f t="shared" si="3"/>
        <v>5.2049779992497741E-2</v>
      </c>
      <c r="R78" s="117">
        <f t="shared" si="4"/>
        <v>5.9017773525868256E-3</v>
      </c>
      <c r="S78" s="110">
        <f t="shared" si="5"/>
        <v>5.5408505010078109E-2</v>
      </c>
      <c r="T78" s="129">
        <f>IF(Table2[[#This Row],[Lethality]]="None",0,IF(Table2[[#This Row],[Population Density]]="Rural",($D$3*Table2[[#This Row],[Mean Safe]]),($D$2*Table2[[#This Row],[Mean Safe]])))</f>
        <v>579.26002525260844</v>
      </c>
      <c r="U78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420.73997474739156</v>
      </c>
    </row>
    <row r="79" spans="1:21" x14ac:dyDescent="0.3">
      <c r="A79" s="121">
        <v>74</v>
      </c>
      <c r="B79" s="125" t="str">
        <f>Table2[[#This Row],[Population Density]]&amp;Table2[[#This Row],[Lethality]]&amp;Table2[[#This Row],[Persistence]]&amp;Table2[[#This Row],[Delay]]&amp;Table2[[#This Row],[Evacuate]]</f>
        <v>RuralHighHigh1Yes</v>
      </c>
      <c r="C79" t="s">
        <v>125</v>
      </c>
      <c r="D79" t="s">
        <v>112</v>
      </c>
      <c r="E79" t="s">
        <v>112</v>
      </c>
      <c r="F79" t="s">
        <v>169</v>
      </c>
      <c r="G79" t="s">
        <v>153</v>
      </c>
      <c r="H79" t="s">
        <v>567</v>
      </c>
      <c r="I79" t="s">
        <v>568</v>
      </c>
      <c r="J79" t="s">
        <v>569</v>
      </c>
      <c r="K79" t="s">
        <v>570</v>
      </c>
      <c r="L79" t="s">
        <v>571</v>
      </c>
      <c r="M79" t="s">
        <v>572</v>
      </c>
      <c r="N79" s="117">
        <v>0.50987864618846046</v>
      </c>
      <c r="O79" s="117">
        <v>2.5026576685335627E-2</v>
      </c>
      <c r="P79" s="117">
        <v>0.46281270886223214</v>
      </c>
      <c r="Q79" s="117">
        <f t="shared" si="3"/>
        <v>0.12164296517928767</v>
      </c>
      <c r="R79" s="117">
        <f t="shared" si="4"/>
        <v>6.9128586684479446E-3</v>
      </c>
      <c r="S79" s="110">
        <f t="shared" si="5"/>
        <v>0.12712298200923464</v>
      </c>
      <c r="T79" s="129">
        <f>IF(Table2[[#This Row],[Lethality]]="None",0,IF(Table2[[#This Row],[Population Density]]="Rural",($D$3*Table2[[#This Row],[Mean Safe]]),($D$2*Table2[[#This Row],[Mean Safe]])))</f>
        <v>509.87864618846044</v>
      </c>
      <c r="U79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490.12135381153956</v>
      </c>
    </row>
    <row r="80" spans="1:21" x14ac:dyDescent="0.3">
      <c r="A80" s="121">
        <v>75</v>
      </c>
      <c r="B80" s="125" t="str">
        <f>Table2[[#This Row],[Population Density]]&amp;Table2[[#This Row],[Lethality]]&amp;Table2[[#This Row],[Persistence]]&amp;Table2[[#This Row],[Delay]]&amp;Table2[[#This Row],[Evacuate]]</f>
        <v>RuralHighHigh2Yes</v>
      </c>
      <c r="C80" t="s">
        <v>125</v>
      </c>
      <c r="D80" t="s">
        <v>112</v>
      </c>
      <c r="E80" t="s">
        <v>112</v>
      </c>
      <c r="F80" t="s">
        <v>176</v>
      </c>
      <c r="G80" t="s">
        <v>153</v>
      </c>
      <c r="H80" t="s">
        <v>573</v>
      </c>
      <c r="I80" t="s">
        <v>574</v>
      </c>
      <c r="J80" t="s">
        <v>575</v>
      </c>
      <c r="K80" t="s">
        <v>576</v>
      </c>
      <c r="L80" t="s">
        <v>577</v>
      </c>
      <c r="M80" t="s">
        <v>578</v>
      </c>
      <c r="N80" s="117">
        <v>0.54990495929371996</v>
      </c>
      <c r="O80" s="117">
        <v>2.4105529914779544E-2</v>
      </c>
      <c r="P80" s="117">
        <v>0.42377497622770022</v>
      </c>
      <c r="Q80" s="117">
        <f t="shared" si="3"/>
        <v>0.10507536690348555</v>
      </c>
      <c r="R80" s="117">
        <f t="shared" si="4"/>
        <v>6.8869326753751075E-3</v>
      </c>
      <c r="S80" s="110">
        <f t="shared" si="5"/>
        <v>0.11136568461660212</v>
      </c>
      <c r="T80" s="129">
        <f>IF(Table2[[#This Row],[Lethality]]="None",0,IF(Table2[[#This Row],[Population Density]]="Rural",($D$3*Table2[[#This Row],[Mean Safe]]),($D$2*Table2[[#This Row],[Mean Safe]])))</f>
        <v>549.90495929371991</v>
      </c>
      <c r="U80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450.09504070628009</v>
      </c>
    </row>
    <row r="81" spans="1:21" x14ac:dyDescent="0.3">
      <c r="A81" s="121">
        <v>76</v>
      </c>
      <c r="B81" s="125" t="str">
        <f>Table2[[#This Row],[Population Density]]&amp;Table2[[#This Row],[Lethality]]&amp;Table2[[#This Row],[Persistence]]&amp;Table2[[#This Row],[Delay]]&amp;Table2[[#This Row],[Evacuate]]</f>
        <v>RuralHighHigh3Yes</v>
      </c>
      <c r="C81" t="s">
        <v>125</v>
      </c>
      <c r="D81" t="s">
        <v>112</v>
      </c>
      <c r="E81" t="s">
        <v>112</v>
      </c>
      <c r="F81" t="s">
        <v>183</v>
      </c>
      <c r="G81" t="s">
        <v>153</v>
      </c>
      <c r="H81" t="s">
        <v>579</v>
      </c>
      <c r="I81" t="s">
        <v>580</v>
      </c>
      <c r="J81" t="s">
        <v>581</v>
      </c>
      <c r="K81" t="s">
        <v>582</v>
      </c>
      <c r="L81" t="s">
        <v>583</v>
      </c>
      <c r="M81" t="s">
        <v>584</v>
      </c>
      <c r="N81" s="117">
        <v>0.32773426832575975</v>
      </c>
      <c r="O81" s="117">
        <v>1.9132816528235841E-2</v>
      </c>
      <c r="P81" s="117">
        <v>0.6504354480911374</v>
      </c>
      <c r="Q81" s="117">
        <f t="shared" si="3"/>
        <v>0.13782772489006981</v>
      </c>
      <c r="R81" s="117">
        <f t="shared" si="4"/>
        <v>8.355082738405786E-3</v>
      </c>
      <c r="S81" s="110">
        <f t="shared" si="5"/>
        <v>0.14689385107613298</v>
      </c>
      <c r="T81" s="129">
        <f>IF(Table2[[#This Row],[Lethality]]="None",0,IF(Table2[[#This Row],[Population Density]]="Rural",($D$3*Table2[[#This Row],[Mean Safe]]),($D$2*Table2[[#This Row],[Mean Safe]])))</f>
        <v>327.73426832575973</v>
      </c>
      <c r="U81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672.26573167424021</v>
      </c>
    </row>
    <row r="82" spans="1:21" x14ac:dyDescent="0.3">
      <c r="A82" s="121">
        <v>77</v>
      </c>
      <c r="B82" s="125" t="str">
        <f>Table2[[#This Row],[Population Density]]&amp;Table2[[#This Row],[Lethality]]&amp;Table2[[#This Row],[Persistence]]&amp;Table2[[#This Row],[Delay]]&amp;Table2[[#This Row],[Evacuate]]</f>
        <v>RuralHighHigh4Yes</v>
      </c>
      <c r="C82" t="s">
        <v>125</v>
      </c>
      <c r="D82" t="s">
        <v>112</v>
      </c>
      <c r="E82" t="s">
        <v>112</v>
      </c>
      <c r="F82" t="s">
        <v>190</v>
      </c>
      <c r="G82" t="s">
        <v>153</v>
      </c>
      <c r="H82" t="s">
        <v>585</v>
      </c>
      <c r="I82" t="s">
        <v>586</v>
      </c>
      <c r="J82" t="s">
        <v>587</v>
      </c>
      <c r="K82" t="s">
        <v>588</v>
      </c>
      <c r="L82" t="s">
        <v>589</v>
      </c>
      <c r="M82" t="s">
        <v>590</v>
      </c>
      <c r="N82" s="117">
        <v>0.16407166196753165</v>
      </c>
      <c r="O82" s="117">
        <v>2.3559565859939634E-2</v>
      </c>
      <c r="P82" s="117">
        <v>0.80174955449882046</v>
      </c>
      <c r="Q82" s="117">
        <f t="shared" si="3"/>
        <v>0.19947480511681892</v>
      </c>
      <c r="R82" s="117">
        <f t="shared" si="4"/>
        <v>1.1549456132647101E-2</v>
      </c>
      <c r="S82" s="110">
        <f t="shared" si="5"/>
        <v>0.20811576606915469</v>
      </c>
      <c r="T82" s="129">
        <f>IF(Table2[[#This Row],[Lethality]]="None",0,IF(Table2[[#This Row],[Population Density]]="Rural",($D$3*Table2[[#This Row],[Mean Safe]]),($D$2*Table2[[#This Row],[Mean Safe]])))</f>
        <v>164.07166196753164</v>
      </c>
      <c r="U82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835.92833803246833</v>
      </c>
    </row>
    <row r="83" spans="1:21" x14ac:dyDescent="0.3">
      <c r="A83" s="121">
        <v>78</v>
      </c>
      <c r="B83" s="125" t="str">
        <f>Table2[[#This Row],[Population Density]]&amp;Table2[[#This Row],[Lethality]]&amp;Table2[[#This Row],[Persistence]]&amp;Table2[[#This Row],[Delay]]&amp;Table2[[#This Row],[Evacuate]]</f>
        <v>RuralHighHigh5Yes</v>
      </c>
      <c r="C83" t="s">
        <v>125</v>
      </c>
      <c r="D83" t="s">
        <v>112</v>
      </c>
      <c r="E83" t="s">
        <v>112</v>
      </c>
      <c r="F83" t="s">
        <v>197</v>
      </c>
      <c r="G83" t="s">
        <v>153</v>
      </c>
      <c r="H83" t="s">
        <v>591</v>
      </c>
      <c r="I83" t="s">
        <v>592</v>
      </c>
      <c r="J83" t="s">
        <v>593</v>
      </c>
      <c r="K83" t="s">
        <v>594</v>
      </c>
      <c r="L83" t="s">
        <v>595</v>
      </c>
      <c r="M83" t="s">
        <v>596</v>
      </c>
      <c r="N83" s="117">
        <v>0.28736617288685412</v>
      </c>
      <c r="O83" s="117">
        <v>1.9763150681232144E-2</v>
      </c>
      <c r="P83" s="117">
        <v>0.68520055496415033</v>
      </c>
      <c r="Q83" s="117">
        <f t="shared" si="3"/>
        <v>0.22141239367731541</v>
      </c>
      <c r="R83" s="117">
        <f t="shared" si="4"/>
        <v>1.1285572743187198E-2</v>
      </c>
      <c r="S83" s="110">
        <f t="shared" si="5"/>
        <v>0.23236362175509234</v>
      </c>
      <c r="T83" s="129">
        <f>IF(Table2[[#This Row],[Lethality]]="None",0,IF(Table2[[#This Row],[Population Density]]="Rural",($D$3*Table2[[#This Row],[Mean Safe]]),($D$2*Table2[[#This Row],[Mean Safe]])))</f>
        <v>287.36617288685414</v>
      </c>
      <c r="U83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712.6338271131458</v>
      </c>
    </row>
    <row r="84" spans="1:21" x14ac:dyDescent="0.3">
      <c r="A84" s="122">
        <v>79</v>
      </c>
      <c r="B84" s="126" t="str">
        <f>Table2[[#This Row],[Population Density]]&amp;Table2[[#This Row],[Lethality]]&amp;Table2[[#This Row],[Persistence]]&amp;Table2[[#This Row],[Delay]]&amp;Table2[[#This Row],[Evacuate]]</f>
        <v>RuralHighHighN/ANo</v>
      </c>
      <c r="C84" s="118" t="s">
        <v>125</v>
      </c>
      <c r="D84" s="118" t="s">
        <v>112</v>
      </c>
      <c r="E84" s="118" t="s">
        <v>112</v>
      </c>
      <c r="F84" s="118" t="s">
        <v>152</v>
      </c>
      <c r="G84" s="118" t="s">
        <v>204</v>
      </c>
      <c r="H84" t="s">
        <v>597</v>
      </c>
      <c r="I84" t="s">
        <v>598</v>
      </c>
      <c r="J84" t="s">
        <v>152</v>
      </c>
      <c r="K84" t="s">
        <v>152</v>
      </c>
      <c r="L84" t="s">
        <v>599</v>
      </c>
      <c r="M84" t="s">
        <v>597</v>
      </c>
      <c r="N84" s="117">
        <v>8.9093326560139172E-2</v>
      </c>
      <c r="O84" s="117">
        <v>0</v>
      </c>
      <c r="P84" s="117">
        <v>0.91090667343986076</v>
      </c>
      <c r="Q84" s="117">
        <f t="shared" si="3"/>
        <v>0.26845905072105841</v>
      </c>
      <c r="R84" s="117">
        <v>0</v>
      </c>
      <c r="S84" s="110">
        <f t="shared" si="5"/>
        <v>0.26845905072105841</v>
      </c>
      <c r="T84" s="129">
        <f>IF(Table2[[#This Row],[Lethality]]="None",0,IF(Table2[[#This Row],[Population Density]]="Rural",($D$3*Table2[[#This Row],[Mean Safe]]),($D$2*Table2[[#This Row],[Mean Safe]])))</f>
        <v>89.093326560139175</v>
      </c>
      <c r="U84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910.90667343986081</v>
      </c>
    </row>
    <row r="85" spans="1:21" x14ac:dyDescent="0.3">
      <c r="A85" s="121">
        <v>80</v>
      </c>
      <c r="B85" s="125" t="str">
        <f>Table2[[#This Row],[Population Density]]&amp;Table2[[#This Row],[Lethality]]&amp;Table2[[#This Row],[Persistence]]&amp;Table2[[#This Row],[Delay]]&amp;Table2[[#This Row],[Evacuate]]</f>
        <v>UrbanHighHigh0Yes</v>
      </c>
      <c r="C85" t="s">
        <v>126</v>
      </c>
      <c r="D85" t="s">
        <v>112</v>
      </c>
      <c r="E85" t="s">
        <v>112</v>
      </c>
      <c r="F85" t="s">
        <v>162</v>
      </c>
      <c r="G85" t="s">
        <v>153</v>
      </c>
      <c r="H85" t="s">
        <v>600</v>
      </c>
      <c r="I85" t="s">
        <v>601</v>
      </c>
      <c r="J85" t="s">
        <v>602</v>
      </c>
      <c r="K85" t="s">
        <v>603</v>
      </c>
      <c r="L85" t="s">
        <v>604</v>
      </c>
      <c r="M85" t="s">
        <v>605</v>
      </c>
      <c r="N85" s="117">
        <v>0.19227287676525709</v>
      </c>
      <c r="O85" s="117">
        <v>1.7431158058393459E-2</v>
      </c>
      <c r="P85" s="117">
        <v>0.78911170181029078</v>
      </c>
      <c r="Q85" s="117">
        <f t="shared" si="3"/>
        <v>8.2759827766120023E-2</v>
      </c>
      <c r="R85" s="117">
        <f t="shared" si="4"/>
        <v>7.7974755562237831E-3</v>
      </c>
      <c r="S85" s="110">
        <f t="shared" si="5"/>
        <v>8.9725583573997986E-2</v>
      </c>
      <c r="T85" s="129">
        <f>IF(Table2[[#This Row],[Lethality]]="None",0,IF(Table2[[#This Row],[Population Density]]="Rural",($D$3*Table2[[#This Row],[Mean Safe]]),($D$2*Table2[[#This Row],[Mean Safe]])))</f>
        <v>1922.7287676525709</v>
      </c>
      <c r="U85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8077.2712323474288</v>
      </c>
    </row>
    <row r="86" spans="1:21" x14ac:dyDescent="0.3">
      <c r="A86" s="121">
        <v>81</v>
      </c>
      <c r="B86" s="125" t="str">
        <f>Table2[[#This Row],[Population Density]]&amp;Table2[[#This Row],[Lethality]]&amp;Table2[[#This Row],[Persistence]]&amp;Table2[[#This Row],[Delay]]&amp;Table2[[#This Row],[Evacuate]]</f>
        <v>UrbanHighHigh1Yes</v>
      </c>
      <c r="C86" t="s">
        <v>126</v>
      </c>
      <c r="D86" t="s">
        <v>112</v>
      </c>
      <c r="E86" t="s">
        <v>112</v>
      </c>
      <c r="F86" t="s">
        <v>169</v>
      </c>
      <c r="G86" t="s">
        <v>153</v>
      </c>
      <c r="H86" t="s">
        <v>606</v>
      </c>
      <c r="I86" t="s">
        <v>607</v>
      </c>
      <c r="J86" t="s">
        <v>608</v>
      </c>
      <c r="K86" t="s">
        <v>609</v>
      </c>
      <c r="L86" t="s">
        <v>610</v>
      </c>
      <c r="M86" t="s">
        <v>611</v>
      </c>
      <c r="N86" s="117">
        <v>0.5463066430127389</v>
      </c>
      <c r="O86" s="117">
        <v>2.5360409878242424E-2</v>
      </c>
      <c r="P86" s="117">
        <v>0.42648707110618567</v>
      </c>
      <c r="Q86" s="117">
        <f t="shared" si="3"/>
        <v>0.10796636427747848</v>
      </c>
      <c r="R86" s="117">
        <f t="shared" si="4"/>
        <v>6.3041171408937174E-3</v>
      </c>
      <c r="S86" s="110">
        <f t="shared" si="5"/>
        <v>0.11209988610847113</v>
      </c>
      <c r="T86" s="129">
        <f>IF(Table2[[#This Row],[Lethality]]="None",0,IF(Table2[[#This Row],[Population Density]]="Rural",($D$3*Table2[[#This Row],[Mean Safe]]),($D$2*Table2[[#This Row],[Mean Safe]])))</f>
        <v>5463.0664301273891</v>
      </c>
      <c r="U86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4536.9335698726109</v>
      </c>
    </row>
    <row r="87" spans="1:21" x14ac:dyDescent="0.3">
      <c r="A87" s="121">
        <v>82</v>
      </c>
      <c r="B87" s="125" t="str">
        <f>Table2[[#This Row],[Population Density]]&amp;Table2[[#This Row],[Lethality]]&amp;Table2[[#This Row],[Persistence]]&amp;Table2[[#This Row],[Delay]]&amp;Table2[[#This Row],[Evacuate]]</f>
        <v>UrbanHighHigh2Yes</v>
      </c>
      <c r="C87" t="s">
        <v>126</v>
      </c>
      <c r="D87" t="s">
        <v>112</v>
      </c>
      <c r="E87" t="s">
        <v>112</v>
      </c>
      <c r="F87" t="s">
        <v>176</v>
      </c>
      <c r="G87" t="s">
        <v>153</v>
      </c>
      <c r="H87" t="s">
        <v>612</v>
      </c>
      <c r="I87" t="s">
        <v>613</v>
      </c>
      <c r="J87" t="s">
        <v>614</v>
      </c>
      <c r="K87" t="s">
        <v>615</v>
      </c>
      <c r="L87" t="s">
        <v>616</v>
      </c>
      <c r="M87" t="s">
        <v>617</v>
      </c>
      <c r="N87" s="117">
        <v>0.63594936226239818</v>
      </c>
      <c r="O87" s="117">
        <v>2.8495963118065053E-2</v>
      </c>
      <c r="P87" s="117">
        <v>0.3323052807422574</v>
      </c>
      <c r="Q87" s="117">
        <f t="shared" si="3"/>
        <v>0.12153978582596468</v>
      </c>
      <c r="R87" s="117">
        <f t="shared" si="4"/>
        <v>6.8496649199881734E-3</v>
      </c>
      <c r="S87" s="110">
        <f t="shared" si="5"/>
        <v>0.12618551837935379</v>
      </c>
      <c r="T87" s="129">
        <f>IF(Table2[[#This Row],[Lethality]]="None",0,IF(Table2[[#This Row],[Population Density]]="Rural",($D$3*Table2[[#This Row],[Mean Safe]]),($D$2*Table2[[#This Row],[Mean Safe]])))</f>
        <v>6359.4936226239815</v>
      </c>
      <c r="U87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3640.5063773760185</v>
      </c>
    </row>
    <row r="88" spans="1:21" x14ac:dyDescent="0.3">
      <c r="A88" s="121">
        <v>83</v>
      </c>
      <c r="B88" s="125" t="str">
        <f>Table2[[#This Row],[Population Density]]&amp;Table2[[#This Row],[Lethality]]&amp;Table2[[#This Row],[Persistence]]&amp;Table2[[#This Row],[Delay]]&amp;Table2[[#This Row],[Evacuate]]</f>
        <v>UrbanHighHigh3Yes</v>
      </c>
      <c r="C88" t="s">
        <v>126</v>
      </c>
      <c r="D88" t="s">
        <v>112</v>
      </c>
      <c r="E88" t="s">
        <v>112</v>
      </c>
      <c r="F88" t="s">
        <v>183</v>
      </c>
      <c r="G88" t="s">
        <v>153</v>
      </c>
      <c r="H88" t="s">
        <v>618</v>
      </c>
      <c r="I88" t="s">
        <v>619</v>
      </c>
      <c r="J88" t="s">
        <v>620</v>
      </c>
      <c r="K88" t="s">
        <v>621</v>
      </c>
      <c r="L88" t="s">
        <v>622</v>
      </c>
      <c r="M88" t="s">
        <v>623</v>
      </c>
      <c r="N88" s="117">
        <v>0.34575587562047438</v>
      </c>
      <c r="O88" s="117">
        <v>1.9033389251420695E-2</v>
      </c>
      <c r="P88" s="117">
        <v>0.63181389600065785</v>
      </c>
      <c r="Q88" s="117">
        <f t="shared" si="3"/>
        <v>0.16170635425063451</v>
      </c>
      <c r="R88" s="117">
        <f t="shared" si="4"/>
        <v>8.5938165916034023E-3</v>
      </c>
      <c r="S88" s="110">
        <f t="shared" si="5"/>
        <v>0.17062598021261466</v>
      </c>
      <c r="T88" s="129">
        <f>IF(Table2[[#This Row],[Lethality]]="None",0,IF(Table2[[#This Row],[Population Density]]="Rural",($D$3*Table2[[#This Row],[Mean Safe]]),($D$2*Table2[[#This Row],[Mean Safe]])))</f>
        <v>3457.558756204744</v>
      </c>
      <c r="U88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6542.441243795256</v>
      </c>
    </row>
    <row r="89" spans="1:21" x14ac:dyDescent="0.3">
      <c r="A89" s="121">
        <v>84</v>
      </c>
      <c r="B89" s="125" t="str">
        <f>Table2[[#This Row],[Population Density]]&amp;Table2[[#This Row],[Lethality]]&amp;Table2[[#This Row],[Persistence]]&amp;Table2[[#This Row],[Delay]]&amp;Table2[[#This Row],[Evacuate]]</f>
        <v>UrbanHighHigh4Yes</v>
      </c>
      <c r="C89" t="s">
        <v>126</v>
      </c>
      <c r="D89" t="s">
        <v>112</v>
      </c>
      <c r="E89" t="s">
        <v>112</v>
      </c>
      <c r="F89" t="s">
        <v>190</v>
      </c>
      <c r="G89" t="s">
        <v>153</v>
      </c>
      <c r="H89" t="s">
        <v>624</v>
      </c>
      <c r="I89" t="s">
        <v>625</v>
      </c>
      <c r="J89" t="s">
        <v>626</v>
      </c>
      <c r="K89" t="s">
        <v>627</v>
      </c>
      <c r="L89" t="s">
        <v>628</v>
      </c>
      <c r="M89" t="s">
        <v>629</v>
      </c>
      <c r="N89" s="117">
        <v>0.16092657220531587</v>
      </c>
      <c r="O89" s="117">
        <v>2.0638875909901284E-2</v>
      </c>
      <c r="P89" s="117">
        <v>0.8093381312459309</v>
      </c>
      <c r="Q89" s="117">
        <f t="shared" si="3"/>
        <v>0.20046483048168762</v>
      </c>
      <c r="R89" s="117">
        <f t="shared" si="4"/>
        <v>1.1785913001288881E-2</v>
      </c>
      <c r="S89" s="110">
        <f t="shared" si="5"/>
        <v>0.20987424869255933</v>
      </c>
      <c r="T89" s="129">
        <f>IF(Table2[[#This Row],[Lethality]]="None",0,IF(Table2[[#This Row],[Population Density]]="Rural",($D$3*Table2[[#This Row],[Mean Safe]]),($D$2*Table2[[#This Row],[Mean Safe]])))</f>
        <v>1609.2657220531587</v>
      </c>
      <c r="U89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8390.7342779468418</v>
      </c>
    </row>
    <row r="90" spans="1:21" x14ac:dyDescent="0.3">
      <c r="A90" s="121">
        <v>85</v>
      </c>
      <c r="B90" s="125" t="str">
        <f>Table2[[#This Row],[Population Density]]&amp;Table2[[#This Row],[Lethality]]&amp;Table2[[#This Row],[Persistence]]&amp;Table2[[#This Row],[Delay]]&amp;Table2[[#This Row],[Evacuate]]</f>
        <v>UrbanHighHigh5Yes</v>
      </c>
      <c r="C90" t="s">
        <v>126</v>
      </c>
      <c r="D90" t="s">
        <v>112</v>
      </c>
      <c r="E90" t="s">
        <v>112</v>
      </c>
      <c r="F90" t="s">
        <v>197</v>
      </c>
      <c r="G90" t="s">
        <v>153</v>
      </c>
      <c r="H90" t="s">
        <v>630</v>
      </c>
      <c r="I90" t="s">
        <v>631</v>
      </c>
      <c r="J90" t="s">
        <v>632</v>
      </c>
      <c r="K90" t="s">
        <v>633</v>
      </c>
      <c r="L90" t="s">
        <v>634</v>
      </c>
      <c r="M90" t="s">
        <v>635</v>
      </c>
      <c r="N90" s="117">
        <v>0.22148639479953414</v>
      </c>
      <c r="O90" s="117">
        <v>1.9825400899408863E-2</v>
      </c>
      <c r="P90" s="117">
        <v>0.75077753725236951</v>
      </c>
      <c r="Q90" s="117">
        <f t="shared" si="3"/>
        <v>0.21455759187839304</v>
      </c>
      <c r="R90" s="117">
        <f t="shared" si="4"/>
        <v>1.1638731801318613E-2</v>
      </c>
      <c r="S90" s="110">
        <f t="shared" si="5"/>
        <v>0.2255502634833807</v>
      </c>
      <c r="T90" s="129">
        <f>IF(Table2[[#This Row],[Lethality]]="None",0,IF(Table2[[#This Row],[Population Density]]="Rural",($D$3*Table2[[#This Row],[Mean Safe]]),($D$2*Table2[[#This Row],[Mean Safe]])))</f>
        <v>2214.8639479953413</v>
      </c>
      <c r="U90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7785.1360520046583</v>
      </c>
    </row>
    <row r="91" spans="1:21" x14ac:dyDescent="0.3">
      <c r="A91" s="122">
        <v>86</v>
      </c>
      <c r="B91" s="126" t="str">
        <f>Table2[[#This Row],[Population Density]]&amp;Table2[[#This Row],[Lethality]]&amp;Table2[[#This Row],[Persistence]]&amp;Table2[[#This Row],[Delay]]&amp;Table2[[#This Row],[Evacuate]]</f>
        <v>UrbanHighHighN/ANo</v>
      </c>
      <c r="C91" s="118" t="s">
        <v>126</v>
      </c>
      <c r="D91" s="118" t="s">
        <v>112</v>
      </c>
      <c r="E91" s="118" t="s">
        <v>112</v>
      </c>
      <c r="F91" s="118" t="s">
        <v>152</v>
      </c>
      <c r="G91" s="118" t="s">
        <v>204</v>
      </c>
      <c r="H91" t="s">
        <v>636</v>
      </c>
      <c r="I91" t="s">
        <v>637</v>
      </c>
      <c r="J91" t="s">
        <v>152</v>
      </c>
      <c r="K91" t="s">
        <v>152</v>
      </c>
      <c r="L91" t="s">
        <v>638</v>
      </c>
      <c r="M91" t="s">
        <v>639</v>
      </c>
      <c r="N91" s="117">
        <v>9.9217314750707386E-2</v>
      </c>
      <c r="O91" s="117">
        <v>0</v>
      </c>
      <c r="P91" s="117">
        <v>0.90078268524929261</v>
      </c>
      <c r="Q91" s="117">
        <f t="shared" si="3"/>
        <v>0.27297452240748171</v>
      </c>
      <c r="R91" s="117">
        <v>0</v>
      </c>
      <c r="S91" s="110">
        <f t="shared" si="5"/>
        <v>0.27297452240748171</v>
      </c>
      <c r="T91" s="129">
        <f>IF(Table2[[#This Row],[Lethality]]="None",0,IF(Table2[[#This Row],[Population Density]]="Rural",($D$3*Table2[[#This Row],[Mean Safe]]),($D$2*Table2[[#This Row],[Mean Safe]])))</f>
        <v>992.17314750707385</v>
      </c>
      <c r="U91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9007.8268524929263</v>
      </c>
    </row>
    <row r="92" spans="1:21" x14ac:dyDescent="0.3">
      <c r="A92" s="131" t="s">
        <v>647</v>
      </c>
      <c r="B92" s="132" t="str">
        <f>Table2[[#This Row],[Population Density]]&amp;Table2[[#This Row],[Lethality]]&amp;Table2[[#This Row],[Persistence]]&amp;Table2[[#This Row],[Delay]]&amp;Table2[[#This Row],[Evacuate]]</f>
        <v>RuralNoneNoneN/ANo</v>
      </c>
      <c r="C92" s="81" t="s">
        <v>125</v>
      </c>
      <c r="D92" s="81" t="s">
        <v>105</v>
      </c>
      <c r="E92" s="81" t="s">
        <v>105</v>
      </c>
      <c r="F92" s="81" t="s">
        <v>152</v>
      </c>
      <c r="G92" s="81" t="s">
        <v>204</v>
      </c>
      <c r="H92" s="81"/>
      <c r="I92" s="81"/>
      <c r="J92" s="81"/>
      <c r="K92" s="81"/>
      <c r="L92" s="81"/>
      <c r="M92" s="81"/>
      <c r="N92" s="128">
        <v>1</v>
      </c>
      <c r="O92" s="128">
        <v>0</v>
      </c>
      <c r="P92" s="128">
        <v>0</v>
      </c>
      <c r="Q92" s="117" t="e">
        <f>SQRT(H92*I92/((H92+I92)^2*(H92+I92+1)))</f>
        <v>#DIV/0!</v>
      </c>
      <c r="R92" s="117"/>
      <c r="S92" s="117" t="e">
        <f>SQRT(L92*M92/((L92+M92)^2*(L92+M92+1)))</f>
        <v>#DIV/0!</v>
      </c>
      <c r="T92" s="129">
        <f>IF(Table2[[#This Row],[Lethality]]="None",0,IF(Table2[[#This Row],[Population Density]]="Rural",($D$3*Table2[[#This Row],[Mean Safe]]),($D$2*Table2[[#This Row],[Mean Safe]])))</f>
        <v>0</v>
      </c>
      <c r="U92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0</v>
      </c>
    </row>
    <row r="93" spans="1:21" x14ac:dyDescent="0.3">
      <c r="A93" s="131" t="s">
        <v>648</v>
      </c>
      <c r="B93" s="132" t="str">
        <f>Table2[[#This Row],[Population Density]]&amp;Table2[[#This Row],[Lethality]]&amp;Table2[[#This Row],[Persistence]]&amp;Table2[[#This Row],[Delay]]&amp;Table2[[#This Row],[Evacuate]]</f>
        <v>UrbanNoneNoneN/ANo</v>
      </c>
      <c r="C93" s="81" t="s">
        <v>126</v>
      </c>
      <c r="D93" s="81" t="s">
        <v>105</v>
      </c>
      <c r="E93" s="81" t="s">
        <v>105</v>
      </c>
      <c r="F93" s="81" t="s">
        <v>152</v>
      </c>
      <c r="G93" s="81" t="s">
        <v>204</v>
      </c>
      <c r="H93" s="81"/>
      <c r="I93" s="81"/>
      <c r="J93" s="81"/>
      <c r="K93" s="81"/>
      <c r="L93" s="81"/>
      <c r="M93" s="81"/>
      <c r="N93" s="128">
        <v>1</v>
      </c>
      <c r="O93" s="128">
        <v>0</v>
      </c>
      <c r="P93" s="128">
        <v>0</v>
      </c>
      <c r="Q93" s="117" t="e">
        <f>SQRT(H93*I93/((H93+I93)^2*(H93+I93+1)))</f>
        <v>#DIV/0!</v>
      </c>
      <c r="R93" s="117"/>
      <c r="S93" s="117" t="e">
        <f>SQRT(L93*M93/((L93+M93)^2*(L93+M93+1)))</f>
        <v>#DIV/0!</v>
      </c>
      <c r="T93" s="129">
        <f>IF(Table2[[#This Row],[Lethality]]="None",0,IF(Table2[[#This Row],[Population Density]]="Rural",($D$3*Table2[[#This Row],[Mean Safe]]),($D$2*Table2[[#This Row],[Mean Safe]])))</f>
        <v>0</v>
      </c>
      <c r="U93" s="129">
        <f>IF(Table2[[#This Row],[Lethality]]="None",IF(Table2[[#This Row],[Population Density]]="Rural",($D$3*Table2[[#This Row],[Mean Stampede Deaths]]),($D$2*Table2[[#This Row],[Mean Stampede Deaths]])),IF(Table2[[#This Row],[Population Density]]="Rural",($D$3-Table2[[#This Row],['[EH']
Lives Saved]]),($D$2-Table2[[#This Row],['[EH']
Lives Saved]])))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8B2F-49F6-4340-A104-DBB7FADABADB}">
  <dimension ref="A1:D5"/>
  <sheetViews>
    <sheetView workbookViewId="0">
      <selection activeCell="B2" sqref="B2:C5"/>
    </sheetView>
  </sheetViews>
  <sheetFormatPr defaultRowHeight="14.4" x14ac:dyDescent="0.3"/>
  <cols>
    <col min="1" max="1" width="11.21875" bestFit="1" customWidth="1"/>
    <col min="2" max="2" width="25.5546875" bestFit="1" customWidth="1"/>
    <col min="3" max="3" width="24.5546875" bestFit="1" customWidth="1"/>
  </cols>
  <sheetData>
    <row r="1" spans="1:4" x14ac:dyDescent="0.3">
      <c r="A1" s="11" t="s">
        <v>22</v>
      </c>
      <c r="B1" s="11" t="s">
        <v>110</v>
      </c>
      <c r="C1" s="11" t="s">
        <v>111</v>
      </c>
    </row>
    <row r="2" spans="1:4" x14ac:dyDescent="0.3">
      <c r="A2" s="10" t="s">
        <v>0</v>
      </c>
      <c r="B2" s="12">
        <v>5000000</v>
      </c>
      <c r="C2" s="13">
        <v>15000</v>
      </c>
      <c r="D2" t="s">
        <v>656</v>
      </c>
    </row>
    <row r="3" spans="1:4" x14ac:dyDescent="0.3">
      <c r="A3" s="10" t="s">
        <v>1</v>
      </c>
      <c r="B3" s="12">
        <v>10000000</v>
      </c>
      <c r="C3" s="13">
        <v>10000</v>
      </c>
    </row>
    <row r="4" spans="1:4" x14ac:dyDescent="0.3">
      <c r="A4" s="10" t="s">
        <v>2</v>
      </c>
      <c r="B4" s="12">
        <v>7500000</v>
      </c>
      <c r="C4" s="13">
        <v>25000</v>
      </c>
      <c r="D4" t="s">
        <v>656</v>
      </c>
    </row>
    <row r="5" spans="1:4" x14ac:dyDescent="0.3">
      <c r="A5" s="10" t="s">
        <v>3</v>
      </c>
      <c r="B5" s="12">
        <v>15000000</v>
      </c>
      <c r="C5" s="13">
        <v>2500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Tree</vt:lpstr>
      <vt:lpstr>Warning Signal Analysis</vt:lpstr>
      <vt:lpstr>Individual Sensor Performance</vt:lpstr>
      <vt:lpstr>Evacuation Simulation Data</vt:lpstr>
      <vt:lpstr>Sensor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Helms</dc:creator>
  <cp:lastModifiedBy>Elliot Helms</cp:lastModifiedBy>
  <dcterms:created xsi:type="dcterms:W3CDTF">2020-05-10T03:41:04Z</dcterms:created>
  <dcterms:modified xsi:type="dcterms:W3CDTF">2020-06-10T05:21:20Z</dcterms:modified>
</cp:coreProperties>
</file>