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ampus\emf\Mech2\croy46\Desktop\"/>
    </mc:Choice>
  </mc:AlternateContent>
  <bookViews>
    <workbookView xWindow="0" yWindow="0" windowWidth="28800" windowHeight="12300" activeTab="8"/>
  </bookViews>
  <sheets>
    <sheet name="Strengths" sheetId="2" r:id="rId1"/>
    <sheet name="Gear Specs" sheetId="4" r:id="rId2"/>
    <sheet name="K_L and C_L" sheetId="3" r:id="rId3"/>
    <sheet name="Shafts" sheetId="8" r:id="rId4"/>
    <sheet name="Shafts Diagrams" sheetId="7" r:id="rId5"/>
    <sheet name="Shaft 1 Charts" sheetId="10" r:id="rId6"/>
    <sheet name="Shaft 2 Charts" sheetId="11" r:id="rId7"/>
    <sheet name="Shaft 3 Chart" sheetId="12" r:id="rId8"/>
    <sheet name="Bearings" sheetId="13" r:id="rId9"/>
  </sheet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3" l="1"/>
  <c r="F19" i="13"/>
  <c r="D21" i="13"/>
  <c r="F21" i="13"/>
  <c r="H21" i="13"/>
  <c r="D26" i="13"/>
  <c r="D29" i="13" s="1"/>
  <c r="J26" i="13"/>
  <c r="J29" i="13" s="1"/>
  <c r="H27" i="13"/>
  <c r="F29" i="13"/>
  <c r="H29" i="13"/>
  <c r="D37" i="13"/>
  <c r="D38" i="13" s="1"/>
  <c r="D28" i="13" s="1"/>
  <c r="E37" i="13"/>
  <c r="E38" i="13" s="1"/>
  <c r="F28" i="13" s="1"/>
  <c r="F37" i="13"/>
  <c r="F38" i="13" s="1"/>
  <c r="G37" i="13"/>
  <c r="G38" i="13" s="1"/>
  <c r="H28" i="13" l="1"/>
  <c r="J28" i="13"/>
  <c r="C16" i="8"/>
  <c r="D181" i="7" l="1"/>
  <c r="D180" i="7"/>
  <c r="D179" i="7"/>
  <c r="C179" i="7"/>
  <c r="D164" i="7"/>
  <c r="D163" i="7"/>
  <c r="D162" i="7"/>
  <c r="D161" i="7"/>
  <c r="D160" i="7"/>
  <c r="Q159" i="7"/>
  <c r="D159" i="7"/>
  <c r="Q156" i="7"/>
  <c r="Q153" i="7"/>
  <c r="D151" i="7"/>
  <c r="C151" i="7"/>
  <c r="D150" i="7"/>
  <c r="C150" i="7"/>
  <c r="D149" i="7"/>
  <c r="D148" i="7"/>
  <c r="C148" i="7"/>
  <c r="D147" i="7"/>
  <c r="C147" i="7"/>
  <c r="AG146" i="7"/>
  <c r="AB146" i="7"/>
  <c r="W146" i="7"/>
  <c r="R146" i="7"/>
  <c r="D146" i="7"/>
  <c r="D145" i="7"/>
  <c r="D144" i="7"/>
  <c r="AF138" i="7"/>
  <c r="AA138" i="7"/>
  <c r="V138" i="7"/>
  <c r="Q138" i="7"/>
  <c r="AF137" i="7"/>
  <c r="AA137" i="7"/>
  <c r="V137" i="7"/>
  <c r="Q137" i="7"/>
  <c r="AF136" i="7"/>
  <c r="AA136" i="7"/>
  <c r="Q136" i="7"/>
  <c r="AF135" i="7"/>
  <c r="V135" i="7"/>
  <c r="Q135" i="7"/>
  <c r="AF134" i="7"/>
  <c r="AA134" i="7"/>
  <c r="V134" i="7"/>
  <c r="Q134" i="7"/>
  <c r="AF133" i="7"/>
  <c r="V133" i="7"/>
  <c r="Q133" i="7"/>
  <c r="D125" i="7"/>
  <c r="D124" i="7"/>
  <c r="D123" i="7"/>
  <c r="C103" i="7"/>
  <c r="D102" i="7"/>
  <c r="D101" i="7"/>
  <c r="C101" i="7"/>
  <c r="D100" i="7"/>
  <c r="C100" i="7"/>
  <c r="D99" i="7"/>
  <c r="C99" i="7"/>
  <c r="D98" i="7"/>
  <c r="D97" i="7"/>
  <c r="D96" i="7"/>
  <c r="C96" i="7"/>
  <c r="C95" i="7"/>
  <c r="Q90" i="7"/>
  <c r="Q89" i="7"/>
  <c r="D89" i="7"/>
  <c r="C89" i="7"/>
  <c r="D88" i="7"/>
  <c r="D87" i="7"/>
  <c r="Q86" i="7"/>
  <c r="D86" i="7"/>
  <c r="D85" i="7"/>
  <c r="C85" i="7"/>
  <c r="D84" i="7"/>
  <c r="C84" i="7"/>
  <c r="Q83" i="7"/>
  <c r="D83" i="7"/>
  <c r="C83" i="7"/>
  <c r="D82" i="7"/>
  <c r="C82" i="7"/>
  <c r="D79" i="7"/>
  <c r="C79" i="7"/>
  <c r="D78" i="7"/>
  <c r="C78" i="7"/>
  <c r="AL77" i="7"/>
  <c r="AG77" i="7"/>
  <c r="AB77" i="7"/>
  <c r="W77" i="7"/>
  <c r="R77" i="7"/>
  <c r="D77" i="7"/>
  <c r="D76" i="7"/>
  <c r="C76" i="7"/>
  <c r="D75" i="7"/>
  <c r="D74" i="7"/>
  <c r="C74" i="7"/>
  <c r="D73" i="7"/>
  <c r="D72" i="7"/>
  <c r="C72" i="7"/>
  <c r="D71" i="7"/>
  <c r="D70" i="7"/>
  <c r="AF69" i="7"/>
  <c r="AA69" i="7"/>
  <c r="V69" i="7"/>
  <c r="Q69" i="7"/>
  <c r="D69" i="7"/>
  <c r="AK68" i="7"/>
  <c r="AF68" i="7"/>
  <c r="AA68" i="7"/>
  <c r="V68" i="7"/>
  <c r="Q68" i="7"/>
  <c r="AK67" i="7"/>
  <c r="AF67" i="7"/>
  <c r="AA67" i="7"/>
  <c r="V67" i="7"/>
  <c r="Q67" i="7"/>
  <c r="AK66" i="7"/>
  <c r="AA66" i="7"/>
  <c r="Q66" i="7"/>
  <c r="AK65" i="7"/>
  <c r="AF65" i="7"/>
  <c r="AA65" i="7"/>
  <c r="V65" i="7"/>
  <c r="Q65" i="7"/>
  <c r="D65" i="7"/>
  <c r="AK64" i="7"/>
  <c r="AA64" i="7"/>
  <c r="V64" i="7"/>
  <c r="Q64" i="7"/>
  <c r="D64" i="7"/>
  <c r="D63" i="7"/>
  <c r="D62" i="7"/>
  <c r="C50" i="7"/>
  <c r="D49" i="7"/>
  <c r="D48" i="7"/>
  <c r="D47" i="7"/>
  <c r="P36" i="7"/>
  <c r="P35" i="7"/>
  <c r="D35" i="7"/>
  <c r="D34" i="7"/>
  <c r="D33" i="7"/>
  <c r="P32" i="7"/>
  <c r="D32" i="7"/>
  <c r="D31" i="7"/>
  <c r="P30" i="7"/>
  <c r="AF24" i="7"/>
  <c r="AA24" i="7"/>
  <c r="V24" i="7"/>
  <c r="Q24" i="7"/>
  <c r="D20" i="7"/>
  <c r="D19" i="7"/>
  <c r="D18" i="7"/>
  <c r="D17" i="7"/>
  <c r="C17" i="7"/>
  <c r="AE16" i="7"/>
  <c r="Z16" i="7"/>
  <c r="U16" i="7"/>
  <c r="P16" i="7"/>
  <c r="D16" i="7"/>
  <c r="AE15" i="7"/>
  <c r="Z15" i="7"/>
  <c r="U15" i="7"/>
  <c r="P15" i="7"/>
  <c r="D15" i="7"/>
  <c r="U14" i="7"/>
  <c r="P14" i="7"/>
  <c r="D14" i="7"/>
  <c r="AE13" i="7"/>
  <c r="Z13" i="7"/>
  <c r="P13" i="7"/>
  <c r="AE12" i="7"/>
  <c r="Z12" i="7"/>
  <c r="U12" i="7"/>
  <c r="P12" i="7"/>
  <c r="AE11" i="7"/>
  <c r="Z11" i="7"/>
  <c r="P11" i="7"/>
  <c r="C64" i="8"/>
  <c r="C63" i="8"/>
  <c r="C62" i="8"/>
  <c r="C61" i="8"/>
  <c r="C60" i="8"/>
  <c r="C59" i="8"/>
  <c r="I58" i="8"/>
  <c r="I57" i="8"/>
  <c r="C55" i="8"/>
  <c r="C54" i="8"/>
  <c r="C53" i="8"/>
  <c r="C49" i="8"/>
  <c r="C48" i="8"/>
  <c r="C47" i="8"/>
  <c r="C46" i="8"/>
  <c r="C45" i="8"/>
  <c r="C44" i="8"/>
  <c r="C40" i="8"/>
  <c r="C39" i="8"/>
  <c r="C38" i="8"/>
  <c r="C34" i="8"/>
  <c r="C33" i="8"/>
  <c r="C32" i="8"/>
  <c r="C31" i="8"/>
  <c r="C30" i="8"/>
  <c r="I29" i="8"/>
  <c r="C29" i="8"/>
  <c r="I28" i="8"/>
  <c r="C25" i="8"/>
  <c r="C24" i="8"/>
  <c r="C23" i="8"/>
  <c r="C18" i="8"/>
  <c r="C17" i="8"/>
  <c r="C15" i="8"/>
  <c r="AE14" i="8"/>
  <c r="C14" i="8"/>
  <c r="AE12" i="8"/>
  <c r="I9" i="8"/>
  <c r="I8" i="8"/>
  <c r="C8" i="8"/>
  <c r="C7" i="8"/>
  <c r="C6" i="8"/>
  <c r="N23" i="3"/>
  <c r="B23" i="3"/>
  <c r="B22" i="3"/>
  <c r="B5" i="3"/>
  <c r="N4" i="3"/>
  <c r="B4" i="3"/>
  <c r="C15" i="4"/>
  <c r="F10" i="4"/>
  <c r="E10" i="4"/>
  <c r="D10" i="4"/>
  <c r="C10" i="4"/>
  <c r="F9" i="4"/>
  <c r="E9" i="4"/>
  <c r="D9" i="4"/>
  <c r="C9" i="4"/>
  <c r="X33" i="2"/>
  <c r="W31" i="2"/>
  <c r="V31" i="2"/>
  <c r="U31" i="2"/>
  <c r="T31" i="2"/>
  <c r="T30" i="2"/>
  <c r="T29" i="2"/>
  <c r="E29" i="2"/>
  <c r="D29" i="2"/>
  <c r="C29" i="2"/>
  <c r="B29" i="2"/>
  <c r="T28" i="2"/>
  <c r="S28" i="2"/>
  <c r="E28" i="2"/>
  <c r="D28" i="2"/>
  <c r="C28" i="2"/>
  <c r="T27" i="2"/>
  <c r="S27" i="2"/>
  <c r="F27" i="2"/>
  <c r="E27" i="2"/>
  <c r="D27" i="2"/>
  <c r="C27" i="2"/>
  <c r="B27" i="2"/>
  <c r="T26" i="2"/>
  <c r="S26" i="2"/>
  <c r="E26" i="2"/>
  <c r="D26" i="2"/>
  <c r="C26" i="2"/>
  <c r="B26" i="2"/>
  <c r="T25" i="2"/>
  <c r="S25" i="2"/>
  <c r="E25" i="2"/>
  <c r="D25" i="2"/>
  <c r="C25" i="2"/>
  <c r="B25" i="2"/>
  <c r="T24" i="2"/>
  <c r="S24" i="2"/>
  <c r="E24" i="2"/>
  <c r="D24" i="2"/>
  <c r="C24" i="2"/>
  <c r="B24" i="2"/>
  <c r="T23" i="2"/>
  <c r="S23" i="2"/>
  <c r="T22" i="2"/>
  <c r="S22" i="2"/>
  <c r="T21" i="2"/>
  <c r="S21" i="2"/>
  <c r="T20" i="2"/>
  <c r="S20" i="2"/>
  <c r="E20" i="2"/>
  <c r="D20" i="2"/>
  <c r="C20" i="2"/>
  <c r="B20" i="2"/>
  <c r="T19" i="2"/>
  <c r="S19" i="2"/>
  <c r="E19" i="2"/>
  <c r="D19" i="2"/>
  <c r="C19" i="2"/>
  <c r="T18" i="2"/>
  <c r="S18" i="2"/>
  <c r="E18" i="2"/>
  <c r="D18" i="2"/>
  <c r="C18" i="2"/>
  <c r="B18" i="2"/>
  <c r="T17" i="2"/>
  <c r="S17" i="2"/>
  <c r="E17" i="2"/>
  <c r="D17" i="2"/>
  <c r="C17" i="2"/>
  <c r="T16" i="2"/>
  <c r="S16" i="2"/>
  <c r="E16" i="2"/>
  <c r="D16" i="2"/>
  <c r="C16" i="2"/>
  <c r="B16" i="2"/>
  <c r="T15" i="2"/>
  <c r="S15" i="2"/>
  <c r="T14" i="2"/>
  <c r="S14" i="2"/>
  <c r="T13" i="2"/>
  <c r="S13" i="2"/>
  <c r="T12" i="2"/>
  <c r="S12" i="2"/>
  <c r="D12" i="2"/>
  <c r="T11" i="2"/>
  <c r="S11" i="2"/>
  <c r="D11" i="2"/>
  <c r="T10" i="2"/>
  <c r="S10" i="2"/>
  <c r="D10" i="2"/>
  <c r="T9" i="2"/>
  <c r="S9" i="2"/>
  <c r="T8" i="2"/>
  <c r="S8" i="2"/>
  <c r="T7" i="2"/>
  <c r="S7" i="2"/>
  <c r="T6" i="2"/>
  <c r="S6" i="2"/>
  <c r="T5" i="2"/>
  <c r="S5" i="2"/>
  <c r="C5" i="2"/>
  <c r="C3" i="2"/>
</calcChain>
</file>

<file path=xl/sharedStrings.xml><?xml version="1.0" encoding="utf-8"?>
<sst xmlns="http://schemas.openxmlformats.org/spreadsheetml/2006/main" count="785" uniqueCount="233">
  <si>
    <t>N</t>
  </si>
  <si>
    <t>Operation</t>
  </si>
  <si>
    <t>Value</t>
  </si>
  <si>
    <t>Steep Climb</t>
  </si>
  <si>
    <t>K_R</t>
  </si>
  <si>
    <t>Total Flight Time</t>
  </si>
  <si>
    <t>Material We Use</t>
  </si>
  <si>
    <t>Hours given</t>
  </si>
  <si>
    <t>Material</t>
  </si>
  <si>
    <t>Steel</t>
  </si>
  <si>
    <t>Days</t>
  </si>
  <si>
    <t>Class</t>
  </si>
  <si>
    <t>A1-A5</t>
  </si>
  <si>
    <t>Daily Flight Cycle</t>
  </si>
  <si>
    <t>Days rounded up</t>
  </si>
  <si>
    <t>Material Designation</t>
  </si>
  <si>
    <t>2.5% Chrome</t>
  </si>
  <si>
    <t>Hour</t>
  </si>
  <si>
    <t>Time</t>
  </si>
  <si>
    <t>RPM</t>
  </si>
  <si>
    <t>Cycles/Hour</t>
  </si>
  <si>
    <t>Cycles (cumulative</t>
  </si>
  <si>
    <t>hours in 5 days</t>
  </si>
  <si>
    <t>Heat Treatment</t>
  </si>
  <si>
    <t>Nitrided</t>
  </si>
  <si>
    <t>Take-Off</t>
  </si>
  <si>
    <t>6am-7am</t>
  </si>
  <si>
    <t>Min Surf Hardness</t>
  </si>
  <si>
    <t>87.5-90.0 15N</t>
  </si>
  <si>
    <t>7am-6pm</t>
  </si>
  <si>
    <t>Assume Take-off for entire time</t>
  </si>
  <si>
    <t>Bending Fatigue Strength Sfb'</t>
  </si>
  <si>
    <t>[Mpa]</t>
  </si>
  <si>
    <t>Takeoff RPM</t>
  </si>
  <si>
    <t>Surface Fatigue Strength Sfc'</t>
  </si>
  <si>
    <t>contacts per rev</t>
  </si>
  <si>
    <t>revs per hour</t>
  </si>
  <si>
    <t>contacts per hour</t>
  </si>
  <si>
    <t>total contacts</t>
  </si>
  <si>
    <t>Bending Fatigue Strength</t>
  </si>
  <si>
    <t>Factor</t>
  </si>
  <si>
    <t>G2</t>
  </si>
  <si>
    <t>G3</t>
  </si>
  <si>
    <t>G4</t>
  </si>
  <si>
    <t>G5</t>
  </si>
  <si>
    <t>Notes</t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</si>
  <si>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</si>
  <si>
    <t>From table</t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</si>
  <si>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</si>
  <si>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</si>
  <si>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t>Gliding</t>
  </si>
  <si>
    <t>6pm-10pm</t>
  </si>
  <si>
    <r>
      <t>K</t>
    </r>
    <r>
      <rPr>
        <vertAlign val="subscript"/>
        <sz val="11"/>
        <color theme="1"/>
        <rFont val="Calibri"/>
        <family val="2"/>
        <scheme val="minor"/>
      </rPr>
      <t>T</t>
    </r>
  </si>
  <si>
    <t>calculated</t>
  </si>
  <si>
    <r>
      <t>K</t>
    </r>
    <r>
      <rPr>
        <vertAlign val="subscript"/>
        <sz val="11"/>
        <color theme="1"/>
        <rFont val="Calibri"/>
        <family val="2"/>
        <scheme val="minor"/>
      </rPr>
      <t>R</t>
    </r>
  </si>
  <si>
    <r>
      <t>S</t>
    </r>
    <r>
      <rPr>
        <vertAlign val="subscript"/>
        <sz val="11"/>
        <color theme="1"/>
        <rFont val="Calibri"/>
        <family val="2"/>
        <scheme val="minor"/>
      </rPr>
      <t>fb</t>
    </r>
  </si>
  <si>
    <t>MPa MAX</t>
  </si>
  <si>
    <t>Steady Altitude</t>
  </si>
  <si>
    <t>10pm-6am</t>
  </si>
  <si>
    <t>Surface Fatigue Strength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</si>
  <si>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</si>
  <si>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</si>
  <si>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</si>
  <si>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</si>
  <si>
    <t>hardness factor</t>
  </si>
  <si>
    <r>
      <t>S</t>
    </r>
    <r>
      <rPr>
        <vertAlign val="subscript"/>
        <sz val="11"/>
        <color theme="1"/>
        <rFont val="Calibri"/>
        <family val="2"/>
        <scheme val="minor"/>
      </rPr>
      <t>fc</t>
    </r>
  </si>
  <si>
    <t>Avg cycle/hour</t>
  </si>
  <si>
    <t>each tooth hit once in a revolution</t>
  </si>
  <si>
    <t>x2000 hrs</t>
  </si>
  <si>
    <t>TOTAL CYCLES</t>
  </si>
  <si>
    <t>Num Teeth</t>
  </si>
  <si>
    <t>Gear</t>
  </si>
  <si>
    <t>Teeth</t>
  </si>
  <si>
    <t>Module (mm)</t>
  </si>
  <si>
    <t>Face Width (mm)</t>
  </si>
  <si>
    <t>Pressure Angle</t>
  </si>
  <si>
    <t>Surface Saftey Factor</t>
  </si>
  <si>
    <t>Pitch Diam</t>
  </si>
  <si>
    <t>Outer Diam</t>
  </si>
  <si>
    <t>total size</t>
  </si>
  <si>
    <r>
      <t>K</t>
    </r>
    <r>
      <rPr>
        <vertAlign val="subscript"/>
        <sz val="11"/>
        <color theme="0"/>
        <rFont val="Calibri"/>
        <family val="2"/>
        <scheme val="minor"/>
      </rPr>
      <t>L</t>
    </r>
  </si>
  <si>
    <t>x</t>
  </si>
  <si>
    <t>y</t>
  </si>
  <si>
    <t>CL</t>
  </si>
  <si>
    <t>Textbook Table</t>
  </si>
  <si>
    <t>"12-24"</t>
  </si>
  <si>
    <t>p756</t>
  </si>
  <si>
    <t>This section was made form the textbook graphs to automate finding KL and CL, and so we can put this into MATLAB. ALSO, i did this before i realized there were equations on the charts in the book. I don't know how i didn't see that. The values they give are almost identical, so not a big deal.</t>
  </si>
  <si>
    <r>
      <t>C</t>
    </r>
    <r>
      <rPr>
        <vertAlign val="subscript"/>
        <sz val="11"/>
        <color theme="0"/>
        <rFont val="Calibri"/>
        <family val="2"/>
        <scheme val="minor"/>
      </rPr>
      <t>L</t>
    </r>
  </si>
  <si>
    <t>KL</t>
  </si>
  <si>
    <t>"12-26"</t>
  </si>
  <si>
    <t>p759</t>
  </si>
  <si>
    <t>Forces</t>
  </si>
  <si>
    <t>Gear 2</t>
  </si>
  <si>
    <t>Units</t>
  </si>
  <si>
    <t>Note</t>
  </si>
  <si>
    <t>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</si>
  <si>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</si>
  <si>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Mass</t>
  </si>
  <si>
    <t>kg</t>
  </si>
  <si>
    <t>Steel density</t>
  </si>
  <si>
    <t>Mg/m^3</t>
  </si>
  <si>
    <t>Weight</t>
  </si>
  <si>
    <t>Upper bound</t>
  </si>
  <si>
    <t>Gear 3</t>
  </si>
  <si>
    <t>Wr</t>
  </si>
  <si>
    <t>Wt</t>
  </si>
  <si>
    <t>Gear 4</t>
  </si>
  <si>
    <t>Unit</t>
  </si>
  <si>
    <t>W</t>
  </si>
  <si>
    <t>Gear 5</t>
  </si>
  <si>
    <t xml:space="preserve">Power </t>
  </si>
  <si>
    <t>mm^3 to m^3</t>
  </si>
  <si>
    <t>hp to W</t>
  </si>
  <si>
    <t>Conversion factors</t>
  </si>
  <si>
    <t>Torque</t>
  </si>
  <si>
    <t>Omega</t>
  </si>
  <si>
    <t>RPM to rad/s</t>
  </si>
  <si>
    <t>Pitch diameter</t>
  </si>
  <si>
    <t>mm</t>
  </si>
  <si>
    <t>rad/s</t>
  </si>
  <si>
    <t xml:space="preserve">N m </t>
  </si>
  <si>
    <t>rev/min</t>
  </si>
  <si>
    <t xml:space="preserve">Value </t>
  </si>
  <si>
    <t>Upper bound - without hollow gear</t>
  </si>
  <si>
    <t>Values</t>
  </si>
  <si>
    <t xml:space="preserve"> </t>
  </si>
  <si>
    <t>Shaft 1</t>
  </si>
  <si>
    <t>(input shaft)</t>
  </si>
  <si>
    <t>Total effective length</t>
  </si>
  <si>
    <t>Shaft 2</t>
  </si>
  <si>
    <t>Right bearing reaction</t>
  </si>
  <si>
    <t>Left bearing reaction</t>
  </si>
  <si>
    <t>Shaft 3</t>
  </si>
  <si>
    <t>Output shaft</t>
  </si>
  <si>
    <t>(V)</t>
  </si>
  <si>
    <t>M</t>
  </si>
  <si>
    <t>Stress Concentration</t>
  </si>
  <si>
    <t>dist from left bearing to gear</t>
  </si>
  <si>
    <t>dist from gear to right bearing</t>
  </si>
  <si>
    <t>V</t>
  </si>
  <si>
    <t>T</t>
  </si>
  <si>
    <t xml:space="preserve">d </t>
  </si>
  <si>
    <t>=</t>
  </si>
  <si>
    <t>yields…</t>
  </si>
  <si>
    <t>Nf</t>
  </si>
  <si>
    <t>kf</t>
  </si>
  <si>
    <t>Ma</t>
  </si>
  <si>
    <t>kfsm</t>
  </si>
  <si>
    <t>Tm</t>
  </si>
  <si>
    <t>Sut</t>
  </si>
  <si>
    <t>Parameters</t>
  </si>
  <si>
    <t>At Max moment</t>
  </si>
  <si>
    <t>At stress conc. 1</t>
  </si>
  <si>
    <t>At stress conc. 2</t>
  </si>
  <si>
    <t>At stress conc. 3</t>
  </si>
  <si>
    <t xml:space="preserve">x </t>
  </si>
  <si>
    <t xml:space="preserve">Steel with </t>
  </si>
  <si>
    <t>q</t>
  </si>
  <si>
    <t>AISI 1050</t>
  </si>
  <si>
    <t>Quench and temper @ 400deg F</t>
  </si>
  <si>
    <t>Steel option</t>
  </si>
  <si>
    <t>SUT</t>
  </si>
  <si>
    <t>Se</t>
  </si>
  <si>
    <t>note</t>
  </si>
  <si>
    <t xml:space="preserve"> Sut &lt; 1400 =&gt; Se = 0.5Sut</t>
  </si>
  <si>
    <t>Kt_bend</t>
  </si>
  <si>
    <t>Kt_tors</t>
  </si>
  <si>
    <t>D/d</t>
  </si>
  <si>
    <t>r/d</t>
  </si>
  <si>
    <t>Left bearing force</t>
  </si>
  <si>
    <t>right bearing force</t>
  </si>
  <si>
    <t>gear force</t>
  </si>
  <si>
    <t>dist from left bearing to left gear</t>
  </si>
  <si>
    <t>distance from left gear to right gear</t>
  </si>
  <si>
    <t>distance from right gear to right bearing</t>
  </si>
  <si>
    <t>left gear force</t>
  </si>
  <si>
    <t>right gear force</t>
  </si>
  <si>
    <t>At stress conc. 4</t>
  </si>
  <si>
    <t>Cload</t>
  </si>
  <si>
    <t>Csize</t>
  </si>
  <si>
    <t>Csurf</t>
  </si>
  <si>
    <t>Ctemp</t>
  </si>
  <si>
    <t>Creliab</t>
  </si>
  <si>
    <t>Se'</t>
  </si>
  <si>
    <t xml:space="preserve"> &gt;1</t>
  </si>
  <si>
    <t>from strengths sheet</t>
  </si>
  <si>
    <t>6000 hrs in millions of cycles</t>
  </si>
  <si>
    <t>6000 hrs</t>
  </si>
  <si>
    <t>2000 hrs</t>
  </si>
  <si>
    <t>Cycles for each bearing</t>
  </si>
  <si>
    <t>S_L=12000</t>
  </si>
  <si>
    <t>S_L=13000</t>
  </si>
  <si>
    <t>S_L=11000</t>
  </si>
  <si>
    <t>S_L =19000</t>
  </si>
  <si>
    <t>C_0 = 63KN</t>
  </si>
  <si>
    <t>C_0 = 33.5KN</t>
  </si>
  <si>
    <t>C_0 = 45.1KN</t>
  </si>
  <si>
    <t>C_0 = 22KN</t>
  </si>
  <si>
    <t xml:space="preserve">(25mm) Tappered Roller single row 32305 </t>
  </si>
  <si>
    <t>(25mm)Tappered Roller single row 30205</t>
  </si>
  <si>
    <t>(32mm)Tappered Roller single row 320/32X</t>
  </si>
  <si>
    <t>(20mm)Cylindrical Roller single row NUP204ECP</t>
  </si>
  <si>
    <t>should be at least L_P min</t>
  </si>
  <si>
    <t>L_P</t>
  </si>
  <si>
    <t>L_P minimum</t>
  </si>
  <si>
    <t>P</t>
  </si>
  <si>
    <t>calculation</t>
  </si>
  <si>
    <t>Y</t>
  </si>
  <si>
    <t>input</t>
  </si>
  <si>
    <t>X</t>
  </si>
  <si>
    <t>no  thrust</t>
  </si>
  <si>
    <t>F_a (thrust)</t>
  </si>
  <si>
    <t>max reaction</t>
  </si>
  <si>
    <t>from max reaction</t>
  </si>
  <si>
    <t>F_radial</t>
  </si>
  <si>
    <t>newtons</t>
  </si>
  <si>
    <t>KN</t>
  </si>
  <si>
    <t>C</t>
  </si>
  <si>
    <t>reaction at right</t>
  </si>
  <si>
    <t>reaction at left</t>
  </si>
  <si>
    <t>Max Reaction</t>
  </si>
  <si>
    <t>Reaction 2</t>
  </si>
  <si>
    <t>Reaction 1</t>
  </si>
  <si>
    <t>Bearings Shaft 3 (thrust bearing)</t>
  </si>
  <si>
    <t>Bearings Shaft 3 (normal one)</t>
  </si>
  <si>
    <t>Bearings Shaft 2</t>
  </si>
  <si>
    <t>Bearings Shaft 1</t>
  </si>
  <si>
    <t>FOR ROLLER BEARINGS</t>
  </si>
  <si>
    <t>Roller Bearing:</t>
  </si>
  <si>
    <t>99% reliab</t>
  </si>
  <si>
    <t>Ball bearing:</t>
  </si>
  <si>
    <t>Bending Safety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</si>
</sst>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1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4" fillId="2" borderId="1" applyNumberFormat="0" applyFont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7" fillId="11" borderId="4" applyNumberFormat="0" applyAlignment="0" applyProtection="0"/>
    <xf numFmtId="0" fontId="8" fillId="12" borderId="4" applyNumberFormat="0" applyAlignment="0" applyProtection="0"/>
    <xf numFmtId="0" fontId="1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4" fillId="5" borderId="2" xfId="4" applyBorder="1"/>
    <xf numFmtId="0" fontId="0" fillId="0" borderId="2" xfId="0" applyBorder="1"/>
    <xf numFmtId="11" fontId="0" fillId="0" borderId="2" xfId="0" applyNumberFormat="1" applyBorder="1"/>
    <xf numFmtId="0" fontId="0" fillId="4" borderId="2" xfId="3" applyFont="1" applyBorder="1"/>
    <xf numFmtId="0" fontId="0" fillId="7" borderId="2" xfId="0" applyFill="1" applyBorder="1"/>
    <xf numFmtId="0" fontId="5" fillId="6" borderId="2" xfId="5" applyBorder="1"/>
    <xf numFmtId="0" fontId="5" fillId="6" borderId="2" xfId="5" applyBorder="1" applyAlignment="1"/>
    <xf numFmtId="3" fontId="0" fillId="0" borderId="2" xfId="0" applyNumberFormat="1" applyBorder="1"/>
    <xf numFmtId="3" fontId="0" fillId="0" borderId="2" xfId="0" applyNumberFormat="1" applyFill="1" applyBorder="1"/>
    <xf numFmtId="11" fontId="0" fillId="7" borderId="2" xfId="0" applyNumberFormat="1" applyFill="1" applyBorder="1"/>
    <xf numFmtId="0" fontId="0" fillId="0" borderId="3" xfId="0" applyBorder="1"/>
    <xf numFmtId="3" fontId="0" fillId="0" borderId="3" xfId="0" applyNumberFormat="1" applyFill="1" applyBorder="1"/>
    <xf numFmtId="11" fontId="0" fillId="0" borderId="0" xfId="0" applyNumberFormat="1"/>
    <xf numFmtId="0" fontId="4" fillId="5" borderId="2" xfId="4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8" borderId="2" xfId="0" applyNumberFormat="1" applyFill="1" applyBorder="1"/>
    <xf numFmtId="0" fontId="0" fillId="0" borderId="0" xfId="0" applyAlignment="1">
      <alignment horizontal="center" vertical="top"/>
    </xf>
    <xf numFmtId="0" fontId="0" fillId="9" borderId="0" xfId="0" applyFill="1"/>
    <xf numFmtId="0" fontId="0" fillId="10" borderId="0" xfId="0" applyFill="1"/>
    <xf numFmtId="0" fontId="7" fillId="11" borderId="4" xfId="6"/>
    <xf numFmtId="0" fontId="0" fillId="2" borderId="1" xfId="1" applyFont="1"/>
    <xf numFmtId="0" fontId="8" fillId="12" borderId="4" xfId="7"/>
    <xf numFmtId="0" fontId="0" fillId="10" borderId="0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/>
    <xf numFmtId="0" fontId="10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11" fillId="0" borderId="0" xfId="0" applyFont="1"/>
    <xf numFmtId="0" fontId="4" fillId="5" borderId="2" xfId="4" applyBorder="1" applyAlignment="1">
      <alignment horizontal="center"/>
    </xf>
    <xf numFmtId="0" fontId="0" fillId="2" borderId="2" xfId="1" applyFont="1" applyBorder="1" applyAlignment="1">
      <alignment horizontal="center"/>
    </xf>
    <xf numFmtId="10" fontId="0" fillId="2" borderId="2" xfId="1" applyNumberFormat="1" applyFont="1" applyBorder="1" applyAlignment="1">
      <alignment horizontal="center"/>
    </xf>
    <xf numFmtId="0" fontId="5" fillId="3" borderId="2" xfId="2" applyBorder="1" applyAlignment="1">
      <alignment horizontal="center"/>
    </xf>
    <xf numFmtId="0" fontId="4" fillId="5" borderId="2" xfId="4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4" borderId="2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 vertical="center" wrapText="1"/>
    </xf>
    <xf numFmtId="165" fontId="5" fillId="14" borderId="2" xfId="9" applyNumberFormat="1" applyBorder="1" applyAlignment="1">
      <alignment horizontal="center" vertical="center"/>
    </xf>
    <xf numFmtId="0" fontId="4" fillId="5" borderId="2" xfId="4" applyBorder="1" applyAlignment="1">
      <alignment horizontal="center" vertical="center" wrapText="1"/>
    </xf>
    <xf numFmtId="11" fontId="0" fillId="0" borderId="2" xfId="0" applyNumberFormat="1" applyBorder="1" applyAlignment="1">
      <alignment horizontal="center"/>
    </xf>
    <xf numFmtId="0" fontId="0" fillId="2" borderId="13" xfId="1" applyFont="1" applyBorder="1" applyAlignment="1">
      <alignment horizontal="left" vertical="center"/>
    </xf>
    <xf numFmtId="0" fontId="12" fillId="13" borderId="14" xfId="8" applyBorder="1" applyAlignment="1">
      <alignment horizontal="right" vertical="center"/>
    </xf>
    <xf numFmtId="0" fontId="5" fillId="18" borderId="15" xfId="11" applyBorder="1" applyAlignment="1">
      <alignment horizontal="left" vertical="center"/>
    </xf>
    <xf numFmtId="0" fontId="0" fillId="2" borderId="16" xfId="1" applyFont="1" applyBorder="1"/>
    <xf numFmtId="165" fontId="5" fillId="14" borderId="17" xfId="9" applyNumberFormat="1" applyBorder="1"/>
    <xf numFmtId="165" fontId="0" fillId="2" borderId="16" xfId="1" applyNumberFormat="1" applyFont="1" applyBorder="1"/>
    <xf numFmtId="0" fontId="0" fillId="0" borderId="18" xfId="0" applyBorder="1"/>
    <xf numFmtId="0" fontId="0" fillId="2" borderId="19" xfId="1" applyFont="1" applyBorder="1"/>
    <xf numFmtId="0" fontId="5" fillId="21" borderId="20" xfId="13" applyFont="1" applyFill="1" applyBorder="1"/>
    <xf numFmtId="0" fontId="5" fillId="21" borderId="21" xfId="13" applyFont="1" applyFill="1" applyBorder="1"/>
    <xf numFmtId="0" fontId="8" fillId="12" borderId="20" xfId="7" applyBorder="1"/>
    <xf numFmtId="0" fontId="8" fillId="12" borderId="21" xfId="7" applyBorder="1"/>
    <xf numFmtId="0" fontId="5" fillId="19" borderId="20" xfId="12" applyBorder="1"/>
    <xf numFmtId="0" fontId="4" fillId="20" borderId="20" xfId="14" applyBorder="1"/>
    <xf numFmtId="0" fontId="4" fillId="15" borderId="20" xfId="15" applyBorder="1"/>
    <xf numFmtId="0" fontId="4" fillId="15" borderId="21" xfId="15" applyBorder="1"/>
    <xf numFmtId="0" fontId="0" fillId="22" borderId="0" xfId="0" applyFill="1"/>
    <xf numFmtId="0" fontId="5" fillId="23" borderId="20" xfId="15" applyFont="1" applyFill="1" applyBorder="1"/>
    <xf numFmtId="0" fontId="5" fillId="23" borderId="21" xfId="15" applyFont="1" applyFill="1" applyBorder="1"/>
    <xf numFmtId="0" fontId="0" fillId="0" borderId="20" xfId="0" applyBorder="1"/>
    <xf numFmtId="0" fontId="5" fillId="23" borderId="20" xfId="0" applyFont="1" applyFill="1" applyBorder="1"/>
    <xf numFmtId="0" fontId="0" fillId="5" borderId="21" xfId="4" applyFont="1" applyBorder="1"/>
    <xf numFmtId="0" fontId="5" fillId="17" borderId="20" xfId="10" applyBorder="1"/>
    <xf numFmtId="0" fontId="5" fillId="17" borderId="21" xfId="10" applyBorder="1"/>
    <xf numFmtId="0" fontId="0" fillId="23" borderId="0" xfId="0" applyFill="1"/>
    <xf numFmtId="0" fontId="4" fillId="20" borderId="21" xfId="14" applyBorder="1"/>
    <xf numFmtId="0" fontId="0" fillId="2" borderId="22" xfId="1" applyFont="1" applyBorder="1" applyAlignment="1">
      <alignment horizontal="center" vertical="center"/>
    </xf>
    <xf numFmtId="0" fontId="0" fillId="6" borderId="23" xfId="16" applyFont="1" applyBorder="1" applyAlignment="1">
      <alignment horizontal="center" vertical="center" wrapText="1"/>
    </xf>
    <xf numFmtId="0" fontId="4" fillId="6" borderId="23" xfId="16" applyBorder="1" applyAlignment="1">
      <alignment horizontal="center" vertical="center" wrapText="1"/>
    </xf>
    <xf numFmtId="0" fontId="4" fillId="6" borderId="23" xfId="16" applyBorder="1" applyAlignment="1">
      <alignment horizontal="center" vertical="center"/>
    </xf>
    <xf numFmtId="0" fontId="4" fillId="5" borderId="24" xfId="4" applyBorder="1"/>
    <xf numFmtId="0" fontId="13" fillId="24" borderId="16" xfId="2" applyFont="1" applyFill="1" applyBorder="1" applyAlignment="1">
      <alignment horizontal="center" vertical="center"/>
    </xf>
    <xf numFmtId="0" fontId="13" fillId="24" borderId="25" xfId="2" applyFont="1" applyFill="1" applyBorder="1" applyAlignment="1">
      <alignment horizontal="center" vertical="center"/>
    </xf>
    <xf numFmtId="0" fontId="13" fillId="24" borderId="17" xfId="2" applyFont="1" applyFill="1" applyBorder="1" applyAlignment="1">
      <alignment horizontal="center" vertical="center"/>
    </xf>
    <xf numFmtId="0" fontId="13" fillId="24" borderId="26" xfId="2" applyFont="1" applyFill="1" applyBorder="1" applyAlignment="1">
      <alignment horizontal="center" vertical="center"/>
    </xf>
    <xf numFmtId="0" fontId="13" fillId="24" borderId="27" xfId="2" applyFont="1" applyFill="1" applyBorder="1" applyAlignment="1">
      <alignment horizontal="center" vertical="center"/>
    </xf>
    <xf numFmtId="0" fontId="13" fillId="24" borderId="28" xfId="2" applyFont="1" applyFill="1" applyBorder="1" applyAlignment="1">
      <alignment horizontal="center" vertical="center"/>
    </xf>
    <xf numFmtId="0" fontId="14" fillId="0" borderId="0" xfId="0" applyFont="1"/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14" fillId="25" borderId="15" xfId="9" applyFont="1" applyFill="1" applyBorder="1"/>
    <xf numFmtId="0" fontId="0" fillId="0" borderId="31" xfId="0" applyBorder="1"/>
    <xf numFmtId="0" fontId="0" fillId="0" borderId="32" xfId="0" applyBorder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9" xfId="0" applyFill="1" applyBorder="1" applyAlignment="1"/>
    <xf numFmtId="0" fontId="0" fillId="0" borderId="8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13" fillId="0" borderId="0" xfId="0" applyFont="1" applyFill="1" applyAlignment="1"/>
  </cellXfs>
  <cellStyles count="17">
    <cellStyle name="20% - Accent1" xfId="3" builtinId="30"/>
    <cellStyle name="40% - Accent1" xfId="4" builtinId="31"/>
    <cellStyle name="60% - Accent1" xfId="5" builtinId="32"/>
    <cellStyle name="60% - Accent1 2" xfId="16"/>
    <cellStyle name="60% - Accent2 2" xfId="15"/>
    <cellStyle name="60% - Accent3 2" xfId="13"/>
    <cellStyle name="60% - Accent6 2" xfId="14"/>
    <cellStyle name="Accent1" xfId="2" builtinId="29"/>
    <cellStyle name="Accent2" xfId="9" builtinId="33"/>
    <cellStyle name="Accent4" xfId="10" builtinId="41"/>
    <cellStyle name="Accent5" xfId="11" builtinId="45"/>
    <cellStyle name="Accent6" xfId="12" builtinId="49"/>
    <cellStyle name="Calculation" xfId="7" builtinId="22"/>
    <cellStyle name="Good" xfId="8" builtinId="26"/>
    <cellStyle name="Input" xfId="6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Strength Life Factor</a:t>
            </a:r>
            <a:r>
              <a:rPr lang="en-US" sz="1800" b="0" i="0" baseline="0">
                <a:effectLst/>
              </a:rPr>
              <a:t> C</a:t>
            </a:r>
            <a:r>
              <a:rPr lang="en-US" sz="1800" b="0" i="0" baseline="-25000">
                <a:effectLst/>
              </a:rPr>
              <a:t>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C_L</c:v>
          </c:tx>
          <c:trendline>
            <c:trendlineType val="log"/>
            <c:dispRSqr val="1"/>
            <c:dispEq val="1"/>
            <c:trendlineLbl>
              <c:layout>
                <c:manualLayout>
                  <c:x val="-0.26617366579177604"/>
                  <c:y val="-0.23213497285442058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'K_L and C_L'!$B$22:$B$23</c:f>
              <c:numCache>
                <c:formatCode>0.00E+00</c:formatCode>
                <c:ptCount val="2"/>
                <c:pt idx="0">
                  <c:v>10000000</c:v>
                </c:pt>
                <c:pt idx="1">
                  <c:v>10000000000</c:v>
                </c:pt>
              </c:numCache>
            </c:numRef>
          </c:xVal>
          <c:yVal>
            <c:numRef>
              <c:f>'K_L and C_L'!$C$22:$C$23</c:f>
              <c:numCache>
                <c:formatCode>General</c:formatCode>
                <c:ptCount val="2"/>
                <c:pt idx="0">
                  <c:v>1</c:v>
                </c:pt>
                <c:pt idx="1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4-4D2C-9D24-B3E7651D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92552"/>
        <c:axId val="126101248"/>
      </c:scatterChart>
      <c:valAx>
        <c:axId val="432192552"/>
        <c:scaling>
          <c:logBase val="10"/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248"/>
        <c:crosses val="autoZero"/>
        <c:crossBetween val="midCat"/>
      </c:valAx>
      <c:valAx>
        <c:axId val="126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2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torque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Diagrams'!$D$92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Diagrams'!$C$93:$C$103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35</c:v>
                </c:pt>
                <c:pt idx="4">
                  <c:v>47.5</c:v>
                </c:pt>
                <c:pt idx="5">
                  <c:v>147.5</c:v>
                </c:pt>
                <c:pt idx="6">
                  <c:v>165.5</c:v>
                </c:pt>
                <c:pt idx="7">
                  <c:v>165.5</c:v>
                </c:pt>
                <c:pt idx="8">
                  <c:v>183.5</c:v>
                </c:pt>
                <c:pt idx="9">
                  <c:v>206</c:v>
                </c:pt>
                <c:pt idx="10">
                  <c:v>206</c:v>
                </c:pt>
              </c:numCache>
            </c:numRef>
          </c:xVal>
          <c:yVal>
            <c:numRef>
              <c:f>'Shafts Diagrams'!$D$93:$D$103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178.02273103769051</c:v>
                </c:pt>
                <c:pt idx="4">
                  <c:v>178.02273103769051</c:v>
                </c:pt>
                <c:pt idx="5">
                  <c:v>178.02273103769051</c:v>
                </c:pt>
                <c:pt idx="6">
                  <c:v>178.02273103769051</c:v>
                </c:pt>
                <c:pt idx="7">
                  <c:v>356.04546207538101</c:v>
                </c:pt>
                <c:pt idx="8">
                  <c:v>356.04546207538101</c:v>
                </c:pt>
                <c:pt idx="9">
                  <c:v>356.04546207538101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E-406D-A362-935E5070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0431"/>
        <c:axId val="378947919"/>
      </c:scatterChart>
      <c:valAx>
        <c:axId val="3789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7919"/>
        <c:crosses val="autoZero"/>
        <c:crossBetween val="midCat"/>
      </c:valAx>
      <c:valAx>
        <c:axId val="3789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Internal torque (N 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75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Nominal internal</a:t>
            </a:r>
            <a:r>
              <a:rPr lang="en-US" sz="1800" baseline="0"/>
              <a:t> shear force distribution in input shaft  (Shaft 1)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Diagrams'!$D$13</c:f>
              <c:strCache>
                <c:ptCount val="1"/>
                <c:pt idx="0">
                  <c:v>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Diagrams'!$C$14:$C$20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27.5</c:v>
                </c:pt>
                <c:pt idx="4">
                  <c:v>40</c:v>
                </c:pt>
                <c:pt idx="5">
                  <c:v>55</c:v>
                </c:pt>
                <c:pt idx="6">
                  <c:v>70</c:v>
                </c:pt>
              </c:numCache>
            </c:numRef>
          </c:xVal>
          <c:yVal>
            <c:numRef>
              <c:f>'Shafts Diagrams'!$D$14:$D$20</c:f>
              <c:numCache>
                <c:formatCode>General</c:formatCode>
                <c:ptCount val="7"/>
                <c:pt idx="0">
                  <c:v>1704.0281308032033</c:v>
                </c:pt>
                <c:pt idx="1">
                  <c:v>1704.0281308032033</c:v>
                </c:pt>
                <c:pt idx="2">
                  <c:v>1704.0281308032033</c:v>
                </c:pt>
                <c:pt idx="3">
                  <c:v>-1102.6064375785434</c:v>
                </c:pt>
                <c:pt idx="4">
                  <c:v>-1102.6064375785434</c:v>
                </c:pt>
                <c:pt idx="5">
                  <c:v>-1102.6064375785434</c:v>
                </c:pt>
                <c:pt idx="6">
                  <c:v>-1102.6064375785434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A-4380-8DC7-0D559962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056"/>
        <c:axId val="433206528"/>
      </c:scatterChart>
      <c:valAx>
        <c:axId val="4332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528"/>
        <c:crosses val="autoZero"/>
        <c:crossBetween val="midCat"/>
      </c:valAx>
      <c:valAx>
        <c:axId val="433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Shear force (N)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4790079"/>
        <c:axId val="664790495"/>
      </c:barChart>
      <c:catAx>
        <c:axId val="66479007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495"/>
        <c:crosses val="autoZero"/>
        <c:auto val="1"/>
        <c:lblAlgn val="ctr"/>
        <c:lblOffset val="100"/>
        <c:noMultiLvlLbl val="0"/>
      </c:catAx>
      <c:valAx>
        <c:axId val="66479049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marL="0" marR="0" lvl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sz="900" b="0" i="0" u="none" strike="noStrike" kern="1200" baseline="0">
          <a:solidFill>
            <a:sysClr val="windowText" lastClr="000000">
              <a:lumMod val="75000"/>
              <a:lumOff val="25000"/>
            </a:sysClr>
          </a:solidFill>
          <a:latin typeface="+mn-lt"/>
          <a:ea typeface="+mn-ea"/>
          <a:cs typeface="+mn-cs"/>
        </a:defRPr>
      </a:pPr>
      <a:endParaRPr lang="en-US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Nominal internal</a:t>
            </a:r>
            <a:r>
              <a:rPr lang="en-US" sz="1600" baseline="0"/>
              <a:t> shear force distribution in input shaft  (Shaft 1)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Diagrams'!$D$13</c:f>
              <c:strCache>
                <c:ptCount val="1"/>
                <c:pt idx="0">
                  <c:v>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BCF-48AF-BE81-67399D85F53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BCF-48AF-BE81-67399D85F53B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5A9-4C3B-919D-1658439C50D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CF-48AF-BE81-67399D85F53B}"/>
                </c:ext>
              </c:extLst>
            </c:dLbl>
            <c:dLbl>
              <c:idx val="1"/>
              <c:layout>
                <c:manualLayout>
                  <c:x val="-8.1398733078639943E-2"/>
                  <c:y val="8.289045457855534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BCF-48AF-BE81-67399D85F53B}"/>
                </c:ext>
              </c:extLst>
            </c:dLbl>
            <c:dLbl>
              <c:idx val="2"/>
              <c:layout>
                <c:manualLayout>
                  <c:x val="3.066616900202037E-2"/>
                  <c:y val="-4.53205472892163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07692343181518"/>
                      <c:h val="6.8879532235521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5A9-4C3B-919D-1658439C50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CF-48AF-BE81-67399D85F53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A9-4C3B-919D-1658439C50D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5A9-4C3B-919D-1658439C50D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A9-4C3B-919D-1658439C5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Diagrams'!$C$14:$C$20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27.5</c:v>
                </c:pt>
                <c:pt idx="4">
                  <c:v>40</c:v>
                </c:pt>
                <c:pt idx="5">
                  <c:v>55</c:v>
                </c:pt>
                <c:pt idx="6">
                  <c:v>70</c:v>
                </c:pt>
              </c:numCache>
            </c:numRef>
          </c:xVal>
          <c:yVal>
            <c:numRef>
              <c:f>'Shafts Diagrams'!$D$14:$D$20</c:f>
              <c:numCache>
                <c:formatCode>General</c:formatCode>
                <c:ptCount val="7"/>
                <c:pt idx="0">
                  <c:v>1704.0281308032033</c:v>
                </c:pt>
                <c:pt idx="1">
                  <c:v>1704.0281308032033</c:v>
                </c:pt>
                <c:pt idx="2">
                  <c:v>1704.0281308032033</c:v>
                </c:pt>
                <c:pt idx="3">
                  <c:v>-1102.6064375785434</c:v>
                </c:pt>
                <c:pt idx="4">
                  <c:v>-1102.6064375785434</c:v>
                </c:pt>
                <c:pt idx="5">
                  <c:v>-1102.6064375785434</c:v>
                </c:pt>
                <c:pt idx="6">
                  <c:v>-1102.6064375785434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C-4086-8963-87D6AB7FC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3210056"/>
        <c:axId val="433206528"/>
      </c:scatterChart>
      <c:valAx>
        <c:axId val="4332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528"/>
        <c:crosses val="autoZero"/>
        <c:crossBetween val="midCat"/>
      </c:valAx>
      <c:valAx>
        <c:axId val="433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Shear force (N)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Nominal internal bending moment distribution in input shaft  (Shaft 1)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61150250955472"/>
          <c:y val="0.31458333333333338"/>
          <c:w val="0.70389142146705341"/>
          <c:h val="0.4644524642752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'Shafts Diagrams'!$D$29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A75-4076-9723-FEC8D9AA23F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A75-4076-9723-FEC8D9AA23F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75-4076-9723-FEC8D9AA23F2}"/>
                </c:ext>
              </c:extLst>
            </c:dLbl>
            <c:dLbl>
              <c:idx val="1"/>
              <c:layout>
                <c:manualLayout>
                  <c:x val="-0.12645839994757796"/>
                  <c:y val="-8.543366163751943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A75-4076-9723-FEC8D9AA23F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A75-4076-9723-FEC8D9AA23F2}"/>
                </c:ext>
              </c:extLst>
            </c:dLbl>
            <c:dLbl>
              <c:idx val="3"/>
              <c:layout>
                <c:manualLayout>
                  <c:x val="-3.9077239942554867E-2"/>
                  <c:y val="-7.157395029056289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A75-4076-9723-FEC8D9AA23F2}"/>
                </c:ext>
              </c:extLst>
            </c:dLbl>
            <c:dLbl>
              <c:idx val="4"/>
              <c:layout>
                <c:manualLayout>
                  <c:x val="-1.7910511218258839E-2"/>
                  <c:y val="-0.10853318054911384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A75-4076-9723-FEC8D9AA23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5-4076-9723-FEC8D9AA2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Diagrams'!$C$30:$C$35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</c:numCache>
            </c:numRef>
          </c:xVal>
          <c:yVal>
            <c:numRef>
              <c:f>'Shafts Diagrams'!$D$30:$D$35</c:f>
              <c:numCache>
                <c:formatCode>General</c:formatCode>
                <c:ptCount val="6"/>
                <c:pt idx="0">
                  <c:v>0</c:v>
                </c:pt>
                <c:pt idx="1">
                  <c:v>25560.421962048051</c:v>
                </c:pt>
                <c:pt idx="2">
                  <c:v>46860.773597088089</c:v>
                </c:pt>
                <c:pt idx="3">
                  <c:v>33078.193127356295</c:v>
                </c:pt>
                <c:pt idx="4">
                  <c:v>16539.096563678144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4819-9488-9EAE98B87A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3213976"/>
        <c:axId val="433209664"/>
      </c:scatterChart>
      <c:valAx>
        <c:axId val="43321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9664"/>
        <c:crosses val="autoZero"/>
        <c:crossBetween val="midCat"/>
      </c:valAx>
      <c:valAx>
        <c:axId val="4332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bending moment (N mm)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520999896795614E-2"/>
              <c:y val="0.23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Nominal internal torque distribution in input shaft  (Shaft 1)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584194565518468"/>
          <c:y val="2.8547622829706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Diagrams'!$D$46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FAD-4CDC-97FB-AC67FBE2EE8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8C4-4B33-B9AB-950D024B1A59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209-493F-86E8-BEAECDEB755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AD-4CDC-97FB-AC67FBE2EE8B}"/>
                </c:ext>
              </c:extLst>
            </c:dLbl>
            <c:dLbl>
              <c:idx val="1"/>
              <c:layout>
                <c:manualLayout>
                  <c:x val="-8.0462202597223309E-2"/>
                  <c:y val="7.3938628066682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Point A</a:t>
                    </a:r>
                    <a:r>
                      <a:rPr lang="en-US" baseline="-25000"/>
                      <a:t>1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AD-4CDC-97FB-AC67FBE2EE8B}"/>
                </c:ext>
              </c:extLst>
            </c:dLbl>
            <c:dLbl>
              <c:idx val="2"/>
              <c:layout>
                <c:manualLayout>
                  <c:x val="7.4770111416393711E-2"/>
                  <c:y val="3.102723052918805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FAD-4CDC-97FB-AC67FBE2EE8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C4-4B33-B9AB-950D024B1A59}"/>
                </c:ext>
              </c:extLst>
            </c:dLbl>
            <c:dLbl>
              <c:idx val="4"/>
              <c:layout>
                <c:manualLayout>
                  <c:x val="-0.10099224089720282"/>
                  <c:y val="-8.322830905161950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8C4-4B33-B9AB-950D024B1A59}"/>
                </c:ext>
              </c:extLst>
            </c:dLbl>
            <c:dLbl>
              <c:idx val="5"/>
              <c:layout>
                <c:manualLayout>
                  <c:x val="-0.11921912397103025"/>
                  <c:y val="-9.750212046647273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6E0-450A-B7BE-AF19AFAC92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09-493F-86E8-BEAECDEB7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Diagrams'!$C$47:$C$53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27.5</c:v>
                </c:pt>
                <c:pt idx="4">
                  <c:v>40</c:v>
                </c:pt>
                <c:pt idx="5">
                  <c:v>55</c:v>
                </c:pt>
                <c:pt idx="6">
                  <c:v>70</c:v>
                </c:pt>
              </c:numCache>
            </c:numRef>
          </c:xVal>
          <c:yVal>
            <c:numRef>
              <c:f>'Shafts Diagrams'!$D$47:$D$53</c:f>
              <c:numCache>
                <c:formatCode>General</c:formatCode>
                <c:ptCount val="7"/>
                <c:pt idx="0">
                  <c:v>71.209092415076199</c:v>
                </c:pt>
                <c:pt idx="1">
                  <c:v>71.209092415076199</c:v>
                </c:pt>
                <c:pt idx="2">
                  <c:v>71.209092415076199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D-4CDC-97FB-AC67FBE2EE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3210840"/>
        <c:axId val="433211232"/>
      </c:scatterChart>
      <c:valAx>
        <c:axId val="4332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1232"/>
        <c:crosses val="autoZero"/>
        <c:crossBetween val="midCat"/>
      </c:valAx>
      <c:valAx>
        <c:axId val="433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torque (N m)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302510765103317E-2"/>
              <c:y val="0.13298434301504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73120"/>
        <c:axId val="1822071040"/>
      </c:barChart>
      <c:catAx>
        <c:axId val="18220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71040"/>
        <c:crosses val="autoZero"/>
        <c:auto val="1"/>
        <c:lblAlgn val="ctr"/>
        <c:lblOffset val="100"/>
        <c:noMultiLvlLbl val="0"/>
      </c:catAx>
      <c:valAx>
        <c:axId val="182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shear force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Diagrams'!$D$68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075-45EE-BB7E-8836F49EC91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075-45EE-BB7E-8836F49EC91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075-45EE-BB7E-8836F49EC91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075-45EE-BB7E-8836F49EC91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075-45EE-BB7E-8836F49EC91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75-45EE-BB7E-8836F49EC91E}"/>
                </c:ext>
              </c:extLst>
            </c:dLbl>
            <c:dLbl>
              <c:idx val="1"/>
              <c:layout>
                <c:manualLayout>
                  <c:x val="-7.1209773333434326E-2"/>
                  <c:y val="0.28665965773960495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75-45EE-BB7E-8836F49EC9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75-45EE-BB7E-8836F49EC9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5-45EE-BB7E-8836F49EC91E}"/>
                </c:ext>
              </c:extLst>
            </c:dLbl>
            <c:dLbl>
              <c:idx val="4"/>
              <c:layout>
                <c:manualLayout>
                  <c:x val="0.12404486657446617"/>
                  <c:y val="-0.2003436025299244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075-45EE-BB7E-8836F49EC91E}"/>
                </c:ext>
              </c:extLst>
            </c:dLbl>
            <c:dLbl>
              <c:idx val="5"/>
              <c:layout>
                <c:manualLayout>
                  <c:x val="-0.21692219117515119"/>
                  <c:y val="-6.3373935579119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075-45EE-BB7E-8836F49EC91E}"/>
                </c:ext>
              </c:extLst>
            </c:dLbl>
            <c:dLbl>
              <c:idx val="6"/>
              <c:layout>
                <c:manualLayout>
                  <c:x val="2.914236988505515E-3"/>
                  <c:y val="-7.609386427810485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75-45EE-BB7E-8836F49EC91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75-45EE-BB7E-8836F49EC91E}"/>
                </c:ext>
              </c:extLst>
            </c:dLbl>
            <c:dLbl>
              <c:idx val="8"/>
              <c:layout>
                <c:manualLayout>
                  <c:x val="-1.1656947954022168E-2"/>
                  <c:y val="9.131263713372578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E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75-45EE-BB7E-8836F49EC91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75-45EE-BB7E-8836F49EC91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75-45EE-BB7E-8836F49EC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Diagrams'!$C$69:$C$79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35</c:v>
                </c:pt>
                <c:pt idx="4">
                  <c:v>47.5</c:v>
                </c:pt>
                <c:pt idx="5">
                  <c:v>147.5</c:v>
                </c:pt>
                <c:pt idx="6">
                  <c:v>165.5</c:v>
                </c:pt>
                <c:pt idx="7">
                  <c:v>165.5</c:v>
                </c:pt>
                <c:pt idx="8">
                  <c:v>183.5</c:v>
                </c:pt>
                <c:pt idx="9">
                  <c:v>206</c:v>
                </c:pt>
                <c:pt idx="10">
                  <c:v>206</c:v>
                </c:pt>
              </c:numCache>
            </c:numRef>
          </c:xVal>
          <c:yVal>
            <c:numRef>
              <c:f>'Shafts Diagrams'!$D$69:$D$79</c:f>
              <c:numCache>
                <c:formatCode>General</c:formatCode>
                <c:ptCount val="11"/>
                <c:pt idx="0">
                  <c:v>3571.3062438692486</c:v>
                </c:pt>
                <c:pt idx="1">
                  <c:v>3571.3062438692486</c:v>
                </c:pt>
                <c:pt idx="2">
                  <c:v>3571.3062438692486</c:v>
                </c:pt>
                <c:pt idx="3">
                  <c:v>764.67167548750194</c:v>
                </c:pt>
                <c:pt idx="4">
                  <c:v>764.67167548750194</c:v>
                </c:pt>
                <c:pt idx="5">
                  <c:v>764.67167548750194</c:v>
                </c:pt>
                <c:pt idx="6">
                  <c:v>764.67167548750194</c:v>
                </c:pt>
                <c:pt idx="7">
                  <c:v>-5550.2561033714283</c:v>
                </c:pt>
                <c:pt idx="8">
                  <c:v>-5550.2561033714283</c:v>
                </c:pt>
                <c:pt idx="9">
                  <c:v>-5550.2561033714283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5-45EE-BB7E-8836F49EC9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3618735"/>
        <c:axId val="273619151"/>
      </c:scatterChart>
      <c:valAx>
        <c:axId val="2736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9151"/>
        <c:crosses val="autoZero"/>
        <c:crossBetween val="midCat"/>
      </c:valAx>
      <c:valAx>
        <c:axId val="2736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Shear force (N)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bending moment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57228119074101"/>
          <c:y val="0.29538200920270213"/>
          <c:w val="0.7079542387957044"/>
          <c:h val="0.55014856198100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'Shafts Diagrams'!$D$81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424-462F-85FA-EFB71EEC76A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424-462F-85FA-EFB71EEC76AF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424-462F-85FA-EFB71EEC76AF}"/>
              </c:ext>
            </c:extLst>
          </c:dPt>
          <c:dLbls>
            <c:dLbl>
              <c:idx val="1"/>
              <c:layout>
                <c:manualLayout>
                  <c:x val="2.679818644504121E-2"/>
                  <c:y val="3.913505368358683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424-462F-85FA-EFB71EEC76AF}"/>
                </c:ext>
              </c:extLst>
            </c:dLbl>
            <c:dLbl>
              <c:idx val="3"/>
              <c:layout>
                <c:manualLayout>
                  <c:x val="1.4887881358356173E-2"/>
                  <c:y val="3.4243171973138559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24-462F-85FA-EFB71EEC76AF}"/>
                </c:ext>
              </c:extLst>
            </c:dLbl>
            <c:dLbl>
              <c:idx val="4"/>
              <c:layout>
                <c:manualLayout>
                  <c:x val="-9.8260016965151104E-2"/>
                  <c:y val="0.1614320964447960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424-462F-85FA-EFB71EEC76AF}"/>
                </c:ext>
              </c:extLst>
            </c:dLbl>
            <c:dLbl>
              <c:idx val="5"/>
              <c:layout>
                <c:manualLayout>
                  <c:x val="3.87084915317263E-2"/>
                  <c:y val="3.913505368358692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424-462F-85FA-EFB71EEC76AF}"/>
                </c:ext>
              </c:extLst>
            </c:dLbl>
            <c:dLbl>
              <c:idx val="6"/>
              <c:layout>
                <c:manualLayout>
                  <c:x val="8.9327288150136269E-3"/>
                  <c:y val="-4.8918817104483658E-3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E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424-462F-85FA-EFB71EEC7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Diagrams'!$C$82:$C$89</c:f>
              <c:numCache>
                <c:formatCode>General</c:formatCode>
                <c:ptCount val="8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47.5</c:v>
                </c:pt>
                <c:pt idx="4">
                  <c:v>147.5</c:v>
                </c:pt>
                <c:pt idx="5">
                  <c:v>165.5</c:v>
                </c:pt>
                <c:pt idx="6">
                  <c:v>183.5</c:v>
                </c:pt>
                <c:pt idx="7">
                  <c:v>206</c:v>
                </c:pt>
              </c:numCache>
            </c:numRef>
          </c:xVal>
          <c:yVal>
            <c:numRef>
              <c:f>'Shafts Diagrams'!$D$82:$D$89</c:f>
              <c:numCache>
                <c:formatCode>General</c:formatCode>
                <c:ptCount val="8"/>
                <c:pt idx="0">
                  <c:v>0</c:v>
                </c:pt>
                <c:pt idx="1">
                  <c:v>80354.390487058088</c:v>
                </c:pt>
                <c:pt idx="2">
                  <c:v>124995.71853542369</c:v>
                </c:pt>
                <c:pt idx="3">
                  <c:v>134554.11447901747</c:v>
                </c:pt>
                <c:pt idx="4">
                  <c:v>211021.28202776768</c:v>
                </c:pt>
                <c:pt idx="5">
                  <c:v>224785.37218654272</c:v>
                </c:pt>
                <c:pt idx="6">
                  <c:v>124880.76232585701</c:v>
                </c:pt>
                <c:pt idx="7" formatCode="0.00">
                  <c:v>-1.3096723705530167E-10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5-4EA1-815A-DE32AF68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20047"/>
        <c:axId val="277020879"/>
      </c:scatterChart>
      <c:valAx>
        <c:axId val="2770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0879"/>
        <c:crosses val="autoZero"/>
        <c:crossBetween val="midCat"/>
      </c:valAx>
      <c:valAx>
        <c:axId val="2770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bending moment (N mm)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88013999891212E-2"/>
              <c:y val="0.27092312824080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torque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Diagrams'!$D$92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879-46D0-A424-3536E43F03F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879-46D0-A424-3536E43F03F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879-46D0-A424-3536E43F03F0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879-46D0-A424-3536E43F03F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879-46D0-A424-3536E43F03F0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879-46D0-A424-3536E43F03F0}"/>
              </c:ext>
            </c:extLst>
          </c:dPt>
          <c:dLbls>
            <c:dLbl>
              <c:idx val="1"/>
              <c:layout>
                <c:manualLayout>
                  <c:x val="-8.3332987023894689E-2"/>
                  <c:y val="-0.1157425128264577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879-46D0-A424-3536E43F03F0}"/>
                </c:ext>
              </c:extLst>
            </c:dLbl>
            <c:dLbl>
              <c:idx val="4"/>
              <c:layout>
                <c:manualLayout>
                  <c:x val="-5.0925126000978915E-17"/>
                  <c:y val="-4.629700513058315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79-46D0-A424-3536E43F03F0}"/>
                </c:ext>
              </c:extLst>
            </c:dLbl>
            <c:dLbl>
              <c:idx val="5"/>
              <c:layout>
                <c:manualLayout>
                  <c:x val="-0.12499948053584205"/>
                  <c:y val="-0.1157425128264576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879-46D0-A424-3536E43F03F0}"/>
                </c:ext>
              </c:extLst>
            </c:dLbl>
            <c:dLbl>
              <c:idx val="7"/>
              <c:layout>
                <c:manualLayout>
                  <c:x val="-0.18333257145256832"/>
                  <c:y val="-1.388910153917492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879-46D0-A424-3536E43F03F0}"/>
                </c:ext>
              </c:extLst>
            </c:dLbl>
            <c:dLbl>
              <c:idx val="8"/>
              <c:layout>
                <c:manualLayout>
                  <c:x val="-5.8333090916726289E-2"/>
                  <c:y val="0.1342613148786909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E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879-46D0-A424-3536E43F0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Diagrams'!$C$93:$C$103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35</c:v>
                </c:pt>
                <c:pt idx="4">
                  <c:v>47.5</c:v>
                </c:pt>
                <c:pt idx="5">
                  <c:v>147.5</c:v>
                </c:pt>
                <c:pt idx="6">
                  <c:v>165.5</c:v>
                </c:pt>
                <c:pt idx="7">
                  <c:v>165.5</c:v>
                </c:pt>
                <c:pt idx="8">
                  <c:v>183.5</c:v>
                </c:pt>
                <c:pt idx="9">
                  <c:v>206</c:v>
                </c:pt>
                <c:pt idx="10">
                  <c:v>206</c:v>
                </c:pt>
              </c:numCache>
            </c:numRef>
          </c:xVal>
          <c:yVal>
            <c:numRef>
              <c:f>'Shafts Diagrams'!$D$93:$D$103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178.02273103769051</c:v>
                </c:pt>
                <c:pt idx="4">
                  <c:v>178.02273103769051</c:v>
                </c:pt>
                <c:pt idx="5">
                  <c:v>178.02273103769051</c:v>
                </c:pt>
                <c:pt idx="6">
                  <c:v>178.02273103769051</c:v>
                </c:pt>
                <c:pt idx="7">
                  <c:v>356.04546207538101</c:v>
                </c:pt>
                <c:pt idx="8">
                  <c:v>356.04546207538101</c:v>
                </c:pt>
                <c:pt idx="9">
                  <c:v>356.04546207538101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9-4A4E-B7A7-3B59CA00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0431"/>
        <c:axId val="378947919"/>
      </c:scatterChart>
      <c:valAx>
        <c:axId val="3789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7919"/>
        <c:crosses val="autoZero"/>
        <c:crossBetween val="midCat"/>
      </c:valAx>
      <c:valAx>
        <c:axId val="3789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torque (N m)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75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Strength Life Factor K</a:t>
            </a:r>
            <a:r>
              <a:rPr lang="en-US" baseline="-25000"/>
              <a:t>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K_L</c:v>
          </c:tx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C-4EC2-A500-9376869CF72A}"/>
              </c:ext>
            </c:extLst>
          </c:dPt>
          <c:trendline>
            <c:trendlineType val="log"/>
            <c:dispRSqr val="1"/>
            <c:dispEq val="1"/>
            <c:trendlineLbl>
              <c:layout>
                <c:manualLayout>
                  <c:x val="-0.26617366579177604"/>
                  <c:y val="-0.16271995110200269"/>
                </c:manualLayout>
              </c:layout>
              <c:numFmt formatCode="General" sourceLinked="0"/>
            </c:trendlineLbl>
          </c:trendline>
          <c:xVal>
            <c:numRef>
              <c:f>'K_L and C_L'!$B$4:$B$5</c:f>
              <c:numCache>
                <c:formatCode>0.00E+00</c:formatCode>
                <c:ptCount val="2"/>
                <c:pt idx="0">
                  <c:v>10000000</c:v>
                </c:pt>
                <c:pt idx="1">
                  <c:v>10000000000</c:v>
                </c:pt>
              </c:numCache>
            </c:numRef>
          </c:xVal>
          <c:yVal>
            <c:numRef>
              <c:f>'K_L and C_L'!$C$4:$C$5</c:f>
              <c:numCache>
                <c:formatCode>General</c:formatCode>
                <c:ptCount val="2"/>
                <c:pt idx="0">
                  <c:v>1.05</c:v>
                </c:pt>
                <c:pt idx="1">
                  <c:v>0.8125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29-460E-99ED-62F1293C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07312"/>
        <c:axId val="433207704"/>
      </c:scatterChart>
      <c:valAx>
        <c:axId val="433207312"/>
        <c:scaling>
          <c:logBase val="10"/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7704"/>
        <c:crosses val="autoZero"/>
        <c:crossBetween val="midCat"/>
      </c:valAx>
      <c:valAx>
        <c:axId val="4332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88368"/>
        <c:axId val="1853094608"/>
      </c:barChart>
      <c:catAx>
        <c:axId val="18530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94608"/>
        <c:crosses val="autoZero"/>
        <c:auto val="1"/>
        <c:lblAlgn val="ctr"/>
        <c:lblOffset val="100"/>
        <c:noMultiLvlLbl val="0"/>
      </c:catAx>
      <c:valAx>
        <c:axId val="18530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shear force distribution in output shaft  (Shaft 3)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4573377612343683"/>
          <c:y val="2.916353471226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Diagrams'!$D$143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030-4593-8C8E-6B01DCBFC5B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030-4593-8C8E-6B01DCBFC5B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030-4593-8C8E-6B01DCBFC5B3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030-4593-8C8E-6B01DCBFC5B3}"/>
              </c:ext>
            </c:extLst>
          </c:dPt>
          <c:dLbls>
            <c:dLbl>
              <c:idx val="1"/>
              <c:layout>
                <c:manualLayout>
                  <c:x val="-8.2962000355364787E-2"/>
                  <c:y val="0.1110164753618297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030-4593-8C8E-6B01DCBFC5B3}"/>
                </c:ext>
              </c:extLst>
            </c:dLbl>
            <c:dLbl>
              <c:idx val="2"/>
              <c:layout>
                <c:manualLayout>
                  <c:x val="-1.926188207871463E-2"/>
                  <c:y val="0.110420379950441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Point B</a:t>
                    </a:r>
                    <a:r>
                      <a:rPr lang="en-US" baseline="-25000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C4-4E21-B30A-19398733514A}"/>
                </c:ext>
              </c:extLst>
            </c:dLbl>
            <c:dLbl>
              <c:idx val="4"/>
              <c:layout>
                <c:manualLayout>
                  <c:x val="-0.21188070286586039"/>
                  <c:y val="-0.100818607780837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Point C</a:t>
                    </a:r>
                    <a:r>
                      <a:rPr lang="en-US" baseline="-25000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8C4-4E21-B30A-19398733514A}"/>
                </c:ext>
              </c:extLst>
            </c:dLbl>
            <c:dLbl>
              <c:idx val="5"/>
              <c:layout>
                <c:manualLayout>
                  <c:x val="-3.8523764157429162E-2"/>
                  <c:y val="-9.12168356112341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Point D</a:t>
                    </a:r>
                    <a:r>
                      <a:rPr lang="en-US" baseline="-25000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C4-4E21-B30A-1939873351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Diagrams'!$C$144:$C$151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71</c:v>
                </c:pt>
                <c:pt idx="6">
                  <c:v>91</c:v>
                </c:pt>
                <c:pt idx="7">
                  <c:v>91</c:v>
                </c:pt>
              </c:numCache>
            </c:numRef>
          </c:xVal>
          <c:yVal>
            <c:numRef>
              <c:f>'Shafts Diagrams'!$D$144:$D$151</c:f>
              <c:numCache>
                <c:formatCode>General</c:formatCode>
                <c:ptCount val="8"/>
                <c:pt idx="0">
                  <c:v>2637.0028087542787</c:v>
                </c:pt>
                <c:pt idx="1">
                  <c:v>2637.0028087542787</c:v>
                </c:pt>
                <c:pt idx="2">
                  <c:v>2637.0028087542787</c:v>
                </c:pt>
                <c:pt idx="3">
                  <c:v>2637.0028087542787</c:v>
                </c:pt>
                <c:pt idx="4">
                  <c:v>-3677.9249701046519</c:v>
                </c:pt>
                <c:pt idx="5">
                  <c:v>-3677.9249701046519</c:v>
                </c:pt>
                <c:pt idx="6">
                  <c:v>-3677.9249701046519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4593-8C8E-6B01DCBF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2144"/>
        <c:axId val="583211360"/>
      </c:scatterChart>
      <c:valAx>
        <c:axId val="5832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1360"/>
        <c:crosses val="autoZero"/>
        <c:crossBetween val="midCat"/>
      </c:valAx>
      <c:valAx>
        <c:axId val="5832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Shear force (N)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68551192011329E-2"/>
              <c:y val="0.36417983108113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Nominal internal bending moment distribution in output shaft  (Shaft 3)</a:t>
            </a:r>
            <a:endParaRPr lang="en-CA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C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94483584288808"/>
          <c:y val="0.3242592592592593"/>
          <c:w val="0.69851130450798915"/>
          <c:h val="0.43625801983085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'Shafts Diagrams'!$D$158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75C-4850-A642-9A5DC6E8B77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75C-4850-A642-9A5DC6E8B77B}"/>
              </c:ext>
            </c:extLst>
          </c:dPt>
          <c:dLbls>
            <c:dLbl>
              <c:idx val="1"/>
              <c:layout>
                <c:manualLayout>
                  <c:x val="-0.10456450271302206"/>
                  <c:y val="-0.13408578650615691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016-4766-89E8-C89A3ED23589}"/>
                </c:ext>
              </c:extLst>
            </c:dLbl>
            <c:dLbl>
              <c:idx val="2"/>
              <c:layout>
                <c:manualLayout>
                  <c:x val="-8.2550923194491064E-3"/>
                  <c:y val="6.473106934779980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016-4766-89E8-C89A3ED23589}"/>
                </c:ext>
              </c:extLst>
            </c:dLbl>
            <c:dLbl>
              <c:idx val="3"/>
              <c:layout>
                <c:manualLayout>
                  <c:x val="2.046783625730994E-2"/>
                  <c:y val="-3.695939049285505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016-4766-89E8-C89A3ED23589}"/>
                </c:ext>
              </c:extLst>
            </c:dLbl>
            <c:dLbl>
              <c:idx val="4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016-4766-89E8-C89A3ED23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Diagrams'!$C$159:$C$164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71</c:v>
                </c:pt>
                <c:pt idx="5">
                  <c:v>91</c:v>
                </c:pt>
              </c:numCache>
            </c:numRef>
          </c:xVal>
          <c:yVal>
            <c:numRef>
              <c:f>'Shafts Diagrams'!$D$159:$D$164</c:f>
              <c:numCache>
                <c:formatCode>General</c:formatCode>
                <c:ptCount val="6"/>
                <c:pt idx="0">
                  <c:v>0</c:v>
                </c:pt>
                <c:pt idx="1">
                  <c:v>52740.05617508557</c:v>
                </c:pt>
                <c:pt idx="2">
                  <c:v>92295.098306399741</c:v>
                </c:pt>
                <c:pt idx="3">
                  <c:v>139761.14886397676</c:v>
                </c:pt>
                <c:pt idx="4">
                  <c:v>73558.499402093032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C-4850-A642-9A5DC6E8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0104"/>
        <c:axId val="584608144"/>
      </c:scatterChart>
      <c:valAx>
        <c:axId val="5846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8144"/>
        <c:crosses val="autoZero"/>
        <c:crossBetween val="midCat"/>
      </c:valAx>
      <c:valAx>
        <c:axId val="5846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bending moment (N mm)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72517693097041E-2"/>
              <c:y val="0.2567508607452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Nominal internal torque distribution in output shaft  (Shaft 3)</a:t>
            </a:r>
            <a:endParaRPr lang="en-C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Diagrams'!$D$174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D4F-4D39-992B-73823E52D29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D4F-4D39-992B-73823E52D29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D4F-4D39-992B-73823E52D293}"/>
              </c:ext>
            </c:extLst>
          </c:dPt>
          <c:dLbls>
            <c:dLbl>
              <c:idx val="1"/>
              <c:layout>
                <c:manualLayout>
                  <c:x val="0"/>
                  <c:y val="-0.11051334318091338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A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5A-4AFB-9E90-F65E46ECC538}"/>
                </c:ext>
              </c:extLst>
            </c:dLbl>
            <c:dLbl>
              <c:idx val="2"/>
              <c:layout>
                <c:manualLayout>
                  <c:x val="1.3758487199081843E-2"/>
                  <c:y val="-0.10590862054837533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B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55A-4AFB-9E90-F65E46ECC538}"/>
                </c:ext>
              </c:extLst>
            </c:dLbl>
            <c:dLbl>
              <c:idx val="4"/>
              <c:layout>
                <c:manualLayout>
                  <c:x val="8.2550923194491064E-3"/>
                  <c:y val="0.1565605695062939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55A-4AFB-9E90-F65E46ECC538}"/>
                </c:ext>
              </c:extLst>
            </c:dLbl>
            <c:dLbl>
              <c:idx val="5"/>
              <c:layout>
                <c:manualLayout>
                  <c:x val="-1.0089440725246461E-16"/>
                  <c:y val="0.1243275110785275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Point D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55A-4AFB-9E90-F65E46ECC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'Shafts Diagrams'!$C$175:$C$181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71</c:v>
                </c:pt>
                <c:pt idx="6">
                  <c:v>91</c:v>
                </c:pt>
              </c:numCache>
            </c:numRef>
          </c:xVal>
          <c:yVal>
            <c:numRef>
              <c:f>'Shafts Diagrams'!$D$175:$D$181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569.67273932060959</c:v>
                </c:pt>
                <c:pt idx="5">
                  <c:v>569.67273932060959</c:v>
                </c:pt>
                <c:pt idx="6">
                  <c:v>569.67273932060959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F-4D39-992B-73823E52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75984"/>
        <c:axId val="588574808"/>
      </c:scatterChart>
      <c:valAx>
        <c:axId val="58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Position on shaft (mm)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4808"/>
        <c:crosses val="autoZero"/>
        <c:crossBetween val="midCat"/>
      </c:valAx>
      <c:valAx>
        <c:axId val="5885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Internal torque (N m)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0191504771E-2"/>
              <c:y val="0.124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bending moment distribution in input shaft  (Shaft 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Diagrams'!$D$29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Diagrams'!$C$30:$C$35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</c:numCache>
            </c:numRef>
          </c:xVal>
          <c:yVal>
            <c:numRef>
              <c:f>'Shafts Diagrams'!$D$30:$D$35</c:f>
              <c:numCache>
                <c:formatCode>General</c:formatCode>
                <c:ptCount val="6"/>
                <c:pt idx="0">
                  <c:v>0</c:v>
                </c:pt>
                <c:pt idx="1">
                  <c:v>25560.421962048051</c:v>
                </c:pt>
                <c:pt idx="2">
                  <c:v>46860.773597088089</c:v>
                </c:pt>
                <c:pt idx="3">
                  <c:v>33078.193127356295</c:v>
                </c:pt>
                <c:pt idx="4">
                  <c:v>16539.096563678144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B-4739-B244-F379832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3976"/>
        <c:axId val="433209664"/>
      </c:scatterChart>
      <c:valAx>
        <c:axId val="43321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9664"/>
        <c:crosses val="autoZero"/>
        <c:crossBetween val="midCat"/>
      </c:valAx>
      <c:valAx>
        <c:axId val="4332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Internal bending moment (N mm)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5098428438737219E-2"/>
              <c:y val="0.1942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torque distribution in input shaft  (Shaft 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Diagrams'!$D$46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Diagrams'!$C$47:$C$53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27.5</c:v>
                </c:pt>
                <c:pt idx="3">
                  <c:v>27.5</c:v>
                </c:pt>
                <c:pt idx="4">
                  <c:v>40</c:v>
                </c:pt>
                <c:pt idx="5">
                  <c:v>55</c:v>
                </c:pt>
                <c:pt idx="6">
                  <c:v>70</c:v>
                </c:pt>
              </c:numCache>
            </c:numRef>
          </c:xVal>
          <c:yVal>
            <c:numRef>
              <c:f>'Shafts Diagrams'!$D$47:$D$53</c:f>
              <c:numCache>
                <c:formatCode>General</c:formatCode>
                <c:ptCount val="7"/>
                <c:pt idx="0">
                  <c:v>71.209092415076199</c:v>
                </c:pt>
                <c:pt idx="1">
                  <c:v>71.209092415076199</c:v>
                </c:pt>
                <c:pt idx="2">
                  <c:v>71.209092415076199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E-49A1-82FA-93332054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840"/>
        <c:axId val="433211232"/>
      </c:scatterChart>
      <c:valAx>
        <c:axId val="4332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1232"/>
        <c:crosses val="autoZero"/>
        <c:crossBetween val="midCat"/>
      </c:valAx>
      <c:valAx>
        <c:axId val="433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torque (N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shear force distribution in output shaft  (Shaft 3)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Diagrams'!$D$143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Diagrams'!$C$144:$C$151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71</c:v>
                </c:pt>
                <c:pt idx="6">
                  <c:v>91</c:v>
                </c:pt>
                <c:pt idx="7">
                  <c:v>91</c:v>
                </c:pt>
              </c:numCache>
            </c:numRef>
          </c:xVal>
          <c:yVal>
            <c:numRef>
              <c:f>'Shafts Diagrams'!$D$144:$D$151</c:f>
              <c:numCache>
                <c:formatCode>General</c:formatCode>
                <c:ptCount val="8"/>
                <c:pt idx="0">
                  <c:v>2637.0028087542787</c:v>
                </c:pt>
                <c:pt idx="1">
                  <c:v>2637.0028087542787</c:v>
                </c:pt>
                <c:pt idx="2">
                  <c:v>2637.0028087542787</c:v>
                </c:pt>
                <c:pt idx="3">
                  <c:v>2637.0028087542787</c:v>
                </c:pt>
                <c:pt idx="4">
                  <c:v>-3677.9249701046519</c:v>
                </c:pt>
                <c:pt idx="5">
                  <c:v>-3677.9249701046519</c:v>
                </c:pt>
                <c:pt idx="6">
                  <c:v>-3677.9249701046519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8-452E-BF0A-EF7BDE0C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2144"/>
        <c:axId val="583211360"/>
      </c:scatterChart>
      <c:valAx>
        <c:axId val="5832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1360"/>
        <c:crosses val="autoZero"/>
        <c:crossBetween val="midCat"/>
      </c:valAx>
      <c:valAx>
        <c:axId val="5832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Shear force (N)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bending moment distribution in output shaft  (Shaft 3)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Diagrams'!$D$158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Diagrams'!$C$159:$C$164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71</c:v>
                </c:pt>
                <c:pt idx="5">
                  <c:v>91</c:v>
                </c:pt>
              </c:numCache>
            </c:numRef>
          </c:xVal>
          <c:yVal>
            <c:numRef>
              <c:f>'Shafts Diagrams'!$D$159:$D$164</c:f>
              <c:numCache>
                <c:formatCode>General</c:formatCode>
                <c:ptCount val="6"/>
                <c:pt idx="0">
                  <c:v>0</c:v>
                </c:pt>
                <c:pt idx="1">
                  <c:v>52740.05617508557</c:v>
                </c:pt>
                <c:pt idx="2">
                  <c:v>92295.098306399741</c:v>
                </c:pt>
                <c:pt idx="3">
                  <c:v>139761.14886397676</c:v>
                </c:pt>
                <c:pt idx="4">
                  <c:v>73558.499402093032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C99-8346-1D475A76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0104"/>
        <c:axId val="584608144"/>
      </c:scatterChart>
      <c:valAx>
        <c:axId val="5846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8144"/>
        <c:crosses val="autoZero"/>
        <c:crossBetween val="midCat"/>
      </c:valAx>
      <c:valAx>
        <c:axId val="5846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Internal bending moment (N mm)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0191504771E-2"/>
              <c:y val="0.2651571470665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torque distribution in output shaft  (Shaft 3)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Diagrams'!$D$174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Diagrams'!$C$175:$C$181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71</c:v>
                </c:pt>
                <c:pt idx="6">
                  <c:v>91</c:v>
                </c:pt>
              </c:numCache>
            </c:numRef>
          </c:xVal>
          <c:yVal>
            <c:numRef>
              <c:f>'Shafts Diagrams'!$D$175:$D$181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569.67273932060959</c:v>
                </c:pt>
                <c:pt idx="5">
                  <c:v>569.67273932060959</c:v>
                </c:pt>
                <c:pt idx="6">
                  <c:v>569.67273932060959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7-4EF9-9C37-1B2B317B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75984"/>
        <c:axId val="588574808"/>
      </c:scatterChart>
      <c:valAx>
        <c:axId val="58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4808"/>
        <c:crosses val="autoZero"/>
        <c:crossBetween val="midCat"/>
      </c:valAx>
      <c:valAx>
        <c:axId val="5885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Internal torque (N 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0191504771E-2"/>
              <c:y val="0.124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shear force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'Shafts Diagrams'!$D$68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Diagrams'!$C$69:$C$79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35</c:v>
                </c:pt>
                <c:pt idx="4">
                  <c:v>47.5</c:v>
                </c:pt>
                <c:pt idx="5">
                  <c:v>147.5</c:v>
                </c:pt>
                <c:pt idx="6">
                  <c:v>165.5</c:v>
                </c:pt>
                <c:pt idx="7">
                  <c:v>165.5</c:v>
                </c:pt>
                <c:pt idx="8">
                  <c:v>183.5</c:v>
                </c:pt>
                <c:pt idx="9">
                  <c:v>206</c:v>
                </c:pt>
                <c:pt idx="10">
                  <c:v>206</c:v>
                </c:pt>
              </c:numCache>
            </c:numRef>
          </c:xVal>
          <c:yVal>
            <c:numRef>
              <c:f>'Shafts Diagrams'!$D$69:$D$79</c:f>
              <c:numCache>
                <c:formatCode>General</c:formatCode>
                <c:ptCount val="11"/>
                <c:pt idx="0">
                  <c:v>3571.3062438692486</c:v>
                </c:pt>
                <c:pt idx="1">
                  <c:v>3571.3062438692486</c:v>
                </c:pt>
                <c:pt idx="2">
                  <c:v>3571.3062438692486</c:v>
                </c:pt>
                <c:pt idx="3">
                  <c:v>764.67167548750194</c:v>
                </c:pt>
                <c:pt idx="4">
                  <c:v>764.67167548750194</c:v>
                </c:pt>
                <c:pt idx="5">
                  <c:v>764.67167548750194</c:v>
                </c:pt>
                <c:pt idx="6">
                  <c:v>764.67167548750194</c:v>
                </c:pt>
                <c:pt idx="7">
                  <c:v>-5550.2561033714283</c:v>
                </c:pt>
                <c:pt idx="8">
                  <c:v>-5550.2561033714283</c:v>
                </c:pt>
                <c:pt idx="9">
                  <c:v>-5550.2561033714283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4-4971-965F-D6EF0500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18735"/>
        <c:axId val="273619151"/>
      </c:scatterChart>
      <c:valAx>
        <c:axId val="2736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9151"/>
        <c:crosses val="autoZero"/>
        <c:crossBetween val="midCat"/>
      </c:valAx>
      <c:valAx>
        <c:axId val="2736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Shear force (N)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Nominal internal bending moment distribution in mid shaft  (Shaft 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61043256476879"/>
          <c:y val="0.23940670070435657"/>
          <c:w val="0.7079542387957044"/>
          <c:h val="0.55014856198100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'Shafts Diagrams'!$D$81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'Shafts Diagrams'!$C$82:$C$89</c:f>
              <c:numCache>
                <c:formatCode>General</c:formatCode>
                <c:ptCount val="8"/>
                <c:pt idx="0">
                  <c:v>0</c:v>
                </c:pt>
                <c:pt idx="1">
                  <c:v>22.5</c:v>
                </c:pt>
                <c:pt idx="2">
                  <c:v>35</c:v>
                </c:pt>
                <c:pt idx="3">
                  <c:v>47.5</c:v>
                </c:pt>
                <c:pt idx="4">
                  <c:v>147.5</c:v>
                </c:pt>
                <c:pt idx="5">
                  <c:v>165.5</c:v>
                </c:pt>
                <c:pt idx="6">
                  <c:v>183.5</c:v>
                </c:pt>
                <c:pt idx="7">
                  <c:v>206</c:v>
                </c:pt>
              </c:numCache>
            </c:numRef>
          </c:xVal>
          <c:yVal>
            <c:numRef>
              <c:f>'Shafts Diagrams'!$D$82:$D$89</c:f>
              <c:numCache>
                <c:formatCode>General</c:formatCode>
                <c:ptCount val="8"/>
                <c:pt idx="0">
                  <c:v>0</c:v>
                </c:pt>
                <c:pt idx="1">
                  <c:v>80354.390487058088</c:v>
                </c:pt>
                <c:pt idx="2">
                  <c:v>124995.71853542369</c:v>
                </c:pt>
                <c:pt idx="3">
                  <c:v>134554.11447901747</c:v>
                </c:pt>
                <c:pt idx="4">
                  <c:v>211021.28202776768</c:v>
                </c:pt>
                <c:pt idx="5">
                  <c:v>224785.37218654272</c:v>
                </c:pt>
                <c:pt idx="6">
                  <c:v>124880.76232585701</c:v>
                </c:pt>
                <c:pt idx="7" formatCode="0.00">
                  <c:v>-1.3096723705530167E-10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9-41D4-8AA3-B1302E38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20047"/>
        <c:axId val="277020879"/>
      </c:scatterChart>
      <c:valAx>
        <c:axId val="2770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Position on shaft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0879"/>
        <c:crosses val="autoZero"/>
        <c:crossBetween val="midCat"/>
      </c:valAx>
      <c:valAx>
        <c:axId val="2770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Internal bending moment (N 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5</xdr:row>
      <xdr:rowOff>180975</xdr:rowOff>
    </xdr:from>
    <xdr:ext cx="1657350" cy="685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5E2D9C-0266-473C-ADAD-B9F38B73C314}"/>
                </a:ext>
              </a:extLst>
            </xdr:cNvPr>
            <xdr:cNvSpPr txBox="1"/>
          </xdr:nvSpPr>
          <xdr:spPr>
            <a:xfrm>
              <a:off x="2209800" y="1133475"/>
              <a:ext cx="1657350" cy="6858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num>
                              <m:den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CA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5E2D9C-0266-473C-ADAD-B9F38B73C314}"/>
                </a:ext>
              </a:extLst>
            </xdr:cNvPr>
            <xdr:cNvSpPr txBox="1"/>
          </xdr:nvSpPr>
          <xdr:spPr>
            <a:xfrm>
              <a:off x="2209800" y="1133475"/>
              <a:ext cx="1657350" cy="6858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𝐿_𝑃=𝐾_𝑅 (𝐶/𝑃)^(10/3)</a:t>
              </a:r>
              <a:endParaRPr lang="en-CA" sz="1100" b="0"/>
            </a:p>
          </xdr:txBody>
        </xdr:sp>
      </mc:Fallback>
    </mc:AlternateContent>
    <xdr:clientData/>
  </xdr:oneCellAnchor>
  <xdr:oneCellAnchor>
    <xdr:from>
      <xdr:col>3</xdr:col>
      <xdr:colOff>485775</xdr:colOff>
      <xdr:row>1</xdr:row>
      <xdr:rowOff>47624</xdr:rowOff>
    </xdr:from>
    <xdr:ext cx="1466850" cy="6477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863E64-F8B4-4728-B00A-F031E44DDF8C}"/>
                </a:ext>
              </a:extLst>
            </xdr:cNvPr>
            <xdr:cNvSpPr txBox="1"/>
          </xdr:nvSpPr>
          <xdr:spPr>
            <a:xfrm>
              <a:off x="2314575" y="238124"/>
              <a:ext cx="1466850" cy="64770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  <m:sSup>
                      <m:sSup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num>
                              <m:den>
                                <m:r>
                                  <a:rPr lang="en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CA">
                <a:effectLst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863E64-F8B4-4728-B00A-F031E44DDF8C}"/>
                </a:ext>
              </a:extLst>
            </xdr:cNvPr>
            <xdr:cNvSpPr txBox="1"/>
          </xdr:nvSpPr>
          <xdr:spPr>
            <a:xfrm>
              <a:off x="2314575" y="238124"/>
              <a:ext cx="1466850" cy="64770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𝐿_𝑃=𝐾_𝑅 (𝐶/𝑃)^3</a:t>
              </a:r>
              <a:endParaRPr lang="en-CA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10</xdr:row>
      <xdr:rowOff>9525</xdr:rowOff>
    </xdr:from>
    <xdr:ext cx="9144000" cy="2000250"/>
    <xdr:pic>
      <xdr:nvPicPr>
        <xdr:cNvPr id="2" name="Picture 1" descr="https://scontent.fyhu1-1.fna.fbcdn.net/v/t34.0-12/24824327_1621254697940493_1149944118_n.png?oh=f221d6267fc26b588701c87fc475233f&amp;oe=5A2AD3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914525"/>
          <a:ext cx="91440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61</xdr:row>
      <xdr:rowOff>0</xdr:rowOff>
    </xdr:from>
    <xdr:ext cx="13039725" cy="3800475"/>
    <xdr:pic>
      <xdr:nvPicPr>
        <xdr:cNvPr id="3" name="Picture 2" descr="https://scontent.fyhu1-1.fna.fbcdn.net/v/t35.0-12/24879467_1621294521269844_498878776_o.png?oh=d2bd6110c4c3cf99b6493a6b7ff9311f&amp;oe=5A2ADF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620500"/>
          <a:ext cx="1303972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612319</xdr:colOff>
      <xdr:row>30</xdr:row>
      <xdr:rowOff>122464</xdr:rowOff>
    </xdr:from>
    <xdr:to>
      <xdr:col>25</xdr:col>
      <xdr:colOff>90992</xdr:colOff>
      <xdr:row>49</xdr:row>
      <xdr:rowOff>40821</xdr:rowOff>
    </xdr:to>
    <xdr:pic>
      <xdr:nvPicPr>
        <xdr:cNvPr id="4" name="Picture 3" descr="https://scontent-yyz1-1.xx.fbcdn.net/v/t35.0-12/24946094_1621408184591811_850505952_o.png?oh=1a682f7f99d835ac6053fa0c29612962&amp;oe=5A2A85E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819" y="5891893"/>
          <a:ext cx="13262709" cy="3565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26</xdr:row>
      <xdr:rowOff>9525</xdr:rowOff>
    </xdr:from>
    <xdr:to>
      <xdr:col>11</xdr:col>
      <xdr:colOff>438150</xdr:colOff>
      <xdr:row>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228600</xdr:colOff>
      <xdr:row>0</xdr:row>
      <xdr:rowOff>155673</xdr:rowOff>
    </xdr:from>
    <xdr:ext cx="5822073" cy="1271434"/>
    <xdr:pic>
      <xdr:nvPicPr>
        <xdr:cNvPr id="4" name="Picture 3" descr="https://scontent.fyhu1-1.fna.fbcdn.net/v/t34.0-12/24824327_1621254697940493_1149944118_n.png?oh=f221d6267fc26b588701c87fc475233f&amp;oe=5A2AD3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55673"/>
          <a:ext cx="5822073" cy="1271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491517</xdr:colOff>
      <xdr:row>127</xdr:row>
      <xdr:rowOff>70597</xdr:rowOff>
    </xdr:from>
    <xdr:ext cx="8145784" cy="2370083"/>
    <xdr:pic>
      <xdr:nvPicPr>
        <xdr:cNvPr id="5" name="Picture 4" descr="https://scontent.fyhu1-1.fna.fbcdn.net/v/t35.0-12/24879467_1621294521269844_498878776_o.png?oh=d2bd6110c4c3cf99b6493a6b7ff9311f&amp;oe=5A2ADF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17" y="12621185"/>
          <a:ext cx="8145784" cy="237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252412</xdr:colOff>
      <xdr:row>41</xdr:row>
      <xdr:rowOff>66675</xdr:rowOff>
    </xdr:from>
    <xdr:to>
      <xdr:col>12</xdr:col>
      <xdr:colOff>61912</xdr:colOff>
      <xdr:row>56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739588</xdr:colOff>
      <xdr:row>141</xdr:row>
      <xdr:rowOff>152400</xdr:rowOff>
    </xdr:from>
    <xdr:to>
      <xdr:col>10</xdr:col>
      <xdr:colOff>437030</xdr:colOff>
      <xdr:row>155</xdr:row>
      <xdr:rowOff>116541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717176</xdr:colOff>
      <xdr:row>156</xdr:row>
      <xdr:rowOff>163606</xdr:rowOff>
    </xdr:from>
    <xdr:to>
      <xdr:col>10</xdr:col>
      <xdr:colOff>414618</xdr:colOff>
      <xdr:row>171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700367</xdr:colOff>
      <xdr:row>172</xdr:row>
      <xdr:rowOff>17929</xdr:rowOff>
    </xdr:from>
    <xdr:to>
      <xdr:col>10</xdr:col>
      <xdr:colOff>397809</xdr:colOff>
      <xdr:row>186</xdr:row>
      <xdr:rowOff>94129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728382</xdr:colOff>
      <xdr:row>57</xdr:row>
      <xdr:rowOff>125380</xdr:rowOff>
    </xdr:from>
    <xdr:to>
      <xdr:col>13</xdr:col>
      <xdr:colOff>311184</xdr:colOff>
      <xdr:row>65</xdr:row>
      <xdr:rowOff>130629</xdr:rowOff>
    </xdr:to>
    <xdr:pic>
      <xdr:nvPicPr>
        <xdr:cNvPr id="10" name="Picture 9" descr="https://scontent-yyz1-1.xx.fbcdn.net/v/t35.0-12/24946094_1621408184591811_850505952_o.png?oh=1a682f7f99d835ac6053fa0c29612962&amp;oe=5A2A85E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588" y="11151968"/>
          <a:ext cx="6272714" cy="16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302559</xdr:colOff>
      <xdr:row>66</xdr:row>
      <xdr:rowOff>17931</xdr:rowOff>
    </xdr:from>
    <xdr:to>
      <xdr:col>12</xdr:col>
      <xdr:colOff>134471</xdr:colOff>
      <xdr:row>80</xdr:row>
      <xdr:rowOff>94131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313763</xdr:colOff>
      <xdr:row>81</xdr:row>
      <xdr:rowOff>141194</xdr:rowOff>
    </xdr:from>
    <xdr:to>
      <xdr:col>13</xdr:col>
      <xdr:colOff>100852</xdr:colOff>
      <xdr:row>99</xdr:row>
      <xdr:rowOff>44824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324970</xdr:colOff>
      <xdr:row>99</xdr:row>
      <xdr:rowOff>186017</xdr:rowOff>
    </xdr:from>
    <xdr:to>
      <xdr:col>12</xdr:col>
      <xdr:colOff>156882</xdr:colOff>
      <xdr:row>114</xdr:row>
      <xdr:rowOff>71717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9525</xdr:colOff>
      <xdr:row>10</xdr:row>
      <xdr:rowOff>180975</xdr:rowOff>
    </xdr:from>
    <xdr:to>
      <xdr:col>11</xdr:col>
      <xdr:colOff>428625</xdr:colOff>
      <xdr:row>25</xdr:row>
      <xdr:rowOff>66675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0.22466</cdr:x>
      <cdr:y>0.07069</cdr:y>
    </cdr:from>
    <cdr:to>
      <cdr:x>0.70351</cdr:x>
      <cdr:y>0.48758</cdr:y>
    </cdr:to>
    <cdr:graphicFrame macro="">
      <cdr:nvGraphicFramePr>
        <cdr:cNvPr id="3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0.023</cdr:x>
      <cdr:y>0.54375</cdr:y>
    </cdr:from>
    <cdr:to>
      <cdr:x>0.50184</cdr:x>
      <cdr:y>0.96064</cdr:y>
    </cdr:to>
    <cdr:graphicFrame macro="">
      <cdr:nvGraphicFramePr>
        <cdr:cNvPr id="5" name="Chart 1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0.50372</cdr:x>
      <cdr:y>0.54304</cdr:y>
    </cdr:from>
    <cdr:to>
      <cdr:x>0.98256</cdr:x>
      <cdr:y>0.95993</cdr:y>
    </cdr:to>
    <cdr:graphicFrame macro="">
      <cdr:nvGraphicFramePr>
        <cdr:cNvPr id="6" name="Chart 1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0.26071</cdr:x>
      <cdr:y>0.10783</cdr:y>
    </cdr:from>
    <cdr:to>
      <cdr:x>0.74209</cdr:x>
      <cdr:y>0.48909</cdr:y>
    </cdr:to>
    <cdr:graphicFrame macro="">
      <cdr:nvGraphicFramePr>
        <cdr:cNvPr id="2" name="Chart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0.02421</cdr:x>
      <cdr:y>0.55199</cdr:y>
    </cdr:from>
    <cdr:to>
      <cdr:x>0.50398</cdr:x>
      <cdr:y>0.96976</cdr:y>
    </cdr:to>
    <cdr:graphicFrame macro="">
      <cdr:nvGraphicFramePr>
        <cdr:cNvPr id="3" name="Chart 1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0.50521</cdr:x>
      <cdr:y>0.55143</cdr:y>
    </cdr:from>
    <cdr:to>
      <cdr:x>0.98499</cdr:x>
      <cdr:y>0.96919</cdr:y>
    </cdr:to>
    <cdr:graphicFrame macro="">
      <cdr:nvGraphicFramePr>
        <cdr:cNvPr id="4" name="Chart 1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0.24859</cdr:x>
      <cdr:y>0.07929</cdr:y>
    </cdr:from>
    <cdr:to>
      <cdr:x>0.76071</cdr:x>
      <cdr:y>0.49481</cdr:y>
    </cdr:to>
    <cdr:graphicFrame macro="">
      <cdr:nvGraphicFramePr>
        <cdr:cNvPr id="2" name="Chart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0.0158</cdr:x>
      <cdr:y>0.54125</cdr:y>
    </cdr:from>
    <cdr:to>
      <cdr:x>0.4932</cdr:x>
      <cdr:y>0.95677</cdr:y>
    </cdr:to>
    <cdr:graphicFrame macro="">
      <cdr:nvGraphicFramePr>
        <cdr:cNvPr id="3" name="Chart 1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0.49904</cdr:x>
      <cdr:y>0.54123</cdr:y>
    </cdr:from>
    <cdr:to>
      <cdr:x>0.97644</cdr:x>
      <cdr:y>0.95675</cdr:y>
    </cdr:to>
    <cdr:graphicFrame macro="">
      <cdr:nvGraphicFramePr>
        <cdr:cNvPr id="4" name="Chart 1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3"/>
  <sheetViews>
    <sheetView workbookViewId="0">
      <selection activeCell="G30" sqref="G30"/>
    </sheetView>
  </sheetViews>
  <sheetFormatPr defaultRowHeight="15" x14ac:dyDescent="0.25"/>
  <cols>
    <col min="1" max="2" width="9.140625" customWidth="1"/>
    <col min="15" max="15" width="11.28515625" bestFit="1" customWidth="1"/>
    <col min="19" max="19" width="18.5703125" bestFit="1" customWidth="1"/>
    <col min="20" max="20" width="17.85546875" bestFit="1" customWidth="1"/>
    <col min="21" max="21" width="12.140625" bestFit="1" customWidth="1"/>
  </cols>
  <sheetData>
    <row r="1" spans="1:20" x14ac:dyDescent="0.25">
      <c r="A1" s="48" t="s">
        <v>5</v>
      </c>
      <c r="B1" s="48"/>
      <c r="C1" s="48"/>
      <c r="G1" s="48" t="s">
        <v>6</v>
      </c>
      <c r="H1" s="48"/>
      <c r="I1" s="48"/>
      <c r="J1" s="48"/>
      <c r="K1" s="48"/>
    </row>
    <row r="2" spans="1:20" x14ac:dyDescent="0.25">
      <c r="A2" s="52" t="s">
        <v>7</v>
      </c>
      <c r="B2" s="52"/>
      <c r="C2" s="5">
        <v>118</v>
      </c>
      <c r="G2" s="52" t="s">
        <v>8</v>
      </c>
      <c r="H2" s="52"/>
      <c r="I2" s="52"/>
      <c r="J2" s="53" t="s">
        <v>9</v>
      </c>
      <c r="K2" s="53"/>
    </row>
    <row r="3" spans="1:20" x14ac:dyDescent="0.25">
      <c r="A3" s="52" t="s">
        <v>10</v>
      </c>
      <c r="B3" s="52"/>
      <c r="C3" s="5">
        <f>118/24</f>
        <v>4.916666666666667</v>
      </c>
      <c r="G3" s="52" t="s">
        <v>11</v>
      </c>
      <c r="H3" s="52"/>
      <c r="I3" s="52"/>
      <c r="J3" s="53" t="s">
        <v>12</v>
      </c>
      <c r="K3" s="53"/>
      <c r="O3" s="48" t="s">
        <v>13</v>
      </c>
      <c r="P3" s="48"/>
      <c r="Q3" s="48"/>
      <c r="R3" s="48"/>
      <c r="S3" s="48"/>
      <c r="T3" s="48"/>
    </row>
    <row r="4" spans="1:20" x14ac:dyDescent="0.25">
      <c r="A4" s="52" t="s">
        <v>14</v>
      </c>
      <c r="B4" s="52"/>
      <c r="C4" s="5">
        <v>5</v>
      </c>
      <c r="G4" s="52" t="s">
        <v>15</v>
      </c>
      <c r="H4" s="52"/>
      <c r="I4" s="52"/>
      <c r="J4" s="53" t="s">
        <v>16</v>
      </c>
      <c r="K4" s="53"/>
      <c r="O4" s="10" t="s">
        <v>1</v>
      </c>
      <c r="P4" s="10" t="s">
        <v>17</v>
      </c>
      <c r="Q4" s="9" t="s">
        <v>18</v>
      </c>
      <c r="R4" s="9" t="s">
        <v>19</v>
      </c>
      <c r="S4" s="9" t="s">
        <v>20</v>
      </c>
      <c r="T4" s="9" t="s">
        <v>21</v>
      </c>
    </row>
    <row r="5" spans="1:20" x14ac:dyDescent="0.25">
      <c r="A5" s="52" t="s">
        <v>22</v>
      </c>
      <c r="B5" s="52"/>
      <c r="C5" s="5">
        <f>5*24</f>
        <v>120</v>
      </c>
      <c r="G5" s="52" t="s">
        <v>23</v>
      </c>
      <c r="H5" s="52"/>
      <c r="I5" s="52"/>
      <c r="J5" s="53" t="s">
        <v>24</v>
      </c>
      <c r="K5" s="53"/>
      <c r="O5" s="5" t="s">
        <v>25</v>
      </c>
      <c r="P5" s="30">
        <v>1</v>
      </c>
      <c r="Q5" s="5" t="s">
        <v>26</v>
      </c>
      <c r="R5" s="5">
        <v>4000</v>
      </c>
      <c r="S5" s="11">
        <f>R5*60</f>
        <v>240000</v>
      </c>
      <c r="T5" s="11">
        <f>S5</f>
        <v>240000</v>
      </c>
    </row>
    <row r="6" spans="1:20" x14ac:dyDescent="0.25">
      <c r="G6" s="52" t="s">
        <v>27</v>
      </c>
      <c r="H6" s="52"/>
      <c r="I6" s="52"/>
      <c r="J6" s="53" t="s">
        <v>28</v>
      </c>
      <c r="K6" s="53"/>
      <c r="O6" s="51" t="s">
        <v>3</v>
      </c>
      <c r="P6" s="30">
        <v>2</v>
      </c>
      <c r="Q6" s="50" t="s">
        <v>29</v>
      </c>
      <c r="R6" s="5">
        <v>3180</v>
      </c>
      <c r="S6" s="11">
        <f t="shared" ref="S6:S28" si="0">R6*60</f>
        <v>190800</v>
      </c>
      <c r="T6" s="11">
        <f>T5+S6</f>
        <v>430800</v>
      </c>
    </row>
    <row r="7" spans="1:20" x14ac:dyDescent="0.25">
      <c r="A7" s="48" t="s">
        <v>30</v>
      </c>
      <c r="B7" s="48"/>
      <c r="C7" s="48"/>
      <c r="D7" s="48"/>
      <c r="G7" s="52" t="s">
        <v>31</v>
      </c>
      <c r="H7" s="52"/>
      <c r="I7" s="52"/>
      <c r="J7" s="53">
        <v>450</v>
      </c>
      <c r="K7" s="53"/>
      <c r="L7" s="5" t="s">
        <v>32</v>
      </c>
      <c r="O7" s="51"/>
      <c r="P7" s="30">
        <v>3</v>
      </c>
      <c r="Q7" s="50"/>
      <c r="R7" s="5">
        <v>3180</v>
      </c>
      <c r="S7" s="11">
        <f t="shared" si="0"/>
        <v>190800</v>
      </c>
      <c r="T7" s="11">
        <f t="shared" ref="T7:T28" si="1">T6+S7</f>
        <v>621600</v>
      </c>
    </row>
    <row r="8" spans="1:20" x14ac:dyDescent="0.25">
      <c r="A8" s="52" t="s">
        <v>33</v>
      </c>
      <c r="B8" s="52"/>
      <c r="C8" s="52"/>
      <c r="D8" s="5">
        <v>4000</v>
      </c>
      <c r="G8" s="52" t="s">
        <v>34</v>
      </c>
      <c r="H8" s="52"/>
      <c r="I8" s="52"/>
      <c r="J8" s="53">
        <v>1500</v>
      </c>
      <c r="K8" s="53"/>
      <c r="L8" s="5" t="s">
        <v>32</v>
      </c>
      <c r="O8" s="51"/>
      <c r="P8" s="30">
        <v>4</v>
      </c>
      <c r="Q8" s="50"/>
      <c r="R8" s="5">
        <v>3180</v>
      </c>
      <c r="S8" s="11">
        <f t="shared" si="0"/>
        <v>190800</v>
      </c>
      <c r="T8" s="11">
        <f t="shared" si="1"/>
        <v>812400</v>
      </c>
    </row>
    <row r="9" spans="1:20" x14ac:dyDescent="0.25">
      <c r="A9" s="52" t="s">
        <v>35</v>
      </c>
      <c r="B9" s="52"/>
      <c r="C9" s="52"/>
      <c r="D9" s="5">
        <v>1</v>
      </c>
      <c r="O9" s="51"/>
      <c r="P9" s="30">
        <v>5</v>
      </c>
      <c r="Q9" s="50"/>
      <c r="R9" s="5">
        <v>3180</v>
      </c>
      <c r="S9" s="11">
        <f t="shared" si="0"/>
        <v>190800</v>
      </c>
      <c r="T9" s="11">
        <f t="shared" si="1"/>
        <v>1003200</v>
      </c>
    </row>
    <row r="10" spans="1:20" x14ac:dyDescent="0.25">
      <c r="A10" s="52" t="s">
        <v>36</v>
      </c>
      <c r="B10" s="52"/>
      <c r="C10" s="52"/>
      <c r="D10" s="5">
        <f>D8*60</f>
        <v>240000</v>
      </c>
      <c r="O10" s="51"/>
      <c r="P10" s="30">
        <v>6</v>
      </c>
      <c r="Q10" s="50"/>
      <c r="R10" s="5">
        <v>3180</v>
      </c>
      <c r="S10" s="11">
        <f t="shared" si="0"/>
        <v>190800</v>
      </c>
      <c r="T10" s="11">
        <f t="shared" si="1"/>
        <v>1194000</v>
      </c>
    </row>
    <row r="11" spans="1:20" x14ac:dyDescent="0.25">
      <c r="A11" s="52" t="s">
        <v>37</v>
      </c>
      <c r="B11" s="52"/>
      <c r="C11" s="52"/>
      <c r="D11" s="5">
        <f>D10*D9</f>
        <v>240000</v>
      </c>
      <c r="O11" s="51"/>
      <c r="P11" s="30">
        <v>7</v>
      </c>
      <c r="Q11" s="50"/>
      <c r="R11" s="5">
        <v>3180</v>
      </c>
      <c r="S11" s="11">
        <f t="shared" si="0"/>
        <v>190800</v>
      </c>
      <c r="T11" s="11">
        <f t="shared" si="1"/>
        <v>1384800</v>
      </c>
    </row>
    <row r="12" spans="1:20" x14ac:dyDescent="0.25">
      <c r="A12" s="52" t="s">
        <v>38</v>
      </c>
      <c r="B12" s="52"/>
      <c r="C12" s="52"/>
      <c r="D12" s="6">
        <f>D11*C5</f>
        <v>28800000</v>
      </c>
      <c r="O12" s="51"/>
      <c r="P12" s="30">
        <v>8</v>
      </c>
      <c r="Q12" s="50"/>
      <c r="R12" s="5">
        <v>3180</v>
      </c>
      <c r="S12" s="11">
        <f t="shared" si="0"/>
        <v>190800</v>
      </c>
      <c r="T12" s="11">
        <f t="shared" si="1"/>
        <v>1575600</v>
      </c>
    </row>
    <row r="13" spans="1:20" x14ac:dyDescent="0.25">
      <c r="O13" s="51"/>
      <c r="P13" s="30">
        <v>9</v>
      </c>
      <c r="Q13" s="50"/>
      <c r="R13" s="5">
        <v>3180</v>
      </c>
      <c r="S13" s="11">
        <f t="shared" si="0"/>
        <v>190800</v>
      </c>
      <c r="T13" s="11">
        <f t="shared" si="1"/>
        <v>1766400</v>
      </c>
    </row>
    <row r="14" spans="1:20" x14ac:dyDescent="0.25">
      <c r="A14" s="48" t="s">
        <v>39</v>
      </c>
      <c r="B14" s="48"/>
      <c r="C14" s="48"/>
      <c r="D14" s="48"/>
      <c r="E14" s="48"/>
      <c r="F14" s="48"/>
      <c r="G14" s="48"/>
      <c r="H14" s="48"/>
      <c r="O14" s="51"/>
      <c r="P14" s="30">
        <v>10</v>
      </c>
      <c r="Q14" s="50"/>
      <c r="R14" s="5">
        <v>3180</v>
      </c>
      <c r="S14" s="11">
        <f t="shared" si="0"/>
        <v>190800</v>
      </c>
      <c r="T14" s="11">
        <f t="shared" si="1"/>
        <v>1957200</v>
      </c>
    </row>
    <row r="15" spans="1:20" x14ac:dyDescent="0.25">
      <c r="A15" s="4" t="s">
        <v>40</v>
      </c>
      <c r="B15" s="4" t="s">
        <v>41</v>
      </c>
      <c r="C15" s="5" t="s">
        <v>42</v>
      </c>
      <c r="D15" s="5" t="s">
        <v>43</v>
      </c>
      <c r="E15" s="5" t="s">
        <v>44</v>
      </c>
      <c r="F15" s="49" t="s">
        <v>45</v>
      </c>
      <c r="G15" s="49"/>
      <c r="H15" s="49"/>
      <c r="O15" s="51"/>
      <c r="P15" s="30">
        <v>11</v>
      </c>
      <c r="Q15" s="50"/>
      <c r="R15" s="5">
        <v>3180</v>
      </c>
      <c r="S15" s="11">
        <f t="shared" si="0"/>
        <v>190800</v>
      </c>
      <c r="T15" s="11">
        <f t="shared" si="1"/>
        <v>2148000</v>
      </c>
    </row>
    <row r="16" spans="1:20" ht="18" x14ac:dyDescent="0.35">
      <c r="A16" s="7" t="s">
        <v>46</v>
      </c>
      <c r="B16" s="21">
        <f>-0.034*LN(T31)+1.6042</f>
        <v>0.94087430242528358</v>
      </c>
      <c r="C16" s="21">
        <f>-0.034*LN(U31)+1.6042</f>
        <v>0.97202818730900487</v>
      </c>
      <c r="D16" s="21">
        <f>-0.034*LN(V31)+1.6042</f>
        <v>0.97202818730900487</v>
      </c>
      <c r="E16" s="21">
        <f>-0.034*LN(W31)+1.6042</f>
        <v>1.011575314842398</v>
      </c>
      <c r="F16" s="46" t="s">
        <v>47</v>
      </c>
      <c r="G16" s="46"/>
      <c r="H16" s="46"/>
      <c r="O16" s="51"/>
      <c r="P16" s="30">
        <v>12</v>
      </c>
      <c r="Q16" s="50"/>
      <c r="R16" s="5">
        <v>3180</v>
      </c>
      <c r="S16" s="11">
        <f t="shared" si="0"/>
        <v>190800</v>
      </c>
      <c r="T16" s="11">
        <f t="shared" si="1"/>
        <v>2338800</v>
      </c>
    </row>
    <row r="17" spans="1:23" ht="18" x14ac:dyDescent="0.35">
      <c r="A17" s="7" t="s">
        <v>48</v>
      </c>
      <c r="B17" s="5">
        <v>104</v>
      </c>
      <c r="C17" s="5">
        <f>B17</f>
        <v>104</v>
      </c>
      <c r="D17" s="5">
        <f>C17</f>
        <v>104</v>
      </c>
      <c r="E17" s="5">
        <f>D17</f>
        <v>104</v>
      </c>
      <c r="F17" s="46" t="s">
        <v>49</v>
      </c>
      <c r="G17" s="46"/>
      <c r="H17" s="46"/>
      <c r="O17" s="51" t="s">
        <v>50</v>
      </c>
      <c r="P17" s="30">
        <v>13</v>
      </c>
      <c r="Q17" s="50" t="s">
        <v>51</v>
      </c>
      <c r="R17" s="5">
        <v>0</v>
      </c>
      <c r="S17" s="11">
        <f t="shared" si="0"/>
        <v>0</v>
      </c>
      <c r="T17" s="11">
        <f t="shared" si="1"/>
        <v>2338800</v>
      </c>
    </row>
    <row r="18" spans="1:23" ht="18" x14ac:dyDescent="0.35">
      <c r="A18" s="7" t="s">
        <v>52</v>
      </c>
      <c r="B18" s="5">
        <f>(460+B17)/620</f>
        <v>0.9096774193548387</v>
      </c>
      <c r="C18" s="5">
        <f>(460+C17)/620</f>
        <v>0.9096774193548387</v>
      </c>
      <c r="D18" s="5">
        <f>(460+D17)/620</f>
        <v>0.9096774193548387</v>
      </c>
      <c r="E18" s="5">
        <f>(460+E17)/620</f>
        <v>0.9096774193548387</v>
      </c>
      <c r="F18" s="46" t="s">
        <v>53</v>
      </c>
      <c r="G18" s="46"/>
      <c r="H18" s="46"/>
      <c r="O18" s="51"/>
      <c r="P18" s="30">
        <v>14</v>
      </c>
      <c r="Q18" s="50"/>
      <c r="R18" s="5">
        <v>0</v>
      </c>
      <c r="S18" s="11">
        <f t="shared" si="0"/>
        <v>0</v>
      </c>
      <c r="T18" s="11">
        <f t="shared" si="1"/>
        <v>2338800</v>
      </c>
    </row>
    <row r="19" spans="1:23" ht="18" x14ac:dyDescent="0.35">
      <c r="A19" s="7" t="s">
        <v>54</v>
      </c>
      <c r="B19" s="5">
        <v>1</v>
      </c>
      <c r="C19" s="5">
        <f>B19</f>
        <v>1</v>
      </c>
      <c r="D19" s="5">
        <f>B19</f>
        <v>1</v>
      </c>
      <c r="E19" s="5">
        <f>B19</f>
        <v>1</v>
      </c>
      <c r="F19" s="47">
        <v>0.99</v>
      </c>
      <c r="G19" s="47"/>
      <c r="H19" s="47"/>
      <c r="O19" s="51"/>
      <c r="P19" s="30">
        <v>15</v>
      </c>
      <c r="Q19" s="50"/>
      <c r="R19" s="5">
        <v>0</v>
      </c>
      <c r="S19" s="11">
        <f t="shared" si="0"/>
        <v>0</v>
      </c>
      <c r="T19" s="11">
        <f t="shared" si="1"/>
        <v>2338800</v>
      </c>
    </row>
    <row r="20" spans="1:23" ht="18" x14ac:dyDescent="0.35">
      <c r="A20" s="7" t="s">
        <v>55</v>
      </c>
      <c r="B20" s="8">
        <f>(B16*$J7)/(B18*B19)</f>
        <v>465.43250066782645</v>
      </c>
      <c r="C20" s="8">
        <f>(C16*$J7)/(C18*C19)</f>
        <v>480.84373095605031</v>
      </c>
      <c r="D20" s="8">
        <f>(D16*$J7)/(D18*D19)</f>
        <v>480.84373095605031</v>
      </c>
      <c r="E20" s="8">
        <f>(E16*$J7)/(E18*E19)</f>
        <v>500.40693766139901</v>
      </c>
      <c r="F20" s="46" t="s">
        <v>56</v>
      </c>
      <c r="G20" s="46"/>
      <c r="H20" s="46"/>
      <c r="O20" s="51"/>
      <c r="P20" s="30">
        <v>16</v>
      </c>
      <c r="Q20" s="50"/>
      <c r="R20" s="5">
        <v>0</v>
      </c>
      <c r="S20" s="11">
        <f t="shared" si="0"/>
        <v>0</v>
      </c>
      <c r="T20" s="11">
        <f t="shared" si="1"/>
        <v>2338800</v>
      </c>
    </row>
    <row r="21" spans="1:23" x14ac:dyDescent="0.25">
      <c r="O21" s="50" t="s">
        <v>57</v>
      </c>
      <c r="P21" s="30">
        <v>17</v>
      </c>
      <c r="Q21" s="50" t="s">
        <v>58</v>
      </c>
      <c r="R21" s="5">
        <v>2555</v>
      </c>
      <c r="S21" s="11">
        <f t="shared" si="0"/>
        <v>153300</v>
      </c>
      <c r="T21" s="11">
        <f t="shared" si="1"/>
        <v>2492100</v>
      </c>
    </row>
    <row r="22" spans="1:23" x14ac:dyDescent="0.25">
      <c r="A22" s="48" t="s">
        <v>59</v>
      </c>
      <c r="B22" s="48"/>
      <c r="C22" s="48"/>
      <c r="D22" s="48"/>
      <c r="E22" s="48"/>
      <c r="F22" s="48"/>
      <c r="G22" s="48"/>
      <c r="H22" s="48"/>
      <c r="O22" s="50"/>
      <c r="P22" s="30">
        <v>18</v>
      </c>
      <c r="Q22" s="50"/>
      <c r="R22" s="5">
        <v>2555</v>
      </c>
      <c r="S22" s="11">
        <f t="shared" si="0"/>
        <v>153300</v>
      </c>
      <c r="T22" s="11">
        <f t="shared" si="1"/>
        <v>2645400</v>
      </c>
    </row>
    <row r="23" spans="1:23" x14ac:dyDescent="0.25">
      <c r="A23" s="4" t="s">
        <v>40</v>
      </c>
      <c r="B23" s="4" t="s">
        <v>41</v>
      </c>
      <c r="C23" s="5" t="s">
        <v>42</v>
      </c>
      <c r="D23" s="5" t="s">
        <v>43</v>
      </c>
      <c r="E23" s="5" t="s">
        <v>44</v>
      </c>
      <c r="F23" s="49" t="s">
        <v>45</v>
      </c>
      <c r="G23" s="49"/>
      <c r="H23" s="49"/>
      <c r="O23" s="50"/>
      <c r="P23" s="30">
        <v>19</v>
      </c>
      <c r="Q23" s="50"/>
      <c r="R23" s="5">
        <v>2555</v>
      </c>
      <c r="S23" s="11">
        <f t="shared" si="0"/>
        <v>153300</v>
      </c>
      <c r="T23" s="11">
        <f t="shared" si="1"/>
        <v>2798700</v>
      </c>
    </row>
    <row r="24" spans="1:23" ht="18" x14ac:dyDescent="0.35">
      <c r="A24" s="7" t="s">
        <v>60</v>
      </c>
      <c r="B24" s="21">
        <f>-0.045*LN(T31)+1.7233</f>
        <v>0.84536892968052246</v>
      </c>
      <c r="C24" s="21">
        <f>-0.045*LN(U31)+1.7233</f>
        <v>0.88660201261485949</v>
      </c>
      <c r="D24" s="21">
        <f>-0.045*LN(V31)+1.7233</f>
        <v>0.88660201261485949</v>
      </c>
      <c r="E24" s="21">
        <f>-0.045*LN(W31)+1.7233</f>
        <v>0.93894379905611502</v>
      </c>
      <c r="F24" s="46" t="s">
        <v>47</v>
      </c>
      <c r="G24" s="46"/>
      <c r="H24" s="46"/>
      <c r="O24" s="50"/>
      <c r="P24" s="30">
        <v>20</v>
      </c>
      <c r="Q24" s="50"/>
      <c r="R24" s="5">
        <v>2555</v>
      </c>
      <c r="S24" s="11">
        <f t="shared" si="0"/>
        <v>153300</v>
      </c>
      <c r="T24" s="11">
        <f t="shared" si="1"/>
        <v>2952000</v>
      </c>
    </row>
    <row r="25" spans="1:23" ht="18" x14ac:dyDescent="0.35">
      <c r="A25" s="7" t="s">
        <v>48</v>
      </c>
      <c r="B25" s="5">
        <f>B17</f>
        <v>104</v>
      </c>
      <c r="C25" s="5">
        <f>$C17</f>
        <v>104</v>
      </c>
      <c r="D25" s="5">
        <f>$C17</f>
        <v>104</v>
      </c>
      <c r="E25" s="5">
        <f>$C17</f>
        <v>104</v>
      </c>
      <c r="F25" s="46" t="s">
        <v>49</v>
      </c>
      <c r="G25" s="46"/>
      <c r="H25" s="46"/>
      <c r="O25" s="50"/>
      <c r="P25" s="30">
        <v>21</v>
      </c>
      <c r="Q25" s="50"/>
      <c r="R25" s="5">
        <v>2555</v>
      </c>
      <c r="S25" s="11">
        <f t="shared" si="0"/>
        <v>153300</v>
      </c>
      <c r="T25" s="11">
        <f t="shared" si="1"/>
        <v>3105300</v>
      </c>
    </row>
    <row r="26" spans="1:23" ht="18" x14ac:dyDescent="0.35">
      <c r="A26" s="7" t="s">
        <v>61</v>
      </c>
      <c r="B26" s="5">
        <f>B18</f>
        <v>0.9096774193548387</v>
      </c>
      <c r="C26" s="5">
        <f t="shared" ref="C26:E27" si="2">C18</f>
        <v>0.9096774193548387</v>
      </c>
      <c r="D26" s="5">
        <f t="shared" si="2"/>
        <v>0.9096774193548387</v>
      </c>
      <c r="E26" s="5">
        <f t="shared" si="2"/>
        <v>0.9096774193548387</v>
      </c>
      <c r="F26" s="46" t="s">
        <v>53</v>
      </c>
      <c r="G26" s="46"/>
      <c r="H26" s="46"/>
      <c r="O26" s="50"/>
      <c r="P26" s="30">
        <v>22</v>
      </c>
      <c r="Q26" s="50"/>
      <c r="R26" s="5">
        <v>2555</v>
      </c>
      <c r="S26" s="11">
        <f t="shared" si="0"/>
        <v>153300</v>
      </c>
      <c r="T26" s="11">
        <f t="shared" si="1"/>
        <v>3258600</v>
      </c>
    </row>
    <row r="27" spans="1:23" ht="18" x14ac:dyDescent="0.35">
      <c r="A27" s="7" t="s">
        <v>62</v>
      </c>
      <c r="B27" s="5">
        <f>B19</f>
        <v>1</v>
      </c>
      <c r="C27" s="5">
        <f t="shared" si="2"/>
        <v>1</v>
      </c>
      <c r="D27" s="5">
        <f t="shared" si="2"/>
        <v>1</v>
      </c>
      <c r="E27" s="5">
        <f t="shared" si="2"/>
        <v>1</v>
      </c>
      <c r="F27" s="47">
        <f>F19</f>
        <v>0.99</v>
      </c>
      <c r="G27" s="47"/>
      <c r="H27" s="47"/>
      <c r="O27" s="50"/>
      <c r="P27" s="30">
        <v>23</v>
      </c>
      <c r="Q27" s="50"/>
      <c r="R27" s="5">
        <v>2555</v>
      </c>
      <c r="S27" s="11">
        <f t="shared" si="0"/>
        <v>153300</v>
      </c>
      <c r="T27" s="11">
        <f t="shared" si="1"/>
        <v>3411900</v>
      </c>
    </row>
    <row r="28" spans="1:23" ht="18" x14ac:dyDescent="0.35">
      <c r="A28" s="7" t="s">
        <v>63</v>
      </c>
      <c r="B28" s="5">
        <v>1</v>
      </c>
      <c r="C28" s="5">
        <f>$B28</f>
        <v>1</v>
      </c>
      <c r="D28" s="5">
        <f>$B28</f>
        <v>1</v>
      </c>
      <c r="E28" s="5">
        <f>$B28</f>
        <v>1</v>
      </c>
      <c r="F28" s="47" t="s">
        <v>64</v>
      </c>
      <c r="G28" s="47"/>
      <c r="H28" s="47"/>
      <c r="O28" s="50"/>
      <c r="P28" s="30">
        <v>24</v>
      </c>
      <c r="Q28" s="50"/>
      <c r="R28" s="5">
        <v>2555</v>
      </c>
      <c r="S28" s="11">
        <f t="shared" si="0"/>
        <v>153300</v>
      </c>
      <c r="T28" s="11">
        <f t="shared" si="1"/>
        <v>3565200</v>
      </c>
    </row>
    <row r="29" spans="1:23" ht="18" x14ac:dyDescent="0.35">
      <c r="A29" s="7" t="s">
        <v>65</v>
      </c>
      <c r="B29" s="8">
        <f>(B24*B28*$J8)/(B26*B27)</f>
        <v>1393.9594053242658</v>
      </c>
      <c r="C29" s="8">
        <f>(C24*C28*$J8)/(C26*C27)</f>
        <v>1461.9501271840768</v>
      </c>
      <c r="D29" s="8">
        <f>(D24*D28*$J8)/(D26*D27)</f>
        <v>1461.9501271840768</v>
      </c>
      <c r="E29" s="8">
        <f>(E24*E28*$J8)/(E26*E27)</f>
        <v>1548.2583920606153</v>
      </c>
      <c r="F29" s="46" t="s">
        <v>56</v>
      </c>
      <c r="G29" s="46"/>
      <c r="H29" s="46"/>
      <c r="S29" s="5" t="s">
        <v>66</v>
      </c>
      <c r="T29" s="12">
        <f>T28/24</f>
        <v>148550</v>
      </c>
      <c r="U29" t="s">
        <v>67</v>
      </c>
    </row>
    <row r="30" spans="1:23" x14ac:dyDescent="0.25">
      <c r="S30" s="14" t="s">
        <v>68</v>
      </c>
      <c r="T30" s="15">
        <f>T29*2000</f>
        <v>297100000</v>
      </c>
    </row>
    <row r="31" spans="1:23" x14ac:dyDescent="0.25">
      <c r="S31" s="8" t="s">
        <v>69</v>
      </c>
      <c r="T31" s="13">
        <f>T30</f>
        <v>297100000</v>
      </c>
      <c r="U31" s="13">
        <f>T31*(T33/U33)</f>
        <v>118840000</v>
      </c>
      <c r="V31" s="13">
        <f>U31</f>
        <v>118840000</v>
      </c>
      <c r="W31" s="13">
        <f>V31*(V33/W33)</f>
        <v>37137500</v>
      </c>
    </row>
    <row r="32" spans="1:23" x14ac:dyDescent="0.25">
      <c r="S32" s="5"/>
      <c r="T32" s="5" t="s">
        <v>41</v>
      </c>
      <c r="U32" s="5" t="s">
        <v>42</v>
      </c>
      <c r="V32" s="5" t="s">
        <v>43</v>
      </c>
      <c r="W32" s="5" t="s">
        <v>44</v>
      </c>
    </row>
    <row r="33" spans="19:24" x14ac:dyDescent="0.25">
      <c r="S33" s="5" t="s">
        <v>70</v>
      </c>
      <c r="T33" s="5">
        <v>18</v>
      </c>
      <c r="U33" s="5">
        <v>45</v>
      </c>
      <c r="V33" s="5">
        <v>20</v>
      </c>
      <c r="W33" s="5">
        <v>64</v>
      </c>
      <c r="X33">
        <f>(U33/T33)*(W33/V33)</f>
        <v>8</v>
      </c>
    </row>
  </sheetData>
  <mergeCells count="48">
    <mergeCell ref="G1:K1"/>
    <mergeCell ref="A9:C9"/>
    <mergeCell ref="A10:C10"/>
    <mergeCell ref="A11:C11"/>
    <mergeCell ref="A12:C12"/>
    <mergeCell ref="A2:B2"/>
    <mergeCell ref="A3:B3"/>
    <mergeCell ref="A4:B4"/>
    <mergeCell ref="A5:B5"/>
    <mergeCell ref="A1:C1"/>
    <mergeCell ref="A7:D7"/>
    <mergeCell ref="A8:C8"/>
    <mergeCell ref="J2:K2"/>
    <mergeCell ref="G6:I6"/>
    <mergeCell ref="G5:I5"/>
    <mergeCell ref="G4:I4"/>
    <mergeCell ref="G3:I3"/>
    <mergeCell ref="G2:I2"/>
    <mergeCell ref="G7:I7"/>
    <mergeCell ref="J3:K3"/>
    <mergeCell ref="J4:K4"/>
    <mergeCell ref="J5:K5"/>
    <mergeCell ref="J6:K6"/>
    <mergeCell ref="J7:K7"/>
    <mergeCell ref="G8:I8"/>
    <mergeCell ref="J8:K8"/>
    <mergeCell ref="F23:H23"/>
    <mergeCell ref="F24:H24"/>
    <mergeCell ref="F25:H25"/>
    <mergeCell ref="Q21:Q28"/>
    <mergeCell ref="O3:T3"/>
    <mergeCell ref="Q6:Q16"/>
    <mergeCell ref="Q17:Q20"/>
    <mergeCell ref="O6:O16"/>
    <mergeCell ref="O17:O20"/>
    <mergeCell ref="O21:O28"/>
    <mergeCell ref="F26:H26"/>
    <mergeCell ref="F27:H27"/>
    <mergeCell ref="F28:H28"/>
    <mergeCell ref="F29:H29"/>
    <mergeCell ref="A14:H14"/>
    <mergeCell ref="A22:H22"/>
    <mergeCell ref="F15:H15"/>
    <mergeCell ref="F16:H16"/>
    <mergeCell ref="F17:H17"/>
    <mergeCell ref="F18:H18"/>
    <mergeCell ref="F19:H19"/>
    <mergeCell ref="F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15"/>
  <sheetViews>
    <sheetView workbookViewId="0">
      <selection activeCell="G10" sqref="G10"/>
    </sheetView>
  </sheetViews>
  <sheetFormatPr defaultRowHeight="15" x14ac:dyDescent="0.25"/>
  <cols>
    <col min="2" max="2" width="23.42578125" customWidth="1"/>
  </cols>
  <sheetData>
    <row r="2" spans="2:6" x14ac:dyDescent="0.25">
      <c r="B2" s="23" t="s">
        <v>71</v>
      </c>
      <c r="C2" s="23">
        <v>2</v>
      </c>
      <c r="D2" s="23">
        <v>3</v>
      </c>
      <c r="E2" s="23">
        <v>4</v>
      </c>
      <c r="F2" s="23">
        <v>5</v>
      </c>
    </row>
    <row r="3" spans="2:6" x14ac:dyDescent="0.25">
      <c r="B3" s="24" t="s">
        <v>72</v>
      </c>
      <c r="C3" s="25">
        <v>18</v>
      </c>
      <c r="D3" s="25">
        <v>45</v>
      </c>
      <c r="E3" s="25">
        <v>20</v>
      </c>
      <c r="F3" s="25">
        <v>64</v>
      </c>
    </row>
    <row r="4" spans="2:6" x14ac:dyDescent="0.25">
      <c r="B4" s="24" t="s">
        <v>73</v>
      </c>
      <c r="C4" s="25">
        <v>3</v>
      </c>
      <c r="D4" s="25">
        <v>3</v>
      </c>
      <c r="E4" s="25">
        <v>3</v>
      </c>
      <c r="F4" s="25">
        <v>3</v>
      </c>
    </row>
    <row r="5" spans="2:6" x14ac:dyDescent="0.25">
      <c r="B5" s="24" t="s">
        <v>74</v>
      </c>
      <c r="C5" s="25">
        <v>24</v>
      </c>
      <c r="D5" s="25">
        <v>24</v>
      </c>
      <c r="E5" s="25">
        <v>35</v>
      </c>
      <c r="F5" s="25">
        <v>35</v>
      </c>
    </row>
    <row r="6" spans="2:6" x14ac:dyDescent="0.25">
      <c r="B6" s="28" t="s">
        <v>75</v>
      </c>
      <c r="C6" s="25">
        <v>20</v>
      </c>
      <c r="D6" s="25">
        <v>20</v>
      </c>
      <c r="E6" s="25">
        <v>20</v>
      </c>
      <c r="F6" s="25">
        <v>20</v>
      </c>
    </row>
    <row r="7" spans="2:6" x14ac:dyDescent="0.25">
      <c r="B7" s="24" t="s">
        <v>232</v>
      </c>
      <c r="C7" s="26">
        <v>2.3620000000000001</v>
      </c>
      <c r="D7" s="26">
        <v>2.2839999999999998</v>
      </c>
      <c r="E7" s="26">
        <v>1.5249999999999999</v>
      </c>
      <c r="F7" s="26">
        <v>1.4590000000000001</v>
      </c>
    </row>
    <row r="8" spans="2:6" x14ac:dyDescent="0.25">
      <c r="B8" s="24" t="s">
        <v>76</v>
      </c>
      <c r="C8" s="26">
        <v>1.49</v>
      </c>
      <c r="D8" s="26">
        <v>3.371</v>
      </c>
      <c r="E8" s="26">
        <v>1.083</v>
      </c>
      <c r="F8" s="26">
        <v>3.03</v>
      </c>
    </row>
    <row r="9" spans="2:6" x14ac:dyDescent="0.25">
      <c r="B9" s="24" t="s">
        <v>77</v>
      </c>
      <c r="C9" s="27">
        <f>C4*C3</f>
        <v>54</v>
      </c>
      <c r="D9" s="27">
        <f>D4*D3</f>
        <v>135</v>
      </c>
      <c r="E9" s="27">
        <f>E4*E3</f>
        <v>60</v>
      </c>
      <c r="F9" s="27">
        <f>F4*F3</f>
        <v>192</v>
      </c>
    </row>
    <row r="10" spans="2:6" x14ac:dyDescent="0.25">
      <c r="B10" s="24" t="s">
        <v>78</v>
      </c>
      <c r="C10">
        <f>C9+(2*C4)</f>
        <v>60</v>
      </c>
      <c r="D10">
        <f>D9+(2*D4)</f>
        <v>141</v>
      </c>
      <c r="E10">
        <f>E9+(2*E4)</f>
        <v>66</v>
      </c>
      <c r="F10">
        <f>F9+(2*F4)</f>
        <v>198</v>
      </c>
    </row>
    <row r="15" spans="2:6" x14ac:dyDescent="0.25">
      <c r="B15" t="s">
        <v>79</v>
      </c>
      <c r="C15">
        <f>C4*(2+F3+0.5*E3+0.5*D3)</f>
        <v>295.5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Q25"/>
  <sheetViews>
    <sheetView workbookViewId="0">
      <selection activeCell="O37" sqref="O37"/>
    </sheetView>
  </sheetViews>
  <sheetFormatPr defaultRowHeight="15" x14ac:dyDescent="0.25"/>
  <cols>
    <col min="2" max="2" width="13.42578125" customWidth="1"/>
  </cols>
  <sheetData>
    <row r="2" spans="2:17" ht="18" x14ac:dyDescent="0.35">
      <c r="B2" s="48" t="s">
        <v>80</v>
      </c>
      <c r="C2" s="48"/>
    </row>
    <row r="3" spans="2:17" x14ac:dyDescent="0.25">
      <c r="B3" s="17" t="s">
        <v>81</v>
      </c>
      <c r="C3" s="17" t="s">
        <v>82</v>
      </c>
      <c r="N3" t="s">
        <v>83</v>
      </c>
    </row>
    <row r="4" spans="2:17" x14ac:dyDescent="0.25">
      <c r="B4" s="19">
        <f>10^7</f>
        <v>10000000</v>
      </c>
      <c r="C4" s="20">
        <v>1.05</v>
      </c>
      <c r="N4">
        <f>-0.034*LN(1)+1.6042</f>
        <v>1.6042000000000001</v>
      </c>
    </row>
    <row r="5" spans="2:17" x14ac:dyDescent="0.25">
      <c r="B5" s="19">
        <f>10^10</f>
        <v>10000000000</v>
      </c>
      <c r="C5" s="20">
        <v>0.8125</v>
      </c>
    </row>
    <row r="6" spans="2:17" x14ac:dyDescent="0.25">
      <c r="B6" s="16" t="s">
        <v>84</v>
      </c>
    </row>
    <row r="7" spans="2:17" x14ac:dyDescent="0.25">
      <c r="B7" s="3" t="s">
        <v>85</v>
      </c>
      <c r="C7" t="s">
        <v>86</v>
      </c>
    </row>
    <row r="8" spans="2:17" x14ac:dyDescent="0.25">
      <c r="B8" s="16"/>
      <c r="O8" s="22"/>
    </row>
    <row r="9" spans="2:17" ht="15" customHeight="1" x14ac:dyDescent="0.25">
      <c r="N9" s="54" t="s">
        <v>87</v>
      </c>
      <c r="O9" s="54"/>
      <c r="P9" s="54"/>
      <c r="Q9" s="54"/>
    </row>
    <row r="10" spans="2:17" x14ac:dyDescent="0.25">
      <c r="N10" s="54"/>
      <c r="O10" s="54"/>
      <c r="P10" s="54"/>
      <c r="Q10" s="54"/>
    </row>
    <row r="11" spans="2:17" x14ac:dyDescent="0.25">
      <c r="B11" s="16"/>
      <c r="N11" s="54"/>
      <c r="O11" s="54"/>
      <c r="P11" s="54"/>
      <c r="Q11" s="54"/>
    </row>
    <row r="12" spans="2:17" x14ac:dyDescent="0.25">
      <c r="B12" s="16"/>
      <c r="N12" s="54"/>
      <c r="O12" s="54"/>
      <c r="P12" s="54"/>
      <c r="Q12" s="54"/>
    </row>
    <row r="13" spans="2:17" x14ac:dyDescent="0.25">
      <c r="N13" s="54"/>
      <c r="O13" s="54"/>
      <c r="P13" s="54"/>
      <c r="Q13" s="54"/>
    </row>
    <row r="14" spans="2:17" x14ac:dyDescent="0.25">
      <c r="N14" s="54"/>
      <c r="O14" s="54"/>
      <c r="P14" s="54"/>
      <c r="Q14" s="54"/>
    </row>
    <row r="15" spans="2:17" x14ac:dyDescent="0.25">
      <c r="N15" s="54"/>
      <c r="O15" s="54"/>
      <c r="P15" s="54"/>
      <c r="Q15" s="54"/>
    </row>
    <row r="16" spans="2:17" x14ac:dyDescent="0.25">
      <c r="N16" s="54"/>
      <c r="O16" s="54"/>
      <c r="P16" s="54"/>
      <c r="Q16" s="54"/>
    </row>
    <row r="17" spans="2:17" x14ac:dyDescent="0.25">
      <c r="N17" s="54"/>
      <c r="O17" s="54"/>
      <c r="P17" s="54"/>
      <c r="Q17" s="54"/>
    </row>
    <row r="20" spans="2:17" ht="18" x14ac:dyDescent="0.35">
      <c r="B20" s="48" t="s">
        <v>88</v>
      </c>
      <c r="C20" s="48"/>
    </row>
    <row r="21" spans="2:17" x14ac:dyDescent="0.25">
      <c r="B21" s="17" t="s">
        <v>81</v>
      </c>
      <c r="C21" s="17" t="s">
        <v>82</v>
      </c>
    </row>
    <row r="22" spans="2:17" x14ac:dyDescent="0.25">
      <c r="B22" s="18">
        <f>10^7</f>
        <v>10000000</v>
      </c>
      <c r="C22" s="29">
        <v>1</v>
      </c>
      <c r="N22" t="s">
        <v>89</v>
      </c>
    </row>
    <row r="23" spans="2:17" x14ac:dyDescent="0.25">
      <c r="B23" s="18">
        <f>10^10</f>
        <v>10000000000</v>
      </c>
      <c r="C23" s="29">
        <v>0.69</v>
      </c>
      <c r="N23">
        <f>-0.045*LN(1)+1.7233</f>
        <v>1.7233000000000001</v>
      </c>
    </row>
    <row r="24" spans="2:17" x14ac:dyDescent="0.25">
      <c r="B24" s="16" t="s">
        <v>84</v>
      </c>
    </row>
    <row r="25" spans="2:17" x14ac:dyDescent="0.25">
      <c r="B25" s="3" t="s">
        <v>90</v>
      </c>
      <c r="C25" t="s">
        <v>91</v>
      </c>
    </row>
  </sheetData>
  <mergeCells count="3">
    <mergeCell ref="B2:C2"/>
    <mergeCell ref="B20:C20"/>
    <mergeCell ref="N9:Q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F64"/>
  <sheetViews>
    <sheetView topLeftCell="B1" zoomScale="70" zoomScaleNormal="70" workbookViewId="0">
      <selection activeCell="Z5" sqref="Z5"/>
    </sheetView>
  </sheetViews>
  <sheetFormatPr defaultRowHeight="15" x14ac:dyDescent="0.25"/>
  <cols>
    <col min="2" max="2" width="14.140625" bestFit="1" customWidth="1"/>
    <col min="3" max="3" width="13" customWidth="1"/>
    <col min="5" max="5" width="24.5703125" customWidth="1"/>
    <col min="6" max="6" width="12.85546875" bestFit="1" customWidth="1"/>
    <col min="8" max="8" width="38.5703125" bestFit="1" customWidth="1"/>
    <col min="9" max="9" width="12" bestFit="1" customWidth="1"/>
    <col min="30" max="30" width="28.7109375" customWidth="1"/>
  </cols>
  <sheetData>
    <row r="2" spans="2:32" x14ac:dyDescent="0.25">
      <c r="B2" s="1" t="s">
        <v>92</v>
      </c>
      <c r="H2" s="1" t="s">
        <v>128</v>
      </c>
    </row>
    <row r="3" spans="2:32" x14ac:dyDescent="0.25">
      <c r="H3" s="1" t="s">
        <v>127</v>
      </c>
      <c r="I3" s="1" t="s">
        <v>2</v>
      </c>
      <c r="J3" s="32" t="s">
        <v>94</v>
      </c>
      <c r="K3" s="1" t="s">
        <v>95</v>
      </c>
    </row>
    <row r="4" spans="2:32" x14ac:dyDescent="0.25">
      <c r="B4" s="1" t="s">
        <v>93</v>
      </c>
      <c r="C4" s="1" t="s">
        <v>2</v>
      </c>
      <c r="D4" s="32" t="s">
        <v>94</v>
      </c>
      <c r="E4" s="1" t="s">
        <v>95</v>
      </c>
      <c r="H4" t="s">
        <v>129</v>
      </c>
      <c r="I4">
        <v>70</v>
      </c>
      <c r="J4" s="2" t="s">
        <v>119</v>
      </c>
    </row>
    <row r="5" spans="2:32" x14ac:dyDescent="0.25">
      <c r="D5" s="2"/>
      <c r="H5" t="s">
        <v>138</v>
      </c>
      <c r="I5">
        <v>27.5</v>
      </c>
      <c r="J5" s="2" t="s">
        <v>119</v>
      </c>
      <c r="AD5" s="1" t="s">
        <v>125</v>
      </c>
    </row>
    <row r="6" spans="2:32" ht="17.25" x14ac:dyDescent="0.25">
      <c r="B6" s="1" t="s">
        <v>96</v>
      </c>
      <c r="C6" s="16">
        <f>52766.36/(1000*1000*1000)</f>
        <v>5.2766360000000001E-5</v>
      </c>
      <c r="D6" s="32" t="s">
        <v>97</v>
      </c>
      <c r="H6" s="33" t="s">
        <v>139</v>
      </c>
      <c r="I6">
        <v>42.5</v>
      </c>
      <c r="J6" s="2" t="s">
        <v>119</v>
      </c>
      <c r="AD6" t="s">
        <v>100</v>
      </c>
      <c r="AE6">
        <v>7.8</v>
      </c>
      <c r="AF6" t="s">
        <v>101</v>
      </c>
    </row>
    <row r="7" spans="2:32" x14ac:dyDescent="0.25">
      <c r="B7" s="1" t="s">
        <v>98</v>
      </c>
      <c r="C7" s="3">
        <f>C6*AE6*1000</f>
        <v>0.41157760799999998</v>
      </c>
      <c r="D7" s="32" t="s">
        <v>99</v>
      </c>
    </row>
    <row r="8" spans="2:32" x14ac:dyDescent="0.25">
      <c r="B8" s="1" t="s">
        <v>102</v>
      </c>
      <c r="C8">
        <f>C7*9.81</f>
        <v>4.0375763344799998</v>
      </c>
      <c r="D8" s="32" t="s">
        <v>0</v>
      </c>
      <c r="E8" t="s">
        <v>103</v>
      </c>
      <c r="H8" t="s">
        <v>131</v>
      </c>
      <c r="I8">
        <f>C18*(I5) /I4</f>
        <v>1102.6064375785434</v>
      </c>
      <c r="J8" s="2" t="s">
        <v>0</v>
      </c>
      <c r="AD8" t="s">
        <v>126</v>
      </c>
    </row>
    <row r="9" spans="2:32" x14ac:dyDescent="0.25">
      <c r="B9" s="1" t="s">
        <v>118</v>
      </c>
      <c r="C9">
        <v>54</v>
      </c>
      <c r="D9" s="32" t="s">
        <v>119</v>
      </c>
      <c r="H9" t="s">
        <v>132</v>
      </c>
      <c r="I9">
        <f>C18-I8</f>
        <v>1704.0281308032033</v>
      </c>
      <c r="J9" s="2" t="s">
        <v>0</v>
      </c>
    </row>
    <row r="10" spans="2:32" x14ac:dyDescent="0.25">
      <c r="D10" s="2"/>
    </row>
    <row r="11" spans="2:32" x14ac:dyDescent="0.25">
      <c r="D11" s="2"/>
      <c r="G11" s="1"/>
      <c r="H11" s="1"/>
      <c r="I11" s="1"/>
      <c r="J11" s="1"/>
      <c r="K11" s="1"/>
      <c r="L11" s="1"/>
      <c r="M11" s="1"/>
      <c r="AD11" s="1" t="s">
        <v>114</v>
      </c>
    </row>
    <row r="12" spans="2:32" x14ac:dyDescent="0.25">
      <c r="B12" s="1" t="s">
        <v>111</v>
      </c>
      <c r="C12">
        <v>29827.994880000002</v>
      </c>
      <c r="D12" s="32" t="s">
        <v>109</v>
      </c>
      <c r="G12" s="1"/>
      <c r="H12" s="1"/>
      <c r="I12" s="1"/>
      <c r="J12" s="1"/>
      <c r="K12" s="1"/>
      <c r="L12" s="1"/>
      <c r="M12" s="1"/>
      <c r="AD12" t="s">
        <v>112</v>
      </c>
      <c r="AE12" s="16">
        <f>1000*1000*1000</f>
        <v>1000000000</v>
      </c>
    </row>
    <row r="13" spans="2:32" x14ac:dyDescent="0.25">
      <c r="B13" s="1" t="s">
        <v>19</v>
      </c>
      <c r="C13">
        <v>4000</v>
      </c>
      <c r="D13" s="32" t="s">
        <v>122</v>
      </c>
      <c r="AD13" t="s">
        <v>113</v>
      </c>
      <c r="AE13">
        <v>745.69987200000003</v>
      </c>
    </row>
    <row r="14" spans="2:32" x14ac:dyDescent="0.25">
      <c r="B14" s="1" t="s">
        <v>116</v>
      </c>
      <c r="C14">
        <f>(4000)*(2*PI() *(1/60))</f>
        <v>418.87902047863906</v>
      </c>
      <c r="D14" s="32" t="s">
        <v>120</v>
      </c>
      <c r="AD14" t="s">
        <v>117</v>
      </c>
      <c r="AE14">
        <f>2*PI() *(1/60)</f>
        <v>0.10471975511965977</v>
      </c>
    </row>
    <row r="15" spans="2:32" x14ac:dyDescent="0.25">
      <c r="B15" s="1" t="s">
        <v>115</v>
      </c>
      <c r="C15">
        <f>C12/C14</f>
        <v>71.209092415076199</v>
      </c>
      <c r="D15" s="32" t="s">
        <v>121</v>
      </c>
    </row>
    <row r="16" spans="2:32" x14ac:dyDescent="0.25">
      <c r="B16" s="1" t="s">
        <v>106</v>
      </c>
      <c r="C16">
        <f>C15*1000/(0.5*C9)</f>
        <v>2637.3737931509704</v>
      </c>
      <c r="D16" s="32" t="s">
        <v>0</v>
      </c>
    </row>
    <row r="17" spans="2:11" x14ac:dyDescent="0.25">
      <c r="B17" s="1" t="s">
        <v>105</v>
      </c>
      <c r="C17">
        <f>C16*TAN(20*(PI()/180))</f>
        <v>959.9255573407014</v>
      </c>
    </row>
    <row r="18" spans="2:11" x14ac:dyDescent="0.25">
      <c r="B18" s="1" t="s">
        <v>109</v>
      </c>
      <c r="C18">
        <f>SQRT(C16^2 + C17^2)</f>
        <v>2806.6345683817467</v>
      </c>
    </row>
    <row r="21" spans="2:11" x14ac:dyDescent="0.25">
      <c r="I21" s="33"/>
      <c r="J21" s="33"/>
      <c r="K21" s="33"/>
    </row>
    <row r="22" spans="2:11" x14ac:dyDescent="0.25">
      <c r="B22" s="1" t="s">
        <v>104</v>
      </c>
      <c r="C22" s="1" t="s">
        <v>2</v>
      </c>
      <c r="D22" s="31" t="s">
        <v>94</v>
      </c>
      <c r="E22" s="1" t="s">
        <v>95</v>
      </c>
      <c r="H22" s="1" t="s">
        <v>130</v>
      </c>
      <c r="I22" s="1" t="s">
        <v>2</v>
      </c>
      <c r="J22" s="1" t="s">
        <v>94</v>
      </c>
      <c r="K22" s="1" t="s">
        <v>95</v>
      </c>
    </row>
    <row r="23" spans="2:11" ht="17.25" x14ac:dyDescent="0.25">
      <c r="B23" s="1" t="s">
        <v>96</v>
      </c>
      <c r="C23" s="16">
        <f>338611.09/(1000*1000*1000)</f>
        <v>3.3861109000000002E-4</v>
      </c>
      <c r="D23" s="31" t="s">
        <v>97</v>
      </c>
      <c r="H23" t="s">
        <v>129</v>
      </c>
      <c r="I23">
        <v>206</v>
      </c>
      <c r="J23" t="s">
        <v>119</v>
      </c>
    </row>
    <row r="24" spans="2:11" x14ac:dyDescent="0.25">
      <c r="B24" s="1" t="s">
        <v>98</v>
      </c>
      <c r="C24">
        <f>(AE6*C23)*1000</f>
        <v>2.6411665019999999</v>
      </c>
      <c r="D24" s="31" t="s">
        <v>99</v>
      </c>
      <c r="H24" t="s">
        <v>173</v>
      </c>
      <c r="I24">
        <v>35</v>
      </c>
      <c r="J24" t="s">
        <v>119</v>
      </c>
    </row>
    <row r="25" spans="2:11" x14ac:dyDescent="0.25">
      <c r="B25" s="1" t="s">
        <v>102</v>
      </c>
      <c r="C25">
        <f>C24*9.81</f>
        <v>25.90984338462</v>
      </c>
      <c r="D25" s="31" t="s">
        <v>0</v>
      </c>
      <c r="E25" t="s">
        <v>124</v>
      </c>
      <c r="H25" t="s">
        <v>174</v>
      </c>
      <c r="I25">
        <v>130.5</v>
      </c>
      <c r="J25" t="s">
        <v>119</v>
      </c>
    </row>
    <row r="26" spans="2:11" x14ac:dyDescent="0.25">
      <c r="B26" s="1" t="s">
        <v>118</v>
      </c>
      <c r="C26">
        <v>135</v>
      </c>
      <c r="D26" s="31" t="s">
        <v>119</v>
      </c>
      <c r="H26" t="s">
        <v>175</v>
      </c>
      <c r="I26">
        <v>40.5</v>
      </c>
      <c r="J26" t="s">
        <v>119</v>
      </c>
    </row>
    <row r="28" spans="2:11" x14ac:dyDescent="0.25">
      <c r="B28" s="1" t="s">
        <v>111</v>
      </c>
      <c r="C28">
        <v>29827.994880000002</v>
      </c>
      <c r="D28" s="32" t="s">
        <v>109</v>
      </c>
      <c r="H28" t="s">
        <v>131</v>
      </c>
      <c r="I28">
        <f>(C34*I24 + (I24+I25)*C49 )/(I24+I25+I26)</f>
        <v>5550.2561033714283</v>
      </c>
    </row>
    <row r="29" spans="2:11" x14ac:dyDescent="0.25">
      <c r="B29" s="1" t="s">
        <v>19</v>
      </c>
      <c r="C29">
        <f>4000*(18/45)</f>
        <v>1600</v>
      </c>
      <c r="D29" s="32" t="s">
        <v>122</v>
      </c>
      <c r="H29" t="s">
        <v>132</v>
      </c>
      <c r="I29">
        <f>C49+C34-I28</f>
        <v>3571.3062438692486</v>
      </c>
    </row>
    <row r="30" spans="2:11" x14ac:dyDescent="0.25">
      <c r="B30" s="1" t="s">
        <v>116</v>
      </c>
      <c r="C30">
        <f>(C29)*(2*PI() *(1/60))</f>
        <v>167.55160819145561</v>
      </c>
      <c r="D30" s="32" t="s">
        <v>120</v>
      </c>
    </row>
    <row r="31" spans="2:11" x14ac:dyDescent="0.25">
      <c r="B31" s="1" t="s">
        <v>115</v>
      </c>
      <c r="C31">
        <f>C28/C30</f>
        <v>178.02273103769051</v>
      </c>
      <c r="D31" s="32" t="s">
        <v>121</v>
      </c>
    </row>
    <row r="32" spans="2:11" x14ac:dyDescent="0.25">
      <c r="B32" s="1" t="s">
        <v>106</v>
      </c>
      <c r="C32">
        <f>C31*1000/(0.5*C26)</f>
        <v>2637.3737931509704</v>
      </c>
      <c r="D32" s="32" t="s">
        <v>0</v>
      </c>
    </row>
    <row r="33" spans="2:5" x14ac:dyDescent="0.25">
      <c r="B33" s="1" t="s">
        <v>105</v>
      </c>
      <c r="C33">
        <f>C32*TAN(20*(PI()/180))</f>
        <v>959.9255573407014</v>
      </c>
    </row>
    <row r="34" spans="2:5" x14ac:dyDescent="0.25">
      <c r="B34" s="1" t="s">
        <v>109</v>
      </c>
      <c r="C34">
        <f>SQRT(C32^2 + C33^2)</f>
        <v>2806.6345683817467</v>
      </c>
    </row>
    <row r="37" spans="2:5" x14ac:dyDescent="0.25">
      <c r="B37" t="s">
        <v>107</v>
      </c>
      <c r="C37" t="s">
        <v>123</v>
      </c>
      <c r="D37" t="s">
        <v>94</v>
      </c>
    </row>
    <row r="38" spans="2:5" ht="17.25" x14ac:dyDescent="0.25">
      <c r="B38" s="1" t="s">
        <v>96</v>
      </c>
      <c r="C38" s="16">
        <f>95460.12/(1000*1000*1000)</f>
        <v>9.5460119999999992E-5</v>
      </c>
      <c r="D38" s="1" t="s">
        <v>97</v>
      </c>
    </row>
    <row r="39" spans="2:5" x14ac:dyDescent="0.25">
      <c r="B39" s="1" t="s">
        <v>98</v>
      </c>
      <c r="C39">
        <f>(C38*AE6)*1000</f>
        <v>0.74458893599999998</v>
      </c>
      <c r="D39" s="1" t="s">
        <v>99</v>
      </c>
    </row>
    <row r="40" spans="2:5" x14ac:dyDescent="0.25">
      <c r="B40" s="1" t="s">
        <v>102</v>
      </c>
      <c r="C40">
        <f>C39*9.81</f>
        <v>7.30441746216</v>
      </c>
      <c r="D40" s="1" t="s">
        <v>0</v>
      </c>
      <c r="E40" t="s">
        <v>124</v>
      </c>
    </row>
    <row r="41" spans="2:5" x14ac:dyDescent="0.25">
      <c r="B41" s="1" t="s">
        <v>118</v>
      </c>
      <c r="C41">
        <v>60</v>
      </c>
      <c r="D41" s="1" t="s">
        <v>119</v>
      </c>
    </row>
    <row r="43" spans="2:5" x14ac:dyDescent="0.25">
      <c r="B43" s="1" t="s">
        <v>111</v>
      </c>
      <c r="C43">
        <v>29827.994880000002</v>
      </c>
      <c r="D43" s="32" t="s">
        <v>109</v>
      </c>
    </row>
    <row r="44" spans="2:5" x14ac:dyDescent="0.25">
      <c r="B44" s="1" t="s">
        <v>19</v>
      </c>
      <c r="C44">
        <f>4000*(18/45)</f>
        <v>1600</v>
      </c>
      <c r="D44" s="32" t="s">
        <v>122</v>
      </c>
    </row>
    <row r="45" spans="2:5" x14ac:dyDescent="0.25">
      <c r="B45" s="1" t="s">
        <v>116</v>
      </c>
      <c r="C45">
        <f>(C44)*(2*PI() *(1/60))</f>
        <v>167.55160819145561</v>
      </c>
      <c r="D45" s="32" t="s">
        <v>120</v>
      </c>
    </row>
    <row r="46" spans="2:5" x14ac:dyDescent="0.25">
      <c r="B46" s="1" t="s">
        <v>115</v>
      </c>
      <c r="C46">
        <f>C43/C45</f>
        <v>178.02273103769051</v>
      </c>
      <c r="D46" s="32" t="s">
        <v>121</v>
      </c>
    </row>
    <row r="47" spans="2:5" x14ac:dyDescent="0.25">
      <c r="B47" s="1" t="s">
        <v>106</v>
      </c>
      <c r="C47">
        <f>C46*1000/(0.5*C41)</f>
        <v>5934.0910345896837</v>
      </c>
      <c r="D47" s="32" t="s">
        <v>0</v>
      </c>
    </row>
    <row r="48" spans="2:5" x14ac:dyDescent="0.25">
      <c r="B48" s="1" t="s">
        <v>105</v>
      </c>
      <c r="C48">
        <f>C47*TAN(20*(PI()/180))</f>
        <v>2159.8325040165782</v>
      </c>
    </row>
    <row r="49" spans="2:11" x14ac:dyDescent="0.25">
      <c r="B49" s="1" t="s">
        <v>109</v>
      </c>
      <c r="C49">
        <f>SQRT(C47^2 + C48^2)</f>
        <v>6314.9277788589307</v>
      </c>
    </row>
    <row r="51" spans="2:11" x14ac:dyDescent="0.25">
      <c r="H51" t="s">
        <v>134</v>
      </c>
    </row>
    <row r="52" spans="2:11" x14ac:dyDescent="0.25">
      <c r="B52" s="1" t="s">
        <v>110</v>
      </c>
      <c r="C52" s="1" t="s">
        <v>2</v>
      </c>
      <c r="D52" s="1" t="s">
        <v>108</v>
      </c>
      <c r="E52" s="1" t="s">
        <v>95</v>
      </c>
      <c r="H52" s="1" t="s">
        <v>133</v>
      </c>
      <c r="I52" s="1" t="s">
        <v>2</v>
      </c>
      <c r="J52" s="32" t="s">
        <v>94</v>
      </c>
      <c r="K52" s="1" t="s">
        <v>95</v>
      </c>
    </row>
    <row r="53" spans="2:11" ht="17.25" x14ac:dyDescent="0.25">
      <c r="B53" s="1" t="s">
        <v>96</v>
      </c>
      <c r="C53" s="16">
        <f>1003380.05/(1000*1000*1000)</f>
        <v>1.0033800500000001E-3</v>
      </c>
      <c r="D53" s="1" t="s">
        <v>97</v>
      </c>
      <c r="H53" t="s">
        <v>129</v>
      </c>
      <c r="I53">
        <v>91</v>
      </c>
      <c r="J53" s="2" t="s">
        <v>119</v>
      </c>
    </row>
    <row r="54" spans="2:11" x14ac:dyDescent="0.25">
      <c r="B54" s="1" t="s">
        <v>98</v>
      </c>
      <c r="C54">
        <f>(C53*AE6)*1000</f>
        <v>7.8263643900000019</v>
      </c>
      <c r="D54" s="1" t="s">
        <v>99</v>
      </c>
      <c r="H54" t="s">
        <v>138</v>
      </c>
      <c r="I54">
        <v>53</v>
      </c>
      <c r="J54" s="2" t="s">
        <v>119</v>
      </c>
    </row>
    <row r="55" spans="2:11" x14ac:dyDescent="0.25">
      <c r="B55" s="1" t="s">
        <v>102</v>
      </c>
      <c r="C55">
        <f>C54*9.81</f>
        <v>76.776634665900019</v>
      </c>
      <c r="D55" s="1" t="s">
        <v>0</v>
      </c>
      <c r="E55" t="s">
        <v>124</v>
      </c>
      <c r="H55" s="33" t="s">
        <v>139</v>
      </c>
      <c r="I55">
        <v>38</v>
      </c>
      <c r="J55" s="2" t="s">
        <v>119</v>
      </c>
    </row>
    <row r="56" spans="2:11" x14ac:dyDescent="0.25">
      <c r="B56" s="1" t="s">
        <v>118</v>
      </c>
      <c r="C56">
        <v>192</v>
      </c>
      <c r="D56" s="1" t="s">
        <v>119</v>
      </c>
    </row>
    <row r="57" spans="2:11" x14ac:dyDescent="0.25">
      <c r="H57" t="s">
        <v>131</v>
      </c>
      <c r="I57">
        <f>C64*(I54) /I53</f>
        <v>3677.9249701046519</v>
      </c>
      <c r="J57" s="2" t="s">
        <v>0</v>
      </c>
    </row>
    <row r="58" spans="2:11" x14ac:dyDescent="0.25">
      <c r="B58" s="1" t="s">
        <v>111</v>
      </c>
      <c r="C58">
        <v>29827.994880000002</v>
      </c>
      <c r="D58" s="32" t="s">
        <v>109</v>
      </c>
      <c r="H58" t="s">
        <v>132</v>
      </c>
      <c r="I58">
        <f>C64-I57</f>
        <v>2637.0028087542787</v>
      </c>
      <c r="J58" s="2" t="s">
        <v>0</v>
      </c>
    </row>
    <row r="59" spans="2:11" x14ac:dyDescent="0.25">
      <c r="B59" s="1" t="s">
        <v>19</v>
      </c>
      <c r="C59">
        <f>500</f>
        <v>500</v>
      </c>
      <c r="D59" s="32" t="s">
        <v>122</v>
      </c>
    </row>
    <row r="60" spans="2:11" x14ac:dyDescent="0.25">
      <c r="B60" s="1" t="s">
        <v>116</v>
      </c>
      <c r="C60">
        <f>(C59)*(2*PI() *(1/60))</f>
        <v>52.359877559829883</v>
      </c>
      <c r="D60" s="32" t="s">
        <v>120</v>
      </c>
    </row>
    <row r="61" spans="2:11" x14ac:dyDescent="0.25">
      <c r="B61" s="1" t="s">
        <v>115</v>
      </c>
      <c r="C61">
        <f>C58/C60</f>
        <v>569.67273932060959</v>
      </c>
      <c r="D61" s="32" t="s">
        <v>121</v>
      </c>
    </row>
    <row r="62" spans="2:11" x14ac:dyDescent="0.25">
      <c r="B62" s="1" t="s">
        <v>106</v>
      </c>
      <c r="C62">
        <f>C61*1000/(0.5*C56)</f>
        <v>5934.0910345896837</v>
      </c>
      <c r="D62" s="32" t="s">
        <v>0</v>
      </c>
    </row>
    <row r="63" spans="2:11" x14ac:dyDescent="0.25">
      <c r="B63" s="1" t="s">
        <v>105</v>
      </c>
      <c r="C63">
        <f>C62*TAN(20*(PI()/180))</f>
        <v>2159.8325040165782</v>
      </c>
      <c r="D63" s="32" t="s">
        <v>0</v>
      </c>
    </row>
    <row r="64" spans="2:11" x14ac:dyDescent="0.25">
      <c r="B64" s="1" t="s">
        <v>109</v>
      </c>
      <c r="C64">
        <f>SQRT(C62^2 + C63^2)</f>
        <v>6314.9277788589307</v>
      </c>
      <c r="D64" s="3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6:AL181"/>
  <sheetViews>
    <sheetView topLeftCell="A4" zoomScale="70" zoomScaleNormal="70" workbookViewId="0">
      <selection activeCell="U43" sqref="U43"/>
    </sheetView>
  </sheetViews>
  <sheetFormatPr defaultRowHeight="15" x14ac:dyDescent="0.25"/>
  <cols>
    <col min="4" max="4" width="12.85546875" bestFit="1" customWidth="1"/>
    <col min="5" max="5" width="20.140625" customWidth="1"/>
    <col min="6" max="6" width="16.5703125" customWidth="1"/>
    <col min="15" max="15" width="17.5703125" customWidth="1"/>
    <col min="17" max="17" width="15.5703125" customWidth="1"/>
  </cols>
  <sheetData>
    <row r="6" spans="2:31" x14ac:dyDescent="0.25">
      <c r="N6" t="s">
        <v>157</v>
      </c>
    </row>
    <row r="7" spans="2:31" ht="18.75" x14ac:dyDescent="0.3">
      <c r="B7" s="34" t="s">
        <v>127</v>
      </c>
    </row>
    <row r="8" spans="2:31" ht="23.25" x14ac:dyDescent="0.35">
      <c r="N8" s="44" t="s">
        <v>153</v>
      </c>
      <c r="S8" s="44" t="s">
        <v>152</v>
      </c>
      <c r="X8" s="44" t="s">
        <v>154</v>
      </c>
      <c r="AC8" s="44" t="s">
        <v>155</v>
      </c>
    </row>
    <row r="9" spans="2:31" ht="15.75" thickBot="1" x14ac:dyDescent="0.3">
      <c r="N9" t="s">
        <v>156</v>
      </c>
      <c r="O9" t="s">
        <v>143</v>
      </c>
      <c r="P9">
        <v>15</v>
      </c>
      <c r="S9" t="s">
        <v>81</v>
      </c>
      <c r="T9" t="s">
        <v>143</v>
      </c>
      <c r="U9">
        <v>27.5</v>
      </c>
      <c r="X9" t="s">
        <v>81</v>
      </c>
      <c r="Y9" t="s">
        <v>143</v>
      </c>
      <c r="Z9">
        <v>40</v>
      </c>
      <c r="AC9" t="s">
        <v>81</v>
      </c>
      <c r="AD9" t="s">
        <v>143</v>
      </c>
      <c r="AE9">
        <v>55</v>
      </c>
    </row>
    <row r="10" spans="2:31" x14ac:dyDescent="0.25">
      <c r="N10" s="43" t="s">
        <v>151</v>
      </c>
      <c r="O10" s="35"/>
      <c r="P10" s="36"/>
      <c r="S10" s="43" t="s">
        <v>151</v>
      </c>
      <c r="T10" s="35"/>
      <c r="U10" s="36"/>
      <c r="X10" s="43" t="s">
        <v>151</v>
      </c>
      <c r="Y10" s="35"/>
      <c r="Z10" s="36"/>
      <c r="AC10" s="43" t="s">
        <v>151</v>
      </c>
      <c r="AD10" s="35"/>
      <c r="AE10" s="36"/>
    </row>
    <row r="11" spans="2:31" x14ac:dyDescent="0.25">
      <c r="N11" s="37" t="s">
        <v>146</v>
      </c>
      <c r="O11" s="38" t="s">
        <v>143</v>
      </c>
      <c r="P11" s="39">
        <f>1+P29*(Q21-1)</f>
        <v>1.2989999999999999</v>
      </c>
      <c r="S11" s="37" t="s">
        <v>146</v>
      </c>
      <c r="T11" s="38" t="s">
        <v>143</v>
      </c>
      <c r="U11" s="39">
        <v>1</v>
      </c>
      <c r="X11" s="37" t="s">
        <v>146</v>
      </c>
      <c r="Y11" s="38" t="s">
        <v>143</v>
      </c>
      <c r="Z11" s="39">
        <f>1+$P$29*(AA21-1)</f>
        <v>1.3679999999999999</v>
      </c>
      <c r="AC11" s="37" t="s">
        <v>146</v>
      </c>
      <c r="AD11" s="38" t="s">
        <v>143</v>
      </c>
      <c r="AE11" s="39">
        <f>1+$P$29*(AF21-1)</f>
        <v>1.1104000000000001</v>
      </c>
    </row>
    <row r="12" spans="2:31" x14ac:dyDescent="0.25">
      <c r="N12" s="37" t="s">
        <v>147</v>
      </c>
      <c r="O12" s="38" t="s">
        <v>143</v>
      </c>
      <c r="P12" s="39">
        <f>D31</f>
        <v>25560.421962048051</v>
      </c>
      <c r="S12" s="37" t="s">
        <v>147</v>
      </c>
      <c r="T12" s="38" t="s">
        <v>143</v>
      </c>
      <c r="U12" s="39">
        <f>D32</f>
        <v>46860.773597088089</v>
      </c>
      <c r="X12" s="37" t="s">
        <v>147</v>
      </c>
      <c r="Y12" s="38" t="s">
        <v>143</v>
      </c>
      <c r="Z12" s="39">
        <f>D33</f>
        <v>33078.193127356295</v>
      </c>
      <c r="AC12" s="37" t="s">
        <v>147</v>
      </c>
      <c r="AD12" s="38" t="s">
        <v>143</v>
      </c>
      <c r="AE12" s="39">
        <f>D34</f>
        <v>16539.096563678144</v>
      </c>
    </row>
    <row r="13" spans="2:31" x14ac:dyDescent="0.25">
      <c r="C13" t="s">
        <v>81</v>
      </c>
      <c r="D13" t="s">
        <v>135</v>
      </c>
      <c r="E13" t="s">
        <v>95</v>
      </c>
      <c r="N13" s="37" t="s">
        <v>148</v>
      </c>
      <c r="O13" s="38" t="s">
        <v>143</v>
      </c>
      <c r="P13" s="39">
        <f>1+$P$29*(Q22-1)</f>
        <v>1.1379999999999999</v>
      </c>
      <c r="S13" s="37" t="s">
        <v>148</v>
      </c>
      <c r="T13" s="38" t="s">
        <v>143</v>
      </c>
      <c r="U13" s="39">
        <v>1</v>
      </c>
      <c r="X13" s="37" t="s">
        <v>148</v>
      </c>
      <c r="Y13" s="38" t="s">
        <v>143</v>
      </c>
      <c r="Z13" s="39">
        <f>1+$P$29*(AA22-1)</f>
        <v>1.1379999999999999</v>
      </c>
      <c r="AC13" s="37" t="s">
        <v>148</v>
      </c>
      <c r="AD13" s="38" t="s">
        <v>143</v>
      </c>
      <c r="AE13" s="39">
        <f>1+$P$29*(AF22-1)</f>
        <v>1.2529999999999999</v>
      </c>
    </row>
    <row r="14" spans="2:31" x14ac:dyDescent="0.25">
      <c r="C14">
        <v>0</v>
      </c>
      <c r="D14">
        <f>Shafts!I9</f>
        <v>1704.0281308032033</v>
      </c>
      <c r="N14" s="37" t="s">
        <v>149</v>
      </c>
      <c r="O14" s="38" t="s">
        <v>143</v>
      </c>
      <c r="P14" s="39">
        <f>D48</f>
        <v>71.209092415076199</v>
      </c>
      <c r="S14" s="37" t="s">
        <v>149</v>
      </c>
      <c r="T14" s="38" t="s">
        <v>143</v>
      </c>
      <c r="U14" s="39">
        <f>D49</f>
        <v>71.209092415076199</v>
      </c>
      <c r="X14" s="37" t="s">
        <v>149</v>
      </c>
      <c r="Y14" s="38" t="s">
        <v>143</v>
      </c>
      <c r="Z14" s="39">
        <v>0</v>
      </c>
      <c r="AC14" s="37" t="s">
        <v>149</v>
      </c>
      <c r="AD14" s="38" t="s">
        <v>143</v>
      </c>
      <c r="AE14" s="39">
        <v>0</v>
      </c>
    </row>
    <row r="15" spans="2:31" x14ac:dyDescent="0.25">
      <c r="C15">
        <v>15</v>
      </c>
      <c r="D15">
        <f>D14</f>
        <v>1704.0281308032033</v>
      </c>
      <c r="E15" t="s">
        <v>137</v>
      </c>
      <c r="N15" s="37" t="s">
        <v>163</v>
      </c>
      <c r="O15" s="38" t="s">
        <v>143</v>
      </c>
      <c r="P15" s="39">
        <f>P30</f>
        <v>562</v>
      </c>
      <c r="S15" s="37" t="s">
        <v>163</v>
      </c>
      <c r="T15" s="38" t="s">
        <v>143</v>
      </c>
      <c r="U15" s="39">
        <f>P30</f>
        <v>562</v>
      </c>
      <c r="X15" s="37" t="s">
        <v>163</v>
      </c>
      <c r="Y15" s="38" t="s">
        <v>143</v>
      </c>
      <c r="Z15" s="39">
        <f>P30</f>
        <v>562</v>
      </c>
      <c r="AC15" s="37" t="s">
        <v>163</v>
      </c>
      <c r="AD15" s="38" t="s">
        <v>143</v>
      </c>
      <c r="AE15" s="39">
        <f>P30</f>
        <v>562</v>
      </c>
    </row>
    <row r="16" spans="2:31" ht="15.75" thickBot="1" x14ac:dyDescent="0.3">
      <c r="C16">
        <v>27.5</v>
      </c>
      <c r="D16">
        <f>Shafts!I9</f>
        <v>1704.0281308032033</v>
      </c>
      <c r="N16" s="40" t="s">
        <v>150</v>
      </c>
      <c r="O16" s="41" t="s">
        <v>143</v>
      </c>
      <c r="P16" s="42">
        <f>P28</f>
        <v>1124</v>
      </c>
      <c r="S16" s="40" t="s">
        <v>150</v>
      </c>
      <c r="T16" s="41" t="s">
        <v>143</v>
      </c>
      <c r="U16" s="42">
        <f>P28</f>
        <v>1124</v>
      </c>
      <c r="X16" s="40" t="s">
        <v>150</v>
      </c>
      <c r="Y16" s="41" t="s">
        <v>143</v>
      </c>
      <c r="Z16" s="42">
        <f>P28</f>
        <v>1124</v>
      </c>
      <c r="AC16" s="40" t="s">
        <v>150</v>
      </c>
      <c r="AD16" s="41" t="s">
        <v>143</v>
      </c>
      <c r="AE16" s="42">
        <f>P28</f>
        <v>1124</v>
      </c>
    </row>
    <row r="17" spans="3:32" x14ac:dyDescent="0.25">
      <c r="C17">
        <f>27.5 + 1E-150</f>
        <v>27.5</v>
      </c>
      <c r="D17">
        <f>Shafts!I9 - Shafts!C18</f>
        <v>-1102.6064375785434</v>
      </c>
    </row>
    <row r="18" spans="3:32" x14ac:dyDescent="0.25">
      <c r="C18">
        <v>40</v>
      </c>
      <c r="D18">
        <f>D17</f>
        <v>-1102.6064375785434</v>
      </c>
      <c r="O18" t="s">
        <v>142</v>
      </c>
      <c r="P18" t="s">
        <v>143</v>
      </c>
      <c r="Q18">
        <v>20</v>
      </c>
      <c r="T18" t="s">
        <v>142</v>
      </c>
      <c r="U18" t="s">
        <v>143</v>
      </c>
      <c r="V18">
        <v>25</v>
      </c>
      <c r="Y18" t="s">
        <v>142</v>
      </c>
      <c r="Z18" t="s">
        <v>143</v>
      </c>
      <c r="AA18">
        <v>25</v>
      </c>
      <c r="AD18" t="s">
        <v>142</v>
      </c>
      <c r="AE18" t="s">
        <v>143</v>
      </c>
      <c r="AF18">
        <v>20</v>
      </c>
    </row>
    <row r="19" spans="3:32" x14ac:dyDescent="0.25">
      <c r="C19">
        <v>55</v>
      </c>
      <c r="D19">
        <f>D18</f>
        <v>-1102.6064375785434</v>
      </c>
      <c r="O19" t="s">
        <v>168</v>
      </c>
      <c r="P19" t="s">
        <v>143</v>
      </c>
      <c r="Q19">
        <v>1.25</v>
      </c>
      <c r="T19" t="s">
        <v>168</v>
      </c>
      <c r="U19" t="s">
        <v>143</v>
      </c>
      <c r="V19">
        <v>0</v>
      </c>
      <c r="Y19" t="s">
        <v>168</v>
      </c>
      <c r="Z19" t="s">
        <v>143</v>
      </c>
      <c r="AA19">
        <v>1.2</v>
      </c>
      <c r="AD19" t="s">
        <v>168</v>
      </c>
      <c r="AE19" t="s">
        <v>143</v>
      </c>
      <c r="AF19">
        <v>1.5</v>
      </c>
    </row>
    <row r="20" spans="3:32" x14ac:dyDescent="0.25">
      <c r="C20">
        <v>70</v>
      </c>
      <c r="D20">
        <f>D17</f>
        <v>-1102.6064375785434</v>
      </c>
      <c r="O20" t="s">
        <v>169</v>
      </c>
      <c r="P20" t="s">
        <v>143</v>
      </c>
      <c r="Q20">
        <v>0.25</v>
      </c>
      <c r="T20" t="s">
        <v>169</v>
      </c>
      <c r="U20" t="s">
        <v>143</v>
      </c>
      <c r="V20">
        <v>0</v>
      </c>
      <c r="Y20" t="s">
        <v>169</v>
      </c>
      <c r="Z20" t="s">
        <v>143</v>
      </c>
      <c r="AA20">
        <v>0.2</v>
      </c>
      <c r="AD20" t="s">
        <v>169</v>
      </c>
      <c r="AE20" t="s">
        <v>143</v>
      </c>
      <c r="AF20">
        <v>0.5</v>
      </c>
    </row>
    <row r="21" spans="3:32" x14ac:dyDescent="0.25">
      <c r="O21" t="s">
        <v>166</v>
      </c>
      <c r="P21" t="s">
        <v>143</v>
      </c>
      <c r="Q21">
        <v>1.325</v>
      </c>
      <c r="T21" t="s">
        <v>166</v>
      </c>
      <c r="U21" t="s">
        <v>143</v>
      </c>
      <c r="V21">
        <v>0</v>
      </c>
      <c r="Y21" t="s">
        <v>166</v>
      </c>
      <c r="Z21" t="s">
        <v>143</v>
      </c>
      <c r="AA21">
        <v>1.4</v>
      </c>
      <c r="AD21" t="s">
        <v>166</v>
      </c>
      <c r="AE21" t="s">
        <v>143</v>
      </c>
      <c r="AF21">
        <v>1.1200000000000001</v>
      </c>
    </row>
    <row r="22" spans="3:32" x14ac:dyDescent="0.25">
      <c r="O22" t="s">
        <v>167</v>
      </c>
      <c r="P22" t="s">
        <v>143</v>
      </c>
      <c r="Q22">
        <v>1.1499999999999999</v>
      </c>
      <c r="T22" t="s">
        <v>167</v>
      </c>
      <c r="U22" t="s">
        <v>143</v>
      </c>
      <c r="V22">
        <v>0</v>
      </c>
      <c r="Y22" t="s">
        <v>167</v>
      </c>
      <c r="Z22" t="s">
        <v>143</v>
      </c>
      <c r="AA22">
        <v>1.1499999999999999</v>
      </c>
      <c r="AD22" t="s">
        <v>167</v>
      </c>
      <c r="AE22" t="s">
        <v>143</v>
      </c>
      <c r="AF22">
        <v>1.2749999999999999</v>
      </c>
    </row>
    <row r="23" spans="3:32" x14ac:dyDescent="0.25">
      <c r="O23" t="s">
        <v>144</v>
      </c>
      <c r="T23" t="s">
        <v>144</v>
      </c>
      <c r="Y23" t="s">
        <v>144</v>
      </c>
      <c r="AD23" t="s">
        <v>144</v>
      </c>
    </row>
    <row r="24" spans="3:32" x14ac:dyDescent="0.25">
      <c r="O24" t="s">
        <v>145</v>
      </c>
      <c r="P24" t="s">
        <v>143</v>
      </c>
      <c r="Q24">
        <f>( (PI()*Q18^3)/32 )*( ((P11*P12)/P32) + ((0.75*P13*P14)/P16))^(-1)</f>
        <v>8.8699176507625452</v>
      </c>
      <c r="T24" t="s">
        <v>145</v>
      </c>
      <c r="U24" t="s">
        <v>143</v>
      </c>
      <c r="V24">
        <f>( (PI()*V18^3)/32 )*( ((U11*U12)/P32) + ((0.75*U13*U14)/U16))^(-1)</f>
        <v>12.277711890196024</v>
      </c>
      <c r="Y24" t="s">
        <v>145</v>
      </c>
      <c r="Z24" t="s">
        <v>143</v>
      </c>
      <c r="AA24">
        <f>( (PI()*AA18^3)/32 )*( ((Z11*Z12)/P32) + ((0.75*Z13*Z14)/Z16))^(-1)</f>
        <v>12.719329267703278</v>
      </c>
      <c r="AD24" t="s">
        <v>145</v>
      </c>
      <c r="AE24" t="s">
        <v>143</v>
      </c>
      <c r="AF24">
        <f>( (PI()*AF18^3)/32 )*( ((AE11*AE12)/P32) + ((0.75*AE13*AE14)/AE16))^(-1)</f>
        <v>16.046148646195352</v>
      </c>
    </row>
    <row r="26" spans="3:32" x14ac:dyDescent="0.25">
      <c r="Q26" t="s">
        <v>164</v>
      </c>
    </row>
    <row r="27" spans="3:32" x14ac:dyDescent="0.25">
      <c r="O27" t="s">
        <v>161</v>
      </c>
      <c r="P27" t="s">
        <v>159</v>
      </c>
      <c r="Q27" t="s">
        <v>160</v>
      </c>
    </row>
    <row r="28" spans="3:32" x14ac:dyDescent="0.25">
      <c r="O28" t="s">
        <v>162</v>
      </c>
      <c r="P28">
        <v>1124</v>
      </c>
    </row>
    <row r="29" spans="3:32" x14ac:dyDescent="0.25">
      <c r="C29" t="s">
        <v>81</v>
      </c>
      <c r="D29" t="s">
        <v>136</v>
      </c>
      <c r="E29" t="s">
        <v>95</v>
      </c>
      <c r="O29" t="s">
        <v>158</v>
      </c>
      <c r="P29">
        <v>0.92</v>
      </c>
    </row>
    <row r="30" spans="3:32" x14ac:dyDescent="0.25">
      <c r="C30">
        <v>0</v>
      </c>
      <c r="D30">
        <v>0</v>
      </c>
      <c r="O30" t="s">
        <v>163</v>
      </c>
      <c r="P30">
        <f>0.5*P28</f>
        <v>562</v>
      </c>
      <c r="Q30" t="s">
        <v>165</v>
      </c>
    </row>
    <row r="31" spans="3:32" x14ac:dyDescent="0.25">
      <c r="C31">
        <v>15</v>
      </c>
      <c r="D31">
        <f>D15*C31</f>
        <v>25560.421962048051</v>
      </c>
    </row>
    <row r="32" spans="3:32" x14ac:dyDescent="0.25">
      <c r="C32">
        <v>27.5</v>
      </c>
      <c r="D32">
        <f>C32*D16</f>
        <v>46860.773597088089</v>
      </c>
      <c r="O32" t="s">
        <v>163</v>
      </c>
      <c r="P32">
        <f>P15*P34*P35*P36*P37*P38</f>
        <v>375.20806566873483</v>
      </c>
    </row>
    <row r="33" spans="3:16" x14ac:dyDescent="0.25">
      <c r="C33">
        <v>40</v>
      </c>
      <c r="D33">
        <f>D32+(C33-C32)*D18</f>
        <v>33078.193127356295</v>
      </c>
    </row>
    <row r="34" spans="3:16" x14ac:dyDescent="0.25">
      <c r="C34">
        <v>55</v>
      </c>
      <c r="D34">
        <f>D33+(C34-C33)*D19</f>
        <v>16539.096563678144</v>
      </c>
      <c r="O34" t="s">
        <v>179</v>
      </c>
      <c r="P34">
        <v>1</v>
      </c>
    </row>
    <row r="35" spans="3:16" x14ac:dyDescent="0.25">
      <c r="C35">
        <v>70</v>
      </c>
      <c r="D35">
        <f>D32 + D20*(C35-C32)</f>
        <v>0</v>
      </c>
      <c r="O35" t="s">
        <v>180</v>
      </c>
      <c r="P35">
        <f>1.189*(Q18^(-0.097))</f>
        <v>0.88916415179412189</v>
      </c>
    </row>
    <row r="36" spans="3:16" x14ac:dyDescent="0.25">
      <c r="O36" t="s">
        <v>181</v>
      </c>
      <c r="P36">
        <f>1.58*(P15)^(-0.085)</f>
        <v>0.92242167649345996</v>
      </c>
    </row>
    <row r="37" spans="3:16" x14ac:dyDescent="0.25">
      <c r="O37" t="s">
        <v>182</v>
      </c>
      <c r="P37">
        <v>1</v>
      </c>
    </row>
    <row r="38" spans="3:16" x14ac:dyDescent="0.25">
      <c r="O38" t="s">
        <v>183</v>
      </c>
      <c r="P38">
        <v>0.81399999999999995</v>
      </c>
    </row>
    <row r="46" spans="3:16" x14ac:dyDescent="0.25">
      <c r="C46" t="s">
        <v>81</v>
      </c>
      <c r="D46" t="s">
        <v>141</v>
      </c>
      <c r="E46" t="s">
        <v>95</v>
      </c>
    </row>
    <row r="47" spans="3:16" x14ac:dyDescent="0.25">
      <c r="C47">
        <v>0</v>
      </c>
      <c r="D47">
        <f>Shafts!C15</f>
        <v>71.209092415076199</v>
      </c>
    </row>
    <row r="48" spans="3:16" x14ac:dyDescent="0.25">
      <c r="C48">
        <v>15</v>
      </c>
      <c r="D48">
        <f>D47</f>
        <v>71.209092415076199</v>
      </c>
    </row>
    <row r="49" spans="2:37" x14ac:dyDescent="0.25">
      <c r="C49">
        <v>27.5</v>
      </c>
      <c r="D49">
        <f>D47</f>
        <v>71.209092415076199</v>
      </c>
    </row>
    <row r="50" spans="2:37" x14ac:dyDescent="0.25">
      <c r="C50">
        <f>27.5 + 1E-150</f>
        <v>27.5</v>
      </c>
      <c r="D50">
        <v>0</v>
      </c>
    </row>
    <row r="51" spans="2:37" x14ac:dyDescent="0.25">
      <c r="C51">
        <v>40</v>
      </c>
      <c r="D51">
        <v>0</v>
      </c>
    </row>
    <row r="52" spans="2:37" x14ac:dyDescent="0.25">
      <c r="C52">
        <v>55</v>
      </c>
      <c r="D52">
        <v>0</v>
      </c>
    </row>
    <row r="53" spans="2:37" x14ac:dyDescent="0.25">
      <c r="C53">
        <v>70</v>
      </c>
      <c r="D53">
        <v>0</v>
      </c>
    </row>
    <row r="60" spans="2:37" ht="18.75" x14ac:dyDescent="0.3">
      <c r="B60" s="34" t="s">
        <v>130</v>
      </c>
    </row>
    <row r="61" spans="2:37" ht="23.25" x14ac:dyDescent="0.35">
      <c r="O61" s="44" t="s">
        <v>153</v>
      </c>
      <c r="T61" s="44" t="s">
        <v>154</v>
      </c>
      <c r="Y61" s="44" t="s">
        <v>155</v>
      </c>
      <c r="AD61" s="44" t="s">
        <v>152</v>
      </c>
      <c r="AI61" s="44" t="s">
        <v>178</v>
      </c>
    </row>
    <row r="62" spans="2:37" ht="15.75" thickBot="1" x14ac:dyDescent="0.3">
      <c r="B62" t="s">
        <v>170</v>
      </c>
      <c r="D62">
        <f>Shafts!I29</f>
        <v>3571.3062438692486</v>
      </c>
      <c r="O62" t="s">
        <v>156</v>
      </c>
      <c r="P62" t="s">
        <v>143</v>
      </c>
      <c r="Q62">
        <v>22.5</v>
      </c>
      <c r="T62" t="s">
        <v>81</v>
      </c>
      <c r="U62" t="s">
        <v>143</v>
      </c>
      <c r="V62">
        <v>47.5</v>
      </c>
      <c r="Y62" t="s">
        <v>81</v>
      </c>
      <c r="Z62" t="s">
        <v>143</v>
      </c>
      <c r="AA62">
        <v>147.5</v>
      </c>
      <c r="AD62" t="s">
        <v>81</v>
      </c>
      <c r="AE62" t="s">
        <v>143</v>
      </c>
      <c r="AF62">
        <v>165.5</v>
      </c>
      <c r="AI62" t="s">
        <v>81</v>
      </c>
      <c r="AJ62" t="s">
        <v>143</v>
      </c>
      <c r="AK62">
        <v>183.5</v>
      </c>
    </row>
    <row r="63" spans="2:37" x14ac:dyDescent="0.25">
      <c r="B63" t="s">
        <v>176</v>
      </c>
      <c r="D63">
        <f>Shafts!C34</f>
        <v>2806.6345683817467</v>
      </c>
      <c r="O63" s="43" t="s">
        <v>151</v>
      </c>
      <c r="P63" s="35"/>
      <c r="Q63" s="36"/>
      <c r="T63" s="43" t="s">
        <v>151</v>
      </c>
      <c r="U63" s="35"/>
      <c r="V63" s="36"/>
      <c r="Y63" s="43" t="s">
        <v>151</v>
      </c>
      <c r="Z63" s="35"/>
      <c r="AA63" s="36"/>
      <c r="AD63" s="43" t="s">
        <v>151</v>
      </c>
      <c r="AE63" s="35"/>
      <c r="AF63" s="36"/>
      <c r="AI63" s="43" t="s">
        <v>151</v>
      </c>
      <c r="AJ63" s="35"/>
      <c r="AK63" s="36"/>
    </row>
    <row r="64" spans="2:37" x14ac:dyDescent="0.25">
      <c r="B64" t="s">
        <v>177</v>
      </c>
      <c r="D64">
        <f>Shafts!C49</f>
        <v>6314.9277788589307</v>
      </c>
      <c r="O64" s="37" t="s">
        <v>146</v>
      </c>
      <c r="P64" s="38" t="s">
        <v>143</v>
      </c>
      <c r="Q64" s="39">
        <f>1+Q82*(R74-1)</f>
        <v>1.4139999999999999</v>
      </c>
      <c r="T64" s="37" t="s">
        <v>146</v>
      </c>
      <c r="U64" s="38" t="s">
        <v>143</v>
      </c>
      <c r="V64" s="39">
        <f>1+Q82*(W74-1)</f>
        <v>1.46</v>
      </c>
      <c r="Y64" s="37" t="s">
        <v>146</v>
      </c>
      <c r="Z64" s="38" t="s">
        <v>143</v>
      </c>
      <c r="AA64" s="39">
        <f>1+Q82*(AB74-1)</f>
        <v>1.46</v>
      </c>
      <c r="AD64" s="37" t="s">
        <v>146</v>
      </c>
      <c r="AE64" s="38" t="s">
        <v>143</v>
      </c>
      <c r="AF64" s="39">
        <v>1</v>
      </c>
      <c r="AI64" s="37" t="s">
        <v>146</v>
      </c>
      <c r="AJ64" s="38" t="s">
        <v>143</v>
      </c>
      <c r="AK64" s="39">
        <f>1+Q82*(AL74-1)</f>
        <v>1.4139999999999999</v>
      </c>
    </row>
    <row r="65" spans="2:38" x14ac:dyDescent="0.25">
      <c r="B65" t="s">
        <v>171</v>
      </c>
      <c r="D65">
        <f>Shafts!I28</f>
        <v>5550.2561033714283</v>
      </c>
      <c r="O65" s="37" t="s">
        <v>147</v>
      </c>
      <c r="P65" s="38" t="s">
        <v>143</v>
      </c>
      <c r="Q65" s="39">
        <f>D83</f>
        <v>80354.390487058088</v>
      </c>
      <c r="T65" s="37" t="s">
        <v>147</v>
      </c>
      <c r="U65" s="38" t="s">
        <v>143</v>
      </c>
      <c r="V65" s="39">
        <f>D85</f>
        <v>134554.11447901747</v>
      </c>
      <c r="Y65" s="37" t="s">
        <v>147</v>
      </c>
      <c r="Z65" s="38" t="s">
        <v>143</v>
      </c>
      <c r="AA65" s="39">
        <f>D86</f>
        <v>211021.28202776768</v>
      </c>
      <c r="AD65" s="37" t="s">
        <v>147</v>
      </c>
      <c r="AE65" s="38" t="s">
        <v>143</v>
      </c>
      <c r="AF65" s="39">
        <f>D87</f>
        <v>224785.37218654272</v>
      </c>
      <c r="AI65" s="37" t="s">
        <v>147</v>
      </c>
      <c r="AJ65" s="38" t="s">
        <v>143</v>
      </c>
      <c r="AK65" s="39">
        <f>D88</f>
        <v>124880.76232585701</v>
      </c>
    </row>
    <row r="66" spans="2:38" x14ac:dyDescent="0.25">
      <c r="O66" s="37" t="s">
        <v>148</v>
      </c>
      <c r="P66" s="38" t="s">
        <v>143</v>
      </c>
      <c r="Q66" s="39">
        <f>1+Q82*(R75-1)</f>
        <v>1.1288</v>
      </c>
      <c r="T66" s="37" t="s">
        <v>148</v>
      </c>
      <c r="U66" s="38" t="s">
        <v>143</v>
      </c>
      <c r="V66" s="39"/>
      <c r="Y66" s="37" t="s">
        <v>148</v>
      </c>
      <c r="Z66" s="38" t="s">
        <v>143</v>
      </c>
      <c r="AA66" s="39">
        <f>1+Q82*(AB75-1)</f>
        <v>1.1379999999999999</v>
      </c>
      <c r="AD66" s="37" t="s">
        <v>148</v>
      </c>
      <c r="AE66" s="38" t="s">
        <v>143</v>
      </c>
      <c r="AF66" s="39">
        <v>1</v>
      </c>
      <c r="AI66" s="37" t="s">
        <v>148</v>
      </c>
      <c r="AJ66" s="38" t="s">
        <v>143</v>
      </c>
      <c r="AK66" s="39">
        <f>1+Q82*(AL75-1)</f>
        <v>1.1288</v>
      </c>
    </row>
    <row r="67" spans="2:38" x14ac:dyDescent="0.25">
      <c r="O67" s="37" t="s">
        <v>149</v>
      </c>
      <c r="P67" s="38" t="s">
        <v>143</v>
      </c>
      <c r="Q67" s="39">
        <f>D93</f>
        <v>0</v>
      </c>
      <c r="T67" s="37" t="s">
        <v>149</v>
      </c>
      <c r="U67" s="38" t="s">
        <v>143</v>
      </c>
      <c r="V67" s="39">
        <f>D96</f>
        <v>178.02273103769051</v>
      </c>
      <c r="Y67" s="37" t="s">
        <v>149</v>
      </c>
      <c r="Z67" s="38" t="s">
        <v>143</v>
      </c>
      <c r="AA67" s="39">
        <f>D99</f>
        <v>178.02273103769051</v>
      </c>
      <c r="AD67" s="37" t="s">
        <v>149</v>
      </c>
      <c r="AE67" s="38" t="s">
        <v>143</v>
      </c>
      <c r="AF67" s="39">
        <f>E104</f>
        <v>0</v>
      </c>
      <c r="AI67" s="37" t="s">
        <v>149</v>
      </c>
      <c r="AJ67" s="38" t="s">
        <v>143</v>
      </c>
      <c r="AK67" s="39">
        <f>D100</f>
        <v>356.04546207538101</v>
      </c>
    </row>
    <row r="68" spans="2:38" x14ac:dyDescent="0.25">
      <c r="C68" t="s">
        <v>81</v>
      </c>
      <c r="D68" t="s">
        <v>140</v>
      </c>
      <c r="O68" s="37" t="s">
        <v>184</v>
      </c>
      <c r="P68" s="38" t="s">
        <v>143</v>
      </c>
      <c r="Q68" s="39">
        <f>Q83</f>
        <v>562</v>
      </c>
      <c r="T68" s="37" t="s">
        <v>184</v>
      </c>
      <c r="U68" s="38" t="s">
        <v>143</v>
      </c>
      <c r="V68" s="39">
        <f>Q83</f>
        <v>562</v>
      </c>
      <c r="Y68" s="37" t="s">
        <v>184</v>
      </c>
      <c r="Z68" s="38" t="s">
        <v>143</v>
      </c>
      <c r="AA68" s="39">
        <f>Q83</f>
        <v>562</v>
      </c>
      <c r="AD68" s="37" t="s">
        <v>184</v>
      </c>
      <c r="AE68" s="38" t="s">
        <v>143</v>
      </c>
      <c r="AF68" s="39">
        <f>Q83</f>
        <v>562</v>
      </c>
      <c r="AI68" s="37" t="s">
        <v>184</v>
      </c>
      <c r="AJ68" s="38" t="s">
        <v>143</v>
      </c>
      <c r="AK68" s="39">
        <f>Q83</f>
        <v>562</v>
      </c>
    </row>
    <row r="69" spans="2:38" ht="15.75" thickBot="1" x14ac:dyDescent="0.3">
      <c r="C69">
        <v>0</v>
      </c>
      <c r="D69">
        <f>D62</f>
        <v>3571.3062438692486</v>
      </c>
      <c r="O69" s="40" t="s">
        <v>150</v>
      </c>
      <c r="P69" s="41" t="s">
        <v>143</v>
      </c>
      <c r="Q69" s="42">
        <f>Q81</f>
        <v>1124</v>
      </c>
      <c r="T69" s="40" t="s">
        <v>150</v>
      </c>
      <c r="U69" s="41" t="s">
        <v>143</v>
      </c>
      <c r="V69" s="42">
        <f>Q81</f>
        <v>1124</v>
      </c>
      <c r="Y69" s="40" t="s">
        <v>150</v>
      </c>
      <c r="Z69" s="41" t="s">
        <v>143</v>
      </c>
      <c r="AA69" s="42">
        <f>Q81</f>
        <v>1124</v>
      </c>
      <c r="AD69" s="40" t="s">
        <v>150</v>
      </c>
      <c r="AE69" s="41" t="s">
        <v>143</v>
      </c>
      <c r="AF69" s="42">
        <f>Q81</f>
        <v>1124</v>
      </c>
      <c r="AI69" s="40" t="s">
        <v>150</v>
      </c>
      <c r="AJ69" s="41" t="s">
        <v>143</v>
      </c>
      <c r="AK69" s="42">
        <v>1124</v>
      </c>
    </row>
    <row r="70" spans="2:38" x14ac:dyDescent="0.25">
      <c r="C70">
        <v>22.5</v>
      </c>
      <c r="D70">
        <f>D62</f>
        <v>3571.3062438692486</v>
      </c>
    </row>
    <row r="71" spans="2:38" x14ac:dyDescent="0.25">
      <c r="C71">
        <v>35</v>
      </c>
      <c r="D71">
        <f>D70</f>
        <v>3571.3062438692486</v>
      </c>
      <c r="P71" t="s">
        <v>142</v>
      </c>
      <c r="Q71" t="s">
        <v>143</v>
      </c>
      <c r="R71">
        <v>32</v>
      </c>
      <c r="U71" t="s">
        <v>142</v>
      </c>
      <c r="V71" t="s">
        <v>143</v>
      </c>
      <c r="W71">
        <v>37</v>
      </c>
      <c r="Z71" t="s">
        <v>142</v>
      </c>
      <c r="AA71" t="s">
        <v>143</v>
      </c>
      <c r="AB71">
        <v>37</v>
      </c>
      <c r="AE71" t="s">
        <v>142</v>
      </c>
      <c r="AF71" t="s">
        <v>143</v>
      </c>
      <c r="AG71">
        <v>42</v>
      </c>
      <c r="AJ71" t="s">
        <v>142</v>
      </c>
      <c r="AK71" t="s">
        <v>143</v>
      </c>
      <c r="AL71">
        <v>32</v>
      </c>
    </row>
    <row r="72" spans="2:38" x14ac:dyDescent="0.25">
      <c r="C72">
        <f>C71+1E-150</f>
        <v>35</v>
      </c>
      <c r="D72">
        <f>D71-D63</f>
        <v>764.67167548750194</v>
      </c>
      <c r="P72" t="s">
        <v>168</v>
      </c>
      <c r="Q72" t="s">
        <v>143</v>
      </c>
      <c r="R72">
        <v>1.15625</v>
      </c>
      <c r="U72" t="s">
        <v>168</v>
      </c>
      <c r="V72" t="s">
        <v>143</v>
      </c>
      <c r="W72">
        <v>1.135</v>
      </c>
      <c r="Z72" t="s">
        <v>168</v>
      </c>
      <c r="AA72" t="s">
        <v>143</v>
      </c>
      <c r="AB72">
        <v>1.135</v>
      </c>
      <c r="AE72" t="s">
        <v>168</v>
      </c>
      <c r="AF72" t="s">
        <v>143</v>
      </c>
      <c r="AG72">
        <v>1</v>
      </c>
      <c r="AJ72" t="s">
        <v>168</v>
      </c>
      <c r="AK72" t="s">
        <v>143</v>
      </c>
      <c r="AL72">
        <v>1.15625</v>
      </c>
    </row>
    <row r="73" spans="2:38" x14ac:dyDescent="0.25">
      <c r="C73">
        <v>47.5</v>
      </c>
      <c r="D73">
        <f>D72</f>
        <v>764.67167548750194</v>
      </c>
      <c r="P73" t="s">
        <v>169</v>
      </c>
      <c r="Q73" t="s">
        <v>143</v>
      </c>
      <c r="R73">
        <v>0.15625</v>
      </c>
      <c r="U73" t="s">
        <v>169</v>
      </c>
      <c r="V73" t="s">
        <v>143</v>
      </c>
      <c r="W73">
        <v>0.13500000000000001</v>
      </c>
      <c r="Z73" t="s">
        <v>169</v>
      </c>
      <c r="AA73" t="s">
        <v>143</v>
      </c>
      <c r="AB73">
        <v>0.13500000000000001</v>
      </c>
      <c r="AE73" t="s">
        <v>169</v>
      </c>
      <c r="AF73" t="s">
        <v>143</v>
      </c>
      <c r="AG73">
        <v>0</v>
      </c>
      <c r="AJ73" t="s">
        <v>169</v>
      </c>
      <c r="AK73" t="s">
        <v>143</v>
      </c>
      <c r="AL73">
        <v>0.15625</v>
      </c>
    </row>
    <row r="74" spans="2:38" x14ac:dyDescent="0.25">
      <c r="C74">
        <f>147.5</f>
        <v>147.5</v>
      </c>
      <c r="D74">
        <f>D73</f>
        <v>764.67167548750194</v>
      </c>
      <c r="P74" t="s">
        <v>166</v>
      </c>
      <c r="Q74" t="s">
        <v>143</v>
      </c>
      <c r="R74">
        <v>1.45</v>
      </c>
      <c r="U74" t="s">
        <v>166</v>
      </c>
      <c r="V74" t="s">
        <v>143</v>
      </c>
      <c r="W74">
        <v>1.5</v>
      </c>
      <c r="Z74" t="s">
        <v>166</v>
      </c>
      <c r="AA74" t="s">
        <v>143</v>
      </c>
      <c r="AB74">
        <v>1.5</v>
      </c>
      <c r="AE74" t="s">
        <v>166</v>
      </c>
      <c r="AF74" t="s">
        <v>143</v>
      </c>
      <c r="AG74">
        <v>1</v>
      </c>
      <c r="AJ74" t="s">
        <v>166</v>
      </c>
      <c r="AK74" t="s">
        <v>143</v>
      </c>
      <c r="AL74">
        <v>1.45</v>
      </c>
    </row>
    <row r="75" spans="2:38" x14ac:dyDescent="0.25">
      <c r="C75">
        <v>165.5</v>
      </c>
      <c r="D75">
        <f>D74</f>
        <v>764.67167548750194</v>
      </c>
      <c r="P75" t="s">
        <v>167</v>
      </c>
      <c r="Q75" t="s">
        <v>143</v>
      </c>
      <c r="R75">
        <v>1.1399999999999999</v>
      </c>
      <c r="U75" t="s">
        <v>167</v>
      </c>
      <c r="V75" t="s">
        <v>143</v>
      </c>
      <c r="W75">
        <v>1.1499999999999999</v>
      </c>
      <c r="Z75" t="s">
        <v>167</v>
      </c>
      <c r="AA75" t="s">
        <v>143</v>
      </c>
      <c r="AB75">
        <v>1.1499999999999999</v>
      </c>
      <c r="AE75" t="s">
        <v>167</v>
      </c>
      <c r="AF75" t="s">
        <v>143</v>
      </c>
      <c r="AG75">
        <v>1</v>
      </c>
      <c r="AJ75" t="s">
        <v>167</v>
      </c>
      <c r="AK75" t="s">
        <v>143</v>
      </c>
      <c r="AL75">
        <v>1.1399999999999999</v>
      </c>
    </row>
    <row r="76" spans="2:38" x14ac:dyDescent="0.25">
      <c r="C76">
        <f>C75+1E-150</f>
        <v>165.5</v>
      </c>
      <c r="D76">
        <f>D74-D64</f>
        <v>-5550.2561033714283</v>
      </c>
      <c r="P76" t="s">
        <v>144</v>
      </c>
      <c r="U76" t="s">
        <v>144</v>
      </c>
      <c r="Z76" t="s">
        <v>144</v>
      </c>
      <c r="AE76" t="s">
        <v>144</v>
      </c>
      <c r="AJ76" t="s">
        <v>144</v>
      </c>
    </row>
    <row r="77" spans="2:38" x14ac:dyDescent="0.25">
      <c r="C77">
        <v>183.5</v>
      </c>
      <c r="D77">
        <f>D76</f>
        <v>-5550.2561033714283</v>
      </c>
      <c r="P77" t="s">
        <v>145</v>
      </c>
      <c r="Q77" t="s">
        <v>143</v>
      </c>
      <c r="R77">
        <f>( (PI()*R71^3)/32 )*( ((Q64*Q65)/Q86) + ((0.75*Q66*Q67)/Q69))^(-1)</f>
        <v>9.5692034101714345</v>
      </c>
      <c r="U77" t="s">
        <v>145</v>
      </c>
      <c r="V77" t="s">
        <v>143</v>
      </c>
      <c r="W77">
        <f>( (PI()*W71^3)/32 )*( ((V64*V65)/Q86) + ((0.75*V66*V67)/V69))^(-1)</f>
        <v>8.5553977669372543</v>
      </c>
      <c r="Z77" t="s">
        <v>145</v>
      </c>
      <c r="AA77" t="s">
        <v>143</v>
      </c>
      <c r="AB77">
        <f>( (PI()*AB71^3)/32 )*( ((AA64*AA65)/Q86) + ((0.75*AA66*AA67)/AA69))^(-1)</f>
        <v>5.4543943438721749</v>
      </c>
      <c r="AE77" t="s">
        <v>145</v>
      </c>
      <c r="AF77" t="s">
        <v>143</v>
      </c>
      <c r="AG77">
        <f>( (PI()*AG71^3)/32 )*( ((AF64*AF65)/Q86) + ((0.75*AF66*AF67)/AF69))^(-1)</f>
        <v>10.936156007960951</v>
      </c>
      <c r="AJ77" t="s">
        <v>145</v>
      </c>
      <c r="AK77" t="s">
        <v>143</v>
      </c>
      <c r="AL77">
        <f>( (PI()*AL71^3)/32 )*( ((AK64*AK65)/Q86) + ((0.75*AK66*AK67)/AK69))^(-1)</f>
        <v>6.1541346938765198</v>
      </c>
    </row>
    <row r="78" spans="2:38" x14ac:dyDescent="0.25">
      <c r="C78">
        <f>206</f>
        <v>206</v>
      </c>
      <c r="D78">
        <f>D77</f>
        <v>-5550.2561033714283</v>
      </c>
    </row>
    <row r="79" spans="2:38" x14ac:dyDescent="0.25">
      <c r="C79">
        <f>C78+1E-150</f>
        <v>206</v>
      </c>
      <c r="D79">
        <f>D76+D65</f>
        <v>0</v>
      </c>
      <c r="R79" t="s">
        <v>164</v>
      </c>
    </row>
    <row r="80" spans="2:38" x14ac:dyDescent="0.25">
      <c r="P80" t="s">
        <v>161</v>
      </c>
      <c r="Q80" t="s">
        <v>159</v>
      </c>
      <c r="R80" t="s">
        <v>160</v>
      </c>
    </row>
    <row r="81" spans="3:18" x14ac:dyDescent="0.25">
      <c r="C81" t="s">
        <v>81</v>
      </c>
      <c r="D81" t="s">
        <v>136</v>
      </c>
      <c r="P81" t="s">
        <v>162</v>
      </c>
      <c r="Q81">
        <v>1124</v>
      </c>
    </row>
    <row r="82" spans="3:18" x14ac:dyDescent="0.25">
      <c r="C82">
        <f>0</f>
        <v>0</v>
      </c>
      <c r="D82">
        <f>0</f>
        <v>0</v>
      </c>
      <c r="P82" t="s">
        <v>158</v>
      </c>
      <c r="Q82">
        <v>0.92</v>
      </c>
    </row>
    <row r="83" spans="3:18" x14ac:dyDescent="0.25">
      <c r="C83">
        <f>C70</f>
        <v>22.5</v>
      </c>
      <c r="D83">
        <f>D70*(C83-C82)</f>
        <v>80354.390487058088</v>
      </c>
      <c r="P83" t="s">
        <v>163</v>
      </c>
      <c r="Q83">
        <f>0.5*Q81</f>
        <v>562</v>
      </c>
      <c r="R83" t="s">
        <v>165</v>
      </c>
    </row>
    <row r="84" spans="3:18" x14ac:dyDescent="0.25">
      <c r="C84">
        <f>C71</f>
        <v>35</v>
      </c>
      <c r="D84">
        <f>D83+(D71*(C84-C83))</f>
        <v>124995.71853542369</v>
      </c>
    </row>
    <row r="85" spans="3:18" x14ac:dyDescent="0.25">
      <c r="C85">
        <f>C73</f>
        <v>47.5</v>
      </c>
      <c r="D85">
        <f>D84+D72*(C85-C84)</f>
        <v>134554.11447901747</v>
      </c>
    </row>
    <row r="86" spans="3:18" x14ac:dyDescent="0.25">
      <c r="C86">
        <v>147.5</v>
      </c>
      <c r="D86">
        <f>D85+D74*(C86-C85)</f>
        <v>211021.28202776768</v>
      </c>
      <c r="P86" t="s">
        <v>163</v>
      </c>
      <c r="Q86">
        <f>Q68*Q88*Q89*Q90*Q91*Q92</f>
        <v>337.97531203590506</v>
      </c>
    </row>
    <row r="87" spans="3:18" x14ac:dyDescent="0.25">
      <c r="C87">
        <v>165.5</v>
      </c>
      <c r="D87">
        <f>D86+(D75*(C87-C86))</f>
        <v>224785.37218654272</v>
      </c>
    </row>
    <row r="88" spans="3:18" x14ac:dyDescent="0.25">
      <c r="C88">
        <v>183.5</v>
      </c>
      <c r="D88">
        <f>D87+D76*(C88-C87)</f>
        <v>124880.76232585701</v>
      </c>
      <c r="P88" t="s">
        <v>179</v>
      </c>
      <c r="Q88">
        <v>1</v>
      </c>
    </row>
    <row r="89" spans="3:18" x14ac:dyDescent="0.25">
      <c r="C89">
        <f>C79</f>
        <v>206</v>
      </c>
      <c r="D89" s="3">
        <f>D88+D78*(C89-C88)</f>
        <v>-1.3096723705530167E-10</v>
      </c>
      <c r="P89" t="s">
        <v>180</v>
      </c>
      <c r="Q89">
        <f>1.189*(R71^(-0.097))</f>
        <v>0.84953701607607968</v>
      </c>
    </row>
    <row r="90" spans="3:18" x14ac:dyDescent="0.25">
      <c r="P90" t="s">
        <v>181</v>
      </c>
      <c r="Q90">
        <f>1.58*(Q69)^(-0.085)</f>
        <v>0.86964489219381103</v>
      </c>
    </row>
    <row r="91" spans="3:18" x14ac:dyDescent="0.25">
      <c r="P91" t="s">
        <v>182</v>
      </c>
      <c r="Q91">
        <v>1</v>
      </c>
    </row>
    <row r="92" spans="3:18" x14ac:dyDescent="0.25">
      <c r="C92" t="s">
        <v>81</v>
      </c>
      <c r="D92" t="s">
        <v>141</v>
      </c>
      <c r="P92" t="s">
        <v>183</v>
      </c>
      <c r="Q92">
        <v>0.81399999999999995</v>
      </c>
    </row>
    <row r="93" spans="3:18" x14ac:dyDescent="0.25">
      <c r="C93">
        <v>0</v>
      </c>
      <c r="D93">
        <v>0</v>
      </c>
    </row>
    <row r="94" spans="3:18" x14ac:dyDescent="0.25">
      <c r="C94">
        <v>22.5</v>
      </c>
      <c r="D94">
        <v>0</v>
      </c>
    </row>
    <row r="95" spans="3:18" x14ac:dyDescent="0.25">
      <c r="C95">
        <f>35</f>
        <v>35</v>
      </c>
      <c r="D95">
        <v>0</v>
      </c>
    </row>
    <row r="96" spans="3:18" x14ac:dyDescent="0.25">
      <c r="C96">
        <f>C71+1E-150</f>
        <v>35</v>
      </c>
      <c r="D96">
        <f>Shafts!$C$31</f>
        <v>178.02273103769051</v>
      </c>
    </row>
    <row r="97" spans="3:4" x14ac:dyDescent="0.25">
      <c r="C97">
        <v>47.5</v>
      </c>
      <c r="D97">
        <f>D96</f>
        <v>178.02273103769051</v>
      </c>
    </row>
    <row r="98" spans="3:4" x14ac:dyDescent="0.25">
      <c r="C98">
        <v>147.5</v>
      </c>
      <c r="D98">
        <f>D97</f>
        <v>178.02273103769051</v>
      </c>
    </row>
    <row r="99" spans="3:4" x14ac:dyDescent="0.25">
      <c r="C99">
        <f>165.5</f>
        <v>165.5</v>
      </c>
      <c r="D99">
        <f>D96</f>
        <v>178.02273103769051</v>
      </c>
    </row>
    <row r="100" spans="3:4" x14ac:dyDescent="0.25">
      <c r="C100">
        <f>C75+1E-150</f>
        <v>165.5</v>
      </c>
      <c r="D100">
        <f>D96+Shafts!$C$46</f>
        <v>356.04546207538101</v>
      </c>
    </row>
    <row r="101" spans="3:4" x14ac:dyDescent="0.25">
      <c r="C101">
        <f>C88</f>
        <v>183.5</v>
      </c>
      <c r="D101">
        <f>D100</f>
        <v>356.04546207538101</v>
      </c>
    </row>
    <row r="102" spans="3:4" x14ac:dyDescent="0.25">
      <c r="C102">
        <v>206</v>
      </c>
      <c r="D102">
        <f>D100</f>
        <v>356.04546207538101</v>
      </c>
    </row>
    <row r="103" spans="3:4" x14ac:dyDescent="0.25">
      <c r="C103">
        <f>C89+1E-150</f>
        <v>206</v>
      </c>
      <c r="D103">
        <v>0</v>
      </c>
    </row>
    <row r="121" spans="2:4" ht="18.75" x14ac:dyDescent="0.3">
      <c r="B121" s="34" t="s">
        <v>133</v>
      </c>
    </row>
    <row r="123" spans="2:4" x14ac:dyDescent="0.25">
      <c r="B123" t="s">
        <v>170</v>
      </c>
      <c r="D123">
        <f>Shafts!I58</f>
        <v>2637.0028087542787</v>
      </c>
    </row>
    <row r="124" spans="2:4" x14ac:dyDescent="0.25">
      <c r="B124" t="s">
        <v>171</v>
      </c>
      <c r="D124">
        <f>Shafts!I57</f>
        <v>3677.9249701046519</v>
      </c>
    </row>
    <row r="125" spans="2:4" x14ac:dyDescent="0.25">
      <c r="B125" t="s">
        <v>172</v>
      </c>
      <c r="D125">
        <f>Shafts!C64</f>
        <v>6314.9277788589307</v>
      </c>
    </row>
    <row r="130" spans="3:33" ht="23.25" x14ac:dyDescent="0.35">
      <c r="O130" s="44" t="s">
        <v>153</v>
      </c>
      <c r="T130" s="44" t="s">
        <v>154</v>
      </c>
      <c r="Y130" s="44" t="s">
        <v>152</v>
      </c>
      <c r="AD130" s="44" t="s">
        <v>155</v>
      </c>
    </row>
    <row r="131" spans="3:33" ht="15.75" thickBot="1" x14ac:dyDescent="0.3">
      <c r="O131" t="s">
        <v>156</v>
      </c>
      <c r="P131" t="s">
        <v>143</v>
      </c>
      <c r="Q131">
        <v>20</v>
      </c>
      <c r="T131" t="s">
        <v>81</v>
      </c>
      <c r="U131" t="s">
        <v>143</v>
      </c>
      <c r="V131">
        <v>35</v>
      </c>
      <c r="Y131" t="s">
        <v>81</v>
      </c>
      <c r="Z131" t="s">
        <v>143</v>
      </c>
      <c r="AA131">
        <v>53</v>
      </c>
      <c r="AD131" t="s">
        <v>81</v>
      </c>
      <c r="AE131" t="s">
        <v>143</v>
      </c>
      <c r="AF131">
        <v>71</v>
      </c>
    </row>
    <row r="132" spans="3:33" x14ac:dyDescent="0.25">
      <c r="O132" s="43" t="s">
        <v>151</v>
      </c>
      <c r="P132" s="35"/>
      <c r="Q132" s="36"/>
      <c r="T132" s="43" t="s">
        <v>151</v>
      </c>
      <c r="U132" s="35"/>
      <c r="V132" s="36"/>
      <c r="Y132" s="43" t="s">
        <v>151</v>
      </c>
      <c r="Z132" s="35"/>
      <c r="AA132" s="36"/>
      <c r="AD132" s="43" t="s">
        <v>151</v>
      </c>
      <c r="AE132" s="35"/>
      <c r="AF132" s="36"/>
    </row>
    <row r="133" spans="3:33" x14ac:dyDescent="0.25">
      <c r="O133" s="37" t="s">
        <v>146</v>
      </c>
      <c r="P133" s="38" t="s">
        <v>143</v>
      </c>
      <c r="Q133" s="39">
        <f>1+Q152*(R143-1)</f>
        <v>1.1656</v>
      </c>
      <c r="T133" s="37" t="s">
        <v>146</v>
      </c>
      <c r="U133" s="38" t="s">
        <v>143</v>
      </c>
      <c r="V133" s="39">
        <f>1+Q152*(W143-1)</f>
        <v>1.4139999999999999</v>
      </c>
      <c r="Y133" s="37" t="s">
        <v>146</v>
      </c>
      <c r="Z133" s="38" t="s">
        <v>143</v>
      </c>
      <c r="AA133" s="39">
        <v>1</v>
      </c>
      <c r="AD133" s="37" t="s">
        <v>146</v>
      </c>
      <c r="AE133" s="38" t="s">
        <v>143</v>
      </c>
      <c r="AF133" s="39">
        <f>1 + Q152*(AG143-1)</f>
        <v>1.345</v>
      </c>
    </row>
    <row r="134" spans="3:33" x14ac:dyDescent="0.25">
      <c r="O134" s="37" t="s">
        <v>147</v>
      </c>
      <c r="P134" s="38" t="s">
        <v>143</v>
      </c>
      <c r="Q134" s="39">
        <f>D160</f>
        <v>52740.05617508557</v>
      </c>
      <c r="T134" s="37" t="s">
        <v>147</v>
      </c>
      <c r="U134" s="38" t="s">
        <v>143</v>
      </c>
      <c r="V134" s="39">
        <f>D161</f>
        <v>92295.098306399741</v>
      </c>
      <c r="Y134" s="37" t="s">
        <v>147</v>
      </c>
      <c r="Z134" s="38" t="s">
        <v>143</v>
      </c>
      <c r="AA134" s="39">
        <f>D162</f>
        <v>139761.14886397676</v>
      </c>
      <c r="AD134" s="37" t="s">
        <v>147</v>
      </c>
      <c r="AE134" s="38" t="s">
        <v>143</v>
      </c>
      <c r="AF134" s="39">
        <f>D163</f>
        <v>73558.499402093032</v>
      </c>
    </row>
    <row r="135" spans="3:33" x14ac:dyDescent="0.25">
      <c r="O135" s="37" t="s">
        <v>148</v>
      </c>
      <c r="P135" s="38" t="s">
        <v>143</v>
      </c>
      <c r="Q135" s="39">
        <f>1+Q152*(R144-1)</f>
        <v>1.0920000000000001</v>
      </c>
      <c r="T135" s="37" t="s">
        <v>148</v>
      </c>
      <c r="U135" s="38" t="s">
        <v>143</v>
      </c>
      <c r="V135" s="39">
        <f>1+Q152*(W144-1)</f>
        <v>1.1379999999999999</v>
      </c>
      <c r="Y135" s="37" t="s">
        <v>148</v>
      </c>
      <c r="Z135" s="38" t="s">
        <v>143</v>
      </c>
      <c r="AA135" s="39">
        <v>1</v>
      </c>
      <c r="AD135" s="37" t="s">
        <v>148</v>
      </c>
      <c r="AE135" s="38" t="s">
        <v>143</v>
      </c>
      <c r="AF135" s="39">
        <f>1 + Q152*(AG144-1)</f>
        <v>1.161</v>
      </c>
    </row>
    <row r="136" spans="3:33" x14ac:dyDescent="0.25">
      <c r="O136" s="37" t="s">
        <v>149</v>
      </c>
      <c r="P136" s="38" t="s">
        <v>143</v>
      </c>
      <c r="Q136" s="39">
        <f>D176</f>
        <v>0</v>
      </c>
      <c r="T136" s="37" t="s">
        <v>149</v>
      </c>
      <c r="U136" s="38" t="s">
        <v>143</v>
      </c>
      <c r="V136" s="39">
        <v>0</v>
      </c>
      <c r="Y136" s="37" t="s">
        <v>149</v>
      </c>
      <c r="Z136" s="38" t="s">
        <v>143</v>
      </c>
      <c r="AA136" s="39">
        <f>E193</f>
        <v>0</v>
      </c>
      <c r="AD136" s="37" t="s">
        <v>149</v>
      </c>
      <c r="AE136" s="38" t="s">
        <v>143</v>
      </c>
      <c r="AF136" s="39">
        <f>D180</f>
        <v>569.67273932060959</v>
      </c>
    </row>
    <row r="137" spans="3:33" x14ac:dyDescent="0.25">
      <c r="O137" s="37" t="s">
        <v>163</v>
      </c>
      <c r="P137" s="38" t="s">
        <v>143</v>
      </c>
      <c r="Q137" s="39">
        <f>Q153</f>
        <v>562</v>
      </c>
      <c r="T137" s="37" t="s">
        <v>163</v>
      </c>
      <c r="U137" s="38" t="s">
        <v>143</v>
      </c>
      <c r="V137" s="39">
        <f>Q153</f>
        <v>562</v>
      </c>
      <c r="Y137" s="37" t="s">
        <v>163</v>
      </c>
      <c r="Z137" s="38" t="s">
        <v>143</v>
      </c>
      <c r="AA137" s="39">
        <f>Q153</f>
        <v>562</v>
      </c>
      <c r="AD137" s="37" t="s">
        <v>163</v>
      </c>
      <c r="AE137" s="38" t="s">
        <v>143</v>
      </c>
      <c r="AF137" s="39">
        <f>Q153</f>
        <v>562</v>
      </c>
    </row>
    <row r="138" spans="3:33" ht="15.75" thickBot="1" x14ac:dyDescent="0.3">
      <c r="O138" s="40" t="s">
        <v>150</v>
      </c>
      <c r="P138" s="41" t="s">
        <v>143</v>
      </c>
      <c r="Q138" s="42">
        <f>Q151</f>
        <v>1124</v>
      </c>
      <c r="T138" s="40" t="s">
        <v>150</v>
      </c>
      <c r="U138" s="41" t="s">
        <v>143</v>
      </c>
      <c r="V138" s="42">
        <f>Q151</f>
        <v>1124</v>
      </c>
      <c r="Y138" s="40" t="s">
        <v>150</v>
      </c>
      <c r="Z138" s="41" t="s">
        <v>143</v>
      </c>
      <c r="AA138" s="42">
        <f>Q151</f>
        <v>1124</v>
      </c>
      <c r="AD138" s="40" t="s">
        <v>150</v>
      </c>
      <c r="AE138" s="41" t="s">
        <v>143</v>
      </c>
      <c r="AF138" s="42">
        <f>Q151</f>
        <v>1124</v>
      </c>
    </row>
    <row r="140" spans="3:33" x14ac:dyDescent="0.25">
      <c r="P140" t="s">
        <v>142</v>
      </c>
      <c r="Q140" t="s">
        <v>143</v>
      </c>
      <c r="R140">
        <v>25</v>
      </c>
      <c r="U140" t="s">
        <v>142</v>
      </c>
      <c r="V140" t="s">
        <v>143</v>
      </c>
      <c r="W140">
        <v>35</v>
      </c>
      <c r="Z140" t="s">
        <v>142</v>
      </c>
      <c r="AA140" t="s">
        <v>143</v>
      </c>
      <c r="AB140">
        <v>30</v>
      </c>
      <c r="AE140" t="s">
        <v>142</v>
      </c>
      <c r="AF140" t="s">
        <v>143</v>
      </c>
      <c r="AG140">
        <v>25</v>
      </c>
    </row>
    <row r="141" spans="3:33" x14ac:dyDescent="0.25">
      <c r="P141" t="s">
        <v>168</v>
      </c>
      <c r="Q141" t="s">
        <v>143</v>
      </c>
      <c r="R141">
        <v>1.4</v>
      </c>
      <c r="U141" t="s">
        <v>168</v>
      </c>
      <c r="V141" t="s">
        <v>143</v>
      </c>
      <c r="W141">
        <v>1.1599999999999999</v>
      </c>
      <c r="Z141" t="s">
        <v>168</v>
      </c>
      <c r="AA141" t="s">
        <v>143</v>
      </c>
      <c r="AE141" t="s">
        <v>168</v>
      </c>
      <c r="AF141" t="s">
        <v>143</v>
      </c>
      <c r="AG141">
        <v>1.2</v>
      </c>
    </row>
    <row r="142" spans="3:33" x14ac:dyDescent="0.25">
      <c r="P142" t="s">
        <v>169</v>
      </c>
      <c r="Q142" t="s">
        <v>143</v>
      </c>
      <c r="R142">
        <v>0.4</v>
      </c>
      <c r="U142" t="s">
        <v>169</v>
      </c>
      <c r="V142" t="s">
        <v>143</v>
      </c>
      <c r="W142">
        <v>0.16</v>
      </c>
      <c r="Z142" t="s">
        <v>169</v>
      </c>
      <c r="AA142" t="s">
        <v>143</v>
      </c>
      <c r="AE142" t="s">
        <v>169</v>
      </c>
      <c r="AF142" t="s">
        <v>143</v>
      </c>
      <c r="AG142">
        <v>0.2</v>
      </c>
    </row>
    <row r="143" spans="3:33" x14ac:dyDescent="0.25">
      <c r="C143" t="s">
        <v>81</v>
      </c>
      <c r="D143" t="s">
        <v>140</v>
      </c>
      <c r="P143" t="s">
        <v>166</v>
      </c>
      <c r="Q143" t="s">
        <v>143</v>
      </c>
      <c r="R143">
        <v>1.18</v>
      </c>
      <c r="U143" t="s">
        <v>166</v>
      </c>
      <c r="V143" t="s">
        <v>143</v>
      </c>
      <c r="W143">
        <v>1.45</v>
      </c>
      <c r="Z143" t="s">
        <v>166</v>
      </c>
      <c r="AA143" t="s">
        <v>143</v>
      </c>
      <c r="AE143" t="s">
        <v>166</v>
      </c>
      <c r="AF143" t="s">
        <v>143</v>
      </c>
      <c r="AG143">
        <v>1.375</v>
      </c>
    </row>
    <row r="144" spans="3:33" x14ac:dyDescent="0.25">
      <c r="C144">
        <v>0</v>
      </c>
      <c r="D144">
        <f>Shafts!I58</f>
        <v>2637.0028087542787</v>
      </c>
      <c r="P144" t="s">
        <v>167</v>
      </c>
      <c r="Q144" t="s">
        <v>143</v>
      </c>
      <c r="R144">
        <v>1.1000000000000001</v>
      </c>
      <c r="U144" t="s">
        <v>167</v>
      </c>
      <c r="V144" t="s">
        <v>143</v>
      </c>
      <c r="W144">
        <v>1.1499999999999999</v>
      </c>
      <c r="Z144" t="s">
        <v>167</v>
      </c>
      <c r="AA144" t="s">
        <v>143</v>
      </c>
      <c r="AE144" t="s">
        <v>167</v>
      </c>
      <c r="AF144" t="s">
        <v>143</v>
      </c>
      <c r="AG144">
        <v>1.175</v>
      </c>
    </row>
    <row r="145" spans="3:33" x14ac:dyDescent="0.25">
      <c r="C145">
        <v>20</v>
      </c>
      <c r="D145">
        <f>D144</f>
        <v>2637.0028087542787</v>
      </c>
      <c r="P145" t="s">
        <v>144</v>
      </c>
      <c r="U145" t="s">
        <v>144</v>
      </c>
      <c r="Z145" t="s">
        <v>144</v>
      </c>
      <c r="AE145" t="s">
        <v>144</v>
      </c>
    </row>
    <row r="146" spans="3:33" x14ac:dyDescent="0.25">
      <c r="C146">
        <v>35</v>
      </c>
      <c r="D146">
        <f>D145</f>
        <v>2637.0028087542787</v>
      </c>
      <c r="P146" t="s">
        <v>145</v>
      </c>
      <c r="Q146" t="s">
        <v>143</v>
      </c>
      <c r="R146">
        <f>( (PI()*R140^3)/32 )*( ((Q133*Q134)/Q156) + ((0.75*Q135*Q136)/Q138))^(-1)</f>
        <v>9.9328113651175034</v>
      </c>
      <c r="U146" t="s">
        <v>145</v>
      </c>
      <c r="V146" t="s">
        <v>143</v>
      </c>
      <c r="W146">
        <f>( (PI()*W140^3)/32 )*( ((V133*V134)/Q156) + ((0.75*V135*V136)/V138))^(-1)</f>
        <v>12.838620909349185</v>
      </c>
      <c r="Z146" t="s">
        <v>145</v>
      </c>
      <c r="AA146" t="s">
        <v>143</v>
      </c>
      <c r="AB146">
        <f>( (PI()*AB140^3)/32 )*( ((AA133*AA134)/Q156) + ((0.75*AA135*AA136)/AA138))^(-1)</f>
        <v>7.5495243600636606</v>
      </c>
      <c r="AE146" t="s">
        <v>145</v>
      </c>
      <c r="AF146" t="s">
        <v>143</v>
      </c>
      <c r="AG146">
        <f>( (PI()*AG140^3)/32 )*( ((AF133*AF134)/Q156) + ((0.75*AF135*AF136)/AF138))^(-1)</f>
        <v>6.160794591793338</v>
      </c>
    </row>
    <row r="147" spans="3:33" x14ac:dyDescent="0.25">
      <c r="C147">
        <f>53</f>
        <v>53</v>
      </c>
      <c r="D147">
        <f>D146</f>
        <v>2637.0028087542787</v>
      </c>
    </row>
    <row r="148" spans="3:33" x14ac:dyDescent="0.25">
      <c r="C148">
        <f>53+1E-150</f>
        <v>53</v>
      </c>
      <c r="D148">
        <f>D146-D125</f>
        <v>-3677.9249701046519</v>
      </c>
    </row>
    <row r="149" spans="3:33" x14ac:dyDescent="0.25">
      <c r="C149">
        <v>71</v>
      </c>
      <c r="D149">
        <f>D148</f>
        <v>-3677.9249701046519</v>
      </c>
      <c r="R149" t="s">
        <v>164</v>
      </c>
    </row>
    <row r="150" spans="3:33" x14ac:dyDescent="0.25">
      <c r="C150">
        <f>91</f>
        <v>91</v>
      </c>
      <c r="D150">
        <f>D149</f>
        <v>-3677.9249701046519</v>
      </c>
      <c r="P150" t="s">
        <v>161</v>
      </c>
      <c r="Q150" t="s">
        <v>159</v>
      </c>
      <c r="R150" t="s">
        <v>160</v>
      </c>
    </row>
    <row r="151" spans="3:33" x14ac:dyDescent="0.25">
      <c r="C151">
        <f>91 + 1E-150</f>
        <v>91</v>
      </c>
      <c r="D151">
        <f>D149+D124</f>
        <v>0</v>
      </c>
      <c r="P151" t="s">
        <v>162</v>
      </c>
      <c r="Q151">
        <v>1124</v>
      </c>
    </row>
    <row r="152" spans="3:33" x14ac:dyDescent="0.25">
      <c r="P152" t="s">
        <v>158</v>
      </c>
      <c r="Q152">
        <v>0.92</v>
      </c>
    </row>
    <row r="153" spans="3:33" x14ac:dyDescent="0.25">
      <c r="P153" t="s">
        <v>163</v>
      </c>
      <c r="Q153">
        <f>0.5*Q151</f>
        <v>562</v>
      </c>
      <c r="R153" t="s">
        <v>165</v>
      </c>
    </row>
    <row r="156" spans="3:33" x14ac:dyDescent="0.25">
      <c r="P156" t="s">
        <v>163</v>
      </c>
      <c r="Q156">
        <f>Q137*Q158*Q159*Q160*Q161*Q162</f>
        <v>398.05436825489528</v>
      </c>
    </row>
    <row r="158" spans="3:33" x14ac:dyDescent="0.25">
      <c r="C158" t="s">
        <v>81</v>
      </c>
      <c r="D158" t="s">
        <v>136</v>
      </c>
      <c r="P158" t="s">
        <v>179</v>
      </c>
      <c r="Q158">
        <v>1</v>
      </c>
    </row>
    <row r="159" spans="3:33" x14ac:dyDescent="0.25">
      <c r="C159">
        <v>0</v>
      </c>
      <c r="D159">
        <f>0</f>
        <v>0</v>
      </c>
      <c r="P159" t="s">
        <v>180</v>
      </c>
      <c r="Q159">
        <f>1.189*(R140^(-0.097))</f>
        <v>0.87012505411284569</v>
      </c>
    </row>
    <row r="160" spans="3:33" x14ac:dyDescent="0.25">
      <c r="C160">
        <v>20</v>
      </c>
      <c r="D160">
        <f>D145*(C160-C159)</f>
        <v>52740.05617508557</v>
      </c>
      <c r="P160" t="s">
        <v>181</v>
      </c>
      <c r="Q160">
        <v>1</v>
      </c>
      <c r="R160" t="s">
        <v>185</v>
      </c>
    </row>
    <row r="161" spans="3:17" x14ac:dyDescent="0.25">
      <c r="C161">
        <v>35</v>
      </c>
      <c r="D161">
        <f>D160 + D146*(35-20)</f>
        <v>92295.098306399741</v>
      </c>
      <c r="P161" t="s">
        <v>182</v>
      </c>
      <c r="Q161">
        <v>1</v>
      </c>
    </row>
    <row r="162" spans="3:17" x14ac:dyDescent="0.25">
      <c r="C162">
        <v>53</v>
      </c>
      <c r="D162">
        <f>D161 + D147*(C162-C161)</f>
        <v>139761.14886397676</v>
      </c>
      <c r="P162" t="s">
        <v>183</v>
      </c>
      <c r="Q162">
        <v>0.81399999999999995</v>
      </c>
    </row>
    <row r="163" spans="3:17" x14ac:dyDescent="0.25">
      <c r="C163">
        <v>71</v>
      </c>
      <c r="D163">
        <f>D162+D148*(C163-C162)</f>
        <v>73558.499402093032</v>
      </c>
    </row>
    <row r="164" spans="3:17" x14ac:dyDescent="0.25">
      <c r="C164">
        <v>91</v>
      </c>
      <c r="D164">
        <f>D163 +D149*(C164-C163)</f>
        <v>0</v>
      </c>
    </row>
    <row r="174" spans="3:17" x14ac:dyDescent="0.25">
      <c r="C174" t="s">
        <v>81</v>
      </c>
      <c r="D174" t="s">
        <v>141</v>
      </c>
    </row>
    <row r="175" spans="3:17" x14ac:dyDescent="0.25">
      <c r="C175">
        <v>0</v>
      </c>
      <c r="D175">
        <v>0</v>
      </c>
    </row>
    <row r="176" spans="3:17" x14ac:dyDescent="0.25">
      <c r="C176">
        <v>20</v>
      </c>
      <c r="D176">
        <v>0</v>
      </c>
    </row>
    <row r="177" spans="3:4" x14ac:dyDescent="0.25">
      <c r="C177">
        <v>35</v>
      </c>
      <c r="D177">
        <v>0</v>
      </c>
    </row>
    <row r="178" spans="3:4" x14ac:dyDescent="0.25">
      <c r="C178">
        <v>53</v>
      </c>
      <c r="D178">
        <v>0</v>
      </c>
    </row>
    <row r="179" spans="3:4" x14ac:dyDescent="0.25">
      <c r="C179">
        <f>53+1E-150</f>
        <v>53</v>
      </c>
      <c r="D179">
        <f>Shafts!C61</f>
        <v>569.67273932060959</v>
      </c>
    </row>
    <row r="180" spans="3:4" x14ac:dyDescent="0.25">
      <c r="C180">
        <v>71</v>
      </c>
      <c r="D180">
        <f>D179</f>
        <v>569.67273932060959</v>
      </c>
    </row>
    <row r="181" spans="3:4" x14ac:dyDescent="0.25">
      <c r="C181">
        <v>91</v>
      </c>
      <c r="D181">
        <f>D180</f>
        <v>569.67273932060959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abSelected="1" topLeftCell="A13" workbookViewId="0">
      <selection activeCell="K34" sqref="K34"/>
    </sheetView>
  </sheetViews>
  <sheetFormatPr defaultRowHeight="15" x14ac:dyDescent="0.25"/>
  <cols>
    <col min="2" max="2" width="10.5703125" bestFit="1" customWidth="1"/>
    <col min="3" max="3" width="13" customWidth="1"/>
    <col min="4" max="4" width="18" customWidth="1"/>
    <col min="5" max="5" width="24.28515625" bestFit="1" customWidth="1"/>
    <col min="6" max="6" width="18.7109375" customWidth="1"/>
    <col min="7" max="7" width="24.28515625" bestFit="1" customWidth="1"/>
    <col min="8" max="8" width="17.140625" customWidth="1"/>
    <col min="9" max="9" width="24.28515625" bestFit="1" customWidth="1"/>
    <col min="10" max="10" width="19.28515625" customWidth="1"/>
    <col min="11" max="11" width="24.28515625" bestFit="1" customWidth="1"/>
  </cols>
  <sheetData>
    <row r="2" spans="3:16" ht="15.75" thickBot="1" x14ac:dyDescent="0.3"/>
    <row r="3" spans="3:16" ht="15.75" thickBot="1" x14ac:dyDescent="0.3">
      <c r="C3" t="s">
        <v>231</v>
      </c>
      <c r="L3" s="100" t="s">
        <v>4</v>
      </c>
      <c r="M3" s="99" t="s">
        <v>143</v>
      </c>
      <c r="N3" s="98">
        <v>0.21</v>
      </c>
      <c r="O3" s="97" t="s">
        <v>230</v>
      </c>
      <c r="P3" s="96"/>
    </row>
    <row r="5" spans="3:16" x14ac:dyDescent="0.25">
      <c r="L5" t="s">
        <v>204</v>
      </c>
      <c r="M5" t="s">
        <v>143</v>
      </c>
    </row>
    <row r="8" spans="3:16" x14ac:dyDescent="0.25">
      <c r="C8" t="s">
        <v>229</v>
      </c>
      <c r="J8" s="95"/>
    </row>
    <row r="9" spans="3:16" x14ac:dyDescent="0.25">
      <c r="J9" s="95"/>
    </row>
    <row r="10" spans="3:16" x14ac:dyDescent="0.25">
      <c r="J10" s="95"/>
    </row>
    <row r="11" spans="3:16" ht="28.5" x14ac:dyDescent="0.45">
      <c r="G11" s="108"/>
      <c r="H11" s="108"/>
      <c r="I11" s="108"/>
      <c r="J11" s="108"/>
    </row>
    <row r="13" spans="3:16" ht="15.75" thickBot="1" x14ac:dyDescent="0.3">
      <c r="J13" s="107"/>
      <c r="K13" s="107"/>
    </row>
    <row r="14" spans="3:16" x14ac:dyDescent="0.25">
      <c r="C14" s="94" t="s">
        <v>228</v>
      </c>
      <c r="D14" s="93"/>
      <c r="E14" s="93"/>
      <c r="F14" s="93"/>
      <c r="G14" s="93"/>
      <c r="H14" s="93"/>
      <c r="I14" s="93"/>
      <c r="J14" s="93"/>
      <c r="K14" s="92"/>
    </row>
    <row r="15" spans="3:16" ht="15.75" thickBot="1" x14ac:dyDescent="0.3">
      <c r="C15" s="91"/>
      <c r="D15" s="90"/>
      <c r="E15" s="90"/>
      <c r="F15" s="90"/>
      <c r="G15" s="90"/>
      <c r="H15" s="90"/>
      <c r="I15" s="90"/>
      <c r="J15" s="90"/>
      <c r="K15" s="89"/>
    </row>
    <row r="16" spans="3:16" ht="33.75" customHeight="1" x14ac:dyDescent="0.25">
      <c r="C16" s="88"/>
      <c r="D16" s="87" t="s">
        <v>227</v>
      </c>
      <c r="E16" s="84" t="s">
        <v>95</v>
      </c>
      <c r="F16" s="87" t="s">
        <v>226</v>
      </c>
      <c r="G16" s="84" t="s">
        <v>95</v>
      </c>
      <c r="H16" s="86" t="s">
        <v>225</v>
      </c>
      <c r="I16" s="84" t="s">
        <v>95</v>
      </c>
      <c r="J16" s="85" t="s">
        <v>224</v>
      </c>
      <c r="K16" s="84" t="s">
        <v>95</v>
      </c>
    </row>
    <row r="17" spans="1:15" ht="17.25" customHeight="1" x14ac:dyDescent="0.25">
      <c r="B17" s="74" t="s">
        <v>209</v>
      </c>
      <c r="C17" s="83" t="s">
        <v>223</v>
      </c>
      <c r="D17" s="71">
        <v>1.7040280999999999</v>
      </c>
      <c r="E17" s="65"/>
      <c r="F17" s="71">
        <v>5.55</v>
      </c>
      <c r="G17" s="65"/>
      <c r="H17" s="82"/>
      <c r="I17" s="65"/>
      <c r="J17" s="82"/>
      <c r="K17" s="65"/>
    </row>
    <row r="18" spans="1:15" ht="17.25" customHeight="1" x14ac:dyDescent="0.25">
      <c r="B18" s="74" t="s">
        <v>209</v>
      </c>
      <c r="C18" s="83" t="s">
        <v>222</v>
      </c>
      <c r="D18" s="71"/>
      <c r="E18" s="65"/>
      <c r="F18" s="71"/>
      <c r="G18" s="65"/>
      <c r="H18" s="82"/>
      <c r="I18" s="65"/>
      <c r="J18" s="82"/>
      <c r="K18" s="65"/>
    </row>
    <row r="19" spans="1:15" ht="17.25" customHeight="1" x14ac:dyDescent="0.25">
      <c r="C19" s="69" t="s">
        <v>221</v>
      </c>
      <c r="D19" s="68">
        <f>MAX(D17,D18)</f>
        <v>1.7040280999999999</v>
      </c>
      <c r="E19" s="65"/>
      <c r="F19" s="68">
        <f>MAX(F17,F18)</f>
        <v>5.55</v>
      </c>
      <c r="G19" s="65"/>
      <c r="H19" s="70">
        <v>2.637</v>
      </c>
      <c r="I19" s="65" t="s">
        <v>220</v>
      </c>
      <c r="J19">
        <v>3.677</v>
      </c>
      <c r="K19" s="65" t="s">
        <v>219</v>
      </c>
    </row>
    <row r="20" spans="1:15" ht="17.25" customHeight="1" x14ac:dyDescent="0.25">
      <c r="B20" s="74" t="s">
        <v>209</v>
      </c>
      <c r="C20" s="81" t="s">
        <v>218</v>
      </c>
      <c r="D20" s="80">
        <v>28.5</v>
      </c>
      <c r="E20" s="65" t="s">
        <v>217</v>
      </c>
      <c r="F20" s="80">
        <v>45.1</v>
      </c>
      <c r="G20" s="65" t="s">
        <v>217</v>
      </c>
      <c r="H20" s="70">
        <v>38.1</v>
      </c>
      <c r="I20" s="65" t="s">
        <v>216</v>
      </c>
      <c r="J20" s="80">
        <v>74.099999999999994</v>
      </c>
      <c r="K20" s="65" t="s">
        <v>216</v>
      </c>
      <c r="L20" s="104"/>
      <c r="M20" s="101"/>
      <c r="N20" s="101"/>
      <c r="O20" s="101"/>
    </row>
    <row r="21" spans="1:15" ht="17.25" customHeight="1" x14ac:dyDescent="0.25">
      <c r="C21" s="79" t="s">
        <v>215</v>
      </c>
      <c r="D21" s="77">
        <f>D19</f>
        <v>1.7040280999999999</v>
      </c>
      <c r="E21" s="65" t="s">
        <v>214</v>
      </c>
      <c r="F21" s="77">
        <f>F19</f>
        <v>5.55</v>
      </c>
      <c r="G21" s="65" t="s">
        <v>214</v>
      </c>
      <c r="H21" s="77">
        <f>H19</f>
        <v>2.637</v>
      </c>
      <c r="I21" s="65" t="s">
        <v>214</v>
      </c>
      <c r="J21">
        <v>3.677</v>
      </c>
      <c r="K21" s="65" t="s">
        <v>213</v>
      </c>
    </row>
    <row r="22" spans="1:15" ht="17.25" customHeight="1" x14ac:dyDescent="0.25">
      <c r="C22" s="79" t="s">
        <v>212</v>
      </c>
      <c r="D22" s="78">
        <v>0</v>
      </c>
      <c r="E22" s="65" t="s">
        <v>211</v>
      </c>
      <c r="F22" s="78">
        <v>0</v>
      </c>
      <c r="G22" s="65" t="s">
        <v>211</v>
      </c>
      <c r="H22" s="78">
        <v>0</v>
      </c>
      <c r="I22" s="65" t="s">
        <v>211</v>
      </c>
      <c r="J22" s="77">
        <v>6.6719999999999997</v>
      </c>
      <c r="K22" s="65"/>
    </row>
    <row r="23" spans="1:15" ht="17.25" customHeight="1" x14ac:dyDescent="0.25">
      <c r="B23" s="74" t="s">
        <v>209</v>
      </c>
      <c r="C23" s="73" t="s">
        <v>210</v>
      </c>
      <c r="D23" s="72"/>
      <c r="E23" s="65"/>
      <c r="F23" s="72"/>
      <c r="G23" s="65"/>
      <c r="H23" s="72"/>
      <c r="I23" s="65"/>
      <c r="J23" s="72">
        <v>0.4</v>
      </c>
      <c r="K23" s="65"/>
    </row>
    <row r="24" spans="1:15" ht="17.25" customHeight="1" x14ac:dyDescent="0.25">
      <c r="C24" s="76" t="s">
        <v>140</v>
      </c>
      <c r="D24" s="75">
        <v>1</v>
      </c>
      <c r="E24" s="65"/>
      <c r="F24" s="75">
        <v>1</v>
      </c>
      <c r="G24" s="65"/>
      <c r="H24" s="75">
        <v>1</v>
      </c>
      <c r="I24" s="65"/>
      <c r="J24" s="75">
        <v>1</v>
      </c>
      <c r="K24" s="65"/>
    </row>
    <row r="25" spans="1:15" ht="17.25" customHeight="1" x14ac:dyDescent="0.25">
      <c r="B25" s="74" t="s">
        <v>209</v>
      </c>
      <c r="C25" s="73" t="s">
        <v>208</v>
      </c>
      <c r="D25" s="72"/>
      <c r="E25" s="65"/>
      <c r="F25" s="72"/>
      <c r="G25" s="65"/>
      <c r="H25" s="72"/>
      <c r="I25" s="65"/>
      <c r="J25" s="72">
        <v>2</v>
      </c>
      <c r="K25" s="65"/>
    </row>
    <row r="26" spans="1:15" ht="17.25" customHeight="1" x14ac:dyDescent="0.25">
      <c r="B26" t="s">
        <v>207</v>
      </c>
      <c r="C26" s="69" t="s">
        <v>206</v>
      </c>
      <c r="D26" s="71">
        <f>D17</f>
        <v>1.7040280999999999</v>
      </c>
      <c r="E26" s="65"/>
      <c r="F26" s="68">
        <v>5.55</v>
      </c>
      <c r="G26" s="65"/>
      <c r="H26" s="70">
        <v>2.637</v>
      </c>
      <c r="I26" s="65"/>
      <c r="J26" s="68">
        <f>(J23*J24*J21)+(J25*J22)</f>
        <v>14.8148</v>
      </c>
      <c r="K26" s="65"/>
    </row>
    <row r="27" spans="1:15" ht="17.25" customHeight="1" x14ac:dyDescent="0.25">
      <c r="C27" s="67" t="s">
        <v>4</v>
      </c>
      <c r="D27" s="66">
        <v>0.21</v>
      </c>
      <c r="E27" s="65"/>
      <c r="F27" s="66">
        <v>1</v>
      </c>
      <c r="G27" s="65"/>
      <c r="H27" s="66">
        <f>$N3</f>
        <v>0.21</v>
      </c>
      <c r="I27" s="65"/>
      <c r="J27" s="66">
        <v>1.07</v>
      </c>
      <c r="K27" s="65"/>
    </row>
    <row r="28" spans="1:15" ht="17.25" customHeight="1" thickBot="1" x14ac:dyDescent="0.3">
      <c r="A28" s="102"/>
      <c r="B28" s="103"/>
      <c r="C28" s="64" t="s">
        <v>205</v>
      </c>
      <c r="D28" s="62">
        <f>D38</f>
        <v>1782</v>
      </c>
      <c r="E28" s="63"/>
      <c r="F28" s="62">
        <f>E38</f>
        <v>714</v>
      </c>
      <c r="G28" s="63"/>
      <c r="H28" s="62">
        <f>G38</f>
        <v>222.6</v>
      </c>
      <c r="I28" s="63"/>
      <c r="J28" s="62">
        <f>G38</f>
        <v>222.6</v>
      </c>
      <c r="K28" s="61"/>
    </row>
    <row r="29" spans="1:15" ht="45" customHeight="1" thickBot="1" x14ac:dyDescent="0.3">
      <c r="C29" s="60" t="s">
        <v>204</v>
      </c>
      <c r="D29" s="59">
        <f>D27*((D20/D26)^(10/3))</f>
        <v>2512.5400177731772</v>
      </c>
      <c r="E29" s="59"/>
      <c r="F29" s="59">
        <f>F27*((F20/F26)^(10/3))</f>
        <v>1078.810577220592</v>
      </c>
      <c r="G29" s="59"/>
      <c r="H29" s="59">
        <f>H27*((H20/H26)^(10/3))</f>
        <v>1542.6548930202946</v>
      </c>
      <c r="I29" s="59"/>
      <c r="J29" s="59">
        <f>J27*((J20/J26)^(10/3))</f>
        <v>228.97698259191583</v>
      </c>
      <c r="K29" s="58" t="s">
        <v>203</v>
      </c>
      <c r="L29" s="105"/>
      <c r="M29" s="106"/>
      <c r="N29" s="106"/>
      <c r="O29" s="106"/>
    </row>
    <row r="30" spans="1:15" x14ac:dyDescent="0.25">
      <c r="C30" t="s">
        <v>202</v>
      </c>
      <c r="F30" t="s">
        <v>201</v>
      </c>
      <c r="H30" t="s">
        <v>200</v>
      </c>
      <c r="J30" t="s">
        <v>199</v>
      </c>
    </row>
    <row r="31" spans="1:15" x14ac:dyDescent="0.25">
      <c r="C31" t="s">
        <v>198</v>
      </c>
      <c r="F31" t="s">
        <v>197</v>
      </c>
      <c r="H31" t="s">
        <v>196</v>
      </c>
      <c r="J31" t="s">
        <v>195</v>
      </c>
    </row>
    <row r="32" spans="1:15" x14ac:dyDescent="0.25">
      <c r="C32" t="s">
        <v>194</v>
      </c>
      <c r="F32" t="s">
        <v>193</v>
      </c>
      <c r="H32" t="s">
        <v>192</v>
      </c>
      <c r="J32" t="s">
        <v>191</v>
      </c>
    </row>
    <row r="34" spans="3:7" x14ac:dyDescent="0.25">
      <c r="C34" s="48" t="s">
        <v>190</v>
      </c>
      <c r="D34" s="48"/>
      <c r="E34" s="48"/>
      <c r="F34" s="48"/>
      <c r="G34" s="48"/>
    </row>
    <row r="35" spans="3:7" x14ac:dyDescent="0.25">
      <c r="C35" s="45"/>
      <c r="D35" s="45" t="s">
        <v>127</v>
      </c>
      <c r="E35" s="49" t="s">
        <v>130</v>
      </c>
      <c r="F35" s="49"/>
      <c r="G35" s="45" t="s">
        <v>133</v>
      </c>
    </row>
    <row r="36" spans="3:7" x14ac:dyDescent="0.25">
      <c r="C36" s="45" t="s">
        <v>189</v>
      </c>
      <c r="D36" s="57">
        <v>297000000</v>
      </c>
      <c r="E36" s="57">
        <v>119000000</v>
      </c>
      <c r="F36" s="57">
        <v>119000000</v>
      </c>
      <c r="G36" s="57">
        <v>37100000</v>
      </c>
    </row>
    <row r="37" spans="3:7" x14ac:dyDescent="0.25">
      <c r="C37" s="45" t="s">
        <v>188</v>
      </c>
      <c r="D37" s="57">
        <f>D36*6</f>
        <v>1782000000</v>
      </c>
      <c r="E37" s="57">
        <f>E36*6</f>
        <v>714000000</v>
      </c>
      <c r="F37" s="57">
        <f>F36*6</f>
        <v>714000000</v>
      </c>
      <c r="G37" s="57">
        <f>G36*6</f>
        <v>222600000</v>
      </c>
    </row>
    <row r="38" spans="3:7" ht="45" x14ac:dyDescent="0.25">
      <c r="C38" s="56" t="s">
        <v>187</v>
      </c>
      <c r="D38" s="55">
        <f>D37/1000000</f>
        <v>1782</v>
      </c>
      <c r="E38" s="55">
        <f>E37/1000000</f>
        <v>714</v>
      </c>
      <c r="F38" s="55">
        <f>F37/1000000</f>
        <v>714</v>
      </c>
      <c r="G38" s="55">
        <f>G37/1000000</f>
        <v>222.6</v>
      </c>
    </row>
    <row r="39" spans="3:7" x14ac:dyDescent="0.25">
      <c r="C39" s="46" t="s">
        <v>186</v>
      </c>
      <c r="D39" s="46"/>
      <c r="E39" s="46"/>
      <c r="F39" s="46"/>
      <c r="G39" s="46"/>
    </row>
  </sheetData>
  <mergeCells count="8">
    <mergeCell ref="L20:O20"/>
    <mergeCell ref="O3:P3"/>
    <mergeCell ref="E35:F35"/>
    <mergeCell ref="C34:G34"/>
    <mergeCell ref="C39:G39"/>
    <mergeCell ref="C14:K15"/>
    <mergeCell ref="J13:K13"/>
    <mergeCell ref="L29:O29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Strengths</vt:lpstr>
      <vt:lpstr>Gear Specs</vt:lpstr>
      <vt:lpstr>K_L and C_L</vt:lpstr>
      <vt:lpstr>Shafts</vt:lpstr>
      <vt:lpstr>Shafts Diagrams</vt:lpstr>
      <vt:lpstr>Bearings</vt:lpstr>
      <vt:lpstr>Shaft 1 Charts</vt:lpstr>
      <vt:lpstr>Shaft 2 Charts</vt:lpstr>
      <vt:lpstr>Shaft 3 Chart</vt:lpstr>
    </vt:vector>
  </TitlesOfParts>
  <Manager/>
  <Company>EMF, McGill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Shtychno</dc:creator>
  <cp:keywords/>
  <dc:description/>
  <cp:lastModifiedBy>Christopher Roy</cp:lastModifiedBy>
  <cp:revision/>
  <cp:lastPrinted>2017-12-07T19:24:56Z</cp:lastPrinted>
  <dcterms:created xsi:type="dcterms:W3CDTF">2017-11-24T20:46:45Z</dcterms:created>
  <dcterms:modified xsi:type="dcterms:W3CDTF">2017-12-07T22:21:00Z</dcterms:modified>
  <cp:category/>
  <cp:contentStatus/>
</cp:coreProperties>
</file>