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office.chartex+xml" PartName="/xl/charts/chartEx1.xml"/>
  <Override ContentType="application/vnd.ms-office.chartex+xml" PartName="/xl/charts/chartEx2.xml"/>
  <Override ContentType="application/vnd.ms-office.chartcolorstyle+xml" PartName="/xl/charts/colors2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94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29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58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102.xml"/>
  <Override ContentType="application/vnd.openxmlformats-officedocument.drawingml.chart+xml" PartName="/xl/charts/chart92.xml"/>
  <Override ContentType="application/vnd.openxmlformats-officedocument.drawingml.chart+xml" PartName="/xl/charts/chart5.xml"/>
  <Override ContentType="application/vnd.openxmlformats-officedocument.drawingml.chart+xml" PartName="/xl/charts/chart88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91.xml"/>
  <Override ContentType="application/vnd.openxmlformats-officedocument.drawingml.chart+xml" PartName="/xl/charts/chart118.xml"/>
  <Override ContentType="application/vnd.openxmlformats-officedocument.drawingml.chart+xml" PartName="/xl/charts/chart55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98.xml"/>
  <Override ContentType="application/vnd.openxmlformats-officedocument.drawingml.chart+xml" PartName="/xl/charts/chart85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111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37.xml"/>
  <Override ContentType="application/vnd.openxmlformats-officedocument.drawingml.chart+xml" PartName="/xl/charts/chart40.xml"/>
  <Override ContentType="application/vnd.openxmlformats-officedocument.drawingml.chart+xml" PartName="/xl/charts/chart96.xml"/>
  <Override ContentType="application/vnd.openxmlformats-officedocument.drawingml.chart+xml" PartName="/xl/charts/chart107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95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26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42.xml"/>
  <Override ContentType="application/vnd.openxmlformats-officedocument.drawingml.chart+xml" PartName="/xl/charts/chart113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89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93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128.xml"/>
  <Override ContentType="application/vnd.openxmlformats-officedocument.drawingml.chart+xml" PartName="/xl/charts/chart65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82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25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2.xml"/>
  <Override ContentType="application/vnd.openxmlformats-officedocument.drawingml.chart+xml" PartName="/xl/charts/chart56.xml"/>
  <Override ContentType="application/vnd.openxmlformats-officedocument.drawingml.chart+xml" PartName="/xl/charts/chart108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41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123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106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110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1.xml"/>
  <Override ContentType="application/vnd.openxmlformats-officedocument.drawingml.chart+xml" PartName="/xl/charts/chart119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office.chartstyle+xml" PartName="/xl/charts/style2.xml"/>
  <Override ContentType="application/vnd.ms-office.chartstyle+xml" PartName="/xl/charts/style1.xml"/>
  <Override ContentType="application/vnd.ms-excel.person+xml" PartName="/xl/persons/person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Bar and Column Charts" sheetId="2" r:id="rId6"/>
    <sheet state="visible" name="Line Charts" sheetId="3" r:id="rId7"/>
    <sheet state="visible" name="Area Charts" sheetId="4" r:id="rId8"/>
    <sheet state="visible" name="Pie Charts" sheetId="5" r:id="rId9"/>
    <sheet state="visible" name="Scatter+Bubble Charts " sheetId="6" r:id="rId10"/>
    <sheet state="visible" name="Geo Charts" sheetId="7" r:id="rId11"/>
    <sheet state="visible" name="Spark lines" sheetId="8" r:id="rId12"/>
    <sheet state="visible" name="Grid Charts" sheetId="9" r:id="rId13"/>
    <sheet state="visible" name="Misc Charts" sheetId="10" r:id="rId14"/>
    <sheet state="visible" name="🌀 Learn more about Coefficient" sheetId="11" r:id="rId15"/>
    <sheet state="visible" name="Dashboard Example" sheetId="12" r:id="rId16"/>
    <sheet state="visible" name="Dashboard Example (dark)" sheetId="13" r:id="rId17"/>
  </sheets>
  <definedNames>
    <definedName hidden="1" localSheetId="6" name="_xlnm._FilterDatabase">'Geo Charts'!$J$27:$K$77</definedName>
  </definedNames>
  <calcPr/>
  <pivotCaches>
    <pivotCache cacheId="0" r:id="rId18"/>
  </pivotCaches>
</workbook>
</file>

<file path=xl/sharedStrings.xml><?xml version="1.0" encoding="utf-8"?>
<sst xmlns="http://schemas.openxmlformats.org/spreadsheetml/2006/main" count="7434" uniqueCount="1003">
  <si>
    <t>Charts Gallery</t>
  </si>
  <si>
    <r>
      <rPr>
        <rFont val="Roboto"/>
        <color rgb="FF666666"/>
      </rPr>
      <t>The Ultimate Guide to Google Sheets Charts is a free resource by Coefficient.</t>
    </r>
    <r>
      <rPr>
        <rFont val="Roboto"/>
        <color rgb="FF999999"/>
      </rPr>
      <t xml:space="preserve">
</t>
    </r>
    <r>
      <rPr>
        <rFont val="Roboto"/>
        <color rgb="FF1155CC"/>
        <u/>
      </rPr>
      <t>Automate your spreadsheets with Coefficient.io</t>
    </r>
  </si>
  <si>
    <t xml:space="preserve">   Looking for full dashboards?</t>
  </si>
  <si>
    <t>Get free Sheets dashboards &amp; templates powered by your live data</t>
  </si>
  <si>
    <t>IMG</t>
  </si>
  <si>
    <t>NAME</t>
  </si>
  <si>
    <t>Bar &amp; Column Charts</t>
  </si>
  <si>
    <t>Line Charts</t>
  </si>
  <si>
    <t>Area Charts</t>
  </si>
  <si>
    <t>Pie Charts</t>
  </si>
  <si>
    <t>Scatter + Bubble Charts</t>
  </si>
  <si>
    <t>Geo Charts</t>
  </si>
  <si>
    <t>Sparklines</t>
  </si>
  <si>
    <t>Grid Charts</t>
  </si>
  <si>
    <t>Misc Charts</t>
  </si>
  <si>
    <t>Simple Pie Chart</t>
  </si>
  <si>
    <t>IN THIS SHEET</t>
  </si>
  <si>
    <t>Highlighted Segment Pie Chart</t>
  </si>
  <si>
    <t>3D Pie Chart</t>
  </si>
  <si>
    <t>Company Market Share</t>
  </si>
  <si>
    <t>Gauge using Pie Chart</t>
  </si>
  <si>
    <t>Company</t>
  </si>
  <si>
    <t>Market Share</t>
  </si>
  <si>
    <t>Interactive Highlight Pie Chart</t>
  </si>
  <si>
    <t>Company A</t>
  </si>
  <si>
    <t>Exploded Pie Chart</t>
  </si>
  <si>
    <t>Company B</t>
  </si>
  <si>
    <t>Nested Pie Chart</t>
  </si>
  <si>
    <t>Company C</t>
  </si>
  <si>
    <t>Donut Pie Chart with Scorecard</t>
  </si>
  <si>
    <t>Donut Pie Chart</t>
  </si>
  <si>
    <t>Ridgeline Area Chart</t>
  </si>
  <si>
    <t>Connect live data, from all your business systems, to power your charts in Sheets!</t>
  </si>
  <si>
    <t xml:space="preserve">Looking for full dashboards? </t>
  </si>
  <si>
    <t>Revenue Distribution by Region</t>
  </si>
  <si>
    <t>Revenue</t>
  </si>
  <si>
    <t>North</t>
  </si>
  <si>
    <t>South</t>
  </si>
  <si>
    <t>East</t>
  </si>
  <si>
    <t>West</t>
  </si>
  <si>
    <t>Product Category</t>
  </si>
  <si>
    <t>Percentage</t>
  </si>
  <si>
    <t>Electronics</t>
  </si>
  <si>
    <t>Apparel</t>
  </si>
  <si>
    <t>Home Goods</t>
  </si>
  <si>
    <t>Toys</t>
  </si>
  <si>
    <t>Average Efficincey</t>
  </si>
  <si>
    <t>Month</t>
  </si>
  <si>
    <t>Actual Efficiency (%)</t>
  </si>
  <si>
    <t>Helper Column</t>
  </si>
  <si>
    <t>January</t>
  </si>
  <si>
    <t>50% to 90%</t>
  </si>
  <si>
    <t>February</t>
  </si>
  <si>
    <t>90% to 100%</t>
  </si>
  <si>
    <t>March</t>
  </si>
  <si>
    <t>April</t>
  </si>
  <si>
    <t>0% to 19%</t>
  </si>
  <si>
    <t>May</t>
  </si>
  <si>
    <t>20% to 49%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</si>
  <si>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</si>
  <si>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</si>
  <si>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</si>
  <si>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</si>
  <si>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</si>
  <si>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</si>
  <si>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</si>
  <si>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</si>
  <si>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Sales by Region</t>
  </si>
  <si>
    <t>Region</t>
  </si>
  <si>
    <t>Sales</t>
  </si>
  <si>
    <t>Sales (Label)</t>
  </si>
  <si>
    <t>Central</t>
  </si>
  <si>
    <t>Expenses Categories</t>
  </si>
  <si>
    <t>Category</t>
  </si>
  <si>
    <t>Expenses</t>
  </si>
  <si>
    <t>Salaries</t>
  </si>
  <si>
    <t>Rent</t>
  </si>
  <si>
    <t>Utilities</t>
  </si>
  <si>
    <t>Marketing</t>
  </si>
  <si>
    <t>Miscellaneous</t>
  </si>
  <si>
    <t>Revenue distribution by product line and sub-category</t>
  </si>
  <si>
    <t>Product Line</t>
  </si>
  <si>
    <t>Sub-Category</t>
  </si>
  <si>
    <t>Smartphones</t>
  </si>
  <si>
    <t>Laptops</t>
  </si>
  <si>
    <t>Tablets</t>
  </si>
  <si>
    <t>Shirts</t>
  </si>
  <si>
    <t>Pants</t>
  </si>
  <si>
    <t>Shoes</t>
  </si>
  <si>
    <t>Furniture</t>
  </si>
  <si>
    <t>Kitchenware</t>
  </si>
  <si>
    <t>Bedding</t>
  </si>
  <si>
    <t>Action Figures</t>
  </si>
  <si>
    <t>Board Games</t>
  </si>
  <si>
    <t>Puzzles</t>
  </si>
  <si>
    <t>Sales Distribution Across Four Product Categories</t>
  </si>
  <si>
    <t>Sales (USD)</t>
  </si>
  <si>
    <t>Total</t>
  </si>
  <si>
    <t>Progress Bar</t>
  </si>
  <si>
    <t>Team</t>
  </si>
  <si>
    <t>Status</t>
  </si>
  <si>
    <t>Progress</t>
  </si>
  <si>
    <t>Sales Team 1</t>
  </si>
  <si>
    <t>In-Progress</t>
  </si>
  <si>
    <t>Sales Team 2</t>
  </si>
  <si>
    <t>Sales Team 3</t>
  </si>
  <si>
    <t xml:space="preserve">Scatter+Bubble Charts </t>
  </si>
  <si>
    <t>Simple Scatterplot</t>
  </si>
  <si>
    <t>Customer Distribution</t>
  </si>
  <si>
    <t>Bubble Chart</t>
  </si>
  <si>
    <t>Customer Name</t>
  </si>
  <si>
    <t>Company Size (Employees)</t>
  </si>
  <si>
    <t>ACV (Annual Contract Value)</t>
  </si>
  <si>
    <t>Scatterplot with Trendline</t>
  </si>
  <si>
    <t>Alpha Solutions</t>
  </si>
  <si>
    <t>Scatterplot with Color-Coded Categories</t>
  </si>
  <si>
    <t>BrightTech Innovations</t>
  </si>
  <si>
    <t>Bubble Chart with Custom Labels</t>
  </si>
  <si>
    <t>CoreTech Enterprises</t>
  </si>
  <si>
    <t>Scatterplot with Error Bars</t>
  </si>
  <si>
    <t>Delta Systems</t>
  </si>
  <si>
    <t>Scatterplot with Data Point Annotations</t>
  </si>
  <si>
    <t>Elevate Software</t>
  </si>
  <si>
    <t>Scatterplot with Conditional Formatting</t>
  </si>
  <si>
    <t>Future Networks</t>
  </si>
  <si>
    <t>GlobalSoft Technologies</t>
  </si>
  <si>
    <t>Customer segmentation</t>
  </si>
  <si>
    <t>CLV (Customer Lifetime Value)</t>
  </si>
  <si>
    <t>Horizon IT Services</t>
  </si>
  <si>
    <t>Insight Analytics</t>
  </si>
  <si>
    <t>Juno Technologies</t>
  </si>
  <si>
    <t>Sales Performance Over Time</t>
  </si>
  <si>
    <t>Sales Revenue ($)</t>
  </si>
  <si>
    <t>Product performance</t>
  </si>
  <si>
    <t>Launch Date</t>
  </si>
  <si>
    <t>Product Name</t>
  </si>
  <si>
    <t>Electronics (Sales)</t>
  </si>
  <si>
    <t>Apparel (Sales)</t>
  </si>
  <si>
    <t>Furniture (Sales)</t>
  </si>
  <si>
    <t>Alpha Phone</t>
  </si>
  <si>
    <t>Delta Shoes</t>
  </si>
  <si>
    <t>BrightHeadphones</t>
  </si>
  <si>
    <t>Elevate Jacket</t>
  </si>
  <si>
    <t>CoreLaptop</t>
  </si>
  <si>
    <t>FutureDesk</t>
  </si>
  <si>
    <t>GlobalChair</t>
  </si>
  <si>
    <t>HorizonTablet</t>
  </si>
  <si>
    <t>InsightSneakers</t>
  </si>
  <si>
    <t>JunoCouch</t>
  </si>
  <si>
    <t>Marketing campaign effectiveness</t>
  </si>
  <si>
    <t>Campaign Name</t>
  </si>
  <si>
    <t>Duration (Days)</t>
  </si>
  <si>
    <t>ROI (%)</t>
  </si>
  <si>
    <t>Budget Spent ($)</t>
  </si>
  <si>
    <t>Campaign A</t>
  </si>
  <si>
    <t>Campaign B</t>
  </si>
  <si>
    <t>Campaign C</t>
  </si>
  <si>
    <t>Campaign D</t>
  </si>
  <si>
    <t>Campaign E</t>
  </si>
  <si>
    <t>Campaign F</t>
  </si>
  <si>
    <t>Campaign G</t>
  </si>
  <si>
    <t>Campaign H</t>
  </si>
  <si>
    <t>Customer satisfaction survey results</t>
  </si>
  <si>
    <t>Survey Date</t>
  </si>
  <si>
    <t>Satisfaction Score (Average)</t>
  </si>
  <si>
    <t>Review Date</t>
  </si>
  <si>
    <t>Performance Score</t>
  </si>
  <si>
    <t>Key Achievement</t>
  </si>
  <si>
    <t>Completed project early</t>
  </si>
  <si>
    <t>Led successful team workshop</t>
  </si>
  <si>
    <t>Surpassed quarterly sales goals</t>
  </si>
  <si>
    <t>Implemented new client onboarding</t>
  </si>
  <si>
    <t>Boosted team productivity by 15%</t>
  </si>
  <si>
    <t>Simple Area Chart</t>
  </si>
  <si>
    <t>Project timelines</t>
  </si>
  <si>
    <t>Monthly Sales Growth</t>
  </si>
  <si>
    <t>Project Name</t>
  </si>
  <si>
    <t>Start Date</t>
  </si>
  <si>
    <t>End Date</t>
  </si>
  <si>
    <t>Due Date</t>
  </si>
  <si>
    <t>On Time (End Date)</t>
  </si>
  <si>
    <t>Overdue (End Date)</t>
  </si>
  <si>
    <t>Project A</t>
  </si>
  <si>
    <t>Sales Growth</t>
  </si>
  <si>
    <t>Quarterly Labels</t>
  </si>
  <si>
    <t>Project B</t>
  </si>
  <si>
    <t>Simple Step Area Chart</t>
  </si>
  <si>
    <t/>
  </si>
  <si>
    <t>Jan</t>
  </si>
  <si>
    <t>Project C</t>
  </si>
  <si>
    <t>Project D</t>
  </si>
  <si>
    <t>Project E</t>
  </si>
  <si>
    <t>Layered Area Chart</t>
  </si>
  <si>
    <t>Feb</t>
  </si>
  <si>
    <t>Bar and Step Area Combo Chart</t>
  </si>
  <si>
    <t>Mar</t>
  </si>
  <si>
    <t>Stacked Area Chart</t>
  </si>
  <si>
    <t>Apr</t>
  </si>
  <si>
    <t>Percentage Area Chart</t>
  </si>
  <si>
    <t>Area and Line Combo Chart</t>
  </si>
  <si>
    <t>Jun</t>
  </si>
  <si>
    <t>Interactive Stacked Area Chart</t>
  </si>
  <si>
    <t>Jul</t>
  </si>
  <si>
    <t>Gradient Area Chart</t>
  </si>
  <si>
    <t>Aug</t>
  </si>
  <si>
    <t>Sep</t>
  </si>
  <si>
    <t>Stacked Area and Line Combo Chart</t>
  </si>
  <si>
    <t>Oct</t>
  </si>
  <si>
    <t>Difference Area Chart (aka Bivariate Area Chart)</t>
  </si>
  <si>
    <t>Nov</t>
  </si>
  <si>
    <t>Dec</t>
  </si>
  <si>
    <t>Product Inventory Levels by Month</t>
  </si>
  <si>
    <t>Week</t>
  </si>
  <si>
    <t>Units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</si>
  <si>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</si>
  <si>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</si>
  <si>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</si>
  <si>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</si>
  <si>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</si>
  <si>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</si>
  <si>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</si>
  <si>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</si>
  <si>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World Geo Chart</t>
  </si>
  <si>
    <t>Sales by Country</t>
  </si>
  <si>
    <t>Country</t>
  </si>
  <si>
    <t>US Geo Chart</t>
  </si>
  <si>
    <t>United States</t>
  </si>
  <si>
    <t>Interactive Geo Chart</t>
  </si>
  <si>
    <t>Canada</t>
  </si>
  <si>
    <t>Geo Chart with Markers</t>
  </si>
  <si>
    <t>Brazil</t>
  </si>
  <si>
    <t>United Kingdom</t>
  </si>
  <si>
    <t>Germany</t>
  </si>
  <si>
    <t>France</t>
  </si>
  <si>
    <t>Spain</t>
  </si>
  <si>
    <t>Italy</t>
  </si>
  <si>
    <t>India</t>
  </si>
  <si>
    <t>China</t>
  </si>
  <si>
    <t>Japan</t>
  </si>
  <si>
    <t>Australia</t>
  </si>
  <si>
    <t>South Africa</t>
  </si>
  <si>
    <t>Mexico</t>
  </si>
  <si>
    <t>Russia</t>
  </si>
  <si>
    <t>Clustered Column Chart</t>
  </si>
  <si>
    <t>Profit by US State</t>
  </si>
  <si>
    <t>State</t>
  </si>
  <si>
    <t>Profit (in USD)</t>
  </si>
  <si>
    <t>California</t>
  </si>
  <si>
    <t>New York</t>
  </si>
  <si>
    <t>Texas</t>
  </si>
  <si>
    <t>Actual vs Projected Sales</t>
  </si>
  <si>
    <t>Florida</t>
  </si>
  <si>
    <t>Illinois</t>
  </si>
  <si>
    <t>Pennsylvania</t>
  </si>
  <si>
    <t>Washington</t>
  </si>
  <si>
    <t>New Jersey</t>
  </si>
  <si>
    <t>Virginia</t>
  </si>
  <si>
    <t>Ohio</t>
  </si>
  <si>
    <t>Actual Sales</t>
  </si>
  <si>
    <t>Projected Sales</t>
  </si>
  <si>
    <t>Massachusetts</t>
  </si>
  <si>
    <t>Georgia</t>
  </si>
  <si>
    <t>North Carolina</t>
  </si>
  <si>
    <t>Maryland</t>
  </si>
  <si>
    <t>Michigan</t>
  </si>
  <si>
    <t>Tennessee</t>
  </si>
  <si>
    <t>Missouri</t>
  </si>
  <si>
    <t>Minnesota</t>
  </si>
  <si>
    <t>Indiana</t>
  </si>
  <si>
    <t>Colorado</t>
  </si>
  <si>
    <t>Wisconsin</t>
  </si>
  <si>
    <t>Oregon</t>
  </si>
  <si>
    <t>Connecticut</t>
  </si>
  <si>
    <t>Nevada</t>
  </si>
  <si>
    <t>Get your live charts sent to Slack or Email every week</t>
  </si>
  <si>
    <t>South Carolina</t>
  </si>
  <si>
    <t>Arizona</t>
  </si>
  <si>
    <t>Kentucky</t>
  </si>
  <si>
    <t>INSTALL BUTTON</t>
  </si>
  <si>
    <t>Alabama</t>
  </si>
  <si>
    <t>Oklahoma</t>
  </si>
  <si>
    <t>Louisiana</t>
  </si>
  <si>
    <t>Utah</t>
  </si>
  <si>
    <t>Iowa</t>
  </si>
  <si>
    <t>Kansas</t>
  </si>
  <si>
    <t>New Mexico</t>
  </si>
  <si>
    <t>Nebraska</t>
  </si>
  <si>
    <t>Mississippi</t>
  </si>
  <si>
    <t>Hawaii</t>
  </si>
  <si>
    <t>Arkansas</t>
  </si>
  <si>
    <t>New Hampshire</t>
  </si>
  <si>
    <t>Maine</t>
  </si>
  <si>
    <t>Idaho</t>
  </si>
  <si>
    <t>Rhode Island</t>
  </si>
  <si>
    <t>West Virginia</t>
  </si>
  <si>
    <t>Montana</t>
  </si>
  <si>
    <t>Delaware</t>
  </si>
  <si>
    <t>South Dakota</t>
  </si>
  <si>
    <t>Vermont</t>
  </si>
  <si>
    <t>North Dakota</t>
  </si>
  <si>
    <t>Alaska</t>
  </si>
  <si>
    <t>Wyoming</t>
  </si>
  <si>
    <t>Churned Subscription $ by Country</t>
  </si>
  <si>
    <r>
      <rPr>
        <rFont val="Proxima Nova"/>
        <b/>
        <color theme="1"/>
        <sz val="11.0"/>
      </rPr>
      <t xml:space="preserve">Highlight countries </t>
    </r>
    <r>
      <rPr>
        <rFont val="Proxima Nova"/>
        <b val="0"/>
        <i/>
        <color theme="1"/>
        <sz val="11.0"/>
      </rPr>
      <t>(select as many as needed)</t>
    </r>
  </si>
  <si>
    <t>Germany, United States, Italy, Australia, India, Spain, Russia</t>
  </si>
  <si>
    <t>Highlight</t>
  </si>
  <si>
    <t>Units sold by Country</t>
  </si>
  <si>
    <t>Units Sold</t>
  </si>
  <si>
    <t>Argentina</t>
  </si>
  <si>
    <t>South Korea</t>
  </si>
  <si>
    <t>Indonesia</t>
  </si>
  <si>
    <t>Saudi Arabia</t>
  </si>
  <si>
    <t>Egypt</t>
  </si>
  <si>
    <t>Funnel Bar Chart</t>
  </si>
  <si>
    <t>Target vs Actual Expense Chart</t>
  </si>
  <si>
    <t>Expense Item</t>
  </si>
  <si>
    <t>Target</t>
  </si>
  <si>
    <t>Actual</t>
  </si>
  <si>
    <t>Below Target</t>
  </si>
  <si>
    <t>Above Target</t>
  </si>
  <si>
    <t>Office Supplies</t>
  </si>
  <si>
    <t>Travel Expenses</t>
  </si>
  <si>
    <t>Sparkline Charts</t>
  </si>
  <si>
    <t>Training &amp; Development</t>
  </si>
  <si>
    <t>Win/Loss Sparkline Charts</t>
  </si>
  <si>
    <t>Employee Benefits</t>
  </si>
  <si>
    <t>Win/Loss Sparkline Chart</t>
  </si>
  <si>
    <t>Weekly Goal Met by Team</t>
  </si>
  <si>
    <t>Bar and Column Charts</t>
  </si>
  <si>
    <t>Equipment Maintenance</t>
  </si>
  <si>
    <t>Line Sparkline Chart</t>
  </si>
  <si>
    <t>Team Name</t>
  </si>
  <si>
    <t>Did the team met its goal for the week?</t>
  </si>
  <si>
    <t>Simple Column Chart</t>
  </si>
  <si>
    <t>Win/Loss Sparkline Trend</t>
  </si>
  <si>
    <t>Bar and Column sparkline Chart</t>
  </si>
  <si>
    <t>Simple column chart</t>
  </si>
  <si>
    <t>IT Services</t>
  </si>
  <si>
    <t>Wk 1</t>
  </si>
  <si>
    <t>Count by Subscriber Source</t>
  </si>
  <si>
    <t>Wk 2</t>
  </si>
  <si>
    <t>Wk 3</t>
  </si>
  <si>
    <t>Wk 4</t>
  </si>
  <si>
    <t>Wk 5</t>
  </si>
  <si>
    <t>Wk 6</t>
  </si>
  <si>
    <t>Wk 7</t>
  </si>
  <si>
    <t>Simple bar chart</t>
  </si>
  <si>
    <t>Wk 8</t>
  </si>
  <si>
    <t>Wk 9</t>
  </si>
  <si>
    <t>Wk 10</t>
  </si>
  <si>
    <t>Subscriber Source</t>
  </si>
  <si>
    <t>Wk 11</t>
  </si>
  <si>
    <t>Wk 12</t>
  </si>
  <si>
    <t>Wk 13</t>
  </si>
  <si>
    <t>Count</t>
  </si>
  <si>
    <t>Wk 14</t>
  </si>
  <si>
    <t>Wk 15</t>
  </si>
  <si>
    <t>Wk 16</t>
  </si>
  <si>
    <t>Wk 17</t>
  </si>
  <si>
    <t>Wk 18</t>
  </si>
  <si>
    <t>Wk 19</t>
  </si>
  <si>
    <t>Wk 20</t>
  </si>
  <si>
    <t>Simple Stacked Column Chart</t>
  </si>
  <si>
    <t>LinkedIn</t>
  </si>
  <si>
    <t>Email campaign</t>
  </si>
  <si>
    <t>Column Sparkline Chart with Negatives</t>
  </si>
  <si>
    <t>HR</t>
  </si>
  <si>
    <t>Facebook</t>
  </si>
  <si>
    <t>Pareto Chart</t>
  </si>
  <si>
    <t>Website</t>
  </si>
  <si>
    <t>Interactive Column Chart</t>
  </si>
  <si>
    <t>Organic Search</t>
  </si>
  <si>
    <t>Interactive Clustered Column Chart</t>
  </si>
  <si>
    <t>Tiktok</t>
  </si>
  <si>
    <t>Interactive bar chart</t>
  </si>
  <si>
    <t>Newsletter</t>
  </si>
  <si>
    <t>Waterfall chart</t>
  </si>
  <si>
    <t>Reddit</t>
  </si>
  <si>
    <t>Combo chart (Stacked column and line)</t>
  </si>
  <si>
    <t>Referral</t>
  </si>
  <si>
    <t>Pivot Table with Sparkline Bar Chart</t>
  </si>
  <si>
    <t>IT</t>
  </si>
  <si>
    <t>Single stacked bar chart</t>
  </si>
  <si>
    <t>Clustered Stacked Column Chart</t>
  </si>
  <si>
    <t>Stacked bar chart</t>
  </si>
  <si>
    <t>Histogram</t>
  </si>
  <si>
    <t>Pivot Table with Icons</t>
  </si>
  <si>
    <t>Ops</t>
  </si>
  <si>
    <t>Simple Bar Chart</t>
  </si>
  <si>
    <t>Revenue by Department</t>
  </si>
  <si>
    <t>Department</t>
  </si>
  <si>
    <t>Revenue ($)</t>
  </si>
  <si>
    <t>Pivot Table with Timeseries Sparkline</t>
  </si>
  <si>
    <t>Customer Support</t>
  </si>
  <si>
    <t>Finance</t>
  </si>
  <si>
    <t>Operations</t>
  </si>
  <si>
    <t>Research &amp; Development</t>
  </si>
  <si>
    <t>Explore our gallery of 100s of free Business Dashboards built in Google Sheets</t>
  </si>
  <si>
    <t>Quarterly Product Sales</t>
  </si>
  <si>
    <t>Quarter</t>
  </si>
  <si>
    <t>Product A</t>
  </si>
  <si>
    <t>Product B</t>
  </si>
  <si>
    <t>Product C</t>
  </si>
  <si>
    <t>Monthly Sales by Product</t>
  </si>
  <si>
    <t>R&amp;D</t>
  </si>
  <si>
    <t>Q1</t>
  </si>
  <si>
    <t>Q2</t>
  </si>
  <si>
    <t>Legal</t>
  </si>
  <si>
    <t>Q3</t>
  </si>
  <si>
    <t>Q4</t>
  </si>
  <si>
    <t>Line Sparkline Charts</t>
  </si>
  <si>
    <t>Sales by Week</t>
  </si>
  <si>
    <t>Product Sales Comparison by Quarter</t>
  </si>
  <si>
    <t>Product</t>
  </si>
  <si>
    <t>Nail Adhesive</t>
  </si>
  <si>
    <t>Sparkline Trend</t>
  </si>
  <si>
    <t>Quick-Dry Remover</t>
  </si>
  <si>
    <t>Gel Nail Kit</t>
  </si>
  <si>
    <t>Nail Serum</t>
  </si>
  <si>
    <t>Cuticle Oil Pen</t>
  </si>
  <si>
    <t>Jordan Blake</t>
  </si>
  <si>
    <t>Samantha Reyes</t>
  </si>
  <si>
    <t>Liam Foster</t>
  </si>
  <si>
    <t>Email Campaign Funnel</t>
  </si>
  <si>
    <t>Funnel</t>
  </si>
  <si>
    <t>Values</t>
  </si>
  <si>
    <t>%Values</t>
  </si>
  <si>
    <t>%Helper</t>
  </si>
  <si>
    <t>Label</t>
  </si>
  <si>
    <t>Olivia Chen</t>
  </si>
  <si>
    <t>Delivered</t>
  </si>
  <si>
    <t>Opened</t>
  </si>
  <si>
    <t>Clicked</t>
  </si>
  <si>
    <t>Ethan Carter</t>
  </si>
  <si>
    <t>Monthly Revenue Contribution</t>
  </si>
  <si>
    <t>Replied</t>
  </si>
  <si>
    <t>Bounced</t>
  </si>
  <si>
    <t>Opted out</t>
  </si>
  <si>
    <t>Clothing</t>
  </si>
  <si>
    <t>Consumables</t>
  </si>
  <si>
    <t>Weekly Deliverables Checklist</t>
  </si>
  <si>
    <t>Casues of Lost Sales</t>
  </si>
  <si>
    <t>Task Name</t>
  </si>
  <si>
    <t>Cause of Lost Sales</t>
  </si>
  <si>
    <t>Frequency</t>
  </si>
  <si>
    <t>Cumulative %</t>
  </si>
  <si>
    <t>High Pricing</t>
  </si>
  <si>
    <t>% Completion by Task</t>
  </si>
  <si>
    <t>Product Out of Stock</t>
  </si>
  <si>
    <t>Team Meetings</t>
  </si>
  <si>
    <t>Poor Customer Service</t>
  </si>
  <si>
    <t>Slow Delivery</t>
  </si>
  <si>
    <t>Lack of Product Features</t>
  </si>
  <si>
    <t>Complicated Return Policy</t>
  </si>
  <si>
    <t>Limited Payment Options</t>
  </si>
  <si>
    <t>Inadequate Marketing</t>
  </si>
  <si>
    <t>Website Issues</t>
  </si>
  <si>
    <t>Competitor Offers</t>
  </si>
  <si>
    <t>Client Follow-ups</t>
  </si>
  <si>
    <t>Sales Reports</t>
  </si>
  <si>
    <t>Sales amount by Salesperson</t>
  </si>
  <si>
    <t>Highlight Salesperson:</t>
  </si>
  <si>
    <t>Sarah Williams</t>
  </si>
  <si>
    <t>Budget Review</t>
  </si>
  <si>
    <t>Salesperson:</t>
  </si>
  <si>
    <t>Not highlighted</t>
  </si>
  <si>
    <t>Highlighted</t>
  </si>
  <si>
    <t>Emily Johnson</t>
  </si>
  <si>
    <t>Michael Smith</t>
  </si>
  <si>
    <t>Project Updates</t>
  </si>
  <si>
    <t>David Brown</t>
  </si>
  <si>
    <t>Jessica Miller</t>
  </si>
  <si>
    <t>James Wilson</t>
  </si>
  <si>
    <t>Olivia Davis</t>
  </si>
  <si>
    <t>Daniel Martinez</t>
  </si>
  <si>
    <t>Performance Reviews</t>
  </si>
  <si>
    <t>Laura Garcia</t>
  </si>
  <si>
    <t>Training Sessions</t>
  </si>
  <si>
    <t>Products Sold by Quarter</t>
  </si>
  <si>
    <t>Inventory Check</t>
  </si>
  <si>
    <t>Salesperson</t>
  </si>
  <si>
    <t>Temperature by Hour</t>
  </si>
  <si>
    <t>Hour</t>
  </si>
  <si>
    <t>Minimum</t>
  </si>
  <si>
    <t>Maximum</t>
  </si>
  <si>
    <t>Marketing Planning</t>
  </si>
  <si>
    <t>Range</t>
  </si>
  <si>
    <t>Email Management</t>
  </si>
  <si>
    <t>Compliance Checks</t>
  </si>
  <si>
    <t>Social Media Posts</t>
  </si>
  <si>
    <t>Budget by Marketing Activity</t>
  </si>
  <si>
    <t>Marketing Activity</t>
  </si>
  <si>
    <t>Budget</t>
  </si>
  <si>
    <t>Include in chart?</t>
  </si>
  <si>
    <t>Included Activity</t>
  </si>
  <si>
    <t>Supplier Meetings</t>
  </si>
  <si>
    <t>Social Media Ads</t>
  </si>
  <si>
    <t>Content Marketing</t>
  </si>
  <si>
    <t>Email Campaigns</t>
  </si>
  <si>
    <t>Data Analysis</t>
  </si>
  <si>
    <t>Search Engine Marketing</t>
  </si>
  <si>
    <t>Influencer Marketing</t>
  </si>
  <si>
    <t>Event Sponsorships</t>
  </si>
  <si>
    <t>Video Production</t>
  </si>
  <si>
    <t>Staff Scheduling</t>
  </si>
  <si>
    <t>% Completion rate</t>
  </si>
  <si>
    <t>Waterfall Chart</t>
  </si>
  <si>
    <t>Starting Revenue</t>
  </si>
  <si>
    <t>Sales Increase</t>
  </si>
  <si>
    <t>Sparkline 
Column Chart</t>
  </si>
  <si>
    <t>Marketing Campaign</t>
  </si>
  <si>
    <t>Product Returns</t>
  </si>
  <si>
    <t>New Product Launch</t>
  </si>
  <si>
    <t>Discounts Offered</t>
  </si>
  <si>
    <t>Operational Costs</t>
  </si>
  <si>
    <t>Customer Acquisition Cost</t>
  </si>
  <si>
    <t>Additional Revenue Stream</t>
  </si>
  <si>
    <t>Count of products sold by Month</t>
  </si>
  <si>
    <t>CSAT Score by Month</t>
  </si>
  <si>
    <t># Good Reviews</t>
  </si>
  <si>
    <t># Bad Reviews</t>
  </si>
  <si>
    <t>% Good Reviews</t>
  </si>
  <si>
    <t>$ Bar Reviews</t>
  </si>
  <si>
    <t>Check to include:</t>
  </si>
  <si>
    <t>Phone X</t>
  </si>
  <si>
    <t>Laptop A</t>
  </si>
  <si>
    <t>Smartwatch Z</t>
  </si>
  <si>
    <t>Apple Y</t>
  </si>
  <si>
    <t>Week-on-Week Variance by Department</t>
  </si>
  <si>
    <t>Dept</t>
  </si>
  <si>
    <t>CSAT Score by Department</t>
  </si>
  <si>
    <t># High</t>
  </si>
  <si>
    <t># Medium</t>
  </si>
  <si>
    <t># Low</t>
  </si>
  <si>
    <t>% High</t>
  </si>
  <si>
    <t>Support</t>
  </si>
  <si>
    <t>Tech</t>
  </si>
  <si>
    <t>Billing</t>
  </si>
  <si>
    <t>Quality</t>
  </si>
  <si>
    <t>Delivery</t>
  </si>
  <si>
    <t>Returns</t>
  </si>
  <si>
    <t>Accounts</t>
  </si>
  <si>
    <t>Onboard</t>
  </si>
  <si>
    <t>Customer Service</t>
  </si>
  <si>
    <t>Product Quality Performance</t>
  </si>
  <si>
    <t>Level</t>
  </si>
  <si>
    <t>Excellent</t>
  </si>
  <si>
    <t>Good</t>
  </si>
  <si>
    <t>Below Average</t>
  </si>
  <si>
    <t>Poor</t>
  </si>
  <si>
    <t>Human Resources</t>
  </si>
  <si>
    <t>Products sold by Month</t>
  </si>
  <si>
    <t>Budget vs Actual by Project and Department</t>
  </si>
  <si>
    <t>Left adjustment</t>
  </si>
  <si>
    <t>Right adjustment</t>
  </si>
  <si>
    <t>Project</t>
  </si>
  <si>
    <t>Products sold</t>
  </si>
  <si>
    <t>A-Budget Label</t>
  </si>
  <si>
    <t>B-Budget Label</t>
  </si>
  <si>
    <t>A-Actual Label</t>
  </si>
  <si>
    <t>B-Actual Label</t>
  </si>
  <si>
    <t>Title:</t>
  </si>
  <si>
    <t>Stock Price Tracker</t>
  </si>
  <si>
    <t>$69K</t>
  </si>
  <si>
    <t>$70K</t>
  </si>
  <si>
    <t>$68K</t>
  </si>
  <si>
    <t>Chart type:</t>
  </si>
  <si>
    <t>Interactive Column Sparkline Chart</t>
  </si>
  <si>
    <t>$93K</t>
  </si>
  <si>
    <t>$53K</t>
  </si>
  <si>
    <t>$99K</t>
  </si>
  <si>
    <t>$48K</t>
  </si>
  <si>
    <t>$83K</t>
  </si>
  <si>
    <t>Min Label</t>
  </si>
  <si>
    <t>$85K</t>
  </si>
  <si>
    <t>Max Label</t>
  </si>
  <si>
    <t>$97K</t>
  </si>
  <si>
    <t>$63K</t>
  </si>
  <si>
    <t>$79K</t>
  </si>
  <si>
    <t>$60K</t>
  </si>
  <si>
    <t>$90K</t>
  </si>
  <si>
    <t>Number of days (max 100)</t>
  </si>
  <si>
    <t>$62K</t>
  </si>
  <si>
    <t>$61K</t>
  </si>
  <si>
    <t>Stock Name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</si>
  <si>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</si>
  <si>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</si>
  <si>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</si>
  <si>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</si>
  <si>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</si>
  <si>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</si>
  <si>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</si>
  <si>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</si>
  <si>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</si>
  <si>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</si>
  <si>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</si>
  <si>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</si>
  <si>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</si>
  <si>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</si>
  <si>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</si>
  <si>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</si>
  <si>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</si>
  <si>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</si>
  <si>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</si>
  <si>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</si>
  <si>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</si>
  <si>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</si>
  <si>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ABCZ</t>
  </si>
  <si>
    <t>XYLT</t>
  </si>
  <si>
    <t>QTRM</t>
  </si>
  <si>
    <t>Stacked Bar Chart</t>
  </si>
  <si>
    <t>Product Prices Comparison by Company</t>
  </si>
  <si>
    <t>Helper values</t>
  </si>
  <si>
    <t>DJKP</t>
  </si>
  <si>
    <t>Wireless Earbuds</t>
  </si>
  <si>
    <t>Fitness Tracker</t>
  </si>
  <si>
    <t>FTGN</t>
  </si>
  <si>
    <t>Smart Thermostat</t>
  </si>
  <si>
    <t>Bluetooth Speaker</t>
  </si>
  <si>
    <t>Electric Toothbrush</t>
  </si>
  <si>
    <t>Portable Charger</t>
  </si>
  <si>
    <t>&lt;&lt;&lt; Unhide rows to show data</t>
  </si>
  <si>
    <t>MRNX</t>
  </si>
  <si>
    <t>Noise-Canceling Headphones</t>
  </si>
  <si>
    <t>Home Security Camera</t>
  </si>
  <si>
    <t>Smart Light Bulb</t>
  </si>
  <si>
    <t>Laptop Stand</t>
  </si>
  <si>
    <t>ZLDX</t>
  </si>
  <si>
    <t>KPTC</t>
  </si>
  <si>
    <t>RWXM</t>
  </si>
  <si>
    <t>Subscription distribution</t>
  </si>
  <si>
    <t>Subscriptions</t>
  </si>
  <si>
    <t>NPRL</t>
  </si>
  <si>
    <t>VTXS</t>
  </si>
  <si>
    <t>XGPH</t>
  </si>
  <si>
    <t>Week 9</t>
  </si>
  <si>
    <t>Week 10</t>
  </si>
  <si>
    <t>Week 11</t>
  </si>
  <si>
    <t>LQVC</t>
  </si>
  <si>
    <t>Week 12</t>
  </si>
  <si>
    <t>Week 13</t>
  </si>
  <si>
    <t>Week 14</t>
  </si>
  <si>
    <t>Week 15</t>
  </si>
  <si>
    <t>BMDT</t>
  </si>
  <si>
    <t>Week 16</t>
  </si>
  <si>
    <t>Week 17</t>
  </si>
  <si>
    <t>Week 18</t>
  </si>
  <si>
    <t>HPRY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</si>
  <si>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</si>
  <si>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</si>
  <si>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</si>
  <si>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</si>
  <si>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</si>
  <si>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</si>
  <si>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</si>
  <si>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</si>
  <si>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</si>
  <si>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</si>
  <si>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</si>
  <si>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Average Win Rate for the Quarter</t>
  </si>
  <si>
    <t>Week 30</t>
  </si>
  <si>
    <t>Name</t>
  </si>
  <si>
    <t>Date</t>
  </si>
  <si>
    <t>Win Rate</t>
  </si>
  <si>
    <t>3-Color Grid Chart</t>
  </si>
  <si>
    <t>Service Performance</t>
  </si>
  <si>
    <t>😡</t>
  </si>
  <si>
    <t>% Count</t>
  </si>
  <si>
    <t>5-Color Grid Chart</t>
  </si>
  <si>
    <t>😶</t>
  </si>
  <si>
    <t>Single line chart</t>
  </si>
  <si>
    <t>Basic Monthly Sales</t>
  </si>
  <si>
    <t>Multi-line chart</t>
  </si>
  <si>
    <t>GitHub Chart</t>
  </si>
  <si>
    <t>Monthly Sales ($)</t>
  </si>
  <si>
    <t>Dual line chart (with ending target label)</t>
  </si>
  <si>
    <t>🤩</t>
  </si>
  <si>
    <t>Single line chart (with quarterly label)</t>
  </si>
  <si>
    <t>Dual line chart (year over year comparison)</t>
  </si>
  <si>
    <t>Dual line chart (with moving average)</t>
  </si>
  <si>
    <t>Single line chart (conversion ratio)</t>
  </si>
  <si>
    <t>Dynamic single line chart</t>
  </si>
  <si>
    <t>Fair</t>
  </si>
  <si>
    <t>Dynamic multi-line chart</t>
  </si>
  <si>
    <t>Sparkline</t>
  </si>
  <si>
    <t>Single line chart (with forecast projection)</t>
  </si>
  <si>
    <t>Multi-line chart (contorl with warning limits)</t>
  </si>
  <si>
    <t>Time series chart</t>
  </si>
  <si>
    <t>Line and Area Combo Chart (projections chart)</t>
  </si>
  <si>
    <t>Monthly Sales ($) by Region</t>
  </si>
  <si>
    <t>North America</t>
  </si>
  <si>
    <t>Europe</t>
  </si>
  <si>
    <t>Asia</t>
  </si>
  <si>
    <t>South America</t>
  </si>
  <si>
    <t>Dual line chart (with ending Target label)</t>
  </si>
  <si>
    <t>Monthly Sales ($) vs. Target Sales ($)</t>
  </si>
  <si>
    <t>Target Sales ($)</t>
  </si>
  <si>
    <t>A</t>
  </si>
  <si>
    <t>Win</t>
  </si>
  <si>
    <t>Single line chart (with Quarterly label)</t>
  </si>
  <si>
    <t>Ace</t>
  </si>
  <si>
    <t>Cumulative Sales ($)</t>
  </si>
  <si>
    <t>Cumulative Sales</t>
  </si>
  <si>
    <t>😭</t>
  </si>
  <si>
    <t>B</t>
  </si>
  <si>
    <t>Zip</t>
  </si>
  <si>
    <t>Max</t>
  </si>
  <si>
    <t>C</t>
  </si>
  <si>
    <t>Lux</t>
  </si>
  <si>
    <t>Dual line chart (Year over year comparison)</t>
  </si>
  <si>
    <t>A Total</t>
  </si>
  <si>
    <t>Monthly Sales ($) for Current Year vs. Previous Year</t>
  </si>
  <si>
    <t>Pro</t>
  </si>
  <si>
    <t>Tri</t>
  </si>
  <si>
    <t>Sales 2022</t>
  </si>
  <si>
    <t>Sales 2023</t>
  </si>
  <si>
    <t>D</t>
  </si>
  <si>
    <t>Pod</t>
  </si>
  <si>
    <t>Customer Satisfaction Rating</t>
  </si>
  <si>
    <t>Jet</t>
  </si>
  <si>
    <t>Rex</t>
  </si>
  <si>
    <t>B Total</t>
  </si>
  <si>
    <t>😟</t>
  </si>
  <si>
    <t>Sales with Moving Average</t>
  </si>
  <si>
    <t>Monthly Sales</t>
  </si>
  <si>
    <t>3-Month Moving Average</t>
  </si>
  <si>
    <t>Very Dissatisfied</t>
  </si>
  <si>
    <t>C Total</t>
  </si>
  <si>
    <t>Dissatisfied</t>
  </si>
  <si>
    <t>Dyn</t>
  </si>
  <si>
    <t>Single line chart (with Conversion Ratio)</t>
  </si>
  <si>
    <t>Monthly Sales Conversion Ratio (%)</t>
  </si>
  <si>
    <t>Zen</t>
  </si>
  <si>
    <t>Leads</t>
  </si>
  <si>
    <t>Conversion Ratio (%)</t>
  </si>
  <si>
    <t>😐</t>
  </si>
  <si>
    <t>Neutral</t>
  </si>
  <si>
    <t>D Total</t>
  </si>
  <si>
    <t>🙂</t>
  </si>
  <si>
    <t>Satisfied</t>
  </si>
  <si>
    <t>&lt;&lt;&lt; Unhide rows to show entire data</t>
  </si>
  <si>
    <t>😄</t>
  </si>
  <si>
    <t>Very Satisfied</t>
  </si>
  <si>
    <t>New Users</t>
  </si>
  <si>
    <t>Conversion Rate</t>
  </si>
  <si>
    <t>Dual Gradient Area Chart</t>
  </si>
  <si>
    <t>Gradient Sales Chart</t>
  </si>
  <si>
    <t>Value</t>
  </si>
  <si>
    <t>x</t>
  </si>
  <si>
    <t>Monthly Sales ($) by Sales Rep</t>
  </si>
  <si>
    <t>Select Sales Rep</t>
  </si>
  <si>
    <t>Emily</t>
  </si>
  <si>
    <t>John</t>
  </si>
  <si>
    <t>Sarah</t>
  </si>
  <si>
    <t>Michael</t>
  </si>
  <si>
    <t>David</t>
  </si>
  <si>
    <t>Single Line with forecast projection</t>
  </si>
  <si>
    <t>Monthly Sales with Forecast</t>
  </si>
  <si>
    <t>Actual Sales ($)</t>
  </si>
  <si>
    <t>Forecast Sales ($)</t>
  </si>
  <si>
    <t>Control Chart with Warning Limits</t>
  </si>
  <si>
    <t>Day</t>
  </si>
  <si>
    <t>Processing Time (mins)</t>
  </si>
  <si>
    <t>Upper Control Limit (UCL)</t>
  </si>
  <si>
    <t>Upper Warning Limit (UWL)</t>
  </si>
  <si>
    <t>Lower Warning Limit (LWL)</t>
  </si>
  <si>
    <t>Lower Control Limit (LCL)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</si>
  <si>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</si>
  <si>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</si>
  <si>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</si>
  <si>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</si>
  <si>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</si>
  <si>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</si>
  <si>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</si>
  <si>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</si>
  <si>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</si>
  <si>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</si>
  <si>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</si>
  <si>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</si>
  <si>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</si>
  <si>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</si>
  <si>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Sales by Week Time Series</t>
  </si>
  <si>
    <t>Week of</t>
  </si>
  <si>
    <t>Sales by Day</t>
  </si>
  <si>
    <t>Customer</t>
  </si>
  <si>
    <t>Amount</t>
  </si>
  <si>
    <t>Criteria</t>
  </si>
  <si>
    <t>*** This is used to determine the level of the identified metric. Higher level usually means darker shade of green.</t>
  </si>
  <si>
    <t>From</t>
  </si>
  <si>
    <t>To</t>
  </si>
  <si>
    <t>Waveform Technologies</t>
  </si>
  <si>
    <t>Line and Area Combo Chart (Projections Chart)</t>
  </si>
  <si>
    <t>✨Inspired by Ben Collins' Visual Vocabulary Template</t>
  </si>
  <si>
    <t>6-month Profit Projections Chart</t>
  </si>
  <si>
    <t>Actual Profit</t>
  </si>
  <si>
    <t>Projected Profit</t>
  </si>
  <si>
    <t>Highest Projection</t>
  </si>
  <si>
    <t>CoreFlex Solutions</t>
  </si>
  <si>
    <t>Lowest Projection</t>
  </si>
  <si>
    <t>$999+</t>
  </si>
  <si>
    <t>Quantum Solutions</t>
  </si>
  <si>
    <t>Omnia Digital</t>
  </si>
  <si>
    <t>CloudFront Technologies</t>
  </si>
  <si>
    <t>VenturePoint Consulting</t>
  </si>
  <si>
    <t>M</t>
  </si>
  <si>
    <t>W</t>
  </si>
  <si>
    <t>BlueSky Innovations</t>
  </si>
  <si>
    <t>F</t>
  </si>
  <si>
    <t>Quantum BioTech</t>
  </si>
  <si>
    <t>Elevation Tech Solutions</t>
  </si>
  <si>
    <t>Vertex Real Estate</t>
  </si>
  <si>
    <t>Luminary Solutions</t>
  </si>
  <si>
    <t>GlobalSphere Consulting</t>
  </si>
  <si>
    <t>GlobalEdge Communications</t>
  </si>
  <si>
    <t>SolarEdge Solutions</t>
  </si>
  <si>
    <t>TopTier Innovations</t>
  </si>
  <si>
    <t>PathFinder Logistics</t>
  </si>
  <si>
    <t>Orion Medical Solutions</t>
  </si>
  <si>
    <t>Horizon Data Systems</t>
  </si>
  <si>
    <t>Synergy Enterprises</t>
  </si>
  <si>
    <t>Combo chart (Stacked area and line)</t>
  </si>
  <si>
    <t>Sales to Quota</t>
  </si>
  <si>
    <t>Atlas Tech Partners</t>
  </si>
  <si>
    <t>Skyline Architects</t>
  </si>
  <si>
    <t>Date Start &gt;=</t>
  </si>
  <si>
    <t>Date End &lt;</t>
  </si>
  <si>
    <t>Elemental Strategies</t>
  </si>
  <si>
    <t>Closed Won</t>
  </si>
  <si>
    <t>BlueWave Analytics</t>
  </si>
  <si>
    <t>Needs Analysis</t>
  </si>
  <si>
    <t>Phoenix BioSolutions</t>
  </si>
  <si>
    <t>Prospecting</t>
  </si>
  <si>
    <t>Negotiation/Review</t>
  </si>
  <si>
    <t>Proposal/Price Quote</t>
  </si>
  <si>
    <t>TerraNova Construction</t>
  </si>
  <si>
    <t>Qualification</t>
  </si>
  <si>
    <t>Oceanic Global</t>
  </si>
  <si>
    <t>Cumulative Closed Won</t>
  </si>
  <si>
    <t>Vertex Ventures</t>
  </si>
  <si>
    <t>Stellar Energy</t>
  </si>
  <si>
    <t>Apex Construction Group</t>
  </si>
  <si>
    <t>Meridian Research Group</t>
  </si>
  <si>
    <t>Today Closed Won % Label</t>
  </si>
  <si>
    <t>ClearView Communications</t>
  </si>
  <si>
    <t>EverGreen Resources</t>
  </si>
  <si>
    <t>Streamline Energy Group</t>
  </si>
  <si>
    <t>Skyline Financial Services</t>
  </si>
  <si>
    <t>Product A vs Product B Comparative Analysis</t>
  </si>
  <si>
    <t>Max 1</t>
  </si>
  <si>
    <t>Max 2</t>
  </si>
  <si>
    <t>Min 1</t>
  </si>
  <si>
    <t>Min 2</t>
  </si>
  <si>
    <t>Clarity Financials</t>
  </si>
  <si>
    <t>Metro Systems International</t>
  </si>
  <si>
    <t>PeakFlow Strategies</t>
  </si>
  <si>
    <t>Sunburst Industries</t>
  </si>
  <si>
    <t>Horizon Aerospace</t>
  </si>
  <si>
    <t>Veritas Healthcare</t>
  </si>
  <si>
    <t>Sterling Capital Management</t>
  </si>
  <si>
    <t>GreenLeaf Enterprises</t>
  </si>
  <si>
    <t>Aspire Business Solutions</t>
  </si>
  <si>
    <t>SecureShield Cybersecurity</t>
  </si>
  <si>
    <t>Peak Performance Group</t>
  </si>
  <si>
    <t>Insight Dynamics</t>
  </si>
  <si>
    <t>Orbit Real Estate</t>
  </si>
  <si>
    <t>EcoSphere Energy</t>
  </si>
  <si>
    <t>Summit Peak Technologies</t>
  </si>
  <si>
    <t>EverBright Media</t>
  </si>
  <si>
    <t>Alpha Omega Solutions</t>
  </si>
  <si>
    <t>Horizon Group</t>
  </si>
  <si>
    <t>TrueNorth Consulting</t>
  </si>
  <si>
    <t>BrightPath Consulting</t>
  </si>
  <si>
    <t>NextGen BioPharma</t>
  </si>
  <si>
    <t>Titan Data Solutions</t>
  </si>
  <si>
    <t>Clarity Legal Advisors</t>
  </si>
  <si>
    <t>Optima Capital Group</t>
  </si>
  <si>
    <t>NovaLink Industries</t>
  </si>
  <si>
    <t>Insight Global Consulting</t>
  </si>
  <si>
    <t>Bright Future Ventures</t>
  </si>
  <si>
    <t>CloudBridge Networks</t>
  </si>
  <si>
    <t>Velocity Ventures</t>
  </si>
  <si>
    <t>Elevate IT Consulting</t>
  </si>
  <si>
    <t>GlobalReach Marketing</t>
  </si>
  <si>
    <t>DeltaWave Systems</t>
  </si>
  <si>
    <t>2-Year Engagement Analysis by Campaign</t>
  </si>
  <si>
    <t>CoreVision Technologies</t>
  </si>
  <si>
    <t>Campaign 1</t>
  </si>
  <si>
    <t>Campaign 2</t>
  </si>
  <si>
    <t>Campaign 3</t>
  </si>
  <si>
    <t>Campaign 4</t>
  </si>
  <si>
    <t>Campaign 5</t>
  </si>
  <si>
    <t>SummitWorks Consulting</t>
  </si>
  <si>
    <t>Cascade Engineering</t>
  </si>
  <si>
    <t>Legacy Financial Advisors</t>
  </si>
  <si>
    <t>Pulse Networks</t>
  </si>
  <si>
    <t>PrimeEdge Consulting</t>
  </si>
  <si>
    <t>Inspire Wellness</t>
  </si>
  <si>
    <t>➊</t>
  </si>
  <si>
    <t>Install the Coefficient extension</t>
  </si>
  <si>
    <t>➋</t>
  </si>
  <si>
    <t xml:space="preserve">Launch Coefficient </t>
  </si>
  <si>
    <t>➌</t>
  </si>
  <si>
    <t>Connect your data!</t>
  </si>
  <si>
    <t>👈</t>
  </si>
  <si>
    <r>
      <rPr>
        <rFont val="Proxima Nova"/>
        <color rgb="FF000000"/>
        <sz val="14.0"/>
      </rPr>
      <t>Click “</t>
    </r>
    <r>
      <rPr>
        <rFont val="Proxima Nova"/>
        <b/>
        <color rgb="FF000000"/>
        <sz val="14.0"/>
      </rPr>
      <t>Extensions</t>
    </r>
    <r>
      <rPr>
        <rFont val="Proxima Nova"/>
        <color rgb="FF000000"/>
        <sz val="14.0"/>
      </rPr>
      <t>” &gt; "</t>
    </r>
    <r>
      <rPr>
        <rFont val="Proxima Nova"/>
        <b/>
        <color rgb="FF000000"/>
        <sz val="14.0"/>
      </rPr>
      <t>Coefficient</t>
    </r>
    <r>
      <rPr>
        <rFont val="Proxima Nova"/>
        <color rgb="FF000000"/>
        <sz val="14.0"/>
      </rPr>
      <t>" &gt; "</t>
    </r>
    <r>
      <rPr>
        <rFont val="Proxima Nova"/>
        <b/>
        <color rgb="FF000000"/>
        <sz val="14.0"/>
      </rPr>
      <t>Launch</t>
    </r>
    <r>
      <rPr>
        <rFont val="Proxima Nova"/>
        <color rgb="FF000000"/>
        <sz val="14.0"/>
      </rPr>
      <t>"</t>
    </r>
  </si>
  <si>
    <r>
      <rPr>
        <rFont val="Proxima Nova"/>
        <color rgb="FF000000"/>
        <sz val="14.0"/>
      </rPr>
      <t xml:space="preserve">Click </t>
    </r>
    <r>
      <rPr>
        <rFont val="Proxima Nova"/>
        <b/>
        <color rgb="FF000000"/>
        <sz val="14.0"/>
      </rPr>
      <t>"Import from..."</t>
    </r>
    <r>
      <rPr>
        <rFont val="Proxima Nova"/>
        <color rgb="FF000000"/>
        <sz val="14.0"/>
      </rPr>
      <t xml:space="preserve"> then select the source you'd like to import data from. With a simple selector and prompts along the way, you'll pull your first data import in just 60 seconds.</t>
    </r>
  </si>
  <si>
    <r>
      <rPr>
        <rFont val="Proxima Nova"/>
        <color rgb="FF000000"/>
        <sz val="14.0"/>
      </rPr>
      <t xml:space="preserve">In the </t>
    </r>
    <r>
      <rPr>
        <rFont val="Proxima Nova"/>
        <b/>
        <color rgb="FF000000"/>
        <sz val="14.0"/>
      </rPr>
      <t>popup window</t>
    </r>
    <r>
      <rPr>
        <rFont val="Proxima Nova"/>
        <color rgb="FF000000"/>
        <sz val="14.0"/>
      </rPr>
      <t xml:space="preserve">, click the </t>
    </r>
    <r>
      <rPr>
        <rFont val="Proxima Nova"/>
        <b/>
        <color rgb="FF000000"/>
        <sz val="14.0"/>
      </rPr>
      <t>"INSTALL"</t>
    </r>
    <r>
      <rPr>
        <rFont val="Proxima Nova"/>
        <color rgb="FF000000"/>
        <sz val="14.0"/>
      </rPr>
      <t xml:space="preserve"> button 
Click </t>
    </r>
    <r>
      <rPr>
        <rFont val="Proxima Nova"/>
        <b/>
        <color rgb="FF000000"/>
        <sz val="14.0"/>
      </rPr>
      <t>“Continue”</t>
    </r>
    <r>
      <rPr>
        <rFont val="Proxima Nova"/>
        <color rgb="FF000000"/>
        <sz val="14.0"/>
      </rPr>
      <t xml:space="preserve"> to accept permissions</t>
    </r>
  </si>
  <si>
    <r>
      <rPr>
        <rFont val="Proxima Nova"/>
        <color rgb="FF000000"/>
        <sz val="13.0"/>
      </rPr>
      <t xml:space="preserve">🎥 </t>
    </r>
    <r>
      <rPr>
        <rFont val="Proxima Nova"/>
        <color rgb="FF1155CC"/>
        <sz val="13.0"/>
        <u/>
      </rPr>
      <t>See how it works</t>
    </r>
  </si>
  <si>
    <r>
      <rPr>
        <rFont val="Proxima Nova"/>
        <color rgb="FF515151"/>
        <sz val="13.0"/>
      </rPr>
      <t>⚠️</t>
    </r>
    <r>
      <rPr>
        <rFont val="Proxima Nova"/>
        <color rgb="FF000000"/>
        <sz val="13.0"/>
      </rPr>
      <t xml:space="preserve"> If you run into an error,</t>
    </r>
    <r>
      <rPr>
        <rFont val="Proxima Nova"/>
        <color rgb="FF515151"/>
        <sz val="13.0"/>
      </rPr>
      <t xml:space="preserve">  </t>
    </r>
    <r>
      <rPr>
        <rFont val="Proxima Nova"/>
        <color rgb="FF1155CC"/>
        <sz val="13.0"/>
        <u/>
      </rPr>
      <t>click here</t>
    </r>
  </si>
  <si>
    <t>Sales Dashboard</t>
  </si>
  <si>
    <t>Put your logo here</t>
  </si>
  <si>
    <t>Average Product Rating</t>
  </si>
  <si>
    <t>Date Rated</t>
  </si>
  <si>
    <t>Group</t>
  </si>
  <si>
    <t>Rating</t>
  </si>
  <si>
    <t>Average Rating</t>
  </si>
  <si>
    <t>Data</t>
  </si>
  <si>
    <t>⭐️⭐️⭐️</t>
  </si>
  <si>
    <t>Lead</t>
  </si>
  <si>
    <t>⭐️</t>
  </si>
  <si>
    <t>⭐️⭐️⭐️⭐️⭐️</t>
  </si>
  <si>
    <t>Plan</t>
  </si>
  <si>
    <t>⭐️⭐️</t>
  </si>
  <si>
    <t>Simple Scorecard</t>
  </si>
  <si>
    <t xml:space="preserve">Simple Scorecard Chart: </t>
  </si>
  <si>
    <t>Total Sales</t>
  </si>
  <si>
    <t>Profit Margin</t>
  </si>
  <si>
    <t>Customer Satisfaction (%)</t>
  </si>
  <si>
    <t>Radar Chart with Multiple Metric</t>
  </si>
  <si>
    <t>Gauge Chart for Sales Target</t>
  </si>
  <si>
    <t>Candlestick Chart for Stock Prices</t>
  </si>
  <si>
    <t>Organizational Chart for Company Structure</t>
  </si>
  <si>
    <t>Tree Map Chart for Market Segmentation</t>
  </si>
  <si>
    <t>Simple Tree Map Chart</t>
  </si>
  <si>
    <t xml:space="preserve">Comparing product features </t>
  </si>
  <si>
    <t>Metric</t>
  </si>
  <si>
    <t>Price</t>
  </si>
  <si>
    <t>Durability</t>
  </si>
  <si>
    <t xml:space="preserve"> Satisfaction</t>
  </si>
  <si>
    <t>Gauge Chart for Sales Target (with Dropdown Selection)</t>
  </si>
  <si>
    <t>Monthly Sales Target Progress</t>
  </si>
  <si>
    <t>choose Month</t>
  </si>
  <si>
    <t>Sales Target</t>
  </si>
  <si>
    <t>Percentage Achieved</t>
  </si>
  <si>
    <t>Daily Stock Price Movements</t>
  </si>
  <si>
    <t>Open</t>
  </si>
  <si>
    <t>High</t>
  </si>
  <si>
    <t>Low</t>
  </si>
  <si>
    <t>Close</t>
  </si>
  <si>
    <t>Helper</t>
  </si>
  <si>
    <t>ID</t>
  </si>
  <si>
    <t>Parent</t>
  </si>
  <si>
    <t>Tool Tip</t>
  </si>
  <si>
    <t>Sarah Johnson (CEO)</t>
  </si>
  <si>
    <t>CEO of GlobalTech Inc.</t>
  </si>
  <si>
    <t>Michael Lee (CFO)</t>
  </si>
  <si>
    <t>Oversees Finance Dept.</t>
  </si>
  <si>
    <t>Jennifer Martin (COO)</t>
  </si>
  <si>
    <t>Oversees Operations Dept.</t>
  </si>
  <si>
    <t>Anna Rodriguez (CMO)</t>
  </si>
  <si>
    <t>Leads Marketing Dept.</t>
  </si>
  <si>
    <t>Alice Williams (CTO)</t>
  </si>
  <si>
    <t>Leads Technology Dept.</t>
  </si>
  <si>
    <t>Carol Peterson (CHRO)</t>
  </si>
  <si>
    <t>Heads HR Department</t>
  </si>
  <si>
    <t>David Kim (Head of Finance)</t>
  </si>
  <si>
    <t>Finance Dept. Leader</t>
  </si>
  <si>
    <t>Paul Miller (Head of Operations)</t>
  </si>
  <si>
    <t>Ops Dept. Leader</t>
  </si>
  <si>
    <t>Susan Parker (Head of Marketing)</t>
  </si>
  <si>
    <t>Marketing Dept. Leader</t>
  </si>
  <si>
    <t>James Smith (Head of IT)</t>
  </si>
  <si>
    <t>IT Dept. Leader</t>
  </si>
  <si>
    <t>Laura Green (Head of HR)</t>
  </si>
  <si>
    <t>HR Dept. Leader</t>
  </si>
  <si>
    <t>Market Segments Revenue Contribution</t>
  </si>
  <si>
    <t>Market Size (Units)</t>
  </si>
  <si>
    <t>Revenue Contribution ($)</t>
  </si>
  <si>
    <t>Market Segments</t>
  </si>
  <si>
    <t>Consumer Goods</t>
  </si>
  <si>
    <t>Home Appliances</t>
  </si>
  <si>
    <t>B2B Solutions</t>
  </si>
  <si>
    <t>Consulting</t>
  </si>
  <si>
    <t>Industrial Tools</t>
  </si>
  <si>
    <t>Retail</t>
  </si>
  <si>
    <t>Food &amp; Beverage</t>
  </si>
  <si>
    <t>Beauty Products</t>
  </si>
  <si>
    <t>iOS Devices</t>
  </si>
  <si>
    <t>Android Devices</t>
  </si>
  <si>
    <t>Gaming Laptops</t>
  </si>
  <si>
    <t>Business Laptops</t>
  </si>
  <si>
    <t>Televisions</t>
  </si>
  <si>
    <t>LED Televisions</t>
  </si>
  <si>
    <t>OLED Televisions</t>
  </si>
  <si>
    <t>Smart Televisions</t>
  </si>
  <si>
    <t>Android Tablets</t>
  </si>
  <si>
    <t>iPads</t>
  </si>
  <si>
    <t>Wearable Devices</t>
  </si>
  <si>
    <t>Smartwatches</t>
  </si>
  <si>
    <t>Fitness Trackers</t>
  </si>
  <si>
    <t>Audio Equipment</t>
  </si>
  <si>
    <t>Headphones</t>
  </si>
  <si>
    <t>Speakers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</si>
</sst>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/d/yyyy"/>
    <numFmt numFmtId="165" formatCode="0.0%"/>
    <numFmt numFmtId="166" formatCode="&quot;$&quot;#,##0"/>
    <numFmt numFmtId="167" formatCode=";;"/>
    <numFmt numFmtId="168" formatCode="h am/pm"/>
    <numFmt numFmtId="169" formatCode="#°C"/>
    <numFmt numFmtId="170" formatCode="&quot;$&quot;#,##0.00"/>
    <numFmt numFmtId="171" formatCode="mmm yyyy"/>
    <numFmt numFmtId="172" formatCode="m/d/yyyy"/>
    <numFmt numFmtId="173" formatCode=";;;"/>
    <numFmt numFmtId="174" formatCode="&quot;$&quot;#,##0.00000000"/>
    <numFmt numFmtId="175" formatCode="yyyy&quot;-&quot;mm&quot;-&quot;dd&quot; &quot;hh&quot;:&quot;mm&quot;:&quot;ss"/>
    <numFmt numFmtId="176" formatCode="#,##0.0"/>
    <numFmt numFmtId="177" formatCode="mmm d yyyy"/>
  </numFmts>
  <fonts count="85">
    <font>
      <sz val="10.0"/>
      <color rgb="FF000000"/>
      <name val="Roboto"/>
      <scheme val="minor"/>
    </font>
    <font>
      <b/>
      <sz val="22.0"/>
      <color rgb="FF000000"/>
      <name val="Proxima Nova"/>
    </font>
    <font>
      <b/>
      <sz val="22.0"/>
      <color theme="1"/>
      <name val="Proxima Nova"/>
    </font>
    <font>
      <sz val="12.0"/>
      <color rgb="FFFFFFFF"/>
      <name val="Proxima Nova"/>
    </font>
    <font>
      <sz val="12.0"/>
      <color rgb="FF2D3E50"/>
      <name val="Proxima Nova"/>
    </font>
    <font>
      <u/>
      <color rgb="FF999999"/>
      <name val="Roboto"/>
    </font>
    <font>
      <color theme="1"/>
      <name val="Proxima Nova"/>
    </font>
    <font>
      <b/>
      <sz val="12.0"/>
      <color rgb="FFFFFFFF"/>
      <name val="Proxima Nova"/>
    </font>
    <font>
      <u/>
      <color rgb="FF0000FF"/>
    </font>
    <font>
      <sz val="10.0"/>
      <color theme="1"/>
      <name val="Proxima Nova"/>
    </font>
    <font>
      <u/>
      <sz val="12.0"/>
      <color rgb="FF0000FF"/>
      <name val="Proxima Nova"/>
    </font>
    <font>
      <sz val="12.0"/>
      <color theme="1"/>
      <name val="Proxima Nova"/>
    </font>
    <font>
      <sz val="10.0"/>
      <color rgb="FF2D3E50"/>
      <name val="Proxima Nova"/>
    </font>
    <font>
      <u/>
      <sz val="10.0"/>
      <color rgb="FF2D3E50"/>
      <name val="Proxima Nova"/>
    </font>
    <font>
      <b/>
      <color rgb="FF000000"/>
      <name val="Proxima Nova"/>
    </font>
    <font>
      <u/>
      <color rgb="FF3053FF"/>
      <name val="Proxima Nova"/>
    </font>
    <font>
      <sz val="10.0"/>
      <color theme="1"/>
      <name val="Roboto"/>
      <scheme val="minor"/>
    </font>
    <font>
      <color theme="1"/>
      <name val="Roboto"/>
      <scheme val="minor"/>
    </font>
    <font>
      <color rgb="FFFFFFFF"/>
      <name val="Roboto"/>
      <scheme val="minor"/>
    </font>
    <font>
      <b/>
      <sz val="18.0"/>
      <color rgb="FF000000"/>
      <name val="Proxima Nova"/>
    </font>
    <font>
      <b/>
      <color theme="1"/>
      <name val="Proxima Nova"/>
    </font>
    <font>
      <sz val="10.0"/>
      <color rgb="FFFFFFFF"/>
      <name val="Proxima Nova"/>
    </font>
    <font>
      <b/>
      <sz val="16.0"/>
      <color theme="1"/>
      <name val="Proxima Nova"/>
    </font>
    <font/>
    <font>
      <b/>
      <sz val="9.0"/>
      <color rgb="FF999999"/>
      <name val="Proxima Nova"/>
    </font>
    <font>
      <b/>
      <sz val="9.0"/>
      <color rgb="FFB7B7B7"/>
      <name val="Proxima Nova"/>
    </font>
    <font>
      <b/>
      <sz val="10.0"/>
      <color theme="4"/>
      <name val="Proxima Nova"/>
    </font>
    <font>
      <b/>
      <u/>
      <sz val="10.0"/>
      <color theme="4"/>
      <name val="Proxima Nova"/>
    </font>
    <font>
      <b/>
      <sz val="12.0"/>
      <color theme="1"/>
      <name val="Proxima Nova"/>
    </font>
    <font>
      <b/>
      <sz val="10.0"/>
      <color rgb="FF3053FF"/>
      <name val="Proxima Nova"/>
    </font>
    <font>
      <b/>
      <sz val="10.0"/>
      <color rgb="FF000000"/>
      <name val="Proxima Nova"/>
    </font>
    <font>
      <sz val="10.0"/>
      <color rgb="FF000000"/>
      <name val="Proxima Nova"/>
    </font>
    <font>
      <u/>
      <color rgb="FF0000FF"/>
      <name val="Proxima Nova"/>
    </font>
    <font>
      <i/>
      <sz val="10.0"/>
      <color rgb="FF000000"/>
      <name val="Proxima Nova"/>
    </font>
    <font>
      <b/>
      <sz val="10.0"/>
      <color rgb="FFFFFFFF"/>
      <name val="Proxima Nova"/>
    </font>
    <font>
      <b/>
      <color theme="1"/>
      <name val="Arial"/>
    </font>
    <font>
      <color theme="1"/>
      <name val="Arial"/>
    </font>
    <font>
      <b/>
      <sz val="17.0"/>
      <color theme="1"/>
      <name val="Proxima Nova"/>
    </font>
    <font>
      <b/>
      <sz val="11.0"/>
      <color theme="4"/>
      <name val="Proxima Nova"/>
    </font>
    <font>
      <b/>
      <sz val="11.0"/>
      <color theme="1"/>
      <name val="Proxima Nova"/>
    </font>
    <font>
      <sz val="11.0"/>
      <color theme="1"/>
      <name val="Proxima Nova"/>
    </font>
    <font>
      <color theme="1"/>
      <name val="Roboto"/>
    </font>
    <font>
      <color theme="1"/>
      <name val="Aptos Narrow"/>
    </font>
    <font>
      <b/>
      <sz val="10.0"/>
      <color theme="1"/>
      <name val="Proxima Nova"/>
    </font>
    <font>
      <b/>
      <sz val="10.0"/>
      <color theme="1"/>
      <name val="Roboto"/>
      <scheme val="minor"/>
    </font>
    <font>
      <b/>
      <color rgb="FFFFFFFF"/>
      <name val="Proxima Nova"/>
    </font>
    <font>
      <b/>
      <sz val="12.0"/>
      <color rgb="FF000000"/>
      <name val="Proxima Nova"/>
    </font>
    <font>
      <u/>
      <sz val="12.0"/>
      <color rgb="FF0000FF"/>
      <name val="Proxima Nova"/>
    </font>
    <font>
      <b/>
      <color theme="4"/>
      <name val="Proxima Nova"/>
    </font>
    <font>
      <color rgb="FFFFFFFF"/>
      <name val="Proxima Nova"/>
    </font>
    <font>
      <i/>
      <color theme="1"/>
      <name val="Arial"/>
    </font>
    <font>
      <color theme="4"/>
      <name val="Aptos Narrow"/>
    </font>
    <font>
      <color rgb="FFFFFFFF"/>
      <name val="Aptos Narrow"/>
    </font>
    <font>
      <i/>
      <sz val="10.0"/>
      <color rgb="FF999999"/>
      <name val="Roboto"/>
      <scheme val="minor"/>
    </font>
    <font>
      <b/>
      <color theme="1"/>
      <name val="Aptos Narrow"/>
    </font>
    <font>
      <b/>
      <color theme="1"/>
      <name val="Roboto"/>
    </font>
    <font>
      <color rgb="FF000000"/>
      <name val="Roboto"/>
    </font>
    <font>
      <color rgb="FF000000"/>
      <name val="Roboto"/>
      <scheme val="minor"/>
    </font>
    <font>
      <b/>
      <color rgb="FFFFFFFF"/>
      <name val="Roboto"/>
    </font>
    <font>
      <color rgb="FFFFFFFF"/>
      <name val="Roboto"/>
    </font>
    <font>
      <b/>
      <color theme="1"/>
      <name val="Roboto"/>
      <scheme val="minor"/>
    </font>
    <font>
      <b/>
      <color rgb="FFFFFFFF"/>
      <name val="Roboto"/>
      <scheme val="minor"/>
    </font>
    <font>
      <i/>
      <sz val="11.0"/>
      <color rgb="FF999999"/>
      <name val="Roboto"/>
      <scheme val="minor"/>
    </font>
    <font>
      <b/>
      <color rgb="FF3053FF"/>
      <name val="Arial"/>
    </font>
    <font>
      <i/>
      <sz val="8.0"/>
      <color rgb="FF999999"/>
      <name val="Proxima Nova"/>
    </font>
    <font>
      <i/>
      <u/>
      <sz val="11.0"/>
      <color rgb="FF0000FF"/>
    </font>
    <font>
      <color rgb="FF666666"/>
      <name val="Proxima Nova"/>
    </font>
    <font>
      <b/>
      <sz val="24.0"/>
      <color rgb="FF000000"/>
      <name val="Proxima Nova"/>
    </font>
    <font>
      <b/>
      <sz val="28.0"/>
      <color rgb="FF000000"/>
      <name val="Proxima Nova"/>
    </font>
    <font>
      <sz val="36.0"/>
      <color rgb="FF3053FF"/>
      <name val="Proxima Nova"/>
    </font>
    <font>
      <b/>
      <sz val="18.0"/>
      <color rgb="FF3053FF"/>
      <name val="Proxima Nova"/>
    </font>
    <font>
      <sz val="50.0"/>
      <color theme="1"/>
      <name val="Proxima Nova"/>
    </font>
    <font>
      <sz val="24.0"/>
      <color theme="1"/>
      <name val="Proxima Nova"/>
    </font>
    <font>
      <sz val="14.0"/>
      <color rgb="FF000000"/>
      <name val="Proxima Nova"/>
    </font>
    <font>
      <i/>
      <sz val="12.0"/>
      <color rgb="FF515151"/>
      <name val="Proxima Nova"/>
    </font>
    <font>
      <color rgb="FF515151"/>
      <name val="Proxima Nova"/>
    </font>
    <font>
      <u/>
      <sz val="13.0"/>
      <color rgb="FF000000"/>
      <name val="Proxima Nova"/>
    </font>
    <font>
      <u/>
      <sz val="13.0"/>
      <color rgb="FF515151"/>
      <name val="Proxima Nova"/>
    </font>
    <font>
      <color rgb="FFFFFFFF"/>
      <name val="Arial"/>
    </font>
    <font>
      <sz val="9.0"/>
      <color rgb="FFFFFFFF"/>
      <name val="&quot;Google Sans Mono&quot;"/>
    </font>
    <font>
      <color rgb="FFFFFFFF"/>
      <name val="&quot;Proxima Nova&quot;"/>
    </font>
    <font>
      <b/>
      <sz val="20.0"/>
      <color rgb="FF262E32"/>
      <name val="Proxima Nova"/>
    </font>
    <font>
      <color rgb="FFB7B7B7"/>
      <name val="Roboto"/>
      <scheme val="minor"/>
    </font>
    <font>
      <b/>
      <sz val="20.0"/>
      <color rgb="FFFFFFFF"/>
      <name val="Proxima Nova"/>
    </font>
    <font>
      <color rgb="FF999999"/>
      <name val="Roboto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F4FE"/>
        <bgColor rgb="FFEFF4FE"/>
      </patternFill>
    </fill>
    <fill>
      <patternFill patternType="solid">
        <fgColor rgb="FFCDDEFF"/>
        <bgColor rgb="FFCDDEFF"/>
      </patternFill>
    </fill>
    <fill>
      <patternFill patternType="solid">
        <fgColor rgb="FF7FD99A"/>
        <bgColor rgb="FF7FD99A"/>
      </patternFill>
    </fill>
    <fill>
      <patternFill patternType="solid">
        <fgColor rgb="FFD3EFDA"/>
        <bgColor rgb="FFD3EFDA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rgb="FF414C52"/>
        <bgColor rgb="FF414C52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6E48B"/>
        <bgColor rgb="FFC6E48B"/>
      </patternFill>
    </fill>
    <fill>
      <patternFill patternType="solid">
        <fgColor rgb="FF7BC96F"/>
        <bgColor rgb="FF7BC96F"/>
      </patternFill>
    </fill>
    <fill>
      <patternFill patternType="solid">
        <fgColor rgb="FF219A3B"/>
        <bgColor rgb="FF219A3B"/>
      </patternFill>
    </fill>
    <fill>
      <patternFill patternType="solid">
        <fgColor rgb="FF196127"/>
        <bgColor rgb="FF196127"/>
      </patternFill>
    </fill>
    <fill>
      <patternFill patternType="solid">
        <fgColor rgb="FFEBEDF0"/>
        <bgColor rgb="FFEBEDF0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FFF2CC"/>
        <bgColor rgb="FFFFF2CC"/>
      </patternFill>
    </fill>
    <fill>
      <patternFill patternType="solid">
        <fgColor rgb="FF0D1113"/>
        <bgColor rgb="FF0D1113"/>
      </patternFill>
    </fill>
    <fill>
      <patternFill patternType="solid">
        <fgColor rgb="FF000000"/>
        <bgColor rgb="FF000000"/>
      </patternFill>
    </fill>
  </fills>
  <borders count="2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414C52"/>
      </left>
      <right style="thin">
        <color rgb="FF414C52"/>
      </right>
      <top style="thin">
        <color rgb="FF414C52"/>
      </top>
      <bottom style="thin">
        <color rgb="FF414C52"/>
      </bottom>
    </border>
    <border>
      <left style="thin">
        <color rgb="FF414C52"/>
      </left>
      <top style="thin">
        <color rgb="FF414C52"/>
      </top>
      <bottom style="thin">
        <color rgb="FF414C52"/>
      </bottom>
    </border>
    <border>
      <top style="thin">
        <color rgb="FF414C52"/>
      </top>
      <bottom style="thin">
        <color rgb="FF414C52"/>
      </bottom>
    </border>
    <border>
      <right style="thin">
        <color rgb="FF414C52"/>
      </right>
      <top style="thin">
        <color rgb="FF414C52"/>
      </top>
      <bottom style="thin">
        <color rgb="FF414C52"/>
      </bottom>
    </border>
    <border>
      <left style="thin">
        <color rgb="FF262E32"/>
      </left>
      <right style="thin">
        <color rgb="FF262E32"/>
      </right>
      <top style="thin">
        <color rgb="FF262E32"/>
      </top>
      <bottom style="thin">
        <color rgb="FF262E32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right" readingOrder="0" vertical="center"/>
    </xf>
    <xf borderId="0" fillId="2" fontId="4" numFmtId="0" xfId="0" applyAlignment="1" applyFill="1" applyFont="1">
      <alignment readingOrder="0" vertical="center"/>
    </xf>
    <xf borderId="0" fillId="0" fontId="5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8" numFmtId="0" xfId="0" applyFont="1"/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3" fontId="14" numFmtId="0" xfId="0" applyAlignment="1" applyFill="1" applyFont="1">
      <alignment horizontal="center" readingOrder="0" vertical="center"/>
    </xf>
    <xf borderId="0" fillId="3" fontId="9" numFmtId="0" xfId="0" applyAlignment="1" applyFont="1">
      <alignment readingOrder="0" shrinkToFit="0" vertical="center" wrapText="1"/>
    </xf>
    <xf borderId="0" fillId="3" fontId="15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right"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16" numFmtId="0" xfId="0" applyFont="1"/>
    <xf borderId="0" fillId="0" fontId="9" numFmtId="0" xfId="0" applyAlignment="1" applyFont="1">
      <alignment readingOrder="0" shrinkToFit="0" vertical="center" wrapText="0"/>
    </xf>
    <xf borderId="0" fillId="4" fontId="17" numFmtId="0" xfId="0" applyFill="1" applyFont="1"/>
    <xf borderId="0" fillId="4" fontId="18" numFmtId="0" xfId="0" applyFont="1"/>
    <xf borderId="0" fillId="0" fontId="6" numFmtId="0" xfId="0" applyAlignment="1" applyFont="1">
      <alignment readingOrder="0"/>
    </xf>
    <xf borderId="0" fillId="4" fontId="19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21" numFmtId="0" xfId="0" applyFont="1"/>
    <xf borderId="1" fillId="2" fontId="22" numFmtId="0" xfId="0" applyAlignment="1" applyBorder="1" applyFont="1">
      <alignment readingOrder="0" vertical="center"/>
    </xf>
    <xf borderId="2" fillId="0" fontId="23" numFmtId="0" xfId="0" applyBorder="1" applyFont="1"/>
    <xf borderId="3" fillId="0" fontId="23" numFmtId="0" xfId="0" applyBorder="1" applyFont="1"/>
    <xf borderId="0" fillId="4" fontId="24" numFmtId="0" xfId="0" applyAlignment="1" applyFont="1">
      <alignment readingOrder="0" vertical="center"/>
    </xf>
    <xf borderId="0" fillId="4" fontId="25" numFmtId="0" xfId="0" applyAlignment="1" applyFont="1">
      <alignment readingOrder="0" vertical="center"/>
    </xf>
    <xf borderId="0" fillId="4" fontId="26" numFmtId="0" xfId="0" applyAlignment="1" applyFont="1">
      <alignment readingOrder="0"/>
    </xf>
    <xf borderId="0" fillId="4" fontId="27" numFmtId="0" xfId="0" applyAlignment="1" applyFont="1">
      <alignment readingOrder="0"/>
    </xf>
    <xf borderId="0" fillId="4" fontId="17" numFmtId="0" xfId="0" applyAlignment="1" applyFont="1">
      <alignment vertical="center"/>
    </xf>
    <xf borderId="0" fillId="4" fontId="26" numFmtId="0" xfId="0" applyAlignment="1" applyFont="1">
      <alignment readingOrder="0" vertical="center"/>
    </xf>
    <xf borderId="1" fillId="2" fontId="28" numFmtId="0" xfId="0" applyAlignment="1" applyBorder="1" applyFont="1">
      <alignment readingOrder="0" vertical="bottom"/>
    </xf>
    <xf borderId="0" fillId="4" fontId="29" numFmtId="0" xfId="0" applyAlignment="1" applyFont="1">
      <alignment readingOrder="0"/>
    </xf>
    <xf borderId="0" fillId="4" fontId="26" numFmtId="0" xfId="0" applyAlignment="1" applyFont="1">
      <alignment readingOrder="0"/>
    </xf>
    <xf borderId="4" fillId="5" fontId="20" numFmtId="0" xfId="0" applyAlignment="1" applyBorder="1" applyFill="1" applyFont="1">
      <alignment readingOrder="0" vertical="bottom"/>
    </xf>
    <xf borderId="4" fillId="4" fontId="6" numFmtId="0" xfId="0" applyAlignment="1" applyBorder="1" applyFont="1">
      <alignment readingOrder="0" vertical="bottom"/>
    </xf>
    <xf borderId="4" fillId="4" fontId="6" numFmtId="165" xfId="0" applyAlignment="1" applyBorder="1" applyFont="1" applyNumberFormat="1">
      <alignment readingOrder="0" vertical="bottom"/>
    </xf>
    <xf borderId="0" fillId="4" fontId="26" numFmtId="0" xfId="0" applyFont="1"/>
    <xf borderId="0" fillId="4" fontId="26" numFmtId="0" xfId="0" applyFont="1"/>
    <xf borderId="0" fillId="4" fontId="29" numFmtId="0" xfId="0" applyAlignment="1" applyFont="1">
      <alignment readingOrder="0"/>
    </xf>
    <xf borderId="0" fillId="4" fontId="30" numFmtId="0" xfId="0" applyFont="1"/>
    <xf borderId="0" fillId="4" fontId="31" numFmtId="0" xfId="0" applyAlignment="1" applyFont="1">
      <alignment readingOrder="0" shrinkToFit="0" wrapText="1"/>
    </xf>
    <xf borderId="0" fillId="4" fontId="31" numFmtId="0" xfId="0" applyAlignment="1" applyFont="1">
      <alignment readingOrder="0"/>
    </xf>
    <xf borderId="0" fillId="4" fontId="31" numFmtId="0" xfId="0" applyFont="1"/>
    <xf borderId="0" fillId="4" fontId="30" numFmtId="0" xfId="0" applyAlignment="1" applyFont="1">
      <alignment readingOrder="0"/>
    </xf>
    <xf borderId="0" fillId="4" fontId="32" numFmtId="0" xfId="0" applyAlignment="1" applyFont="1">
      <alignment horizontal="left" readingOrder="0" shrinkToFit="0" wrapText="1"/>
    </xf>
    <xf borderId="0" fillId="4" fontId="33" numFmtId="0" xfId="0" applyAlignment="1" applyFont="1">
      <alignment readingOrder="0"/>
    </xf>
    <xf borderId="4" fillId="6" fontId="20" numFmtId="0" xfId="0" applyAlignment="1" applyBorder="1" applyFill="1" applyFont="1">
      <alignment readingOrder="0" vertical="bottom"/>
    </xf>
    <xf borderId="4" fillId="7" fontId="6" numFmtId="166" xfId="0" applyAlignment="1" applyBorder="1" applyFill="1" applyFont="1" applyNumberFormat="1">
      <alignment horizontal="left" vertical="bottom"/>
    </xf>
    <xf borderId="4" fillId="7" fontId="6" numFmtId="165" xfId="0" applyAlignment="1" applyBorder="1" applyFont="1" applyNumberFormat="1">
      <alignment horizontal="right" vertical="bottom"/>
    </xf>
    <xf borderId="0" fillId="4" fontId="21" numFmtId="0" xfId="0" applyAlignment="1" applyFont="1">
      <alignment readingOrder="0"/>
    </xf>
    <xf borderId="0" fillId="4" fontId="34" numFmtId="0" xfId="0" applyAlignment="1" applyFont="1">
      <alignment readingOrder="0"/>
    </xf>
    <xf borderId="0" fillId="0" fontId="35" numFmtId="0" xfId="0" applyAlignment="1" applyFont="1">
      <alignment horizontal="center" readingOrder="0"/>
    </xf>
    <xf borderId="0" fillId="0" fontId="36" numFmtId="9" xfId="0" applyAlignment="1" applyFont="1" applyNumberFormat="1">
      <alignment readingOrder="0"/>
    </xf>
    <xf borderId="0" fillId="0" fontId="17" numFmtId="10" xfId="0" applyFont="1" applyNumberFormat="1"/>
    <xf borderId="4" fillId="7" fontId="6" numFmtId="165" xfId="0" applyAlignment="1" applyBorder="1" applyFont="1" applyNumberFormat="1">
      <alignment horizontal="right" readingOrder="0" vertical="bottom"/>
    </xf>
    <xf borderId="1" fillId="2" fontId="37" numFmtId="0" xfId="0" applyAlignment="1" applyBorder="1" applyFont="1">
      <alignment readingOrder="0" vertical="center"/>
    </xf>
    <xf borderId="1" fillId="4" fontId="38" numFmtId="0" xfId="0" applyAlignment="1" applyBorder="1" applyFont="1">
      <alignment readingOrder="0" vertical="bottom"/>
    </xf>
    <xf borderId="4" fillId="5" fontId="39" numFmtId="0" xfId="0" applyAlignment="1" applyBorder="1" applyFont="1">
      <alignment readingOrder="0" vertical="bottom"/>
    </xf>
    <xf borderId="4" fillId="4" fontId="40" numFmtId="166" xfId="0" applyAlignment="1" applyBorder="1" applyFont="1" applyNumberFormat="1">
      <alignment readingOrder="0" vertical="bottom"/>
    </xf>
    <xf borderId="4" fillId="7" fontId="6" numFmtId="9" xfId="0" applyAlignment="1" applyBorder="1" applyFont="1" applyNumberFormat="1">
      <alignment horizontal="left" readingOrder="0" vertical="bottom"/>
    </xf>
    <xf borderId="4" fillId="7" fontId="6" numFmtId="166" xfId="0" applyAlignment="1" applyBorder="1" applyFont="1" applyNumberFormat="1">
      <alignment horizontal="left" readingOrder="0" vertical="bottom"/>
    </xf>
    <xf borderId="4" fillId="7" fontId="6" numFmtId="167" xfId="0" applyAlignment="1" applyBorder="1" applyFont="1" applyNumberFormat="1">
      <alignment horizontal="left" readingOrder="0" vertical="bottom"/>
    </xf>
    <xf borderId="0" fillId="0" fontId="41" numFmtId="9" xfId="0" applyAlignment="1" applyFont="1" applyNumberFormat="1">
      <alignment vertical="bottom"/>
    </xf>
    <xf borderId="0" fillId="0" fontId="36" numFmtId="165" xfId="0" applyAlignment="1" applyFont="1" applyNumberFormat="1">
      <alignment readingOrder="0"/>
    </xf>
    <xf borderId="0" fillId="0" fontId="41" numFmtId="0" xfId="0" applyAlignment="1" applyFont="1">
      <alignment vertical="bottom"/>
    </xf>
    <xf borderId="0" fillId="0" fontId="42" numFmtId="0" xfId="0" applyAlignment="1" applyFont="1">
      <alignment vertical="bottom"/>
    </xf>
    <xf borderId="4" fillId="4" fontId="6" numFmtId="166" xfId="0" applyAlignment="1" applyBorder="1" applyFont="1" applyNumberFormat="1">
      <alignment readingOrder="0" vertical="bottom"/>
    </xf>
    <xf borderId="4" fillId="6" fontId="20" numFmtId="166" xfId="0" applyAlignment="1" applyBorder="1" applyFont="1" applyNumberFormat="1">
      <alignment horizontal="left" readingOrder="0" vertical="bottom"/>
    </xf>
    <xf borderId="4" fillId="7" fontId="6" numFmtId="10" xfId="0" applyAlignment="1" applyBorder="1" applyFont="1" applyNumberFormat="1">
      <alignment horizontal="left" readingOrder="0" vertical="bottom"/>
    </xf>
    <xf borderId="4" fillId="7" fontId="6" numFmtId="166" xfId="0" applyAlignment="1" applyBorder="1" applyFont="1" applyNumberFormat="1">
      <alignment horizontal="right" readingOrder="0" vertical="bottom"/>
    </xf>
    <xf borderId="0" fillId="0" fontId="17" numFmtId="9" xfId="0" applyAlignment="1" applyFont="1" applyNumberFormat="1">
      <alignment readingOrder="0"/>
    </xf>
    <xf borderId="4" fillId="7" fontId="6" numFmtId="166" xfId="0" applyAlignment="1" applyBorder="1" applyFont="1" applyNumberFormat="1">
      <alignment horizontal="right" vertical="bottom"/>
    </xf>
    <xf borderId="0" fillId="0" fontId="17" numFmtId="0" xfId="0" applyAlignment="1" applyFont="1">
      <alignment vertical="top"/>
    </xf>
    <xf borderId="5" fillId="4" fontId="6" numFmtId="0" xfId="0" applyAlignment="1" applyBorder="1" applyFont="1">
      <alignment horizontal="center" readingOrder="0" vertical="center"/>
    </xf>
    <xf borderId="6" fillId="0" fontId="23" numFmtId="0" xfId="0" applyBorder="1" applyFont="1"/>
    <xf borderId="0" fillId="0" fontId="17" numFmtId="0" xfId="0" applyAlignment="1" applyFont="1">
      <alignment vertical="bottom"/>
    </xf>
    <xf borderId="4" fillId="5" fontId="43" numFmtId="0" xfId="0" applyAlignment="1" applyBorder="1" applyFont="1">
      <alignment vertical="bottom"/>
    </xf>
    <xf borderId="4" fillId="4" fontId="9" numFmtId="0" xfId="0" applyAlignment="1" applyBorder="1" applyFont="1">
      <alignment vertical="bottom"/>
    </xf>
    <xf borderId="4" fillId="4" fontId="9" numFmtId="0" xfId="0" applyAlignment="1" applyBorder="1" applyFont="1">
      <alignment vertical="bottom"/>
    </xf>
    <xf borderId="4" fillId="4" fontId="9" numFmtId="166" xfId="0" applyAlignment="1" applyBorder="1" applyFont="1" applyNumberFormat="1">
      <alignment vertical="bottom"/>
    </xf>
    <xf borderId="0" fillId="0" fontId="16" numFmtId="3" xfId="0" applyAlignment="1" applyFont="1" applyNumberFormat="1">
      <alignment readingOrder="0"/>
    </xf>
    <xf borderId="4" fillId="5" fontId="43" numFmtId="0" xfId="0" applyAlignment="1" applyBorder="1" applyFont="1">
      <alignment readingOrder="0" vertical="bottom"/>
    </xf>
    <xf borderId="4" fillId="4" fontId="9" numFmtId="0" xfId="0" applyAlignment="1" applyBorder="1" applyFont="1">
      <alignment readingOrder="0" vertical="bottom"/>
    </xf>
    <xf borderId="4" fillId="4" fontId="9" numFmtId="166" xfId="0" applyAlignment="1" applyBorder="1" applyFont="1" applyNumberFormat="1">
      <alignment readingOrder="0" vertical="bottom"/>
    </xf>
    <xf borderId="0" fillId="0" fontId="16" numFmtId="0" xfId="0" applyFont="1"/>
    <xf borderId="4" fillId="4" fontId="9" numFmtId="164" xfId="0" applyAlignment="1" applyBorder="1" applyFont="1" applyNumberFormat="1">
      <alignment readingOrder="0" vertical="bottom"/>
    </xf>
    <xf borderId="4" fillId="5" fontId="43" numFmtId="0" xfId="0" applyAlignment="1" applyBorder="1" applyFont="1">
      <alignment horizontal="center" readingOrder="0" vertical="bottom"/>
    </xf>
    <xf borderId="4" fillId="5" fontId="43" numFmtId="166" xfId="0" applyAlignment="1" applyBorder="1" applyFont="1" applyNumberFormat="1">
      <alignment readingOrder="0" vertical="bottom"/>
    </xf>
    <xf borderId="4" fillId="4" fontId="9" numFmtId="0" xfId="0" applyAlignment="1" applyBorder="1" applyFont="1">
      <alignment horizontal="center" readingOrder="0" vertical="bottom"/>
    </xf>
    <xf borderId="4" fillId="5" fontId="43" numFmtId="0" xfId="0" applyAlignment="1" applyBorder="1" applyFont="1">
      <alignment horizontal="left" readingOrder="0" vertical="bottom"/>
    </xf>
    <xf borderId="0" fillId="0" fontId="44" numFmtId="0" xfId="0" applyAlignment="1" applyFont="1">
      <alignment horizontal="center" readingOrder="0"/>
    </xf>
    <xf borderId="4" fillId="4" fontId="9" numFmtId="164" xfId="0" applyAlignment="1" applyBorder="1" applyFont="1" applyNumberFormat="1">
      <alignment horizontal="center" readingOrder="0" vertical="bottom"/>
    </xf>
    <xf borderId="4" fillId="4" fontId="9" numFmtId="0" xfId="0" applyAlignment="1" applyBorder="1" applyFont="1">
      <alignment horizontal="left" readingOrder="0" vertical="bottom"/>
    </xf>
    <xf borderId="4" fillId="6" fontId="43" numFmtId="0" xfId="0" applyAlignment="1" applyBorder="1" applyFont="1">
      <alignment readingOrder="0" vertical="bottom"/>
    </xf>
    <xf borderId="4" fillId="5" fontId="20" numFmtId="0" xfId="0" applyAlignment="1" applyBorder="1" applyFont="1">
      <alignment horizontal="center" readingOrder="0"/>
    </xf>
    <xf borderId="4" fillId="6" fontId="20" numFmtId="0" xfId="0" applyAlignment="1" applyBorder="1" applyFont="1">
      <alignment horizontal="center" readingOrder="0" vertical="bottom"/>
    </xf>
    <xf borderId="4" fillId="7" fontId="9" numFmtId="164" xfId="0" applyAlignment="1" applyBorder="1" applyFont="1" applyNumberFormat="1">
      <alignment horizontal="right" vertical="bottom"/>
    </xf>
    <xf borderId="4" fillId="4" fontId="6" numFmtId="0" xfId="0" applyAlignment="1" applyBorder="1" applyFont="1">
      <alignment readingOrder="0"/>
    </xf>
    <xf borderId="4" fillId="4" fontId="6" numFmtId="166" xfId="0" applyAlignment="1" applyBorder="1" applyFont="1" applyNumberFormat="1">
      <alignment readingOrder="0"/>
    </xf>
    <xf borderId="4" fillId="5" fontId="20" numFmtId="0" xfId="0" applyAlignment="1" applyBorder="1" applyFont="1">
      <alignment horizontal="center" readingOrder="0" vertical="center"/>
    </xf>
    <xf borderId="4" fillId="4" fontId="6" numFmtId="3" xfId="0" applyAlignment="1" applyBorder="1" applyFont="1" applyNumberFormat="1">
      <alignment readingOrder="0"/>
    </xf>
    <xf borderId="4" fillId="4" fontId="6" numFmtId="166" xfId="0" applyAlignment="1" applyBorder="1" applyFont="1" applyNumberFormat="1">
      <alignment horizontal="right" readingOrder="0" vertical="bottom"/>
    </xf>
    <xf borderId="0" fillId="5" fontId="20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42" numFmtId="3" xfId="0" applyAlignment="1" applyFont="1" applyNumberFormat="1">
      <alignment vertical="bottom"/>
    </xf>
    <xf borderId="4" fillId="5" fontId="39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4" fillId="5" fontId="20" numFmtId="0" xfId="0" applyAlignment="1" applyBorder="1" applyFont="1">
      <alignment horizontal="center" readingOrder="0" vertical="bottom"/>
    </xf>
    <xf borderId="4" fillId="8" fontId="45" numFmtId="0" xfId="0" applyAlignment="1" applyBorder="1" applyFill="1" applyFont="1">
      <alignment horizontal="center" readingOrder="0" vertical="bottom"/>
    </xf>
    <xf borderId="4" fillId="4" fontId="6" numFmtId="166" xfId="0" applyAlignment="1" applyBorder="1" applyFont="1" applyNumberFormat="1">
      <alignment horizontal="right" vertical="bottom"/>
    </xf>
    <xf borderId="4" fillId="5" fontId="6" numFmtId="166" xfId="0" applyAlignment="1" applyBorder="1" applyFont="1" applyNumberFormat="1">
      <alignment horizontal="right" readingOrder="0" vertical="bottom"/>
    </xf>
    <xf borderId="0" fillId="0" fontId="42" numFmtId="0" xfId="0" applyAlignment="1" applyFont="1">
      <alignment readingOrder="0" vertical="bottom"/>
    </xf>
    <xf borderId="4" fillId="4" fontId="6" numFmtId="3" xfId="0" applyAlignment="1" applyBorder="1" applyFont="1" applyNumberFormat="1">
      <alignment readingOrder="0" vertical="bottom"/>
    </xf>
    <xf borderId="0" fillId="0" fontId="42" numFmtId="3" xfId="0" applyAlignment="1" applyFont="1" applyNumberFormat="1">
      <alignment readingOrder="0" vertical="bottom"/>
    </xf>
    <xf borderId="0" fillId="0" fontId="17" numFmtId="3" xfId="0" applyAlignment="1" applyFont="1" applyNumberFormat="1">
      <alignment readingOrder="0"/>
    </xf>
    <xf borderId="4" fillId="4" fontId="6" numFmtId="49" xfId="0" applyAlignment="1" applyBorder="1" applyFont="1" applyNumberFormat="1">
      <alignment readingOrder="0" vertical="bottom"/>
    </xf>
    <xf borderId="4" fillId="7" fontId="6" numFmtId="0" xfId="0" applyAlignment="1" applyBorder="1" applyFont="1">
      <alignment horizontal="right" vertical="bottom"/>
    </xf>
    <xf borderId="0" fillId="0" fontId="6" numFmtId="0" xfId="0" applyAlignment="1" applyFont="1">
      <alignment horizontal="center" vertical="center"/>
    </xf>
    <xf borderId="1" fillId="2" fontId="37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horizontal="center" vertical="center"/>
    </xf>
    <xf borderId="2" fillId="2" fontId="28" numFmtId="0" xfId="0" applyAlignment="1" applyBorder="1" applyFont="1">
      <alignment readingOrder="0" vertical="bottom"/>
    </xf>
    <xf borderId="3" fillId="2" fontId="28" numFmtId="0" xfId="0" applyAlignment="1" applyBorder="1" applyFont="1">
      <alignment readingOrder="0" vertical="bottom"/>
    </xf>
    <xf borderId="5" fillId="5" fontId="43" numFmtId="0" xfId="0" applyAlignment="1" applyBorder="1" applyFont="1">
      <alignment vertical="center"/>
    </xf>
    <xf borderId="1" fillId="5" fontId="43" numFmtId="0" xfId="0" applyAlignment="1" applyBorder="1" applyFont="1">
      <alignment horizontal="center" readingOrder="0" vertical="center"/>
    </xf>
    <xf borderId="7" fillId="5" fontId="43" numFmtId="0" xfId="0" applyAlignment="1" applyBorder="1" applyFont="1">
      <alignment horizontal="center" readingOrder="0" vertical="center"/>
    </xf>
    <xf borderId="8" fillId="0" fontId="23" numFmtId="0" xfId="0" applyBorder="1" applyFont="1"/>
    <xf borderId="9" fillId="0" fontId="23" numFmtId="0" xfId="0" applyBorder="1" applyFont="1"/>
    <xf borderId="5" fillId="9" fontId="34" numFmtId="0" xfId="0" applyAlignment="1" applyBorder="1" applyFill="1" applyFont="1">
      <alignment vertical="center"/>
    </xf>
    <xf borderId="1" fillId="9" fontId="34" numFmtId="0" xfId="0" applyAlignment="1" applyBorder="1" applyFont="1">
      <alignment horizontal="center" readingOrder="0" vertical="center"/>
    </xf>
    <xf borderId="7" fillId="9" fontId="34" numFmtId="0" xfId="0" applyAlignment="1" applyBorder="1" applyFont="1">
      <alignment horizontal="center" readingOrder="0" vertical="center"/>
    </xf>
    <xf borderId="4" fillId="5" fontId="43" numFmtId="0" xfId="0" applyAlignment="1" applyBorder="1" applyFont="1">
      <alignment readingOrder="0" vertical="center"/>
    </xf>
    <xf borderId="4" fillId="5" fontId="20" numFmtId="0" xfId="0" applyAlignment="1" applyBorder="1" applyFont="1">
      <alignment horizontal="center"/>
    </xf>
    <xf borderId="4" fillId="5" fontId="20" numFmtId="0" xfId="0" applyAlignment="1" applyBorder="1" applyFont="1">
      <alignment horizontal="center"/>
    </xf>
    <xf borderId="0" fillId="0" fontId="6" numFmtId="165" xfId="0" applyFont="1" applyNumberFormat="1"/>
    <xf borderId="10" fillId="0" fontId="23" numFmtId="0" xfId="0" applyBorder="1" applyFont="1"/>
    <xf borderId="11" fillId="0" fontId="23" numFmtId="0" xfId="0" applyBorder="1" applyFont="1"/>
    <xf borderId="12" fillId="0" fontId="23" numFmtId="0" xfId="0" applyBorder="1" applyFont="1"/>
    <xf borderId="4" fillId="9" fontId="34" numFmtId="0" xfId="0" applyAlignment="1" applyBorder="1" applyFont="1">
      <alignment readingOrder="0" vertical="center"/>
    </xf>
    <xf borderId="4" fillId="4" fontId="6" numFmtId="0" xfId="0" applyBorder="1" applyFont="1"/>
    <xf borderId="4" fillId="4" fontId="6" numFmtId="0" xfId="0" applyBorder="1" applyFont="1"/>
    <xf borderId="4" fillId="4" fontId="9" numFmtId="0" xfId="0" applyAlignment="1" applyBorder="1" applyFont="1">
      <alignment horizontal="left" readingOrder="0" vertical="center"/>
    </xf>
    <xf borderId="4" fillId="4" fontId="9" numFmtId="0" xfId="0" applyAlignment="1" applyBorder="1" applyFont="1">
      <alignment horizontal="center" readingOrder="0" vertical="center"/>
    </xf>
    <xf borderId="1" fillId="4" fontId="9" numFmtId="10" xfId="0" applyAlignment="1" applyBorder="1" applyFont="1" applyNumberFormat="1">
      <alignment horizontal="center" vertical="center"/>
    </xf>
    <xf borderId="4" fillId="9" fontId="21" numFmtId="0" xfId="0" applyAlignment="1" applyBorder="1" applyFont="1">
      <alignment horizontal="left" readingOrder="0" vertical="center"/>
    </xf>
    <xf borderId="4" fillId="9" fontId="9" numFmtId="0" xfId="0" applyAlignment="1" applyBorder="1" applyFont="1">
      <alignment horizontal="center" readingOrder="0" vertical="center"/>
    </xf>
    <xf borderId="1" fillId="9" fontId="9" numFmtId="10" xfId="0" applyAlignment="1" applyBorder="1" applyFont="1" applyNumberFormat="1">
      <alignment horizontal="center" vertical="center"/>
    </xf>
    <xf borderId="0" fillId="4" fontId="6" numFmtId="0" xfId="0" applyAlignment="1" applyFont="1">
      <alignment horizontal="left" readingOrder="0" shrinkToFit="0" wrapText="1"/>
    </xf>
    <xf borderId="0" fillId="4" fontId="46" numFmtId="0" xfId="0" applyAlignment="1" applyFont="1">
      <alignment readingOrder="0"/>
    </xf>
    <xf borderId="0" fillId="4" fontId="47" numFmtId="0" xfId="0" applyAlignment="1" applyFont="1">
      <alignment horizontal="left" readingOrder="0" shrinkToFit="0" wrapText="1"/>
    </xf>
    <xf borderId="4" fillId="5" fontId="20" numFmtId="0" xfId="0" applyAlignment="1" applyBorder="1" applyFont="1">
      <alignment readingOrder="0"/>
    </xf>
    <xf borderId="7" fillId="2" fontId="28" numFmtId="0" xfId="0" applyAlignment="1" applyBorder="1" applyFont="1">
      <alignment readingOrder="0" vertical="bottom"/>
    </xf>
    <xf borderId="0" fillId="0" fontId="17" numFmtId="0" xfId="0" applyAlignment="1" applyFont="1">
      <alignment horizontal="center"/>
    </xf>
    <xf borderId="4" fillId="5" fontId="43" numFmtId="0" xfId="0" applyAlignment="1" applyBorder="1" applyFont="1">
      <alignment vertical="center"/>
    </xf>
    <xf borderId="4" fillId="5" fontId="43" numFmtId="0" xfId="0" applyAlignment="1" applyBorder="1" applyFont="1">
      <alignment horizontal="center" readingOrder="0" vertical="center"/>
    </xf>
    <xf borderId="13" fillId="10" fontId="34" numFmtId="0" xfId="0" applyAlignment="1" applyBorder="1" applyFill="1" applyFont="1">
      <alignment vertical="center"/>
    </xf>
    <xf borderId="13" fillId="10" fontId="34" numFmtId="0" xfId="0" applyAlignment="1" applyBorder="1" applyFont="1">
      <alignment horizontal="center" readingOrder="0" vertical="center"/>
    </xf>
    <xf borderId="14" fillId="9" fontId="34" numFmtId="0" xfId="0" applyAlignment="1" applyBorder="1" applyFont="1">
      <alignment horizontal="center" readingOrder="0" vertical="center"/>
    </xf>
    <xf borderId="15" fillId="0" fontId="23" numFmtId="0" xfId="0" applyBorder="1" applyFont="1"/>
    <xf borderId="16" fillId="0" fontId="23" numFmtId="0" xfId="0" applyBorder="1" applyFont="1"/>
    <xf borderId="4" fillId="4" fontId="9" numFmtId="166" xfId="0" applyAlignment="1" applyBorder="1" applyFont="1" applyNumberFormat="1">
      <alignment horizontal="right" readingOrder="0" vertical="center"/>
    </xf>
    <xf borderId="13" fillId="9" fontId="21" numFmtId="0" xfId="0" applyAlignment="1" applyBorder="1" applyFont="1">
      <alignment horizontal="left" readingOrder="0" vertical="center"/>
    </xf>
    <xf borderId="13" fillId="9" fontId="21" numFmtId="166" xfId="0" applyAlignment="1" applyBorder="1" applyFont="1" applyNumberFormat="1">
      <alignment horizontal="right" readingOrder="0" vertical="center"/>
    </xf>
    <xf borderId="14" fillId="9" fontId="21" numFmtId="10" xfId="0" applyAlignment="1" applyBorder="1" applyFont="1" applyNumberFormat="1">
      <alignment horizontal="center" vertical="center"/>
    </xf>
    <xf borderId="0" fillId="0" fontId="9" numFmtId="0" xfId="0" applyFont="1"/>
    <xf borderId="5" fillId="5" fontId="20" numFmtId="0" xfId="0" applyAlignment="1" applyBorder="1" applyFont="1">
      <alignment readingOrder="0" vertical="bottom"/>
    </xf>
    <xf borderId="1" fillId="5" fontId="20" numFmtId="0" xfId="0" applyAlignment="1" applyBorder="1" applyFont="1">
      <alignment readingOrder="0" vertical="bottom"/>
    </xf>
    <xf borderId="4" fillId="4" fontId="6" numFmtId="9" xfId="0" applyAlignment="1" applyBorder="1" applyFont="1" applyNumberFormat="1">
      <alignment horizontal="right" vertical="bottom"/>
    </xf>
    <xf borderId="4" fillId="4" fontId="6" numFmtId="9" xfId="0" applyAlignment="1" applyBorder="1" applyFont="1" applyNumberFormat="1">
      <alignment horizontal="right" readingOrder="0" vertical="bottom"/>
    </xf>
    <xf borderId="13" fillId="10" fontId="34" numFmtId="0" xfId="0" applyAlignment="1" applyBorder="1" applyFont="1">
      <alignment readingOrder="0" vertical="center"/>
    </xf>
    <xf borderId="4" fillId="7" fontId="6" numFmtId="9" xfId="0" applyAlignment="1" applyBorder="1" applyFont="1" applyNumberFormat="1">
      <alignment horizontal="right" vertical="bottom"/>
    </xf>
    <xf borderId="14" fillId="10" fontId="34" numFmtId="0" xfId="0" applyAlignment="1" applyBorder="1" applyFont="1">
      <alignment horizontal="center" readingOrder="0" vertical="center"/>
    </xf>
    <xf borderId="4" fillId="4" fontId="9" numFmtId="166" xfId="0" applyAlignment="1" applyBorder="1" applyFont="1" applyNumberFormat="1">
      <alignment horizontal="center" readingOrder="0" vertical="center"/>
    </xf>
    <xf borderId="4" fillId="2" fontId="43" numFmtId="9" xfId="0" applyAlignment="1" applyBorder="1" applyFont="1" applyNumberFormat="1">
      <alignment horizontal="center" vertical="center"/>
    </xf>
    <xf borderId="1" fillId="2" fontId="9" numFmtId="10" xfId="0" applyAlignment="1" applyBorder="1" applyFont="1" applyNumberFormat="1">
      <alignment horizontal="center" vertical="center"/>
    </xf>
    <xf borderId="13" fillId="9" fontId="9" numFmtId="166" xfId="0" applyAlignment="1" applyBorder="1" applyFont="1" applyNumberFormat="1">
      <alignment horizontal="center" readingOrder="0" vertical="center"/>
    </xf>
    <xf borderId="13" fillId="9" fontId="34" numFmtId="9" xfId="0" applyAlignment="1" applyBorder="1" applyFont="1" applyNumberFormat="1">
      <alignment horizontal="center" vertical="center"/>
    </xf>
    <xf borderId="4" fillId="4" fontId="43" numFmtId="0" xfId="0" applyAlignment="1" applyBorder="1" applyFont="1">
      <alignment readingOrder="0"/>
    </xf>
    <xf borderId="1" fillId="4" fontId="48" numFmtId="0" xfId="0" applyAlignment="1" applyBorder="1" applyFont="1">
      <alignment readingOrder="0"/>
    </xf>
    <xf borderId="1" fillId="4" fontId="29" numFmtId="0" xfId="0" applyAlignment="1" applyBorder="1" applyFont="1">
      <alignment readingOrder="0"/>
    </xf>
    <xf borderId="4" fillId="5" fontId="39" numFmtId="0" xfId="0" applyAlignment="1" applyBorder="1" applyFont="1">
      <alignment horizontal="center" readingOrder="0"/>
    </xf>
    <xf borderId="4" fillId="11" fontId="20" numFmtId="0" xfId="0" applyAlignment="1" applyBorder="1" applyFill="1" applyFont="1">
      <alignment horizontal="center" readingOrder="0" vertical="bottom"/>
    </xf>
    <xf borderId="4" fillId="12" fontId="6" numFmtId="0" xfId="0" applyAlignment="1" applyBorder="1" applyFill="1" applyFont="1">
      <alignment horizontal="left" vertical="bottom"/>
    </xf>
    <xf borderId="4" fillId="12" fontId="6" numFmtId="0" xfId="0" applyAlignment="1" applyBorder="1" applyFont="1">
      <alignment horizontal="right" vertical="bottom"/>
    </xf>
    <xf borderId="4" fillId="4" fontId="6" numFmtId="168" xfId="0" applyAlignment="1" applyBorder="1" applyFont="1" applyNumberFormat="1">
      <alignment readingOrder="0"/>
    </xf>
    <xf borderId="4" fillId="4" fontId="6" numFmtId="169" xfId="0" applyAlignment="1" applyBorder="1" applyFont="1" applyNumberFormat="1">
      <alignment readingOrder="0"/>
    </xf>
    <xf borderId="4" fillId="7" fontId="6" numFmtId="169" xfId="0" applyAlignment="1" applyBorder="1" applyFont="1" applyNumberFormat="1">
      <alignment horizontal="right" vertical="bottom"/>
    </xf>
    <xf borderId="4" fillId="4" fontId="6" numFmtId="170" xfId="0" applyAlignment="1" applyBorder="1" applyFont="1" applyNumberFormat="1">
      <alignment horizontal="right" readingOrder="0" vertical="bottom"/>
    </xf>
    <xf borderId="4" fillId="4" fontId="6" numFmtId="170" xfId="0" applyAlignment="1" applyBorder="1" applyFont="1" applyNumberFormat="1">
      <alignment horizontal="center" readingOrder="0" vertical="bottom"/>
    </xf>
    <xf borderId="4" fillId="7" fontId="6" numFmtId="166" xfId="0" applyAlignment="1" applyBorder="1" applyFont="1" applyNumberFormat="1">
      <alignment horizontal="center" vertical="bottom"/>
    </xf>
    <xf borderId="1" fillId="4" fontId="43" numFmtId="0" xfId="0" applyAlignment="1" applyBorder="1" applyFont="1">
      <alignment horizontal="center" readingOrder="0" vertical="center"/>
    </xf>
    <xf borderId="4" fillId="4" fontId="6" numFmtId="9" xfId="0" applyAlignment="1" applyBorder="1" applyFont="1" applyNumberFormat="1">
      <alignment horizontal="center" vertical="center"/>
    </xf>
    <xf borderId="13" fillId="9" fontId="34" numFmtId="0" xfId="0" applyAlignment="1" applyBorder="1" applyFont="1">
      <alignment horizontal="center" readingOrder="0" vertical="center"/>
    </xf>
    <xf borderId="13" fillId="9" fontId="6" numFmtId="9" xfId="0" applyAlignment="1" applyBorder="1" applyFont="1" applyNumberFormat="1">
      <alignment horizontal="center" vertical="center"/>
    </xf>
    <xf borderId="0" fillId="9" fontId="49" numFmtId="0" xfId="0" applyAlignment="1" applyFont="1">
      <alignment horizontal="center" vertical="center"/>
    </xf>
    <xf borderId="0" fillId="9" fontId="49" numFmtId="0" xfId="0" applyAlignment="1" applyFont="1">
      <alignment vertical="center"/>
    </xf>
    <xf borderId="1" fillId="4" fontId="43" numFmtId="0" xfId="0" applyAlignment="1" applyBorder="1" applyFont="1">
      <alignment horizontal="left" readingOrder="0" shrinkToFit="0" vertical="center" wrapText="1"/>
    </xf>
    <xf borderId="13" fillId="9" fontId="34" numFmtId="0" xfId="0" applyAlignment="1" applyBorder="1" applyFont="1">
      <alignment horizontal="left" readingOrder="0" shrinkToFit="0" vertical="center" wrapText="1"/>
    </xf>
    <xf borderId="0" fillId="0" fontId="41" numFmtId="164" xfId="0" applyAlignment="1" applyFont="1" applyNumberFormat="1">
      <alignment vertical="bottom"/>
    </xf>
    <xf borderId="4" fillId="2" fontId="50" numFmtId="0" xfId="0" applyAlignment="1" applyBorder="1" applyFont="1">
      <alignment horizontal="right" readingOrder="0" vertical="bottom"/>
    </xf>
    <xf borderId="0" fillId="2" fontId="34" numFmtId="0" xfId="0" applyAlignment="1" applyFont="1">
      <alignment horizontal="center" readingOrder="0" vertical="center"/>
    </xf>
    <xf borderId="4" fillId="2" fontId="51" numFmtId="0" xfId="0" applyAlignment="1" applyBorder="1" applyFont="1">
      <alignment readingOrder="0" vertical="bottom"/>
    </xf>
    <xf borderId="0" fillId="2" fontId="49" numFmtId="9" xfId="0" applyAlignment="1" applyFont="1" applyNumberFormat="1">
      <alignment horizontal="center" vertical="center"/>
    </xf>
    <xf borderId="4" fillId="4" fontId="6" numFmtId="0" xfId="0" applyAlignment="1" applyBorder="1" applyFont="1">
      <alignment horizontal="right" vertical="bottom"/>
    </xf>
    <xf borderId="0" fillId="2" fontId="34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vertical="center"/>
    </xf>
    <xf borderId="4" fillId="4" fontId="6" numFmtId="0" xfId="0" applyAlignment="1" applyBorder="1" applyFont="1">
      <alignment horizontal="right" readingOrder="0" vertical="bottom"/>
    </xf>
    <xf borderId="0" fillId="4" fontId="42" numFmtId="0" xfId="0" applyAlignment="1" applyFont="1">
      <alignment vertical="bottom"/>
    </xf>
    <xf borderId="0" fillId="4" fontId="52" numFmtId="0" xfId="0" applyAlignment="1" applyFont="1">
      <alignment vertical="bottom"/>
    </xf>
    <xf borderId="4" fillId="7" fontId="6" numFmtId="165" xfId="0" applyAlignment="1" applyBorder="1" applyFont="1" applyNumberFormat="1">
      <alignment horizontal="left" vertical="bottom"/>
    </xf>
    <xf borderId="4" fillId="6" fontId="20" numFmtId="9" xfId="0" applyAlignment="1" applyBorder="1" applyFont="1" applyNumberFormat="1">
      <alignment readingOrder="0" vertical="bottom"/>
    </xf>
    <xf borderId="4" fillId="4" fontId="6" numFmtId="165" xfId="0" applyAlignment="1" applyBorder="1" applyFont="1" applyNumberFormat="1">
      <alignment horizontal="left" vertical="bottom"/>
    </xf>
    <xf borderId="4" fillId="13" fontId="43" numFmtId="0" xfId="0" applyAlignment="1" applyBorder="1" applyFill="1" applyFont="1">
      <alignment vertical="center"/>
    </xf>
    <xf borderId="1" fillId="14" fontId="9" numFmtId="0" xfId="0" applyAlignment="1" applyBorder="1" applyFill="1" applyFont="1">
      <alignment readingOrder="0" vertical="center"/>
    </xf>
    <xf borderId="4" fillId="4" fontId="6" numFmtId="1" xfId="0" applyAlignment="1" applyBorder="1" applyFont="1" applyNumberFormat="1">
      <alignment horizontal="right" readingOrder="0" vertical="bottom"/>
    </xf>
    <xf borderId="4" fillId="7" fontId="6" numFmtId="2" xfId="0" applyAlignment="1" applyBorder="1" applyFont="1" applyNumberFormat="1">
      <alignment horizontal="right" vertical="bottom"/>
    </xf>
    <xf borderId="1" fillId="13" fontId="43" numFmtId="0" xfId="0" applyAlignment="1" applyBorder="1" applyFont="1">
      <alignment readingOrder="0" vertical="center"/>
    </xf>
    <xf borderId="4" fillId="14" fontId="9" numFmtId="0" xfId="0" applyAlignment="1" applyBorder="1" applyFont="1">
      <alignment horizontal="center" readingOrder="0" vertical="center"/>
    </xf>
    <xf borderId="0" fillId="5" fontId="43" numFmtId="0" xfId="0" applyAlignment="1" applyFont="1">
      <alignment horizontal="center" readingOrder="0" vertical="center"/>
    </xf>
    <xf borderId="1" fillId="4" fontId="9" numFmtId="9" xfId="0" applyAlignment="1" applyBorder="1" applyFont="1" applyNumberFormat="1">
      <alignment horizontal="center" vertical="center"/>
    </xf>
    <xf borderId="0" fillId="4" fontId="9" numFmtId="166" xfId="0" applyAlignment="1" applyFont="1" applyNumberFormat="1">
      <alignment horizontal="right" readingOrder="0" vertical="center"/>
    </xf>
    <xf borderId="4" fillId="7" fontId="6" numFmtId="1" xfId="0" applyAlignment="1" applyBorder="1" applyFont="1" applyNumberFormat="1">
      <alignment horizontal="right" vertical="bottom"/>
    </xf>
    <xf borderId="0" fillId="4" fontId="53" numFmtId="0" xfId="0" applyAlignment="1" applyFont="1">
      <alignment readingOrder="0"/>
    </xf>
    <xf borderId="0" fillId="0" fontId="54" numFmtId="0" xfId="0" applyAlignment="1" applyFont="1">
      <alignment vertical="bottom"/>
    </xf>
    <xf borderId="0" fillId="0" fontId="41" numFmtId="0" xfId="0" applyFont="1"/>
    <xf borderId="4" fillId="5" fontId="39" numFmtId="0" xfId="0" applyAlignment="1" applyBorder="1" applyFont="1">
      <alignment readingOrder="0" vertical="center"/>
    </xf>
    <xf borderId="1" fillId="5" fontId="39" numFmtId="0" xfId="0" applyAlignment="1" applyBorder="1" applyFont="1">
      <alignment readingOrder="0" vertical="center"/>
    </xf>
    <xf borderId="3" fillId="5" fontId="43" numFmtId="0" xfId="0" applyAlignment="1" applyBorder="1" applyFont="1">
      <alignment readingOrder="0" vertical="center"/>
    </xf>
    <xf borderId="1" fillId="5" fontId="43" numFmtId="0" xfId="0" applyAlignment="1" applyBorder="1" applyFont="1">
      <alignment readingOrder="0" vertical="center"/>
    </xf>
    <xf borderId="0" fillId="0" fontId="9" numFmtId="0" xfId="0" applyAlignment="1" applyFont="1">
      <alignment readingOrder="0"/>
    </xf>
    <xf borderId="2" fillId="2" fontId="37" numFmtId="0" xfId="0" applyAlignment="1" applyBorder="1" applyFont="1">
      <alignment readingOrder="0" shrinkToFit="0" vertical="center" wrapText="0"/>
    </xf>
    <xf borderId="17" fillId="9" fontId="37" numFmtId="0" xfId="0" applyAlignment="1" applyBorder="1" applyFont="1">
      <alignment readingOrder="0" shrinkToFit="0" vertical="center" wrapText="0"/>
    </xf>
    <xf borderId="17" fillId="9" fontId="9" numFmtId="0" xfId="0" applyAlignment="1" applyBorder="1" applyFont="1">
      <alignment readingOrder="0"/>
    </xf>
    <xf borderId="18" fillId="0" fontId="9" numFmtId="0" xfId="0" applyAlignment="1" applyBorder="1" applyFont="1">
      <alignment horizontal="center" readingOrder="0"/>
    </xf>
    <xf borderId="17" fillId="9" fontId="9" numFmtId="0" xfId="0" applyAlignment="1" applyBorder="1" applyFont="1">
      <alignment horizontal="center" readingOrder="0"/>
    </xf>
    <xf borderId="1" fillId="5" fontId="39" numFmtId="0" xfId="0" applyAlignment="1" applyBorder="1" applyFont="1">
      <alignment readingOrder="0" vertical="bottom"/>
    </xf>
    <xf borderId="4" fillId="5" fontId="20" numFmtId="0" xfId="0" applyAlignment="1" applyBorder="1" applyFont="1">
      <alignment horizontal="center" vertical="bottom"/>
    </xf>
    <xf borderId="19" fillId="0" fontId="9" numFmtId="0" xfId="0" applyAlignment="1" applyBorder="1" applyFont="1">
      <alignment horizontal="center" readingOrder="0"/>
    </xf>
    <xf borderId="2" fillId="4" fontId="6" numFmtId="0" xfId="0" applyAlignment="1" applyBorder="1" applyFont="1">
      <alignment horizontal="center" readingOrder="0" vertical="bottom"/>
    </xf>
    <xf borderId="1" fillId="2" fontId="22" numFmtId="0" xfId="0" applyAlignment="1" applyBorder="1" applyFont="1">
      <alignment vertical="center"/>
    </xf>
    <xf borderId="3" fillId="4" fontId="6" numFmtId="0" xfId="0" applyAlignment="1" applyBorder="1" applyFont="1">
      <alignment readingOrder="0" vertical="bottom"/>
    </xf>
    <xf borderId="4" fillId="4" fontId="6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readingOrder="0" vertical="bottom"/>
    </xf>
    <xf borderId="4" fillId="7" fontId="6" numFmtId="10" xfId="0" applyAlignment="1" applyBorder="1" applyFont="1" applyNumberFormat="1">
      <alignment horizontal="center" vertical="bottom"/>
    </xf>
    <xf borderId="3" fillId="2" fontId="40" numFmtId="0" xfId="0" applyAlignment="1" applyBorder="1" applyFont="1">
      <alignment readingOrder="0" vertical="bottom"/>
    </xf>
    <xf borderId="4" fillId="5" fontId="20" numFmtId="0" xfId="0" applyAlignment="1" applyBorder="1" applyFont="1">
      <alignment horizontal="center" vertical="center"/>
    </xf>
    <xf borderId="0" fillId="0" fontId="6" numFmtId="0" xfId="0" applyAlignment="1" applyFont="1">
      <alignment readingOrder="0" vertical="center"/>
    </xf>
    <xf borderId="0" fillId="2" fontId="6" numFmtId="0" xfId="0" applyAlignment="1" applyFont="1">
      <alignment readingOrder="0" vertical="bottom"/>
    </xf>
    <xf borderId="0" fillId="4" fontId="29" numFmtId="0" xfId="0" applyAlignment="1" applyFont="1">
      <alignment readingOrder="0" vertical="center"/>
    </xf>
    <xf borderId="4" fillId="4" fontId="6" numFmtId="0" xfId="0" applyAlignment="1" applyBorder="1" applyFont="1">
      <alignment vertical="bottom"/>
    </xf>
    <xf borderId="4" fillId="4" fontId="6" numFmtId="166" xfId="0" applyAlignment="1" applyBorder="1" applyFont="1" applyNumberFormat="1">
      <alignment vertical="bottom"/>
    </xf>
    <xf borderId="0" fillId="4" fontId="55" numFmtId="0" xfId="0" applyFont="1"/>
    <xf borderId="0" fillId="5" fontId="56" numFmtId="0" xfId="0" applyFont="1"/>
    <xf borderId="0" fillId="5" fontId="57" numFmtId="0" xfId="0" applyFont="1"/>
    <xf borderId="0" fillId="5" fontId="17" numFmtId="0" xfId="0" applyFont="1"/>
    <xf borderId="1" fillId="2" fontId="22" numFmtId="0" xfId="0" applyAlignment="1" applyBorder="1" applyFont="1">
      <alignment readingOrder="0" vertical="bottom"/>
    </xf>
    <xf borderId="4" fillId="5" fontId="20" numFmtId="0" xfId="0" applyAlignment="1" applyBorder="1" applyFont="1">
      <alignment horizontal="center" vertical="bottom"/>
    </xf>
    <xf borderId="4" fillId="4" fontId="6" numFmtId="171" xfId="0" applyAlignment="1" applyBorder="1" applyFont="1" applyNumberFormat="1">
      <alignment readingOrder="0" vertical="bottom"/>
    </xf>
    <xf borderId="1" fillId="0" fontId="22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4" fillId="0" fontId="39" numFmtId="0" xfId="0" applyAlignment="1" applyBorder="1" applyFont="1">
      <alignment vertical="bottom"/>
    </xf>
    <xf borderId="1" fillId="0" fontId="40" numFmtId="0" xfId="0" applyAlignment="1" applyBorder="1" applyFont="1">
      <alignment readingOrder="0" vertical="bottom"/>
    </xf>
    <xf borderId="1" fillId="0" fontId="28" numFmtId="0" xfId="0" applyAlignment="1" applyBorder="1" applyFont="1">
      <alignment readingOrder="0" vertical="bottom"/>
    </xf>
    <xf borderId="0" fillId="9" fontId="58" numFmtId="0" xfId="0" applyFont="1"/>
    <xf borderId="0" fillId="9" fontId="59" numFmtId="0" xfId="0" applyFont="1"/>
    <xf borderId="0" fillId="9" fontId="18" numFmtId="0" xfId="0" applyFont="1"/>
    <xf borderId="4" fillId="4" fontId="9" numFmtId="0" xfId="0" applyAlignment="1" applyBorder="1" applyFont="1">
      <alignment horizontal="left" vertical="center"/>
    </xf>
    <xf borderId="17" fillId="9" fontId="9" numFmtId="0" xfId="0" applyBorder="1" applyFont="1"/>
    <xf borderId="1" fillId="4" fontId="9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vertical="center"/>
    </xf>
    <xf borderId="1" fillId="4" fontId="9" numFmtId="164" xfId="0" applyAlignment="1" applyBorder="1" applyFont="1" applyNumberFormat="1">
      <alignment horizontal="center" readingOrder="0" vertical="center"/>
    </xf>
    <xf borderId="1" fillId="4" fontId="9" numFmtId="10" xfId="0" applyAlignment="1" applyBorder="1" applyFont="1" applyNumberFormat="1">
      <alignment horizontal="center" readingOrder="0" vertical="center"/>
    </xf>
    <xf borderId="0" fillId="4" fontId="6" numFmtId="0" xfId="0" applyAlignment="1" applyFont="1">
      <alignment vertical="center"/>
    </xf>
    <xf borderId="0" fillId="0" fontId="17" numFmtId="0" xfId="0" applyFont="1"/>
    <xf borderId="0" fillId="9" fontId="18" numFmtId="10" xfId="0" applyFont="1" applyNumberFormat="1"/>
    <xf borderId="19" fillId="14" fontId="9" numFmtId="0" xfId="0" applyAlignment="1" applyBorder="1" applyFont="1">
      <alignment horizontal="center" vertical="center"/>
    </xf>
    <xf borderId="17" fillId="9" fontId="9" numFmtId="0" xfId="0" applyAlignment="1" applyBorder="1" applyFont="1">
      <alignment horizontal="center" vertical="center"/>
    </xf>
    <xf borderId="17" fillId="9" fontId="21" numFmtId="0" xfId="0" applyAlignment="1" applyBorder="1" applyFont="1">
      <alignment horizontal="center" vertical="center"/>
    </xf>
    <xf borderId="0" fillId="4" fontId="60" numFmtId="0" xfId="0" applyFont="1"/>
    <xf borderId="0" fillId="0" fontId="9" numFmtId="0" xfId="0" applyAlignment="1" applyFont="1">
      <alignment horizontal="center" readingOrder="0" vertical="center"/>
    </xf>
    <xf borderId="0" fillId="5" fontId="60" numFmtId="10" xfId="0" applyFont="1" applyNumberFormat="1"/>
    <xf borderId="0" fillId="0" fontId="60" numFmtId="0" xfId="0" applyFont="1"/>
    <xf borderId="0" fillId="9" fontId="61" numFmtId="0" xfId="0" applyFont="1"/>
    <xf borderId="0" fillId="9" fontId="61" numFmtId="10" xfId="0" applyFont="1" applyNumberFormat="1"/>
    <xf borderId="0" fillId="5" fontId="60" numFmtId="0" xfId="0" applyFont="1"/>
    <xf borderId="0" fillId="9" fontId="59" numFmtId="10" xfId="0" applyFont="1" applyNumberFormat="1"/>
    <xf borderId="4" fillId="5" fontId="20" numFmtId="0" xfId="0" applyAlignment="1" applyBorder="1" applyFont="1">
      <alignment horizontal="center" shrinkToFit="0" vertical="center" wrapText="1"/>
    </xf>
    <xf borderId="2" fillId="0" fontId="40" numFmtId="0" xfId="0" applyAlignment="1" applyBorder="1" applyFont="1">
      <alignment readingOrder="0" vertical="bottom"/>
    </xf>
    <xf borderId="3" fillId="0" fontId="40" numFmtId="0" xfId="0" applyAlignment="1" applyBorder="1" applyFont="1">
      <alignment readingOrder="0" vertical="bottom"/>
    </xf>
    <xf borderId="4" fillId="4" fontId="6" numFmtId="0" xfId="0" applyAlignment="1" applyBorder="1" applyFont="1">
      <alignment horizontal="right" vertical="bottom"/>
    </xf>
    <xf borderId="4" fillId="5" fontId="6" numFmtId="10" xfId="0" applyAlignment="1" applyBorder="1" applyFont="1" applyNumberFormat="1">
      <alignment horizontal="right" vertical="bottom"/>
    </xf>
    <xf borderId="4" fillId="4" fontId="6" numFmtId="0" xfId="0" applyAlignment="1" applyBorder="1" applyFont="1">
      <alignment horizontal="center" vertical="bottom"/>
    </xf>
    <xf borderId="0" fillId="4" fontId="62" numFmtId="0" xfId="0" applyAlignment="1" applyFont="1">
      <alignment readingOrder="0"/>
    </xf>
    <xf borderId="0" fillId="5" fontId="63" numFmtId="0" xfId="0" applyAlignment="1" applyFont="1">
      <alignment readingOrder="0"/>
    </xf>
    <xf borderId="0" fillId="0" fontId="36" numFmtId="0" xfId="0" applyAlignment="1" applyFont="1">
      <alignment vertical="bottom"/>
    </xf>
    <xf borderId="4" fillId="4" fontId="6" numFmtId="3" xfId="0" applyAlignment="1" applyBorder="1" applyFont="1" applyNumberFormat="1">
      <alignment horizontal="right" readingOrder="0" vertical="bottom"/>
    </xf>
    <xf borderId="4" fillId="4" fontId="6" numFmtId="165" xfId="0" applyAlignment="1" applyBorder="1" applyFont="1" applyNumberFormat="1">
      <alignment horizontal="right" readingOrder="0" vertical="bottom"/>
    </xf>
    <xf borderId="4" fillId="5" fontId="6" numFmtId="3" xfId="0" applyAlignment="1" applyBorder="1" applyFont="1" applyNumberFormat="1">
      <alignment horizontal="right" vertical="bottom"/>
    </xf>
    <xf borderId="0" fillId="0" fontId="36" numFmtId="165" xfId="0" applyAlignment="1" applyFont="1" applyNumberFormat="1">
      <alignment horizontal="right" vertical="bottom"/>
    </xf>
    <xf borderId="19" fillId="14" fontId="9" numFmtId="0" xfId="0" applyBorder="1" applyFont="1"/>
    <xf borderId="0" fillId="0" fontId="36" numFmtId="0" xfId="0" applyAlignment="1" applyFont="1">
      <alignment readingOrder="0"/>
    </xf>
    <xf borderId="4" fillId="8" fontId="45" numFmtId="166" xfId="0" applyAlignment="1" applyBorder="1" applyFont="1" applyNumberFormat="1">
      <alignment horizontal="center" readingOrder="0" vertical="bottom"/>
    </xf>
    <xf borderId="4" fillId="5" fontId="6" numFmtId="166" xfId="0" applyAlignment="1" applyBorder="1" applyFont="1" applyNumberFormat="1">
      <alignment horizontal="right" vertical="bottom"/>
    </xf>
    <xf borderId="4" fillId="7" fontId="6" numFmtId="2" xfId="0" applyAlignment="1" applyBorder="1" applyFont="1" applyNumberFormat="1">
      <alignment horizontal="right" readingOrder="0" vertical="bottom"/>
    </xf>
    <xf borderId="4" fillId="5" fontId="20" numFmtId="0" xfId="0" applyAlignment="1" applyBorder="1" applyFont="1">
      <alignment horizontal="center" readingOrder="0" shrinkToFit="0" vertical="center" wrapText="1"/>
    </xf>
    <xf borderId="4" fillId="6" fontId="20" numFmtId="1" xfId="0" applyAlignment="1" applyBorder="1" applyFont="1" applyNumberFormat="1">
      <alignment horizontal="center" readingOrder="0" shrinkToFit="0" vertical="center" wrapText="1"/>
    </xf>
    <xf borderId="4" fillId="7" fontId="6" numFmtId="1" xfId="0" applyAlignment="1" applyBorder="1" applyFont="1" applyNumberFormat="1">
      <alignment horizontal="right" readingOrder="0" vertical="bottom"/>
    </xf>
    <xf borderId="2" fillId="0" fontId="22" numFmtId="0" xfId="0" applyAlignment="1" applyBorder="1" applyFont="1">
      <alignment readingOrder="0" vertical="bottom"/>
    </xf>
    <xf borderId="3" fillId="0" fontId="6" numFmtId="0" xfId="0" applyAlignment="1" applyBorder="1" applyFont="1">
      <alignment vertical="bottom"/>
    </xf>
    <xf borderId="4" fillId="5" fontId="20" numFmtId="0" xfId="0" applyAlignment="1" applyBorder="1" applyFont="1">
      <alignment horizontal="center" readingOrder="0" shrinkToFit="0" vertical="bottom" wrapText="1"/>
    </xf>
    <xf borderId="4" fillId="6" fontId="39" numFmtId="1" xfId="0" applyAlignment="1" applyBorder="1" applyFont="1" applyNumberFormat="1">
      <alignment horizontal="center" readingOrder="0" shrinkToFit="0" vertical="bottom" wrapText="1"/>
    </xf>
    <xf borderId="4" fillId="4" fontId="6" numFmtId="172" xfId="0" applyAlignment="1" applyBorder="1" applyFont="1" applyNumberFormat="1">
      <alignment readingOrder="0" vertical="bottom"/>
    </xf>
    <xf borderId="0" fillId="0" fontId="41" numFmtId="166" xfId="0" applyAlignment="1" applyFont="1" applyNumberFormat="1">
      <alignment vertical="bottom"/>
    </xf>
    <xf borderId="4" fillId="5" fontId="20" numFmtId="166" xfId="0" applyAlignment="1" applyBorder="1" applyFont="1" applyNumberFormat="1">
      <alignment horizontal="center" vertical="center"/>
    </xf>
    <xf borderId="4" fillId="6" fontId="20" numFmtId="3" xfId="0" applyAlignment="1" applyBorder="1" applyFont="1" applyNumberFormat="1">
      <alignment horizontal="center" vertical="center"/>
    </xf>
    <xf borderId="4" fillId="4" fontId="6" numFmtId="164" xfId="0" applyAlignment="1" applyBorder="1" applyFont="1" applyNumberFormat="1">
      <alignment horizontal="right" vertical="bottom"/>
    </xf>
    <xf borderId="4" fillId="4" fontId="41" numFmtId="164" xfId="0" applyAlignment="1" applyBorder="1" applyFont="1" applyNumberFormat="1">
      <alignment vertical="bottom"/>
    </xf>
    <xf borderId="4" fillId="4" fontId="41" numFmtId="166" xfId="0" applyAlignment="1" applyBorder="1" applyFont="1" applyNumberFormat="1">
      <alignment horizontal="right" vertical="bottom"/>
    </xf>
    <xf borderId="4" fillId="7" fontId="41" numFmtId="3" xfId="0" applyAlignment="1" applyBorder="1" applyFont="1" applyNumberFormat="1">
      <alignment vertical="bottom"/>
    </xf>
    <xf borderId="0" fillId="0" fontId="20" numFmtId="0" xfId="0" applyAlignment="1" applyFont="1">
      <alignment vertical="bottom"/>
    </xf>
    <xf borderId="0" fillId="0" fontId="64" numFmtId="0" xfId="0" applyAlignment="1" applyFont="1">
      <alignment vertical="bottom"/>
    </xf>
    <xf borderId="1" fillId="5" fontId="20" numFmtId="0" xfId="0" applyAlignment="1" applyBorder="1" applyFont="1">
      <alignment horizontal="center" vertical="bottom"/>
    </xf>
    <xf borderId="1" fillId="5" fontId="39" numFmtId="0" xfId="0" applyAlignment="1" applyBorder="1" applyFont="1">
      <alignment horizontal="center" readingOrder="0" vertical="bottom"/>
    </xf>
    <xf borderId="4" fillId="4" fontId="6" numFmtId="164" xfId="0" applyAlignment="1" applyBorder="1" applyFont="1" applyNumberFormat="1">
      <alignment vertical="bottom"/>
    </xf>
    <xf borderId="4" fillId="7" fontId="6" numFmtId="3" xfId="0" applyAlignment="1" applyBorder="1" applyFont="1" applyNumberFormat="1">
      <alignment horizontal="center" vertical="bottom"/>
    </xf>
    <xf borderId="1" fillId="15" fontId="6" numFmtId="166" xfId="0" applyAlignment="1" applyBorder="1" applyFill="1" applyFont="1" applyNumberFormat="1">
      <alignment horizontal="center" vertical="bottom"/>
    </xf>
    <xf borderId="1" fillId="15" fontId="6" numFmtId="0" xfId="0" applyAlignment="1" applyBorder="1" applyFont="1">
      <alignment horizontal="center" vertical="bottom"/>
    </xf>
    <xf borderId="1" fillId="16" fontId="6" numFmtId="166" xfId="0" applyAlignment="1" applyBorder="1" applyFill="1" applyFont="1" applyNumberFormat="1">
      <alignment horizontal="center" vertical="bottom"/>
    </xf>
    <xf borderId="1" fillId="16" fontId="6" numFmtId="0" xfId="0" applyAlignment="1" applyBorder="1" applyFont="1">
      <alignment horizontal="center" vertical="bottom"/>
    </xf>
    <xf borderId="1" fillId="0" fontId="37" numFmtId="0" xfId="0" applyAlignment="1" applyBorder="1" applyFont="1">
      <alignment readingOrder="0" vertical="bottom"/>
    </xf>
    <xf borderId="1" fillId="17" fontId="41" numFmtId="166" xfId="0" applyAlignment="1" applyBorder="1" applyFill="1" applyFont="1" applyNumberFormat="1">
      <alignment horizontal="center" vertical="bottom"/>
    </xf>
    <xf borderId="1" fillId="17" fontId="41" numFmtId="0" xfId="0" applyAlignment="1" applyBorder="1" applyFont="1">
      <alignment horizontal="center" vertical="bottom"/>
    </xf>
    <xf borderId="0" fillId="0" fontId="65" numFmtId="0" xfId="0" applyAlignment="1" applyFont="1">
      <alignment readingOrder="0"/>
    </xf>
    <xf borderId="4" fillId="5" fontId="39" numFmtId="0" xfId="0" applyAlignment="1" applyBorder="1" applyFont="1">
      <alignment horizontal="center" readingOrder="0" vertical="bottom"/>
    </xf>
    <xf borderId="4" fillId="5" fontId="39" numFmtId="0" xfId="0" applyAlignment="1" applyBorder="1" applyFont="1">
      <alignment horizontal="center" readingOrder="0" shrinkToFit="0" vertical="bottom" wrapText="1"/>
    </xf>
    <xf borderId="1" fillId="18" fontId="49" numFmtId="166" xfId="0" applyAlignment="1" applyBorder="1" applyFill="1" applyFont="1" applyNumberFormat="1">
      <alignment horizontal="center" vertical="bottom"/>
    </xf>
    <xf borderId="4" fillId="4" fontId="40" numFmtId="171" xfId="0" applyAlignment="1" applyBorder="1" applyFont="1" applyNumberFormat="1">
      <alignment readingOrder="0" vertical="bottom"/>
    </xf>
    <xf borderId="1" fillId="18" fontId="49" numFmtId="0" xfId="0" applyAlignment="1" applyBorder="1" applyFont="1">
      <alignment horizontal="center" vertical="bottom"/>
    </xf>
    <xf borderId="20" fillId="0" fontId="41" numFmtId="0" xfId="0" applyAlignment="1" applyBorder="1" applyFont="1">
      <alignment vertical="bottom"/>
    </xf>
    <xf borderId="21" fillId="0" fontId="41" numFmtId="0" xfId="0" applyAlignment="1" applyBorder="1" applyFont="1">
      <alignment vertical="bottom"/>
    </xf>
    <xf borderId="22" fillId="0" fontId="41" numFmtId="0" xfId="0" applyAlignment="1" applyBorder="1" applyFont="1">
      <alignment vertical="bottom"/>
    </xf>
    <xf borderId="23" fillId="0" fontId="41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4" fillId="0" fontId="41" numFmtId="0" xfId="0" applyAlignment="1" applyBorder="1" applyFont="1">
      <alignment vertical="bottom"/>
    </xf>
    <xf borderId="19" fillId="19" fontId="6" numFmtId="173" xfId="0" applyBorder="1" applyFill="1" applyFont="1" applyNumberFormat="1"/>
    <xf borderId="25" fillId="0" fontId="41" numFmtId="0" xfId="0" applyAlignment="1" applyBorder="1" applyFont="1">
      <alignment vertical="bottom"/>
    </xf>
    <xf borderId="26" fillId="0" fontId="41" numFmtId="0" xfId="0" applyAlignment="1" applyBorder="1" applyFont="1">
      <alignment vertical="bottom"/>
    </xf>
    <xf borderId="27" fillId="0" fontId="41" numFmtId="0" xfId="0" applyAlignment="1" applyBorder="1" applyFont="1">
      <alignment vertical="bottom"/>
    </xf>
    <xf borderId="20" fillId="9" fontId="59" numFmtId="0" xfId="0" applyAlignment="1" applyBorder="1" applyFont="1">
      <alignment vertical="bottom"/>
    </xf>
    <xf borderId="21" fillId="9" fontId="59" numFmtId="0" xfId="0" applyAlignment="1" applyBorder="1" applyFont="1">
      <alignment vertical="bottom"/>
    </xf>
    <xf borderId="22" fillId="9" fontId="59" numFmtId="0" xfId="0" applyAlignment="1" applyBorder="1" applyFont="1">
      <alignment vertical="bottom"/>
    </xf>
    <xf borderId="23" fillId="9" fontId="59" numFmtId="0" xfId="0" applyAlignment="1" applyBorder="1" applyFont="1">
      <alignment vertical="bottom"/>
    </xf>
    <xf borderId="0" fillId="9" fontId="59" numFmtId="0" xfId="0" applyAlignment="1" applyFont="1">
      <alignment vertical="bottom"/>
    </xf>
    <xf borderId="0" fillId="9" fontId="49" numFmtId="0" xfId="0" applyAlignment="1" applyFont="1">
      <alignment vertical="bottom"/>
    </xf>
    <xf borderId="24" fillId="9" fontId="59" numFmtId="0" xfId="0" applyAlignment="1" applyBorder="1" applyFont="1">
      <alignment vertical="bottom"/>
    </xf>
    <xf borderId="28" fillId="20" fontId="49" numFmtId="173" xfId="0" applyBorder="1" applyFill="1" applyFont="1" applyNumberFormat="1"/>
    <xf borderId="25" fillId="9" fontId="59" numFmtId="0" xfId="0" applyAlignment="1" applyBorder="1" applyFont="1">
      <alignment vertical="bottom"/>
    </xf>
    <xf borderId="26" fillId="9" fontId="59" numFmtId="0" xfId="0" applyAlignment="1" applyBorder="1" applyFont="1">
      <alignment vertical="bottom"/>
    </xf>
    <xf borderId="27" fillId="9" fontId="59" numFmtId="0" xfId="0" applyAlignment="1" applyBorder="1" applyFont="1">
      <alignment vertical="bottom"/>
    </xf>
    <xf borderId="4" fillId="19" fontId="6" numFmtId="164" xfId="0" applyAlignment="1" applyBorder="1" applyFont="1" applyNumberFormat="1">
      <alignment horizontal="right" vertical="bottom"/>
    </xf>
    <xf borderId="4" fillId="19" fontId="6" numFmtId="164" xfId="0" applyAlignment="1" applyBorder="1" applyFont="1" applyNumberFormat="1">
      <alignment vertical="bottom"/>
    </xf>
    <xf borderId="4" fillId="19" fontId="6" numFmtId="166" xfId="0" applyAlignment="1" applyBorder="1" applyFont="1" applyNumberFormat="1">
      <alignment horizontal="center" vertical="bottom"/>
    </xf>
    <xf borderId="4" fillId="21" fontId="6" numFmtId="3" xfId="0" applyAlignment="1" applyBorder="1" applyFill="1" applyFont="1" applyNumberFormat="1">
      <alignment horizontal="center" vertical="bottom"/>
    </xf>
    <xf borderId="4" fillId="19" fontId="41" numFmtId="164" xfId="0" applyAlignment="1" applyBorder="1" applyFont="1" applyNumberFormat="1">
      <alignment vertical="bottom"/>
    </xf>
    <xf borderId="4" fillId="19" fontId="41" numFmtId="166" xfId="0" applyAlignment="1" applyBorder="1" applyFont="1" applyNumberFormat="1">
      <alignment vertical="bottom"/>
    </xf>
    <xf borderId="4" fillId="21" fontId="41" numFmtId="3" xfId="0" applyAlignment="1" applyBorder="1" applyFont="1" applyNumberFormat="1">
      <alignment vertical="bottom"/>
    </xf>
    <xf borderId="0" fillId="0" fontId="6" numFmtId="174" xfId="0" applyAlignment="1" applyFont="1" applyNumberFormat="1">
      <alignment readingOrder="0"/>
    </xf>
    <xf borderId="0" fillId="0" fontId="17" numFmtId="174" xfId="0" applyFont="1" applyNumberFormat="1"/>
    <xf borderId="4" fillId="5" fontId="20" numFmtId="14" xfId="0" applyAlignment="1" applyBorder="1" applyFont="1" applyNumberFormat="1">
      <alignment horizontal="center" readingOrder="0" vertical="bottom"/>
    </xf>
    <xf borderId="4" fillId="6" fontId="20" numFmtId="14" xfId="0" applyAlignment="1" applyBorder="1" applyFont="1" applyNumberFormat="1">
      <alignment horizontal="center" readingOrder="0" vertical="bottom"/>
    </xf>
    <xf borderId="4" fillId="4" fontId="6" numFmtId="166" xfId="0" applyAlignment="1" applyBorder="1" applyFont="1" applyNumberFormat="1">
      <alignment horizontal="center" readingOrder="0" vertical="bottom"/>
    </xf>
    <xf borderId="4" fillId="5" fontId="20" numFmtId="49" xfId="0" applyAlignment="1" applyBorder="1" applyFont="1" applyNumberFormat="1">
      <alignment readingOrder="0" vertical="bottom"/>
    </xf>
    <xf borderId="4" fillId="5" fontId="20" numFmtId="166" xfId="0" applyAlignment="1" applyBorder="1" applyFont="1" applyNumberFormat="1">
      <alignment horizontal="center" readingOrder="0" vertical="bottom"/>
    </xf>
    <xf borderId="4" fillId="7" fontId="20" numFmtId="166" xfId="0" applyAlignment="1" applyBorder="1" applyFont="1" applyNumberFormat="1">
      <alignment horizontal="center" readingOrder="0" vertical="bottom"/>
    </xf>
    <xf borderId="4" fillId="7" fontId="6" numFmtId="2" xfId="0" applyAlignment="1" applyBorder="1" applyFont="1" applyNumberFormat="1">
      <alignment horizontal="left" readingOrder="0" shrinkToFit="0" vertical="bottom" wrapText="0"/>
    </xf>
    <xf borderId="4" fillId="4" fontId="6" numFmtId="164" xfId="0" applyAlignment="1" applyBorder="1" applyFont="1" applyNumberFormat="1">
      <alignment readingOrder="0" vertical="bottom"/>
    </xf>
    <xf borderId="0" fillId="0" fontId="6" numFmtId="0" xfId="0" applyAlignment="1" applyFont="1">
      <alignment horizontal="right" vertical="bottom"/>
    </xf>
    <xf borderId="4" fillId="4" fontId="6" numFmtId="1" xfId="0" applyAlignment="1" applyBorder="1" applyFont="1" applyNumberFormat="1">
      <alignment horizontal="center" readingOrder="0" vertical="bottom"/>
    </xf>
    <xf borderId="0" fillId="0" fontId="41" numFmtId="3" xfId="0" applyAlignment="1" applyFont="1" applyNumberFormat="1">
      <alignment vertical="bottom"/>
    </xf>
    <xf borderId="0" fillId="0" fontId="41" numFmtId="0" xfId="0" applyAlignment="1" applyFont="1">
      <alignment horizontal="right" vertical="bottom"/>
    </xf>
    <xf borderId="0" fillId="22" fontId="6" numFmtId="0" xfId="0" applyFill="1" applyFont="1"/>
    <xf borderId="0" fillId="23" fontId="6" numFmtId="0" xfId="0" applyAlignment="1" applyFill="1" applyFont="1">
      <alignment horizontal="center"/>
    </xf>
    <xf borderId="0" fillId="23" fontId="6" numFmtId="0" xfId="0" applyFont="1"/>
    <xf borderId="0" fillId="23" fontId="6" numFmtId="0" xfId="0" applyAlignment="1" applyFont="1">
      <alignment horizontal="right"/>
    </xf>
    <xf borderId="0" fillId="23" fontId="66" numFmtId="0" xfId="0" applyAlignment="1" applyFont="1">
      <alignment horizontal="right" readingOrder="0" shrinkToFit="0" vertical="top" wrapText="1"/>
    </xf>
    <xf borderId="0" fillId="22" fontId="6" numFmtId="0" xfId="0" applyAlignment="1" applyFont="1">
      <alignment vertical="center"/>
    </xf>
    <xf borderId="0" fillId="23" fontId="67" numFmtId="0" xfId="0" applyAlignment="1" applyFont="1">
      <alignment horizontal="center" readingOrder="0" vertical="center"/>
    </xf>
    <xf borderId="0" fillId="23" fontId="68" numFmtId="0" xfId="0" applyAlignment="1" applyFont="1">
      <alignment readingOrder="0" vertical="center"/>
    </xf>
    <xf borderId="0" fillId="23" fontId="6" numFmtId="0" xfId="0" applyAlignment="1" applyFont="1">
      <alignment vertical="center"/>
    </xf>
    <xf borderId="0" fillId="23" fontId="6" numFmtId="0" xfId="0" applyAlignment="1" applyFont="1">
      <alignment horizontal="right" vertical="center"/>
    </xf>
    <xf borderId="0" fillId="0" fontId="69" numFmtId="0" xfId="0" applyAlignment="1" applyFont="1">
      <alignment horizontal="center" readingOrder="0" vertical="center"/>
    </xf>
    <xf borderId="0" fillId="0" fontId="70" numFmtId="0" xfId="0" applyAlignment="1" applyFont="1">
      <alignment readingOrder="0" vertical="center"/>
    </xf>
    <xf borderId="0" fillId="0" fontId="70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vertical="center"/>
    </xf>
    <xf borderId="0" fillId="0" fontId="71" numFmtId="0" xfId="0" applyAlignment="1" applyFont="1">
      <alignment readingOrder="0" vertical="center"/>
    </xf>
    <xf borderId="0" fillId="0" fontId="72" numFmtId="0" xfId="0" applyAlignment="1" applyFont="1">
      <alignment readingOrder="0" vertical="center"/>
    </xf>
    <xf borderId="0" fillId="0" fontId="73" numFmtId="0" xfId="0" applyAlignment="1" applyFont="1">
      <alignment readingOrder="0" vertical="top"/>
    </xf>
    <xf borderId="0" fillId="0" fontId="73" numFmtId="0" xfId="0" applyAlignment="1" applyFont="1">
      <alignment readingOrder="0" shrinkToFit="0" vertical="top" wrapText="1"/>
    </xf>
    <xf borderId="0" fillId="0" fontId="73" numFmtId="0" xfId="0" applyAlignment="1" applyFont="1">
      <alignment readingOrder="0" vertical="center"/>
    </xf>
    <xf borderId="0" fillId="0" fontId="74" numFmtId="0" xfId="0" applyAlignment="1" applyFont="1">
      <alignment readingOrder="0" shrinkToFit="0" vertical="center" wrapText="1"/>
    </xf>
    <xf borderId="0" fillId="0" fontId="75" numFmtId="0" xfId="0" applyAlignment="1" applyFont="1">
      <alignment readingOrder="0" vertical="center"/>
    </xf>
    <xf borderId="0" fillId="24" fontId="76" numFmtId="0" xfId="0" applyAlignment="1" applyFill="1" applyFont="1">
      <alignment horizontal="center" shrinkToFit="0" vertical="center" wrapText="1"/>
    </xf>
    <xf borderId="0" fillId="0" fontId="41" numFmtId="0" xfId="0" applyAlignment="1" applyFont="1">
      <alignment vertical="center"/>
    </xf>
    <xf borderId="0" fillId="24" fontId="77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8" numFmtId="0" xfId="0" applyAlignment="1" applyFont="1">
      <alignment vertical="bottom"/>
    </xf>
    <xf borderId="0" fillId="2" fontId="79" numFmtId="0" xfId="0" applyAlignment="1" applyFont="1">
      <alignment vertical="bottom"/>
    </xf>
    <xf borderId="0" fillId="0" fontId="80" numFmtId="175" xfId="0" applyAlignment="1" applyFont="1" applyNumberFormat="1">
      <alignment vertical="bottom"/>
    </xf>
    <xf borderId="0" fillId="0" fontId="80" numFmtId="0" xfId="0" applyAlignment="1" applyFont="1">
      <alignment horizontal="center" readingOrder="0" shrinkToFit="0" vertical="bottom" wrapText="0"/>
    </xf>
    <xf borderId="0" fillId="0" fontId="80" numFmtId="0" xfId="0" applyAlignment="1" applyFont="1">
      <alignment readingOrder="0" vertical="bottom"/>
    </xf>
    <xf borderId="0" fillId="0" fontId="80" numFmtId="0" xfId="0" applyAlignment="1" applyFont="1">
      <alignment horizontal="center" vertical="bottom"/>
    </xf>
    <xf borderId="0" fillId="0" fontId="80" numFmtId="0" xfId="0" applyAlignment="1" applyFont="1">
      <alignment horizontal="right" readingOrder="0" vertical="bottom"/>
    </xf>
    <xf borderId="0" fillId="0" fontId="80" numFmtId="0" xfId="0" applyAlignment="1" applyFont="1">
      <alignment readingOrder="0" vertical="bottom"/>
    </xf>
    <xf borderId="0" fillId="0" fontId="81" numFmtId="0" xfId="0" applyAlignment="1" applyFont="1">
      <alignment readingOrder="0" vertical="top"/>
    </xf>
    <xf borderId="0" fillId="0" fontId="82" numFmtId="0" xfId="0" applyAlignment="1" applyFont="1">
      <alignment horizontal="center" readingOrder="0" vertical="top"/>
    </xf>
    <xf borderId="0" fillId="25" fontId="17" numFmtId="0" xfId="0" applyFill="1" applyFont="1"/>
    <xf borderId="0" fillId="25" fontId="17" numFmtId="0" xfId="0" applyAlignment="1" applyFont="1">
      <alignment vertical="top"/>
    </xf>
    <xf borderId="0" fillId="25" fontId="83" numFmtId="0" xfId="0" applyAlignment="1" applyFont="1">
      <alignment readingOrder="0" vertical="top"/>
    </xf>
    <xf borderId="0" fillId="25" fontId="84" numFmtId="0" xfId="0" applyAlignment="1" applyFont="1">
      <alignment horizontal="center" readingOrder="0" vertical="top"/>
    </xf>
    <xf borderId="1" fillId="5" fontId="39" numFmtId="0" xfId="0" applyAlignment="1" applyBorder="1" applyFont="1">
      <alignment horizontal="left" readingOrder="0" vertical="center"/>
    </xf>
    <xf borderId="4" fillId="5" fontId="39" numFmtId="3" xfId="0" applyAlignment="1" applyBorder="1" applyFont="1" applyNumberFormat="1">
      <alignment readingOrder="0" vertical="center"/>
    </xf>
    <xf borderId="0" fillId="26" fontId="58" numFmtId="0" xfId="0" applyFill="1" applyFont="1"/>
    <xf borderId="0" fillId="26" fontId="59" numFmtId="0" xfId="0" applyFont="1"/>
    <xf borderId="0" fillId="26" fontId="18" numFmtId="0" xfId="0" applyFont="1"/>
    <xf borderId="4" fillId="4" fontId="9" numFmtId="164" xfId="0" applyAlignment="1" applyBorder="1" applyFont="1" applyNumberFormat="1">
      <alignment horizontal="left" vertical="center"/>
    </xf>
    <xf borderId="1" fillId="4" fontId="9" numFmtId="0" xfId="0" applyAlignment="1" applyBorder="1" applyFont="1">
      <alignment horizontal="left" vertical="center"/>
    </xf>
    <xf borderId="4" fillId="4" fontId="9" numFmtId="3" xfId="0" applyAlignment="1" applyBorder="1" applyFont="1" applyNumberFormat="1">
      <alignment horizontal="center" readingOrder="0" vertical="center"/>
    </xf>
    <xf borderId="0" fillId="0" fontId="17" numFmtId="176" xfId="0" applyFont="1" applyNumberFormat="1"/>
    <xf borderId="0" fillId="26" fontId="49" numFmtId="0" xfId="0" applyAlignment="1" applyFont="1">
      <alignment vertical="center"/>
    </xf>
    <xf borderId="0" fillId="26" fontId="18" numFmtId="176" xfId="0" applyFont="1" applyNumberFormat="1"/>
    <xf borderId="4" fillId="4" fontId="40" numFmtId="3" xfId="0" applyAlignment="1" applyBorder="1" applyFont="1" applyNumberFormat="1">
      <alignment horizontal="center" readingOrder="0" vertical="center"/>
    </xf>
    <xf borderId="0" fillId="0" fontId="60" numFmtId="176" xfId="0" applyFont="1" applyNumberFormat="1"/>
    <xf borderId="0" fillId="26" fontId="61" numFmtId="0" xfId="0" applyFont="1"/>
    <xf borderId="0" fillId="26" fontId="61" numFmtId="176" xfId="0" applyFont="1" applyNumberFormat="1"/>
    <xf borderId="4" fillId="5" fontId="43" numFmtId="0" xfId="0" applyAlignment="1" applyBorder="1" applyFont="1">
      <alignment horizontal="center" shrinkToFit="0" vertical="bottom" wrapText="1"/>
    </xf>
    <xf borderId="4" fillId="6" fontId="43" numFmtId="0" xfId="0" applyAlignment="1" applyBorder="1" applyFont="1">
      <alignment horizontal="center" readingOrder="0" shrinkToFit="0" vertical="center" wrapText="1"/>
    </xf>
    <xf borderId="4" fillId="4" fontId="9" numFmtId="166" xfId="0" applyAlignment="1" applyBorder="1" applyFont="1" applyNumberFormat="1">
      <alignment horizontal="center" vertical="bottom"/>
    </xf>
    <xf borderId="4" fillId="4" fontId="9" numFmtId="9" xfId="0" applyAlignment="1" applyBorder="1" applyFont="1" applyNumberFormat="1">
      <alignment horizontal="center" vertical="bottom"/>
    </xf>
    <xf borderId="4" fillId="7" fontId="9" numFmtId="164" xfId="0" applyAlignment="1" applyBorder="1" applyFont="1" applyNumberFormat="1">
      <alignment horizontal="left" vertical="bottom"/>
    </xf>
    <xf borderId="4" fillId="7" fontId="9" numFmtId="166" xfId="0" applyAlignment="1" applyBorder="1" applyFont="1" applyNumberFormat="1">
      <alignment horizontal="right" vertical="bottom"/>
    </xf>
    <xf borderId="4" fillId="7" fontId="9" numFmtId="9" xfId="0" applyAlignment="1" applyBorder="1" applyFont="1" applyNumberFormat="1">
      <alignment horizontal="right" vertical="bottom"/>
    </xf>
    <xf borderId="4" fillId="6" fontId="43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readingOrder="0"/>
    </xf>
    <xf borderId="0" fillId="0" fontId="16" numFmtId="9" xfId="0" applyAlignment="1" applyFont="1" applyNumberFormat="1">
      <alignment readingOrder="0"/>
    </xf>
    <xf borderId="0" fillId="0" fontId="17" numFmtId="0" xfId="0" applyAlignment="1" applyFont="1">
      <alignment readingOrder="0"/>
    </xf>
    <xf borderId="4" fillId="5" fontId="26" numFmtId="0" xfId="0" applyAlignment="1" applyBorder="1" applyFont="1">
      <alignment readingOrder="0" vertical="bottom"/>
    </xf>
    <xf borderId="4" fillId="4" fontId="9" numFmtId="9" xfId="0" applyAlignment="1" applyBorder="1" applyFont="1" applyNumberFormat="1">
      <alignment horizontal="center" readingOrder="0" vertical="bottom"/>
    </xf>
    <xf borderId="4" fillId="4" fontId="9" numFmtId="166" xfId="0" applyAlignment="1" applyBorder="1" applyFont="1" applyNumberFormat="1">
      <alignment horizontal="center" readingOrder="0" vertical="bottom"/>
    </xf>
    <xf borderId="4" fillId="7" fontId="9" numFmtId="9" xfId="0" applyAlignment="1" applyBorder="1" applyFont="1" applyNumberFormat="1">
      <alignment horizontal="center" readingOrder="0" vertical="bottom"/>
    </xf>
    <xf borderId="4" fillId="6" fontId="43" numFmtId="0" xfId="0" applyAlignment="1" applyBorder="1" applyFont="1">
      <alignment horizontal="center" readingOrder="0" vertical="bottom"/>
    </xf>
    <xf borderId="4" fillId="4" fontId="9" numFmtId="177" xfId="0" applyAlignment="1" applyBorder="1" applyFont="1" applyNumberFormat="1">
      <alignment readingOrder="0" vertical="bottom"/>
    </xf>
    <xf borderId="4" fillId="7" fontId="9" numFmtId="9" xfId="0" applyAlignment="1" applyBorder="1" applyFont="1" applyNumberFormat="1">
      <alignment horizontal="center" vertical="bottom"/>
    </xf>
    <xf borderId="0" fillId="0" fontId="16" numFmtId="0" xfId="0" applyAlignment="1" applyFont="1">
      <alignment horizontal="left" readingOrder="0"/>
    </xf>
    <xf borderId="4" fillId="5" fontId="43" numFmtId="0" xfId="0" applyAlignment="1" applyBorder="1" applyFont="1">
      <alignment horizontal="center" readingOrder="0" shrinkToFit="0" vertical="center" wrapText="1"/>
    </xf>
    <xf borderId="1" fillId="6" fontId="43" numFmtId="0" xfId="0" applyAlignment="1" applyBorder="1" applyFont="1">
      <alignment readingOrder="0" vertical="bottom"/>
    </xf>
    <xf borderId="4" fillId="7" fontId="9" numFmtId="3" xfId="0" applyAlignment="1" applyBorder="1" applyFont="1" applyNumberFormat="1">
      <alignment horizontal="center" readingOrder="0" vertical="bottom"/>
    </xf>
    <xf borderId="4" fillId="7" fontId="9" numFmtId="166" xfId="0" applyAlignment="1" applyBorder="1" applyFont="1" applyNumberFormat="1">
      <alignment horizontal="center" readingOrder="0" vertical="bottom"/>
    </xf>
    <xf borderId="4" fillId="6" fontId="44" numFmtId="0" xfId="0" applyAlignment="1" applyBorder="1" applyFont="1">
      <alignment horizontal="left" readingOrder="0"/>
    </xf>
    <xf borderId="4" fillId="6" fontId="44" numFmtId="3" xfId="0" applyAlignment="1" applyBorder="1" applyFont="1" applyNumberFormat="1">
      <alignment horizontal="center" readingOrder="0"/>
    </xf>
    <xf borderId="4" fillId="6" fontId="44" numFmtId="166" xfId="0" applyAlignment="1" applyBorder="1" applyFont="1" applyNumberFormat="1">
      <alignment horizontal="center" readingOrder="0"/>
    </xf>
    <xf borderId="4" fillId="4" fontId="16" numFmtId="0" xfId="0" applyAlignment="1" applyBorder="1" applyFont="1">
      <alignment horizontal="left" readingOrder="0"/>
    </xf>
    <xf borderId="4" fillId="4" fontId="16" numFmtId="3" xfId="0" applyAlignment="1" applyBorder="1" applyFont="1" applyNumberFormat="1">
      <alignment horizontal="center" readingOrder="0"/>
    </xf>
    <xf borderId="4" fillId="4" fontId="16" numFmtId="166" xfId="0" applyAlignment="1" applyBorder="1" applyFont="1" applyNumberFormat="1">
      <alignment horizontal="center" readingOrder="0"/>
    </xf>
    <xf borderId="4" fillId="4" fontId="17" numFmtId="0" xfId="0" applyAlignment="1" applyBorder="1" applyFont="1">
      <alignment horizontal="left" readingOrder="0"/>
    </xf>
    <xf borderId="4" fillId="4" fontId="17" numFmtId="3" xfId="0" applyAlignment="1" applyBorder="1" applyFont="1" applyNumberFormat="1">
      <alignment horizontal="center" readingOrder="0"/>
    </xf>
    <xf borderId="4" fillId="4" fontId="17" numFmtId="166" xfId="0" applyAlignment="1" applyBorder="1" applyFont="1" applyNumberFormat="1">
      <alignment horizontal="center" readingOrder="0"/>
    </xf>
    <xf borderId="3" fillId="6" fontId="43" numFmtId="0" xfId="0" applyAlignment="1" applyBorder="1" applyFont="1">
      <alignment readingOrder="0" vertical="bottom"/>
    </xf>
  </cellXfs>
  <cellStyles count="1">
    <cellStyle xfId="0" name="Normal" builtinId="0"/>
  </cellStyles>
  <dxfs count="12">
    <dxf>
      <font/>
      <fill>
        <patternFill patternType="solid">
          <fgColor rgb="FF196127"/>
          <bgColor rgb="FF196127"/>
        </patternFill>
      </fill>
      <border/>
    </dxf>
    <dxf>
      <font/>
      <fill>
        <patternFill patternType="solid">
          <fgColor rgb="FF219A3B"/>
          <bgColor rgb="FF219A3B"/>
        </patternFill>
      </fill>
      <border/>
    </dxf>
    <dxf>
      <font/>
      <fill>
        <patternFill patternType="solid">
          <fgColor rgb="FF7BC96F"/>
          <bgColor rgb="FF7BC96F"/>
        </patternFill>
      </fill>
      <border/>
    </dxf>
    <dxf>
      <font/>
      <fill>
        <patternFill patternType="solid">
          <fgColor rgb="FFC6E48B"/>
          <bgColor rgb="FFC6E48B"/>
        </patternFill>
      </fill>
      <border/>
    </dxf>
    <dxf>
      <font/>
      <fill>
        <patternFill patternType="solid">
          <fgColor rgb="FFFF6666"/>
          <bgColor rgb="FFFF6666"/>
        </patternFill>
      </fill>
      <border/>
    </dxf>
    <dxf>
      <font/>
      <fill>
        <patternFill patternType="solid">
          <fgColor rgb="FFFFAD80"/>
          <bgColor rgb="FFFFAD80"/>
        </patternFill>
      </fill>
      <border/>
    </dxf>
    <dxf>
      <font/>
      <fill>
        <patternFill patternType="solid">
          <fgColor rgb="FFFFE680"/>
          <bgColor rgb="FFFFE680"/>
        </patternFill>
      </fill>
      <border/>
    </dxf>
    <dxf>
      <font/>
      <fill>
        <patternFill patternType="solid">
          <fgColor rgb="FF80D480"/>
          <bgColor rgb="FF80D480"/>
        </patternFill>
      </fill>
      <border/>
    </dxf>
    <dxf>
      <font/>
      <fill>
        <patternFill patternType="solid">
          <fgColor rgb="FF66C266"/>
          <bgColor rgb="FF66C266"/>
        </patternFill>
      </fill>
      <border/>
    </dxf>
    <dxf>
      <font/>
      <fill>
        <patternFill patternType="solid">
          <fgColor rgb="FFFFB3B3"/>
          <bgColor rgb="FFFFB3B3"/>
        </patternFill>
      </fill>
      <border/>
    </dxf>
    <dxf>
      <font/>
      <fill>
        <patternFill patternType="solid">
          <fgColor rgb="FFFFD6A5"/>
          <bgColor rgb="FFFFD6A5"/>
        </patternFill>
      </fill>
      <border/>
    </dxf>
    <dxf>
      <font/>
      <fill>
        <patternFill patternType="solid">
          <fgColor rgb="FFB3E5B3"/>
          <bgColor rgb="FFB3E5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Revenue by Department</a:t>
            </a:r>
          </a:p>
        </c:rich>
      </c:tx>
      <c:overlay val="0"/>
    </c:title>
    <c:plotArea>
      <c:layout>
        <c:manualLayout>
          <c:xMode val="edge"/>
          <c:yMode val="edge"/>
          <c:x val="0.18622448979591838"/>
          <c:y val="0.14097022094140246"/>
          <c:w val="0.7842687074829932"/>
          <c:h val="0.7571565802113353"/>
        </c:manualLayout>
      </c:layout>
      <c:barChart>
        <c:barDir val="bar"/>
        <c:grouping val="stacked"/>
        <c:ser>
          <c:idx val="0"/>
          <c:order val="0"/>
          <c:tx>
            <c:strRef>
              <c:f>'Bar and Column Charts'!$J$26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Charts'!$I$27:$I$33</c:f>
            </c:strRef>
          </c:cat>
          <c:val>
            <c:numRef>
              <c:f>'Bar and Column Charts'!$J$27:$J$33</c:f>
              <c:numCache/>
            </c:numRef>
          </c:val>
        </c:ser>
        <c:overlap val="100"/>
        <c:axId val="9848418"/>
        <c:axId val="1027441637"/>
      </c:barChart>
      <c:catAx>
        <c:axId val="9848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027441637"/>
      </c:catAx>
      <c:valAx>
        <c:axId val="10274416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848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Count by Subscriber Source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'Bar and Column Charts'!$J$6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Charts'!$I$7:$I$15</c:f>
            </c:strRef>
          </c:cat>
          <c:val>
            <c:numRef>
              <c:f>'Bar and Column Charts'!$J$7:$J$15</c:f>
              <c:numCache/>
            </c:numRef>
          </c:val>
        </c:ser>
        <c:axId val="1466460928"/>
        <c:axId val="148355623"/>
      </c:barChart>
      <c:catAx>
        <c:axId val="146646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48355623"/>
      </c:catAx>
      <c:valAx>
        <c:axId val="148355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466460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CSAT Score by Month</a:t>
            </a:r>
          </a:p>
        </c:rich>
      </c:tx>
      <c:overlay val="0"/>
    </c:title>
    <c:plotArea>
      <c:layout>
        <c:manualLayout>
          <c:xMode val="edge"/>
          <c:yMode val="edge"/>
          <c:x val="0.016083916083916083"/>
          <c:y val="0.16552636517170205"/>
          <c:w val="0.9683731090801709"/>
          <c:h val="0.7456706956251272"/>
        </c:manualLayout>
      </c:layout>
      <c:barChart>
        <c:barDir val="col"/>
        <c:grouping val="stacked"/>
        <c:ser>
          <c:idx val="0"/>
          <c:order val="0"/>
          <c:tx>
            <c:strRef>
              <c:f>'Bar and Column Charts'!$J$207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Charts'!$I$208:$I$219</c:f>
            </c:strRef>
          </c:cat>
          <c:val>
            <c:numRef>
              <c:f>'Bar and Column Charts'!$J$208:$J$219</c:f>
              <c:numCache/>
            </c:numRef>
          </c:val>
        </c:ser>
        <c:ser>
          <c:idx val="1"/>
          <c:order val="1"/>
          <c:tx>
            <c:strRef>
              <c:f>'Bar and Column Charts'!$M$207</c:f>
            </c:strRef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Charts'!$I$208:$I$219</c:f>
            </c:strRef>
          </c:cat>
          <c:val>
            <c:numRef>
              <c:f>'Bar and Column Charts'!$M$208:$M$219</c:f>
              <c:numCache/>
            </c:numRef>
          </c:val>
        </c:ser>
        <c:overlap val="100"/>
        <c:axId val="71499155"/>
        <c:axId val="984937917"/>
      </c:barChart>
      <c:catAx>
        <c:axId val="71499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84937917"/>
      </c:catAx>
      <c:valAx>
        <c:axId val="984937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1499155"/>
      </c:valAx>
      <c:lineChart>
        <c:varyColors val="0"/>
        <c:ser>
          <c:idx val="2"/>
          <c:order val="2"/>
          <c:tx>
            <c:strRef>
              <c:f>'Bar and Column Charts'!$L$207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Charts'!$I$208:$I$219</c:f>
            </c:strRef>
          </c:cat>
          <c:val>
            <c:numRef>
              <c:f>'Bar and Column Charts'!$L$208:$L$219</c:f>
              <c:numCache/>
            </c:numRef>
          </c:val>
          <c:smooth val="0"/>
        </c:ser>
        <c:axId val="1430615268"/>
        <c:axId val="924550619"/>
      </c:lineChart>
      <c:catAx>
        <c:axId val="14306152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24550619"/>
      </c:catAx>
      <c:valAx>
        <c:axId val="9245506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30615268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CSAT Score by Department</a:t>
            </a:r>
          </a:p>
        </c:rich>
      </c:tx>
      <c:overlay val="0"/>
    </c:title>
    <c:plotArea>
      <c:layout>
        <c:manualLayout>
          <c:xMode val="edge"/>
          <c:yMode val="edge"/>
          <c:x val="0.0360505389496708"/>
          <c:y val="0.14432693877551023"/>
          <c:w val="0.9299190303427902"/>
          <c:h val="0.702815918367347"/>
        </c:manualLayout>
      </c:layout>
      <c:barChart>
        <c:barDir val="col"/>
        <c:grouping val="percentStacked"/>
        <c:ser>
          <c:idx val="0"/>
          <c:order val="0"/>
          <c:tx>
            <c:v>Low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Charts'!$L$228:$L$237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Charts'!$K$228:$K$237</c:f>
              <c:numCache/>
            </c:numRef>
          </c:val>
        </c:ser>
        <c:ser>
          <c:idx val="2"/>
          <c:order val="2"/>
          <c:tx>
            <c:v>High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Charts'!$J$228:$J$237</c:f>
              <c:numCache/>
            </c:numRef>
          </c:val>
        </c:ser>
        <c:overlap val="100"/>
        <c:axId val="208105477"/>
        <c:axId val="1283849699"/>
      </c:barChart>
      <c:catAx>
        <c:axId val="208105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283849699"/>
      </c:catAx>
      <c:valAx>
        <c:axId val="1283849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8105477"/>
      </c:valAx>
      <c:lineChart>
        <c:varyColors val="0"/>
        <c:ser>
          <c:idx val="3"/>
          <c:order val="3"/>
          <c:tx>
            <c:v>% High Rate</c:v>
          </c:tx>
          <c:spPr>
            <a:ln cmpd="sng">
              <a:solidFill>
                <a:schemeClr val="accent6"/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Charts'!$M$228:$M$237</c:f>
              <c:numCache/>
            </c:numRef>
          </c:val>
          <c:smooth val="0"/>
        </c:ser>
        <c:axId val="1494251111"/>
        <c:axId val="955699924"/>
      </c:lineChart>
      <c:catAx>
        <c:axId val="1494251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55699924"/>
      </c:catAx>
      <c:valAx>
        <c:axId val="9556999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942511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 Quality Performance</a:t>
            </a:r>
          </a:p>
        </c:rich>
      </c:tx>
      <c:overlay val="0"/>
    </c:title>
    <c:plotArea>
      <c:layout>
        <c:manualLayout>
          <c:xMode val="edge"/>
          <c:yMode val="edge"/>
          <c:x val="0.03981481481481482"/>
          <c:y val="0.13720059880239519"/>
          <c:w val="0.9292685185185187"/>
          <c:h val="0.6983532934131739"/>
        </c:manualLayout>
      </c:layout>
      <c:barChart>
        <c:barDir val="bar"/>
        <c:grouping val="percentStacked"/>
        <c:ser>
          <c:idx val="0"/>
          <c:order val="0"/>
          <c:tx>
            <c:strRef>
              <c:f>'Bar and Column Charts'!$I$253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Charts'!$J$253</c:f>
              <c:numCache/>
            </c:numRef>
          </c:val>
        </c:ser>
        <c:ser>
          <c:idx val="1"/>
          <c:order val="1"/>
          <c:tx>
            <c:strRef>
              <c:f>'Bar and Column Charts'!$I$258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Charts'!$J$258</c:f>
              <c:numCache/>
            </c:numRef>
          </c:val>
        </c:ser>
        <c:ser>
          <c:idx val="2"/>
          <c:order val="2"/>
          <c:tx>
            <c:strRef>
              <c:f>'Bar and Column Charts'!$I$252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Charts'!$J$252</c:f>
              <c:numCache/>
            </c:numRef>
          </c:val>
        </c:ser>
        <c:ser>
          <c:idx val="3"/>
          <c:order val="3"/>
          <c:tx>
            <c:strRef>
              <c:f>'Bar and Column Charts'!$I$257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Charts'!$J$257</c:f>
              <c:numCache/>
            </c:numRef>
          </c:val>
        </c:ser>
        <c:ser>
          <c:idx val="4"/>
          <c:order val="4"/>
          <c:tx>
            <c:strRef>
              <c:f>'Bar and Column Charts'!$I$251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Charts'!$J$251</c:f>
              <c:numCache/>
            </c:numRef>
          </c:val>
        </c:ser>
        <c:ser>
          <c:idx val="5"/>
          <c:order val="5"/>
          <c:tx>
            <c:strRef>
              <c:f>'Bar and Column Charts'!$I$256</c:f>
            </c:strRef>
          </c:tx>
          <c:cat>
            <c:strRef>
              <c:f>'Bar and Column Charts'!$J$248</c:f>
            </c:strRef>
          </c:cat>
          <c:val>
            <c:numRef>
              <c:f>'Bar and Column Charts'!$J$256</c:f>
              <c:numCache/>
            </c:numRef>
          </c:val>
        </c:ser>
        <c:ser>
          <c:idx val="6"/>
          <c:order val="6"/>
          <c:tx>
            <c:strRef>
              <c:f>'Bar and Column Charts'!$I$250</c:f>
            </c:strRef>
          </c:tx>
          <c:cat>
            <c:strRef>
              <c:f>'Bar and Column Charts'!$J$248</c:f>
            </c:strRef>
          </c:cat>
          <c:val>
            <c:numRef>
              <c:f>'Bar and Column Charts'!$J$250</c:f>
              <c:numCache/>
            </c:numRef>
          </c:val>
        </c:ser>
        <c:ser>
          <c:idx val="7"/>
          <c:order val="7"/>
          <c:tx>
            <c:strRef>
              <c:f>'Bar and Column Charts'!$I$255</c:f>
            </c:strRef>
          </c:tx>
          <c:cat>
            <c:strRef>
              <c:f>'Bar and Column Charts'!$J$248</c:f>
            </c:strRef>
          </c:cat>
          <c:val>
            <c:numRef>
              <c:f>'Bar and Column Charts'!$J$255</c:f>
              <c:numCache/>
            </c:numRef>
          </c:val>
        </c:ser>
        <c:ser>
          <c:idx val="8"/>
          <c:order val="8"/>
          <c:tx>
            <c:strRef>
              <c:f>'Bar and Column Charts'!$I$249</c:f>
            </c:strRef>
          </c:tx>
          <c:cat>
            <c:strRef>
              <c:f>'Bar and Column Charts'!$J$248</c:f>
            </c:strRef>
          </c:cat>
          <c:val>
            <c:numRef>
              <c:f>'Bar and Column Charts'!$J$249</c:f>
              <c:numCache/>
            </c:numRef>
          </c:val>
        </c:ser>
        <c:ser>
          <c:idx val="9"/>
          <c:order val="9"/>
          <c:tx>
            <c:strRef>
              <c:f>'Bar and Column Charts'!$I$254</c:f>
            </c:strRef>
          </c:tx>
          <c:cat>
            <c:strRef>
              <c:f>'Bar and Column Charts'!$J$248</c:f>
            </c:strRef>
          </c:cat>
          <c:val>
            <c:numRef>
              <c:f>'Bar and Column Charts'!$J$254</c:f>
              <c:numCache/>
            </c:numRef>
          </c:val>
        </c:ser>
        <c:overlap val="100"/>
        <c:axId val="1666030622"/>
        <c:axId val="1514002933"/>
      </c:barChart>
      <c:catAx>
        <c:axId val="16660306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14002933"/>
      </c:catAx>
      <c:valAx>
        <c:axId val="1514002933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603062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 Sales Comparison by Quarter</a:t>
            </a:r>
          </a:p>
        </c:rich>
      </c:tx>
      <c:overlay val="0"/>
    </c:title>
    <c:plotArea>
      <c:layout>
        <c:manualLayout>
          <c:xMode val="edge"/>
          <c:yMode val="edge"/>
          <c:x val="0.017108167770419427"/>
          <c:y val="0.15336826347305396"/>
          <c:w val="0.9647958057395145"/>
          <c:h val="0.6821856287425151"/>
        </c:manualLayout>
      </c:layout>
      <c:barChart>
        <c:barDir val="col"/>
        <c:ser>
          <c:idx val="0"/>
          <c:order val="0"/>
          <c:tx>
            <c:strRef>
              <c:f>'Bar and Column Charts'!$J$61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Charts'!$J$62:$J$66</c:f>
              <c:numCache/>
            </c:numRef>
          </c:val>
        </c:ser>
        <c:ser>
          <c:idx val="1"/>
          <c:order val="1"/>
          <c:tx>
            <c:strRef>
              <c:f>'Bar and Column Charts'!$K$61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Charts'!$K$62:$K$66</c:f>
              <c:numCache/>
            </c:numRef>
          </c:val>
        </c:ser>
        <c:ser>
          <c:idx val="2"/>
          <c:order val="2"/>
          <c:tx>
            <c:strRef>
              <c:f>'Bar and Column Charts'!$L$61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Charts'!$L$62:$L$66</c:f>
              <c:numCache/>
            </c:numRef>
          </c:val>
        </c:ser>
        <c:ser>
          <c:idx val="3"/>
          <c:order val="3"/>
          <c:tx>
            <c:strRef>
              <c:f>'Bar and Column Charts'!$M$61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Charts'!$M$62:$M$66</c:f>
              <c:numCache/>
            </c:numRef>
          </c:val>
        </c:ser>
        <c:axId val="1223193030"/>
        <c:axId val="989096750"/>
      </c:barChart>
      <c:catAx>
        <c:axId val="1223193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89096750"/>
      </c:catAx>
      <c:valAx>
        <c:axId val="989096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2231930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Email Campaign Funnel</a:t>
            </a:r>
          </a:p>
        </c:rich>
      </c:tx>
      <c:overlay val="0"/>
    </c:title>
    <c:plotArea>
      <c:layout>
        <c:manualLayout>
          <c:xMode val="edge"/>
          <c:yMode val="edge"/>
          <c:x val="0.12035026041666667"/>
          <c:y val="0.14520958083832336"/>
          <c:w val="0.8487330729166668"/>
          <c:h val="0.7961252644411778"/>
        </c:manualLayout>
      </c:layout>
      <c:barChart>
        <c:barDir val="bar"/>
        <c:grouping val="stacked"/>
        <c:ser>
          <c:idx val="0"/>
          <c:order val="0"/>
          <c:tx>
            <c:strRef>
              <c:f>'Bar and Column Charts'!$L$83</c:f>
            </c:strRef>
          </c:tx>
          <c:spPr>
            <a:solidFill>
              <a:srgbClr val="156082">
                <a:alpha val="0"/>
              </a:srgbClr>
            </a:solidFill>
            <a:ln cmpd="sng">
              <a:noFill/>
            </a:ln>
          </c:spPr>
          <c:cat>
            <c:strRef>
              <c:f>'Bar and Column Charts'!$I$84:$I$89</c:f>
            </c:strRef>
          </c:cat>
          <c:val>
            <c:numRef>
              <c:f>'Bar and Column Charts'!$L$84:$L$89</c:f>
              <c:numCache/>
            </c:numRef>
          </c:val>
        </c:ser>
        <c:ser>
          <c:idx val="1"/>
          <c:order val="1"/>
          <c:tx>
            <c:strRef>
              <c:f>'Bar and Column Charts'!$K$83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'Bar and Column Charts'!$I$84:$I$89</c:f>
            </c:strRef>
          </c:cat>
          <c:val>
            <c:numRef>
              <c:f>'Bar and Column Charts'!$K$84:$K$89</c:f>
              <c:numCache/>
            </c:numRef>
          </c:val>
        </c:ser>
        <c:ser>
          <c:idx val="2"/>
          <c:order val="2"/>
          <c:tx>
            <c:strRef>
              <c:f>'Bar and Column Charts'!$M$83</c:f>
            </c:strRef>
          </c:tx>
          <c:cat>
            <c:strRef>
              <c:f>'Bar and Column Charts'!$I$84:$I$89</c:f>
            </c:strRef>
          </c:cat>
          <c:val>
            <c:numRef>
              <c:f>'Bar and Column Charts'!$M$84:$M$89</c:f>
              <c:numCache/>
            </c:numRef>
          </c:val>
        </c:ser>
        <c:overlap val="100"/>
        <c:axId val="1784648667"/>
        <c:axId val="1245000564"/>
      </c:barChart>
      <c:catAx>
        <c:axId val="17846486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245000564"/>
      </c:catAx>
      <c:valAx>
        <c:axId val="1245000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84648667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Sales Amount by Salesperson</a:t>
            </a:r>
          </a:p>
        </c:rich>
      </c:tx>
      <c:overlay val="0"/>
    </c:title>
    <c:plotArea>
      <c:layout>
        <c:manualLayout>
          <c:xMode val="edge"/>
          <c:yMode val="edge"/>
          <c:x val="0.021296296296296334"/>
          <c:y val="0.23795180722891565"/>
          <c:w val="0.9477870370370372"/>
          <c:h val="0.6048625640285693"/>
        </c:manualLayout>
      </c:layout>
      <c:barChart>
        <c:barDir val="col"/>
        <c:grouping val="stacked"/>
        <c:ser>
          <c:idx val="0"/>
          <c:order val="0"/>
          <c:tx>
            <c:strRef>
              <c:f>'Bar and Column Charts'!$K$126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Charts'!$I$127:$I$135</c:f>
            </c:strRef>
          </c:cat>
          <c:val>
            <c:numRef>
              <c:f>'Bar and Column Charts'!$K$127:$K$135</c:f>
              <c:numCache/>
            </c:numRef>
          </c:val>
        </c:ser>
        <c:ser>
          <c:idx val="1"/>
          <c:order val="1"/>
          <c:tx>
            <c:strRef>
              <c:f>'Bar and Column Charts'!$L$126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Charts'!$I$127:$I$135</c:f>
            </c:strRef>
          </c:cat>
          <c:val>
            <c:numRef>
              <c:f>'Bar and Column Charts'!$L$127:$L$135</c:f>
              <c:numCache/>
            </c:numRef>
          </c:val>
        </c:ser>
        <c:overlap val="100"/>
        <c:axId val="283182544"/>
        <c:axId val="606860747"/>
      </c:barChart>
      <c:catAx>
        <c:axId val="28318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606860747"/>
      </c:catAx>
      <c:valAx>
        <c:axId val="606860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283182544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Budget by Marketing Activity</a:t>
            </a:r>
          </a:p>
        </c:rich>
      </c:tx>
      <c:overlay val="0"/>
    </c:title>
    <c:plotArea>
      <c:layout>
        <c:manualLayout>
          <c:xMode val="edge"/>
          <c:yMode val="edge"/>
          <c:x val="0.1980658681118314"/>
          <c:y val="0.13253424657534246"/>
          <c:w val="0.7730443425850893"/>
          <c:h val="0.8222602739726027"/>
        </c:manualLayout>
      </c:layout>
      <c:barChart>
        <c:barDir val="bar"/>
        <c:ser>
          <c:idx val="0"/>
          <c:order val="0"/>
          <c:tx>
            <c:strRef>
              <c:f>'Bar and Column Charts'!$M$164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Charts'!$L$165:$L$171</c:f>
            </c:strRef>
          </c:cat>
          <c:val>
            <c:numRef>
              <c:f>'Bar and Column Charts'!$M$165:$M$171</c:f>
              <c:numCache/>
            </c:numRef>
          </c:val>
        </c:ser>
        <c:axId val="909348385"/>
        <c:axId val="2144340379"/>
      </c:barChart>
      <c:catAx>
        <c:axId val="9093483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2144340379"/>
      </c:catAx>
      <c:valAx>
        <c:axId val="21443403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093483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 Prices Comparison by Company</a:t>
            </a:r>
          </a:p>
        </c:rich>
      </c:tx>
      <c:overlay val="0"/>
    </c:title>
    <c:plotArea>
      <c:layout>
        <c:manualLayout>
          <c:xMode val="edge"/>
          <c:yMode val="edge"/>
          <c:x val="0.23525179856115108"/>
          <c:y val="0.18288803117500907"/>
          <c:w val="0.732973092490037"/>
          <c:h val="0.77865022616747"/>
        </c:manualLayout>
      </c:layout>
      <c:barChart>
        <c:barDir val="bar"/>
        <c:grouping val="stacked"/>
        <c:ser>
          <c:idx val="0"/>
          <c:order val="0"/>
          <c:tx>
            <c:v> </c:v>
          </c:tx>
          <c:spPr>
            <a:solidFill>
              <a:srgbClr val="156082">
                <a:alpha val="0"/>
              </a:srgbClr>
            </a:solidFill>
            <a:ln cmpd="sng">
              <a:noFill/>
            </a:ln>
          </c:spPr>
          <c:cat>
            <c:strRef>
              <c:f>'Bar and Column Charts'!$I$289:$I$298</c:f>
            </c:strRef>
          </c:cat>
          <c:val>
            <c:numRef>
              <c:f>'Bar and Column Charts'!$L$289:$L$298</c:f>
              <c:numCache/>
            </c:numRef>
          </c:val>
        </c:ser>
        <c:ser>
          <c:idx val="1"/>
          <c:order val="1"/>
          <c:tx>
            <c:strRef>
              <c:f>'Bar and Column Charts'!$J$288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Charts'!$I$289:$I$298</c:f>
            </c:strRef>
          </c:cat>
          <c:val>
            <c:numRef>
              <c:f>'Bar and Column Charts'!$J$289:$J$298</c:f>
              <c:numCache/>
            </c:numRef>
          </c:val>
        </c:ser>
        <c:ser>
          <c:idx val="2"/>
          <c:order val="2"/>
          <c:tx>
            <c:strRef>
              <c:f>'Bar and Column Charts'!$K$288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Charts'!$I$289:$I$298</c:f>
            </c:strRef>
          </c:cat>
          <c:val>
            <c:numRef>
              <c:f>'Bar and Column Charts'!$K$289:$K$298</c:f>
              <c:numCache/>
            </c:numRef>
          </c:val>
        </c:ser>
        <c:overlap val="100"/>
        <c:axId val="979964165"/>
        <c:axId val="726221093"/>
      </c:barChart>
      <c:catAx>
        <c:axId val="9799641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726221093"/>
      </c:catAx>
      <c:valAx>
        <c:axId val="726221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799641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Causes of Lost Sales</a:t>
            </a:r>
          </a:p>
        </c:rich>
      </c:tx>
      <c:overlay val="0"/>
    </c:title>
    <c:plotArea>
      <c:layout>
        <c:manualLayout>
          <c:xMode val="edge"/>
          <c:yMode val="edge"/>
          <c:x val="0.02146814404432133"/>
          <c:y val="0.21896136917781223"/>
          <c:w val="0.9554079925721871"/>
          <c:h val="0.6173300853383054"/>
        </c:manualLayout>
      </c:layout>
      <c:barChart>
        <c:barDir val="col"/>
        <c:ser>
          <c:idx val="0"/>
          <c:order val="0"/>
          <c:tx>
            <c:strRef>
              <c:f>'Bar and Column Charts'!$J$102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Charts'!$I$103:$I$112</c:f>
            </c:strRef>
          </c:cat>
          <c:val>
            <c:numRef>
              <c:f>'Bar and Column Charts'!$J$103:$J$112</c:f>
              <c:numCache/>
            </c:numRef>
          </c:val>
        </c:ser>
        <c:axId val="1950780785"/>
        <c:axId val="314612520"/>
      </c:barChart>
      <c:catAx>
        <c:axId val="1950780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314612520"/>
      </c:catAx>
      <c:valAx>
        <c:axId val="314612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50780785"/>
      </c:valAx>
      <c:lineChart>
        <c:varyColors val="0"/>
        <c:ser>
          <c:idx val="1"/>
          <c:order val="1"/>
          <c:tx>
            <c:strRef>
              <c:f>'Bar and Column Charts'!$K$102</c:f>
            </c:strRef>
          </c:tx>
          <c:spPr>
            <a:ln cmpd="sng">
              <a:solidFill>
                <a:srgbClr val="3BCEE4"/>
              </a:solidFill>
            </a:ln>
          </c:spPr>
          <c:marker>
            <c:symbol val="circle"/>
            <c:size val="10"/>
            <c:spPr>
              <a:solidFill>
                <a:srgbClr val="3BCEE4"/>
              </a:solidFill>
              <a:ln cmpd="sng">
                <a:solidFill>
                  <a:srgbClr val="3BCEE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Charts'!$I$103:$I$112</c:f>
            </c:strRef>
          </c:cat>
          <c:val>
            <c:numRef>
              <c:f>'Bar and Column Charts'!$K$103:$K$112</c:f>
              <c:numCache/>
            </c:numRef>
          </c:val>
          <c:smooth val="0"/>
        </c:ser>
        <c:axId val="716288350"/>
        <c:axId val="2099202799"/>
      </c:lineChart>
      <c:catAx>
        <c:axId val="7162883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099202799"/>
      </c:catAx>
      <c:valAx>
        <c:axId val="2099202799"/>
        <c:scaling>
          <c:orientation val="minMax"/>
          <c:max val="1.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162883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Sales Team Members by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'Bar and Column Charts'!$N$148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Charts'!$O$148:$R$148</c:f>
              <c:numCache/>
            </c:numRef>
          </c:val>
        </c:ser>
        <c:ser>
          <c:idx val="1"/>
          <c:order val="1"/>
          <c:tx>
            <c:strRef>
              <c:f>'Bar and Column Charts'!$N$149</c:f>
            </c:strRef>
          </c:tx>
          <c:spPr>
            <a:solidFill>
              <a:srgbClr val="A9A9A9"/>
            </a:solidFill>
            <a:ln cmpd="sng">
              <a:noFill/>
            </a:ln>
          </c:spPr>
          <c:dPt>
            <c:idx val="3"/>
          </c:dPt>
          <c:cat>
            <c:strRef>
              <c:f>'Bar and Column Charts'!$O$147:$R$147</c:f>
            </c:strRef>
          </c:cat>
          <c:val>
            <c:numRef>
              <c:f>'Bar and Column Charts'!$O$149:$R$149</c:f>
              <c:numCache/>
            </c:numRef>
          </c:val>
        </c:ser>
        <c:ser>
          <c:idx val="2"/>
          <c:order val="2"/>
          <c:tx>
            <c:strRef>
              <c:f>'Bar and Column Charts'!$N$150</c:f>
            </c:strRef>
          </c:tx>
          <c:spPr>
            <a:solidFill>
              <a:srgbClr val="B0B0B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Charts'!$O$150:$R$150</c:f>
              <c:numCache/>
            </c:numRef>
          </c:val>
        </c:ser>
        <c:ser>
          <c:idx val="3"/>
          <c:order val="3"/>
          <c:tx>
            <c:strRef>
              <c:f>'Bar and Column Charts'!$N$151</c:f>
            </c:strRef>
          </c:tx>
          <c:spPr>
            <a:solidFill>
              <a:srgbClr val="B8B8B8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Charts'!$O$151:$R$151</c:f>
              <c:numCache/>
            </c:numRef>
          </c:val>
        </c:ser>
        <c:ser>
          <c:idx val="4"/>
          <c:order val="4"/>
          <c:tx>
            <c:strRef>
              <c:f>'Bar and Column Charts'!$N$152</c:f>
            </c:strRef>
          </c:tx>
          <c:spPr>
            <a:solidFill>
              <a:srgbClr val="C0C0C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Charts'!$O$152:$R$152</c:f>
              <c:numCache/>
            </c:numRef>
          </c:val>
        </c:ser>
        <c:ser>
          <c:idx val="5"/>
          <c:order val="5"/>
          <c:tx>
            <c:strRef>
              <c:f>'Bar and Column Charts'!$N$153</c:f>
            </c:strRef>
          </c:tx>
          <c:spPr>
            <a:solidFill>
              <a:srgbClr val="C8C8C8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Charts'!$O$153:$R$153</c:f>
              <c:numCache/>
            </c:numRef>
          </c:val>
        </c:ser>
        <c:ser>
          <c:idx val="6"/>
          <c:order val="6"/>
          <c:tx>
            <c:strRef>
              <c:f>'Bar and Column Charts'!$N$154</c:f>
            </c:strRef>
          </c:tx>
          <c:spPr>
            <a:solidFill>
              <a:srgbClr val="D0D0D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Charts'!$O$154:$R$154</c:f>
              <c:numCache/>
            </c:numRef>
          </c:val>
        </c:ser>
        <c:ser>
          <c:idx val="7"/>
          <c:order val="7"/>
          <c:tx>
            <c:strRef>
              <c:f>'Bar and Column Charts'!$N$155</c:f>
            </c:strRef>
          </c:tx>
          <c:spPr>
            <a:solidFill>
              <a:srgbClr val="D8D8D8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Charts'!$O$155:$R$155</c:f>
              <c:numCache/>
            </c:numRef>
          </c:val>
        </c:ser>
        <c:ser>
          <c:idx val="8"/>
          <c:order val="8"/>
          <c:tx>
            <c:strRef>
              <c:f>'Bar and Column Charts'!$N$156</c:f>
            </c:strRef>
          </c:tx>
          <c:spPr>
            <a:solidFill>
              <a:srgbClr val="E0E0E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Charts'!$O$156:$R$156</c:f>
              <c:numCache/>
            </c:numRef>
          </c:val>
        </c:ser>
        <c:axId val="396428416"/>
        <c:axId val="273856760"/>
      </c:barChart>
      <c:catAx>
        <c:axId val="39642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73856760"/>
      </c:catAx>
      <c:valAx>
        <c:axId val="273856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96428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Budget vs Actual by Project and Department</a:t>
            </a:r>
          </a:p>
        </c:rich>
      </c:tx>
      <c:overlay val="0"/>
    </c:title>
    <c:plotArea>
      <c:layout>
        <c:manualLayout>
          <c:xMode val="edge"/>
          <c:yMode val="edge"/>
          <c:x val="0.025259067357512953"/>
          <c:y val="0.154126213592233"/>
          <c:w val="0.9430051813471503"/>
          <c:h val="0.689724919093851"/>
        </c:manualLayout>
      </c:layout>
      <c:barChart>
        <c:barDir val="col"/>
        <c:grouping val="stacked"/>
        <c:ser>
          <c:idx val="0"/>
          <c:order val="0"/>
          <c:tx>
            <c:strRef>
              <c:f>'Bar and Column Charts'!$N$267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Charts'!$N$268:$N$277</c:f>
              <c:numCache/>
            </c:numRef>
          </c:val>
        </c:ser>
        <c:ser>
          <c:idx val="1"/>
          <c:order val="1"/>
          <c:tx>
            <c:strRef>
              <c:f>'Bar and Column Charts'!$T$267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Charts'!$T$268:$T$277</c:f>
              <c:numCache/>
            </c:numRef>
          </c:val>
        </c:ser>
        <c:ser>
          <c:idx val="4"/>
          <c:order val="4"/>
          <c:tx>
            <c:strRef>
              <c:f>'Bar and Column Charts'!$P$267</c:f>
            </c:strRef>
          </c:tx>
          <c:spPr>
            <a:solidFill>
              <a:srgbClr val="A02B93">
                <a:alpha val="0"/>
              </a:srgbClr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Charts'!$P$268:$P$277</c:f>
              <c:numCache/>
            </c:numRef>
          </c:val>
        </c:ser>
        <c:ser>
          <c:idx val="6"/>
          <c:order val="6"/>
          <c:tx>
            <c:strRef>
              <c:f>'Bar and Column Charts'!$Q$267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Charts'!$Q$268:$Q$277</c:f>
              <c:numCache/>
            </c:numRef>
          </c:val>
        </c:ser>
        <c:ser>
          <c:idx val="7"/>
          <c:order val="7"/>
          <c:tx>
            <c:strRef>
              <c:f>'Bar and Column Charts'!$W$267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Charts'!$W$268:$W$277</c:f>
              <c:numCache/>
            </c:numRef>
          </c:val>
        </c:ser>
        <c:ser>
          <c:idx val="8"/>
          <c:order val="8"/>
          <c:tx>
            <c:strRef>
              <c:f>'Bar and Column Charts'!$R$267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Charts'!$R$268:$R$277</c:f>
              <c:numCache/>
            </c:numRef>
          </c:val>
        </c:ser>
        <c:ser>
          <c:idx val="9"/>
          <c:order val="9"/>
          <c:tx>
            <c:strRef>
              <c:f>'Bar and Column Charts'!$S$267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Charts'!$S$268:$S$277</c:f>
              <c:numCache/>
            </c:numRef>
          </c:val>
        </c:ser>
        <c:overlap val="100"/>
        <c:axId val="1732274800"/>
        <c:axId val="841469410"/>
      </c:barChart>
      <c:catAx>
        <c:axId val="173227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841469410"/>
      </c:catAx>
      <c:valAx>
        <c:axId val="841469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32274800"/>
      </c:valAx>
      <c:barChart>
        <c:barDir val="col"/>
        <c:grouping val="stacked"/>
        <c:ser>
          <c:idx val="2"/>
          <c:order val="2"/>
          <c:tx>
            <c:strRef>
              <c:f>'Bar and Column Charts'!$O$267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Charts'!$O$268:$O$277</c:f>
              <c:numCache/>
            </c:numRef>
          </c:val>
        </c:ser>
        <c:ser>
          <c:idx val="3"/>
          <c:order val="3"/>
          <c:tx>
            <c:strRef>
              <c:f>'Bar and Column Charts'!$U$267</c:f>
            </c:strRef>
          </c:tx>
          <c:spPr>
            <a:solidFill>
              <a:srgbClr val="FF8A00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Charts'!$U$268:$U$277</c:f>
              <c:numCache/>
            </c:numRef>
          </c:val>
        </c:ser>
        <c:ser>
          <c:idx val="5"/>
          <c:order val="5"/>
          <c:tx>
            <c:strRef>
              <c:f>'Bar and Column Charts'!$V$267</c:f>
            </c:strRef>
          </c:tx>
          <c:spPr>
            <a:solidFill>
              <a:srgbClr val="4EA72E">
                <a:alpha val="0"/>
              </a:srgbClr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Charts'!$V$268:$V$277</c:f>
              <c:numCache/>
            </c:numRef>
          </c:val>
        </c:ser>
        <c:overlap val="100"/>
        <c:axId val="1330492720"/>
        <c:axId val="1662552213"/>
      </c:barChart>
      <c:catAx>
        <c:axId val="13304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662552213"/>
      </c:catAx>
      <c:valAx>
        <c:axId val="16625522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3049272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Count by Subscriber Source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'Bar and Column Charts'!$J$6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Charts'!$I$7:$I$15</c:f>
            </c:strRef>
          </c:cat>
          <c:val>
            <c:numRef>
              <c:f>'Bar and Column Charts'!$J$7:$J$15</c:f>
              <c:numCache/>
            </c:numRef>
          </c:val>
        </c:ser>
        <c:axId val="1950439822"/>
        <c:axId val="1567464135"/>
      </c:barChart>
      <c:catAx>
        <c:axId val="1950439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567464135"/>
      </c:catAx>
      <c:valAx>
        <c:axId val="1567464135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950439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Revenue by Department</a:t>
            </a:r>
          </a:p>
        </c:rich>
      </c:tx>
      <c:overlay val="0"/>
    </c:title>
    <c:plotArea>
      <c:layout>
        <c:manualLayout>
          <c:xMode val="edge"/>
          <c:yMode val="edge"/>
          <c:x val="0.18622448979591838"/>
          <c:y val="0.14097022094140246"/>
          <c:w val="0.7842687074829932"/>
          <c:h val="0.7571565802113353"/>
        </c:manualLayout>
      </c:layout>
      <c:barChart>
        <c:barDir val="bar"/>
        <c:grouping val="stacked"/>
        <c:ser>
          <c:idx val="0"/>
          <c:order val="0"/>
          <c:tx>
            <c:strRef>
              <c:f>'Bar and Column Charts'!$J$26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Charts'!$I$27:$I$33</c:f>
            </c:strRef>
          </c:cat>
          <c:val>
            <c:numRef>
              <c:f>'Bar and Column Charts'!$J$27:$J$33</c:f>
              <c:numCache/>
            </c:numRef>
          </c:val>
        </c:ser>
        <c:overlap val="100"/>
        <c:axId val="552520351"/>
        <c:axId val="1293209953"/>
      </c:barChart>
      <c:catAx>
        <c:axId val="5525203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293209953"/>
      </c:catAx>
      <c:valAx>
        <c:axId val="12932099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5525203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Sales Comparison by Quarter</a:t>
            </a:r>
          </a:p>
        </c:rich>
      </c:tx>
      <c:overlay val="0"/>
    </c:title>
    <c:plotArea>
      <c:layout>
        <c:manualLayout>
          <c:xMode val="edge"/>
          <c:yMode val="edge"/>
          <c:x val="0.017108167770419427"/>
          <c:y val="0.15336826347305396"/>
          <c:w val="0.9647958057395145"/>
          <c:h val="0.6821856287425151"/>
        </c:manualLayout>
      </c:layout>
      <c:barChart>
        <c:barDir val="col"/>
        <c:ser>
          <c:idx val="0"/>
          <c:order val="0"/>
          <c:tx>
            <c:strRef>
              <c:f>'Bar and Column Charts'!$J$61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Charts'!$J$62:$J$66</c:f>
              <c:numCache/>
            </c:numRef>
          </c:val>
        </c:ser>
        <c:ser>
          <c:idx val="1"/>
          <c:order val="1"/>
          <c:tx>
            <c:strRef>
              <c:f>'Bar and Column Charts'!$K$61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Charts'!$K$62:$K$66</c:f>
              <c:numCache/>
            </c:numRef>
          </c:val>
        </c:ser>
        <c:ser>
          <c:idx val="2"/>
          <c:order val="2"/>
          <c:tx>
            <c:strRef>
              <c:f>'Bar and Column Charts'!$L$61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Charts'!$L$62:$L$66</c:f>
              <c:numCache/>
            </c:numRef>
          </c:val>
        </c:ser>
        <c:ser>
          <c:idx val="3"/>
          <c:order val="3"/>
          <c:tx>
            <c:strRef>
              <c:f>'Bar and Column Charts'!$M$61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Charts'!$M$62:$M$66</c:f>
              <c:numCache/>
            </c:numRef>
          </c:val>
        </c:ser>
        <c:axId val="1221411598"/>
        <c:axId val="1540762081"/>
      </c:barChart>
      <c:catAx>
        <c:axId val="1221411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540762081"/>
      </c:catAx>
      <c:valAx>
        <c:axId val="1540762081"/>
        <c:scaling>
          <c:orientation val="minMax"/>
        </c:scaling>
        <c:delete val="0"/>
        <c:axPos val="l"/>
        <c:majorGridlines>
          <c:spPr>
            <a:ln>
              <a:solidFill>
                <a:srgbClr val="43434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14115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Email Campaign Funnel</a:t>
            </a:r>
          </a:p>
        </c:rich>
      </c:tx>
      <c:overlay val="0"/>
    </c:title>
    <c:plotArea>
      <c:layout>
        <c:manualLayout>
          <c:xMode val="edge"/>
          <c:yMode val="edge"/>
          <c:x val="0.12035026041666667"/>
          <c:y val="0.14520958083832336"/>
          <c:w val="0.8487330729166668"/>
          <c:h val="0.7961252644411778"/>
        </c:manualLayout>
      </c:layout>
      <c:barChart>
        <c:barDir val="bar"/>
        <c:grouping val="stacked"/>
        <c:ser>
          <c:idx val="0"/>
          <c:order val="0"/>
          <c:tx>
            <c:strRef>
              <c:f>'Bar and Column Charts'!$L$83</c:f>
            </c:strRef>
          </c:tx>
          <c:spPr>
            <a:solidFill>
              <a:srgbClr val="156082">
                <a:alpha val="0"/>
              </a:srgbClr>
            </a:solidFill>
            <a:ln cmpd="sng">
              <a:noFill/>
            </a:ln>
          </c:spPr>
          <c:cat>
            <c:strRef>
              <c:f>'Bar and Column Charts'!$I$84:$I$89</c:f>
            </c:strRef>
          </c:cat>
          <c:val>
            <c:numRef>
              <c:f>'Bar and Column Charts'!$L$84:$L$89</c:f>
              <c:numCache/>
            </c:numRef>
          </c:val>
        </c:ser>
        <c:ser>
          <c:idx val="1"/>
          <c:order val="1"/>
          <c:tx>
            <c:strRef>
              <c:f>'Bar and Column Charts'!$K$83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'Bar and Column Charts'!$I$84:$I$89</c:f>
            </c:strRef>
          </c:cat>
          <c:val>
            <c:numRef>
              <c:f>'Bar and Column Charts'!$K$84:$K$89</c:f>
              <c:numCache/>
            </c:numRef>
          </c:val>
        </c:ser>
        <c:ser>
          <c:idx val="2"/>
          <c:order val="2"/>
          <c:tx>
            <c:strRef>
              <c:f>'Bar and Column Charts'!$M$83</c:f>
            </c:strRef>
          </c:tx>
          <c:cat>
            <c:strRef>
              <c:f>'Bar and Column Charts'!$I$84:$I$89</c:f>
            </c:strRef>
          </c:cat>
          <c:val>
            <c:numRef>
              <c:f>'Bar and Column Charts'!$M$84:$M$89</c:f>
              <c:numCache/>
            </c:numRef>
          </c:val>
        </c:ser>
        <c:overlap val="100"/>
        <c:axId val="273759033"/>
        <c:axId val="2706659"/>
      </c:barChart>
      <c:catAx>
        <c:axId val="2737590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2706659"/>
      </c:catAx>
      <c:valAx>
        <c:axId val="2706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759033"/>
        <c:crosses val="max"/>
      </c:valAx>
    </c:plotArea>
    <c:plotVisOnly val="1"/>
  </c:chart>
  <c:spPr>
    <a:solidFill>
      <a:schemeClr val="dk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Causes of Lost Sales</a:t>
            </a:r>
          </a:p>
        </c:rich>
      </c:tx>
      <c:overlay val="0"/>
    </c:title>
    <c:plotArea>
      <c:layout>
        <c:manualLayout>
          <c:xMode val="edge"/>
          <c:yMode val="edge"/>
          <c:x val="0.02146814404432133"/>
          <c:y val="0.21896136917781223"/>
          <c:w val="0.9554079925721871"/>
          <c:h val="0.6173300853383054"/>
        </c:manualLayout>
      </c:layout>
      <c:barChart>
        <c:barDir val="col"/>
        <c:ser>
          <c:idx val="0"/>
          <c:order val="0"/>
          <c:tx>
            <c:strRef>
              <c:f>'Bar and Column Charts'!$J$102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Charts'!$I$103:$I$112</c:f>
            </c:strRef>
          </c:cat>
          <c:val>
            <c:numRef>
              <c:f>'Bar and Column Charts'!$J$103:$J$112</c:f>
              <c:numCache/>
            </c:numRef>
          </c:val>
        </c:ser>
        <c:axId val="1323953276"/>
        <c:axId val="792758817"/>
      </c:barChart>
      <c:catAx>
        <c:axId val="1323953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92758817"/>
      </c:catAx>
      <c:valAx>
        <c:axId val="792758817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953276"/>
      </c:valAx>
      <c:lineChart>
        <c:varyColors val="0"/>
        <c:ser>
          <c:idx val="1"/>
          <c:order val="1"/>
          <c:tx>
            <c:strRef>
              <c:f>'Bar and Column Charts'!$K$102</c:f>
            </c:strRef>
          </c:tx>
          <c:spPr>
            <a:ln cmpd="sng">
              <a:solidFill>
                <a:srgbClr val="3BCEE4"/>
              </a:solidFill>
            </a:ln>
          </c:spPr>
          <c:marker>
            <c:symbol val="circle"/>
            <c:size val="10"/>
            <c:spPr>
              <a:solidFill>
                <a:srgbClr val="3BCEE4"/>
              </a:solidFill>
              <a:ln cmpd="sng">
                <a:solidFill>
                  <a:srgbClr val="3BCEE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Charts'!$I$103:$I$112</c:f>
            </c:strRef>
          </c:cat>
          <c:val>
            <c:numRef>
              <c:f>'Bar and Column Charts'!$K$103:$K$112</c:f>
              <c:numCache/>
            </c:numRef>
          </c:val>
          <c:smooth val="0"/>
        </c:ser>
        <c:axId val="204589639"/>
        <c:axId val="1646831727"/>
      </c:lineChart>
      <c:catAx>
        <c:axId val="204589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46831727"/>
      </c:catAx>
      <c:valAx>
        <c:axId val="1646831727"/>
        <c:scaling>
          <c:orientation val="minMax"/>
          <c:max val="1.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896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Sales Amount by Salesperson</a:t>
            </a:r>
          </a:p>
        </c:rich>
      </c:tx>
      <c:overlay val="0"/>
    </c:title>
    <c:plotArea>
      <c:layout>
        <c:manualLayout>
          <c:xMode val="edge"/>
          <c:yMode val="edge"/>
          <c:x val="0.021296296296296334"/>
          <c:y val="0.23795180722891565"/>
          <c:w val="0.9477870370370372"/>
          <c:h val="0.6048625640285693"/>
        </c:manualLayout>
      </c:layout>
      <c:barChart>
        <c:barDir val="col"/>
        <c:grouping val="stacked"/>
        <c:ser>
          <c:idx val="0"/>
          <c:order val="0"/>
          <c:tx>
            <c:strRef>
              <c:f>'Bar and Column Charts'!$K$126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Charts'!$I$127:$I$135</c:f>
            </c:strRef>
          </c:cat>
          <c:val>
            <c:numRef>
              <c:f>'Bar and Column Charts'!$K$127:$K$135</c:f>
              <c:numCache/>
            </c:numRef>
          </c:val>
        </c:ser>
        <c:ser>
          <c:idx val="1"/>
          <c:order val="1"/>
          <c:tx>
            <c:strRef>
              <c:f>'Bar and Column Charts'!$L$126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2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Charts'!$I$127:$I$135</c:f>
            </c:strRef>
          </c:cat>
          <c:val>
            <c:numRef>
              <c:f>'Bar and Column Charts'!$L$127:$L$135</c:f>
              <c:numCache/>
            </c:numRef>
          </c:val>
        </c:ser>
        <c:overlap val="100"/>
        <c:axId val="218035224"/>
        <c:axId val="2090384147"/>
      </c:barChart>
      <c:catAx>
        <c:axId val="218035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2090384147"/>
      </c:catAx>
      <c:valAx>
        <c:axId val="2090384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035224"/>
      </c:valAx>
    </c:plotArea>
    <c:plotVisOnly val="1"/>
  </c:chart>
  <c:spPr>
    <a:solidFill>
      <a:schemeClr val="dk1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Sales Team Members by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'Bar and Column Charts'!$N$148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Charts'!$O$148:$R$148</c:f>
              <c:numCache/>
            </c:numRef>
          </c:val>
        </c:ser>
        <c:ser>
          <c:idx val="1"/>
          <c:order val="1"/>
          <c:tx>
            <c:strRef>
              <c:f>'Bar and Column Charts'!$N$149</c:f>
            </c:strRef>
          </c:tx>
          <c:spPr>
            <a:solidFill>
              <a:srgbClr val="A9A9A9"/>
            </a:solidFill>
            <a:ln cmpd="sng">
              <a:noFill/>
            </a:ln>
          </c:spPr>
          <c:dPt>
            <c:idx val="3"/>
          </c:dPt>
          <c:cat>
            <c:strRef>
              <c:f>'Bar and Column Charts'!$O$147:$R$147</c:f>
            </c:strRef>
          </c:cat>
          <c:val>
            <c:numRef>
              <c:f>'Bar and Column Charts'!$O$149:$R$149</c:f>
              <c:numCache/>
            </c:numRef>
          </c:val>
        </c:ser>
        <c:ser>
          <c:idx val="2"/>
          <c:order val="2"/>
          <c:tx>
            <c:strRef>
              <c:f>'Bar and Column Charts'!$N$150</c:f>
            </c:strRef>
          </c:tx>
          <c:spPr>
            <a:solidFill>
              <a:srgbClr val="B0B0B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Charts'!$O$150:$R$150</c:f>
              <c:numCache/>
            </c:numRef>
          </c:val>
        </c:ser>
        <c:ser>
          <c:idx val="3"/>
          <c:order val="3"/>
          <c:tx>
            <c:strRef>
              <c:f>'Bar and Column Charts'!$N$151</c:f>
            </c:strRef>
          </c:tx>
          <c:spPr>
            <a:solidFill>
              <a:srgbClr val="B8B8B8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Charts'!$O$151:$R$151</c:f>
              <c:numCache/>
            </c:numRef>
          </c:val>
        </c:ser>
        <c:ser>
          <c:idx val="4"/>
          <c:order val="4"/>
          <c:tx>
            <c:strRef>
              <c:f>'Bar and Column Charts'!$N$152</c:f>
            </c:strRef>
          </c:tx>
          <c:spPr>
            <a:solidFill>
              <a:srgbClr val="C0C0C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Charts'!$O$152:$R$152</c:f>
              <c:numCache/>
            </c:numRef>
          </c:val>
        </c:ser>
        <c:ser>
          <c:idx val="5"/>
          <c:order val="5"/>
          <c:tx>
            <c:strRef>
              <c:f>'Bar and Column Charts'!$N$153</c:f>
            </c:strRef>
          </c:tx>
          <c:spPr>
            <a:solidFill>
              <a:srgbClr val="C8C8C8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Charts'!$O$153:$R$153</c:f>
              <c:numCache/>
            </c:numRef>
          </c:val>
        </c:ser>
        <c:ser>
          <c:idx val="6"/>
          <c:order val="6"/>
          <c:tx>
            <c:strRef>
              <c:f>'Bar and Column Charts'!$N$154</c:f>
            </c:strRef>
          </c:tx>
          <c:spPr>
            <a:solidFill>
              <a:srgbClr val="D0D0D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Charts'!$O$154:$R$154</c:f>
              <c:numCache/>
            </c:numRef>
          </c:val>
        </c:ser>
        <c:ser>
          <c:idx val="7"/>
          <c:order val="7"/>
          <c:tx>
            <c:strRef>
              <c:f>'Bar and Column Charts'!$N$155</c:f>
            </c:strRef>
          </c:tx>
          <c:spPr>
            <a:solidFill>
              <a:srgbClr val="D8D8D8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Charts'!$O$155:$R$155</c:f>
              <c:numCache/>
            </c:numRef>
          </c:val>
        </c:ser>
        <c:ser>
          <c:idx val="8"/>
          <c:order val="8"/>
          <c:tx>
            <c:strRef>
              <c:f>'Bar and Column Charts'!$N$156</c:f>
            </c:strRef>
          </c:tx>
          <c:spPr>
            <a:solidFill>
              <a:srgbClr val="E0E0E0"/>
            </a:solidFill>
            <a:ln cmpd="sng">
              <a:noFill/>
            </a:ln>
          </c:spPr>
          <c:cat>
            <c:strRef>
              <c:f>'Bar and Column Charts'!$O$147:$R$147</c:f>
            </c:strRef>
          </c:cat>
          <c:val>
            <c:numRef>
              <c:f>'Bar and Column Charts'!$O$156:$R$156</c:f>
              <c:numCache/>
            </c:numRef>
          </c:val>
        </c:ser>
        <c:axId val="448751208"/>
        <c:axId val="121714978"/>
      </c:barChart>
      <c:catAx>
        <c:axId val="448751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21714978"/>
      </c:catAx>
      <c:valAx>
        <c:axId val="121714978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448751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Budget by Marketing Activity</a:t>
            </a:r>
          </a:p>
        </c:rich>
      </c:tx>
      <c:overlay val="0"/>
    </c:title>
    <c:plotArea>
      <c:layout>
        <c:manualLayout>
          <c:xMode val="edge"/>
          <c:yMode val="edge"/>
          <c:x val="0.1980658681118314"/>
          <c:y val="0.13253424657534246"/>
          <c:w val="0.7730443425850893"/>
          <c:h val="0.8222602739726027"/>
        </c:manualLayout>
      </c:layout>
      <c:barChart>
        <c:barDir val="bar"/>
        <c:ser>
          <c:idx val="0"/>
          <c:order val="0"/>
          <c:tx>
            <c:strRef>
              <c:f>'Bar and Column Charts'!$M$164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Charts'!$L$165:$L$171</c:f>
            </c:strRef>
          </c:cat>
          <c:val>
            <c:numRef>
              <c:f>'Bar and Column Charts'!$M$165:$M$171</c:f>
              <c:numCache/>
            </c:numRef>
          </c:val>
        </c:ser>
        <c:axId val="4182736"/>
        <c:axId val="455813828"/>
      </c:barChart>
      <c:catAx>
        <c:axId val="41827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455813828"/>
      </c:catAx>
      <c:valAx>
        <c:axId val="455813828"/>
        <c:scaling>
          <c:orientation val="minMax"/>
        </c:scaling>
        <c:delete val="0"/>
        <c:axPos val="b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1827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CSAT Score by Month</a:t>
            </a:r>
          </a:p>
        </c:rich>
      </c:tx>
      <c:overlay val="0"/>
    </c:title>
    <c:plotArea>
      <c:layout>
        <c:manualLayout>
          <c:xMode val="edge"/>
          <c:yMode val="edge"/>
          <c:x val="0.016083916083916083"/>
          <c:y val="0.16552636517170205"/>
          <c:w val="0.9683731090801709"/>
          <c:h val="0.7456706956251272"/>
        </c:manualLayout>
      </c:layout>
      <c:barChart>
        <c:barDir val="col"/>
        <c:grouping val="stacked"/>
        <c:ser>
          <c:idx val="0"/>
          <c:order val="0"/>
          <c:tx>
            <c:strRef>
              <c:f>'Bar and Column Charts'!$J$207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Charts'!$I$208:$I$219</c:f>
            </c:strRef>
          </c:cat>
          <c:val>
            <c:numRef>
              <c:f>'Bar and Column Charts'!$J$208:$J$219</c:f>
              <c:numCache/>
            </c:numRef>
          </c:val>
        </c:ser>
        <c:ser>
          <c:idx val="1"/>
          <c:order val="1"/>
          <c:tx>
            <c:strRef>
              <c:f>'Bar and Column Charts'!$M$207</c:f>
            </c:strRef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Charts'!$I$208:$I$219</c:f>
            </c:strRef>
          </c:cat>
          <c:val>
            <c:numRef>
              <c:f>'Bar and Column Charts'!$M$208:$M$219</c:f>
              <c:numCache/>
            </c:numRef>
          </c:val>
        </c:ser>
        <c:overlap val="100"/>
        <c:axId val="529945863"/>
        <c:axId val="1879296056"/>
      </c:barChart>
      <c:catAx>
        <c:axId val="529945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879296056"/>
      </c:catAx>
      <c:valAx>
        <c:axId val="1879296056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945863"/>
      </c:valAx>
      <c:lineChart>
        <c:varyColors val="0"/>
        <c:ser>
          <c:idx val="2"/>
          <c:order val="2"/>
          <c:tx>
            <c:strRef>
              <c:f>'Bar and Column Charts'!$L$207</c:f>
            </c:strRef>
          </c:tx>
          <c:spPr>
            <a:ln cmpd="sng">
              <a:solidFill>
                <a:srgbClr val="FFFFF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FFFF">
                  <a:alpha val="100000"/>
                </a:srgbClr>
              </a:solidFill>
              <a:ln cmpd="sng">
                <a:solidFill>
                  <a:srgbClr val="FFFFFF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Charts'!$I$208:$I$219</c:f>
            </c:strRef>
          </c:cat>
          <c:val>
            <c:numRef>
              <c:f>'Bar and Column Charts'!$L$208:$L$219</c:f>
              <c:numCache/>
            </c:numRef>
          </c:val>
          <c:smooth val="0"/>
        </c:ser>
        <c:axId val="1767722961"/>
        <c:axId val="1183129953"/>
      </c:lineChart>
      <c:catAx>
        <c:axId val="17677229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183129953"/>
      </c:catAx>
      <c:valAx>
        <c:axId val="11831299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722961"/>
        <c:crosses val="max"/>
      </c:valAx>
    </c:plotArea>
    <c:plotVisOnly val="1"/>
  </c:chart>
  <c:spPr>
    <a:solidFill>
      <a:schemeClr val="dk1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CSAT Score by Department</a:t>
            </a:r>
          </a:p>
        </c:rich>
      </c:tx>
      <c:overlay val="0"/>
    </c:title>
    <c:plotArea>
      <c:layout>
        <c:manualLayout>
          <c:xMode val="edge"/>
          <c:yMode val="edge"/>
          <c:x val="0.0360505389496708"/>
          <c:y val="0.14432693877551023"/>
          <c:w val="0.9299190303427902"/>
          <c:h val="0.702815918367347"/>
        </c:manualLayout>
      </c:layout>
      <c:barChart>
        <c:barDir val="col"/>
        <c:grouping val="percentStacked"/>
        <c:ser>
          <c:idx val="0"/>
          <c:order val="0"/>
          <c:tx>
            <c:v>Low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Charts'!$L$228:$L$237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Charts'!$K$228:$K$237</c:f>
              <c:numCache/>
            </c:numRef>
          </c:val>
        </c:ser>
        <c:ser>
          <c:idx val="2"/>
          <c:order val="2"/>
          <c:tx>
            <c:v>High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Charts'!$J$228:$J$237</c:f>
              <c:numCache/>
            </c:numRef>
          </c:val>
        </c:ser>
        <c:overlap val="100"/>
        <c:axId val="1292996479"/>
        <c:axId val="28723942"/>
      </c:barChart>
      <c:catAx>
        <c:axId val="129299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28723942"/>
      </c:catAx>
      <c:valAx>
        <c:axId val="28723942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996479"/>
      </c:valAx>
      <c:lineChart>
        <c:varyColors val="0"/>
        <c:ser>
          <c:idx val="3"/>
          <c:order val="3"/>
          <c:tx>
            <c:v>% High Rate</c:v>
          </c:tx>
          <c:spPr>
            <a:ln cmpd="sng">
              <a:solidFill>
                <a:schemeClr val="accent6"/>
              </a:solidFill>
            </a:ln>
          </c:spPr>
          <c:marker>
            <c:symbol val="circle"/>
            <c:size val="10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Charts'!$I$228:$I$237</c:f>
            </c:strRef>
          </c:cat>
          <c:val>
            <c:numRef>
              <c:f>'Bar and Column Charts'!$M$228:$M$237</c:f>
              <c:numCache/>
            </c:numRef>
          </c:val>
          <c:smooth val="0"/>
        </c:ser>
        <c:axId val="1472460206"/>
        <c:axId val="1627026064"/>
      </c:lineChart>
      <c:catAx>
        <c:axId val="14724602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627026064"/>
      </c:catAx>
      <c:valAx>
        <c:axId val="162702606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46020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Quality Performance</a:t>
            </a:r>
          </a:p>
        </c:rich>
      </c:tx>
      <c:overlay val="0"/>
    </c:title>
    <c:plotArea>
      <c:layout>
        <c:manualLayout>
          <c:xMode val="edge"/>
          <c:yMode val="edge"/>
          <c:x val="0.03981481481481482"/>
          <c:y val="0.13720059880239519"/>
          <c:w val="0.9292685185185187"/>
          <c:h val="0.6983532934131739"/>
        </c:manualLayout>
      </c:layout>
      <c:barChart>
        <c:barDir val="bar"/>
        <c:grouping val="percentStacked"/>
        <c:ser>
          <c:idx val="0"/>
          <c:order val="0"/>
          <c:tx>
            <c:strRef>
              <c:f>'Bar and Column Charts'!$I$253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Charts'!$J$253</c:f>
              <c:numCache/>
            </c:numRef>
          </c:val>
        </c:ser>
        <c:ser>
          <c:idx val="1"/>
          <c:order val="1"/>
          <c:tx>
            <c:strRef>
              <c:f>'Bar and Column Charts'!$I$258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Charts'!$J$258</c:f>
              <c:numCache/>
            </c:numRef>
          </c:val>
        </c:ser>
        <c:ser>
          <c:idx val="2"/>
          <c:order val="2"/>
          <c:tx>
            <c:strRef>
              <c:f>'Bar and Column Charts'!$I$252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Charts'!$J$252</c:f>
              <c:numCache/>
            </c:numRef>
          </c:val>
        </c:ser>
        <c:ser>
          <c:idx val="3"/>
          <c:order val="3"/>
          <c:tx>
            <c:strRef>
              <c:f>'Bar and Column Charts'!$I$257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Charts'!$J$257</c:f>
              <c:numCache/>
            </c:numRef>
          </c:val>
        </c:ser>
        <c:ser>
          <c:idx val="4"/>
          <c:order val="4"/>
          <c:tx>
            <c:strRef>
              <c:f>'Bar and Column Charts'!$I$251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'Bar and Column Charts'!$J$248</c:f>
            </c:strRef>
          </c:cat>
          <c:val>
            <c:numRef>
              <c:f>'Bar and Column Charts'!$J$251</c:f>
              <c:numCache/>
            </c:numRef>
          </c:val>
        </c:ser>
        <c:ser>
          <c:idx val="5"/>
          <c:order val="5"/>
          <c:tx>
            <c:strRef>
              <c:f>'Bar and Column Charts'!$I$256</c:f>
            </c:strRef>
          </c:tx>
          <c:cat>
            <c:strRef>
              <c:f>'Bar and Column Charts'!$J$248</c:f>
            </c:strRef>
          </c:cat>
          <c:val>
            <c:numRef>
              <c:f>'Bar and Column Charts'!$J$256</c:f>
              <c:numCache/>
            </c:numRef>
          </c:val>
        </c:ser>
        <c:ser>
          <c:idx val="6"/>
          <c:order val="6"/>
          <c:tx>
            <c:strRef>
              <c:f>'Bar and Column Charts'!$I$250</c:f>
            </c:strRef>
          </c:tx>
          <c:cat>
            <c:strRef>
              <c:f>'Bar and Column Charts'!$J$248</c:f>
            </c:strRef>
          </c:cat>
          <c:val>
            <c:numRef>
              <c:f>'Bar and Column Charts'!$J$250</c:f>
              <c:numCache/>
            </c:numRef>
          </c:val>
        </c:ser>
        <c:ser>
          <c:idx val="7"/>
          <c:order val="7"/>
          <c:tx>
            <c:strRef>
              <c:f>'Bar and Column Charts'!$I$255</c:f>
            </c:strRef>
          </c:tx>
          <c:cat>
            <c:strRef>
              <c:f>'Bar and Column Charts'!$J$248</c:f>
            </c:strRef>
          </c:cat>
          <c:val>
            <c:numRef>
              <c:f>'Bar and Column Charts'!$J$255</c:f>
              <c:numCache/>
            </c:numRef>
          </c:val>
        </c:ser>
        <c:ser>
          <c:idx val="8"/>
          <c:order val="8"/>
          <c:tx>
            <c:strRef>
              <c:f>'Bar and Column Charts'!$I$249</c:f>
            </c:strRef>
          </c:tx>
          <c:cat>
            <c:strRef>
              <c:f>'Bar and Column Charts'!$J$248</c:f>
            </c:strRef>
          </c:cat>
          <c:val>
            <c:numRef>
              <c:f>'Bar and Column Charts'!$J$249</c:f>
              <c:numCache/>
            </c:numRef>
          </c:val>
        </c:ser>
        <c:ser>
          <c:idx val="9"/>
          <c:order val="9"/>
          <c:tx>
            <c:strRef>
              <c:f>'Bar and Column Charts'!$I$254</c:f>
            </c:strRef>
          </c:tx>
          <c:cat>
            <c:strRef>
              <c:f>'Bar and Column Charts'!$J$248</c:f>
            </c:strRef>
          </c:cat>
          <c:val>
            <c:numRef>
              <c:f>'Bar and Column Charts'!$J$254</c:f>
              <c:numCache/>
            </c:numRef>
          </c:val>
        </c:ser>
        <c:overlap val="100"/>
        <c:axId val="278493181"/>
        <c:axId val="2067186182"/>
      </c:barChart>
      <c:catAx>
        <c:axId val="2784931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186182"/>
      </c:catAx>
      <c:valAx>
        <c:axId val="2067186182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2784931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Budget vs Actual by Project and Department</a:t>
            </a:r>
          </a:p>
        </c:rich>
      </c:tx>
      <c:overlay val="0"/>
    </c:title>
    <c:plotArea>
      <c:layout>
        <c:manualLayout>
          <c:xMode val="edge"/>
          <c:yMode val="edge"/>
          <c:x val="0.025259067357512953"/>
          <c:y val="0.154126213592233"/>
          <c:w val="0.9430051813471503"/>
          <c:h val="0.689724919093851"/>
        </c:manualLayout>
      </c:layout>
      <c:barChart>
        <c:barDir val="col"/>
        <c:grouping val="stacked"/>
        <c:ser>
          <c:idx val="0"/>
          <c:order val="0"/>
          <c:tx>
            <c:strRef>
              <c:f>'Bar and Column Charts'!$N$267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Charts'!$N$268:$N$277</c:f>
              <c:numCache/>
            </c:numRef>
          </c:val>
        </c:ser>
        <c:ser>
          <c:idx val="1"/>
          <c:order val="1"/>
          <c:tx>
            <c:strRef>
              <c:f>'Bar and Column Charts'!$T$267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Charts'!$T$268:$T$277</c:f>
              <c:numCache/>
            </c:numRef>
          </c:val>
        </c:ser>
        <c:ser>
          <c:idx val="4"/>
          <c:order val="4"/>
          <c:tx>
            <c:strRef>
              <c:f>'Bar and Column Charts'!$P$267</c:f>
            </c:strRef>
          </c:tx>
          <c:spPr>
            <a:solidFill>
              <a:srgbClr val="A02B93">
                <a:alpha val="0"/>
              </a:srgbClr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Charts'!$P$268:$P$277</c:f>
              <c:numCache/>
            </c:numRef>
          </c:val>
        </c:ser>
        <c:ser>
          <c:idx val="6"/>
          <c:order val="6"/>
          <c:tx>
            <c:strRef>
              <c:f>'Bar and Column Charts'!$Q$267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Charts'!$Q$268:$Q$277</c:f>
              <c:numCache/>
            </c:numRef>
          </c:val>
        </c:ser>
        <c:ser>
          <c:idx val="7"/>
          <c:order val="7"/>
          <c:tx>
            <c:strRef>
              <c:f>'Bar and Column Charts'!$W$267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Charts'!$W$268:$W$277</c:f>
              <c:numCache/>
            </c:numRef>
          </c:val>
        </c:ser>
        <c:ser>
          <c:idx val="8"/>
          <c:order val="8"/>
          <c:tx>
            <c:strRef>
              <c:f>'Bar and Column Charts'!$R$267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Charts'!$R$268:$R$277</c:f>
              <c:numCache/>
            </c:numRef>
          </c:val>
        </c:ser>
        <c:ser>
          <c:idx val="9"/>
          <c:order val="9"/>
          <c:tx>
            <c:strRef>
              <c:f>'Bar and Column Charts'!$S$267</c:f>
            </c:strRef>
          </c:tx>
          <c:cat>
            <c:strRef>
              <c:f>'Bar and Column Charts'!$M$268:$M$277</c:f>
            </c:strRef>
          </c:cat>
          <c:val>
            <c:numRef>
              <c:f>'Bar and Column Charts'!$S$268:$S$277</c:f>
              <c:numCache/>
            </c:numRef>
          </c:val>
        </c:ser>
        <c:overlap val="100"/>
        <c:axId val="437898294"/>
        <c:axId val="855726784"/>
      </c:barChart>
      <c:catAx>
        <c:axId val="437898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855726784"/>
      </c:catAx>
      <c:valAx>
        <c:axId val="855726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898294"/>
      </c:valAx>
      <c:barChart>
        <c:barDir val="col"/>
        <c:grouping val="stacked"/>
        <c:ser>
          <c:idx val="2"/>
          <c:order val="2"/>
          <c:tx>
            <c:strRef>
              <c:f>'Bar and Column Charts'!$O$267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Charts'!$O$268:$O$277</c:f>
              <c:numCache/>
            </c:numRef>
          </c:val>
        </c:ser>
        <c:ser>
          <c:idx val="3"/>
          <c:order val="3"/>
          <c:tx>
            <c:strRef>
              <c:f>'Bar and Column Charts'!$U$267</c:f>
            </c:strRef>
          </c:tx>
          <c:spPr>
            <a:solidFill>
              <a:srgbClr val="FF8A00"/>
            </a:solidFill>
            <a:ln cmpd="sng">
              <a:noFill/>
            </a:ln>
          </c:spPr>
          <c:dPt>
            <c:idx val="1"/>
          </c:dPt>
          <c:cat>
            <c:strRef>
              <c:f>'Bar and Column Charts'!$M$268:$M$277</c:f>
            </c:strRef>
          </c:cat>
          <c:val>
            <c:numRef>
              <c:f>'Bar and Column Charts'!$U$268:$U$277</c:f>
              <c:numCache/>
            </c:numRef>
          </c:val>
        </c:ser>
        <c:ser>
          <c:idx val="5"/>
          <c:order val="5"/>
          <c:tx>
            <c:strRef>
              <c:f>'Bar and Column Charts'!$V$267</c:f>
            </c:strRef>
          </c:tx>
          <c:spPr>
            <a:solidFill>
              <a:srgbClr val="4EA72E">
                <a:alpha val="0"/>
              </a:srgbClr>
            </a:solidFill>
            <a:ln cmpd="sng">
              <a:noFill/>
            </a:ln>
          </c:spPr>
          <c:cat>
            <c:strRef>
              <c:f>'Bar and Column Charts'!$M$268:$M$277</c:f>
            </c:strRef>
          </c:cat>
          <c:val>
            <c:numRef>
              <c:f>'Bar and Column Charts'!$V$268:$V$277</c:f>
              <c:numCache/>
            </c:numRef>
          </c:val>
        </c:ser>
        <c:overlap val="100"/>
        <c:axId val="948349801"/>
        <c:axId val="777856374"/>
      </c:barChart>
      <c:catAx>
        <c:axId val="9483498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777856374"/>
      </c:catAx>
      <c:valAx>
        <c:axId val="777856374"/>
        <c:scaling>
          <c:orientation val="minMax"/>
        </c:scaling>
        <c:delete val="0"/>
        <c:axPos val="r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34980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Monthly Sales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'Bar and Column Charts'!$J$40:$J$41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Charts'!$I$42:$I$53</c:f>
            </c:strRef>
          </c:cat>
          <c:val>
            <c:numRef>
              <c:f>'Bar and Column Charts'!$J$42:$J$53</c:f>
              <c:numCache/>
            </c:numRef>
          </c:val>
        </c:ser>
        <c:ser>
          <c:idx val="1"/>
          <c:order val="1"/>
          <c:tx>
            <c:strRef>
              <c:f>'Bar and Column Charts'!$K$40:$K$41</c:f>
            </c:strRef>
          </c:tx>
          <c:spPr>
            <a:solidFill>
              <a:srgbClr val="6D9EEB"/>
            </a:solidFill>
            <a:ln cmpd="sng">
              <a:noFill/>
            </a:ln>
          </c:spPr>
          <c:cat>
            <c:strRef>
              <c:f>'Bar and Column Charts'!$I$42:$I$53</c:f>
            </c:strRef>
          </c:cat>
          <c:val>
            <c:numRef>
              <c:f>'Bar and Column Charts'!$K$42:$K$53</c:f>
              <c:numCache/>
            </c:numRef>
          </c:val>
        </c:ser>
        <c:ser>
          <c:idx val="2"/>
          <c:order val="2"/>
          <c:tx>
            <c:strRef>
              <c:f>'Bar and Column Charts'!$L$40:$L$41</c:f>
            </c:strRef>
          </c:tx>
          <c:spPr>
            <a:solidFill>
              <a:srgbClr val="C9DAF8"/>
            </a:solidFill>
            <a:ln cmpd="sng">
              <a:noFill/>
            </a:ln>
          </c:spPr>
          <c:cat>
            <c:strRef>
              <c:f>'Bar and Column Charts'!$I$42:$I$53</c:f>
            </c:strRef>
          </c:cat>
          <c:val>
            <c:numRef>
              <c:f>'Bar and Column Charts'!$L$42:$L$53</c:f>
              <c:numCache/>
            </c:numRef>
          </c:val>
        </c:ser>
        <c:overlap val="100"/>
        <c:axId val="2033082462"/>
        <c:axId val="309531606"/>
      </c:barChart>
      <c:catAx>
        <c:axId val="2033082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309531606"/>
      </c:catAx>
      <c:valAx>
        <c:axId val="309531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033082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Monthly Sales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'Bar and Column Charts'!$J$40:$J$41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'Bar and Column Charts'!$I$42:$I$53</c:f>
            </c:strRef>
          </c:cat>
          <c:val>
            <c:numRef>
              <c:f>'Bar and Column Charts'!$J$42:$J$53</c:f>
              <c:numCache/>
            </c:numRef>
          </c:val>
        </c:ser>
        <c:ser>
          <c:idx val="1"/>
          <c:order val="1"/>
          <c:tx>
            <c:strRef>
              <c:f>'Bar and Column Charts'!$K$40:$K$41</c:f>
            </c:strRef>
          </c:tx>
          <c:spPr>
            <a:solidFill>
              <a:srgbClr val="6D9EEB"/>
            </a:solidFill>
            <a:ln cmpd="sng">
              <a:noFill/>
            </a:ln>
          </c:spPr>
          <c:cat>
            <c:strRef>
              <c:f>'Bar and Column Charts'!$I$42:$I$53</c:f>
            </c:strRef>
          </c:cat>
          <c:val>
            <c:numRef>
              <c:f>'Bar and Column Charts'!$K$42:$K$53</c:f>
              <c:numCache/>
            </c:numRef>
          </c:val>
        </c:ser>
        <c:ser>
          <c:idx val="2"/>
          <c:order val="2"/>
          <c:tx>
            <c:strRef>
              <c:f>'Bar and Column Charts'!$L$40:$L$41</c:f>
            </c:strRef>
          </c:tx>
          <c:spPr>
            <a:solidFill>
              <a:srgbClr val="C9DAF8"/>
            </a:solidFill>
            <a:ln cmpd="sng">
              <a:noFill/>
            </a:ln>
          </c:spPr>
          <c:cat>
            <c:strRef>
              <c:f>'Bar and Column Charts'!$I$42:$I$53</c:f>
            </c:strRef>
          </c:cat>
          <c:val>
            <c:numRef>
              <c:f>'Bar and Column Charts'!$L$42:$L$53</c:f>
              <c:numCache/>
            </c:numRef>
          </c:val>
        </c:ser>
        <c:overlap val="100"/>
        <c:axId val="1347335868"/>
        <c:axId val="1044111294"/>
      </c:barChart>
      <c:catAx>
        <c:axId val="1347335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044111294"/>
      </c:catAx>
      <c:valAx>
        <c:axId val="1044111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347335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999999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Prices Comparison by Company</a:t>
            </a:r>
          </a:p>
        </c:rich>
      </c:tx>
      <c:overlay val="0"/>
    </c:title>
    <c:plotArea>
      <c:layout>
        <c:manualLayout>
          <c:xMode val="edge"/>
          <c:yMode val="edge"/>
          <c:x val="0.23525179856115108"/>
          <c:y val="0.18288803117500907"/>
          <c:w val="0.732973092490037"/>
          <c:h val="0.77865022616747"/>
        </c:manualLayout>
      </c:layout>
      <c:barChart>
        <c:barDir val="bar"/>
        <c:grouping val="stacked"/>
        <c:ser>
          <c:idx val="0"/>
          <c:order val="0"/>
          <c:tx>
            <c:v> </c:v>
          </c:tx>
          <c:spPr>
            <a:solidFill>
              <a:srgbClr val="156082">
                <a:alpha val="0"/>
              </a:srgbClr>
            </a:solidFill>
            <a:ln cmpd="sng">
              <a:noFill/>
            </a:ln>
          </c:spPr>
          <c:cat>
            <c:strRef>
              <c:f>'Bar and Column Charts'!$I$289:$I$298</c:f>
            </c:strRef>
          </c:cat>
          <c:val>
            <c:numRef>
              <c:f>'Bar and Column Charts'!$L$289:$L$298</c:f>
              <c:numCache/>
            </c:numRef>
          </c:val>
        </c:ser>
        <c:ser>
          <c:idx val="1"/>
          <c:order val="1"/>
          <c:tx>
            <c:strRef>
              <c:f>'Bar and Column Charts'!$J$288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Charts'!$I$289:$I$298</c:f>
            </c:strRef>
          </c:cat>
          <c:val>
            <c:numRef>
              <c:f>'Bar and Column Charts'!$J$289:$J$298</c:f>
              <c:numCache/>
            </c:numRef>
          </c:val>
        </c:ser>
        <c:ser>
          <c:idx val="2"/>
          <c:order val="2"/>
          <c:tx>
            <c:strRef>
              <c:f>'Bar and Column Charts'!$K$288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Charts'!$I$289:$I$298</c:f>
            </c:strRef>
          </c:cat>
          <c:val>
            <c:numRef>
              <c:f>'Bar and Column Charts'!$K$289:$K$298</c:f>
              <c:numCache/>
            </c:numRef>
          </c:val>
        </c:ser>
        <c:overlap val="100"/>
        <c:axId val="1561787503"/>
        <c:axId val="963851067"/>
      </c:barChart>
      <c:catAx>
        <c:axId val="1561787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963851067"/>
      </c:catAx>
      <c:valAx>
        <c:axId val="9638510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617875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CCCCCC"/>
              </a:solidFill>
              <a:latin typeface="Roboto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Sales Conversion Ratio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Charts'!$K$128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Charts'!$H$129:$H$140</c:f>
            </c:strRef>
          </c:cat>
          <c:val>
            <c:numRef>
              <c:f>'Line Charts'!$K$129:$K$140</c:f>
              <c:numCache/>
            </c:numRef>
          </c:val>
          <c:smooth val="0"/>
        </c:ser>
        <c:axId val="1964489837"/>
        <c:axId val="1353581947"/>
      </c:lineChart>
      <c:catAx>
        <c:axId val="1964489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353581947"/>
      </c:catAx>
      <c:valAx>
        <c:axId val="1353581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>Conversion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964489837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Charts'!$I$6</c:f>
            </c:strRef>
          </c:tx>
          <c:spPr>
            <a:ln cmpd="sng" w="19050">
              <a:solidFill>
                <a:srgbClr val="3053F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3053FF">
                  <a:alpha val="100000"/>
                </a:srgbClr>
              </a:solidFill>
              <a:ln cmpd="sng">
                <a:solidFill>
                  <a:srgbClr val="3053FF">
                    <a:alpha val="100000"/>
                  </a:srgbClr>
                </a:solidFill>
              </a:ln>
            </c:spPr>
          </c:marker>
          <c:dPt>
            <c:idx val="5"/>
            <c:marker>
              <c:symbol val="none"/>
            </c:marker>
          </c:dPt>
          <c:cat>
            <c:strRef>
              <c:f>'Line Charts'!$H$7:$H$18</c:f>
            </c:strRef>
          </c:cat>
          <c:val>
            <c:numRef>
              <c:f>'Line Charts'!$I$7:$I$18</c:f>
              <c:numCache/>
            </c:numRef>
          </c:val>
          <c:smooth val="0"/>
        </c:ser>
        <c:axId val="1295483662"/>
        <c:axId val="925214688"/>
      </c:lineChart>
      <c:catAx>
        <c:axId val="1295483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25214688"/>
      </c:catAx>
      <c:valAx>
        <c:axId val="925214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>Monthly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295483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vs. Target</a:t>
            </a:r>
          </a:p>
        </c:rich>
      </c:tx>
      <c:overlay val="0"/>
    </c:title>
    <c:plotArea>
      <c:layout>
        <c:manualLayout>
          <c:xMode val="edge"/>
          <c:yMode val="edge"/>
          <c:x val="0.13442940038684717"/>
          <c:y val="0.2545126353790614"/>
          <c:w val="0.7736943907156673"/>
          <c:h val="0.5422393572833606"/>
        </c:manualLayout>
      </c:layout>
      <c:lineChart>
        <c:ser>
          <c:idx val="0"/>
          <c:order val="0"/>
          <c:tx>
            <c:strRef>
              <c:f>'Line Charts'!$I$48</c:f>
            </c:strRef>
          </c:tx>
          <c:spPr>
            <a:ln cmpd="sng" w="38100">
              <a:solidFill>
                <a:srgbClr val="3053FF"/>
              </a:solidFill>
              <a:prstDash val="solid"/>
            </a:ln>
          </c:spPr>
          <c:marker>
            <c:symbol val="none"/>
          </c:marker>
          <c:cat>
            <c:strRef>
              <c:f>'Line Charts'!$H$49:$H$60</c:f>
            </c:strRef>
          </c:cat>
          <c:val>
            <c:numRef>
              <c:f>'Line Charts'!$I$49:$I$60</c:f>
              <c:numCache/>
            </c:numRef>
          </c:val>
          <c:smooth val="0"/>
        </c:ser>
        <c:ser>
          <c:idx val="1"/>
          <c:order val="1"/>
          <c:tx>
            <c:strRef>
              <c:f>'Line Charts'!$J$48</c:f>
            </c:strRef>
          </c:tx>
          <c:spPr>
            <a:ln cmpd="sng">
              <a:solidFill>
                <a:srgbClr val="E74C3C">
                  <a:alpha val="100000"/>
                </a:srgbClr>
              </a:solidFill>
              <a:prstDash val="dash"/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cat>
            <c:strRef>
              <c:f>'Line Charts'!$H$49:$H$60</c:f>
            </c:strRef>
          </c:cat>
          <c:val>
            <c:numRef>
              <c:f>'Line Charts'!$J$49:$J$60</c:f>
              <c:numCache/>
            </c:numRef>
          </c:val>
          <c:smooth val="0"/>
        </c:ser>
        <c:ser>
          <c:idx val="2"/>
          <c:order val="2"/>
          <c:tx>
            <c:strRef>
              <c:f>'Line Charts'!$K$48</c:f>
            </c:strRef>
          </c:tx>
          <c:spPr>
            <a:ln cmpd="sng">
              <a:solidFill>
                <a:srgbClr val="FFFFFF">
                  <a:alpha val="100000"/>
                </a:srgbClr>
              </a:solidFill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cat>
            <c:strRef>
              <c:f>'Line Charts'!$H$49:$H$60</c:f>
            </c:strRef>
          </c:cat>
          <c:val>
            <c:numRef>
              <c:f>'Line Charts'!$K$49:$K$60</c:f>
              <c:numCache/>
            </c:numRef>
          </c:val>
          <c:smooth val="0"/>
        </c:ser>
        <c:axId val="1833420148"/>
        <c:axId val="321211730"/>
      </c:lineChart>
      <c:catAx>
        <c:axId val="183342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321211730"/>
      </c:catAx>
      <c:valAx>
        <c:axId val="321211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833420148"/>
      </c:valAx>
    </c:plotArea>
    <c:legend>
      <c:legendPos val="r"/>
      <c:legendEntry>
        <c:idx val="2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Year-over-Year Sales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Charts'!$I$88</c:f>
            </c:strRef>
          </c:tx>
          <c:spPr>
            <a:ln cmpd="sng" w="19050">
              <a:solidFill>
                <a:srgbClr val="3BCEE4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Charts'!$I$89:$I$100</c:f>
              <c:numCache/>
            </c:numRef>
          </c:val>
          <c:smooth val="0"/>
        </c:ser>
        <c:ser>
          <c:idx val="1"/>
          <c:order val="1"/>
          <c:tx>
            <c:strRef>
              <c:f>'Line Charts'!$J$88</c:f>
            </c:strRef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Charts'!$J$89:$J$100</c:f>
              <c:numCache/>
            </c:numRef>
          </c:val>
          <c:smooth val="0"/>
        </c:ser>
        <c:axId val="1467762885"/>
        <c:axId val="102182155"/>
      </c:lineChart>
      <c:catAx>
        <c:axId val="1467762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02182155"/>
      </c:catAx>
      <c:valAx>
        <c:axId val="102182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467762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Cumulative 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Charts'!$I$68</c:f>
            </c:strRef>
          </c:tx>
          <c:spPr>
            <a:ln cmpd="sng" w="28575">
              <a:solidFill>
                <a:srgbClr val="3053FF"/>
              </a:solidFill>
              <a:prstDash val="sysDot"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'Line Charts'!$H$69:$H$80</c:f>
            </c:strRef>
          </c:cat>
          <c:val>
            <c:numRef>
              <c:f>'Line Charts'!$I$69:$I$80</c:f>
              <c:numCache/>
            </c:numRef>
          </c:val>
          <c:smooth val="0"/>
        </c:ser>
        <c:axId val="2026169294"/>
        <c:axId val="331207312"/>
      </c:lineChart>
      <c:catAx>
        <c:axId val="2026169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331207312"/>
      </c:catAx>
      <c:valAx>
        <c:axId val="331207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026169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with Moving Average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Charts'!$I$108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Charts'!$H$109:$H$120</c:f>
            </c:strRef>
          </c:cat>
          <c:val>
            <c:numRef>
              <c:f>'Line Charts'!$I$109:$I$120</c:f>
              <c:numCache/>
            </c:numRef>
          </c:val>
          <c:smooth val="0"/>
        </c:ser>
        <c:ser>
          <c:idx val="1"/>
          <c:order val="1"/>
          <c:tx>
            <c:strRef>
              <c:f>'Line Charts'!$J$108</c:f>
            </c:strRef>
          </c:tx>
          <c:spPr>
            <a:ln cmpd="sng" w="28575">
              <a:solidFill>
                <a:schemeClr val="accent2"/>
              </a:solidFill>
              <a:prstDash val="sys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cat>
            <c:strRef>
              <c:f>'Line Charts'!$H$109:$H$120</c:f>
            </c:strRef>
          </c:cat>
          <c:val>
            <c:numRef>
              <c:f>'Line Charts'!$J$109:$J$120</c:f>
              <c:numCache/>
            </c:numRef>
          </c:val>
          <c:smooth val="0"/>
        </c:ser>
        <c:axId val="1975413619"/>
        <c:axId val="626632150"/>
      </c:lineChart>
      <c:catAx>
        <c:axId val="1975413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626632150"/>
      </c:catAx>
      <c:valAx>
        <c:axId val="626632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975413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'Line Charts'!$L$151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Charts'!$H$152:$H$163</c:f>
            </c:strRef>
          </c:cat>
          <c:val>
            <c:numRef>
              <c:f>'Line Charts'!$L$152:$L$163</c:f>
              <c:numCache/>
            </c:numRef>
          </c:val>
          <c:smooth val="0"/>
        </c:ser>
        <c:axId val="1683493379"/>
        <c:axId val="996995943"/>
      </c:lineChart>
      <c:catAx>
        <c:axId val="1683493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996995943"/>
      </c:catAx>
      <c:valAx>
        <c:axId val="996995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683493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0"/>
  </c:chart>
  <c:spPr>
    <a:solidFill>
      <a:srgbClr val="F3F3F3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Charts'!$K$174</c:f>
            </c:strRef>
          </c:tx>
          <c:spPr>
            <a:ln cmpd="sng" w="19050">
              <a:solidFill>
                <a:schemeClr val="accent2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cat>
            <c:strRef>
              <c:f>'Line Charts'!$H$175:$H$186</c:f>
            </c:strRef>
          </c:cat>
          <c:val>
            <c:numRef>
              <c:f>'Line Charts'!$K$175:$K$186</c:f>
              <c:numCache/>
            </c:numRef>
          </c:val>
          <c:smooth val="0"/>
        </c:ser>
        <c:ser>
          <c:idx val="1"/>
          <c:order val="1"/>
          <c:tx>
            <c:strRef>
              <c:f>'Line Charts'!$L$174</c:f>
            </c:strRef>
          </c:tx>
          <c:spPr>
            <a:ln cmpd="sng" w="19050">
              <a:solidFill>
                <a:schemeClr val="accent2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9"/>
            <c:marker>
              <c:symbol val="none"/>
            </c:marker>
          </c:dPt>
          <c:cat>
            <c:strRef>
              <c:f>'Line Charts'!$H$175:$H$186</c:f>
            </c:strRef>
          </c:cat>
          <c:val>
            <c:numRef>
              <c:f>'Line Charts'!$L$175:$L$186</c:f>
              <c:numCache/>
            </c:numRef>
          </c:val>
          <c:smooth val="0"/>
        </c:ser>
        <c:ser>
          <c:idx val="2"/>
          <c:order val="2"/>
          <c:tx>
            <c:strRef>
              <c:f>'Line Charts'!$M$174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Charts'!$M$175:$M$186</c:f>
              <c:numCache/>
            </c:numRef>
          </c:val>
          <c:smooth val="0"/>
        </c:ser>
        <c:ser>
          <c:idx val="3"/>
          <c:order val="3"/>
          <c:tx>
            <c:strRef>
              <c:f>'Line Charts'!$I$174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Charts'!$I$175:$I$186</c:f>
              <c:numCache/>
            </c:numRef>
          </c:val>
          <c:smooth val="0"/>
        </c:ser>
        <c:ser>
          <c:idx val="4"/>
          <c:order val="4"/>
          <c:tx>
            <c:strRef>
              <c:f>'Line Charts'!$J$174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Charts'!$J$175:$J$186</c:f>
              <c:numCache/>
            </c:numRef>
          </c:val>
          <c:smooth val="0"/>
        </c:ser>
        <c:ser>
          <c:idx val="5"/>
          <c:order val="5"/>
          <c:tx>
            <c:strRef>
              <c:f>'Line Charts'!$N$174</c:f>
            </c:strRef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Charts'!$N$175:$N$186</c:f>
              <c:numCache/>
            </c:numRef>
          </c:val>
          <c:smooth val="0"/>
        </c:ser>
        <c:axId val="1476245099"/>
        <c:axId val="53697090"/>
      </c:lineChart>
      <c:catAx>
        <c:axId val="1476245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53697090"/>
      </c:catAx>
      <c:valAx>
        <c:axId val="53697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476245099"/>
      </c:valAx>
    </c:plotArea>
    <c:plotVisOnly val="0"/>
  </c:chart>
  <c:spPr>
    <a:solidFill>
      <a:srgbClr val="F3F3F3"/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Control Chart with Warning Limits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Charts'!$I$214</c:f>
            </c:strRef>
          </c:tx>
          <c:spPr>
            <a:ln cmpd="sng" w="38100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'Line Charts'!$H$215:$H$228</c:f>
            </c:strRef>
          </c:cat>
          <c:val>
            <c:numRef>
              <c:f>'Line Charts'!$I$215:$I$228</c:f>
              <c:numCache/>
            </c:numRef>
          </c:val>
          <c:smooth val="0"/>
        </c:ser>
        <c:ser>
          <c:idx val="1"/>
          <c:order val="1"/>
          <c:tx>
            <c:strRef>
              <c:f>'Line Charts'!$J$214</c:f>
            </c:strRef>
          </c:tx>
          <c:spPr>
            <a:ln cmpd="sng" w="9525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cat>
            <c:strRef>
              <c:f>'Line Charts'!$H$215:$H$228</c:f>
            </c:strRef>
          </c:cat>
          <c:val>
            <c:numRef>
              <c:f>'Line Charts'!$J$215:$J$228</c:f>
              <c:numCache/>
            </c:numRef>
          </c:val>
          <c:smooth val="0"/>
        </c:ser>
        <c:ser>
          <c:idx val="2"/>
          <c:order val="2"/>
          <c:tx>
            <c:strRef>
              <c:f>'Line Charts'!$K$214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'Line Charts'!$H$215:$H$228</c:f>
            </c:strRef>
          </c:cat>
          <c:val>
            <c:numRef>
              <c:f>'Line Charts'!$K$215:$K$228</c:f>
              <c:numCache/>
            </c:numRef>
          </c:val>
          <c:smooth val="0"/>
        </c:ser>
        <c:ser>
          <c:idx val="3"/>
          <c:order val="3"/>
          <c:tx>
            <c:strRef>
              <c:f>'Line Charts'!$L$214</c:f>
            </c:strRef>
          </c:tx>
          <c:spPr>
            <a:ln cmpd="sng" w="952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'Line Charts'!$H$215:$H$228</c:f>
            </c:strRef>
          </c:cat>
          <c:val>
            <c:numRef>
              <c:f>'Line Charts'!$L$215:$L$228</c:f>
              <c:numCache/>
            </c:numRef>
          </c:val>
          <c:smooth val="0"/>
        </c:ser>
        <c:ser>
          <c:idx val="4"/>
          <c:order val="4"/>
          <c:tx>
            <c:strRef>
              <c:f>'Line Charts'!$M$214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'Line Charts'!$H$215:$H$228</c:f>
            </c:strRef>
          </c:cat>
          <c:val>
            <c:numRef>
              <c:f>'Line Charts'!$M$215:$M$228</c:f>
              <c:numCache/>
            </c:numRef>
          </c:val>
          <c:smooth val="0"/>
        </c:ser>
        <c:axId val="1940165727"/>
        <c:axId val="2085250998"/>
      </c:lineChart>
      <c:catAx>
        <c:axId val="1940165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085250998"/>
      </c:catAx>
      <c:valAx>
        <c:axId val="208525099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940165727"/>
      </c:valAx>
    </c:plotArea>
    <c:plotVisOnly val="1"/>
  </c:chart>
  <c:spPr>
    <a:solidFill>
      <a:srgbClr val="F3F3F3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Sales by Week Time series</a:t>
            </a:r>
          </a:p>
        </c:rich>
      </c:tx>
      <c:overlay val="0"/>
    </c:title>
    <c:plotArea>
      <c:layout>
        <c:manualLayout>
          <c:xMode val="edge"/>
          <c:yMode val="edge"/>
          <c:x val="0.019230769230769232"/>
          <c:y val="0.1495956873315364"/>
          <c:w val="0.9624753451676529"/>
          <c:h val="0.75188679245283"/>
        </c:manualLayout>
      </c:layout>
      <c:lineChart>
        <c:ser>
          <c:idx val="0"/>
          <c:order val="0"/>
          <c:tx>
            <c:strRef>
              <c:f>'Line Charts'!$I$234</c:f>
            </c:strRef>
          </c:tx>
          <c:spPr>
            <a:ln cmpd="sng">
              <a:solidFill>
                <a:srgbClr val="3053FF"/>
              </a:solidFill>
            </a:ln>
          </c:spPr>
          <c:marker>
            <c:symbol val="none"/>
          </c:marker>
          <c:cat>
            <c:strRef>
              <c:f>'Line Charts'!$H$235:$H$287</c:f>
            </c:strRef>
          </c:cat>
          <c:val>
            <c:numRef>
              <c:f>'Line Charts'!$I$235:$I$287</c:f>
              <c:numCache/>
            </c:numRef>
          </c:val>
          <c:smooth val="0"/>
        </c:ser>
        <c:ser>
          <c:idx val="1"/>
          <c:order val="1"/>
          <c:tx>
            <c:strRef>
              <c:f>'Line Charts'!$J$234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'Line Charts'!$H$235:$H$287</c:f>
            </c:strRef>
          </c:cat>
          <c:val>
            <c:numRef>
              <c:f>'Line Charts'!$J$235:$J$287</c:f>
              <c:numCache/>
            </c:numRef>
          </c:val>
          <c:smooth val="0"/>
        </c:ser>
        <c:axId val="359621428"/>
        <c:axId val="335357295"/>
      </c:lineChart>
      <c:catAx>
        <c:axId val="359621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35357295"/>
      </c:catAx>
      <c:valAx>
        <c:axId val="335357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359621428"/>
      </c:valAx>
    </c:plotArea>
    <c:plotVisOnly val="0"/>
  </c:chart>
  <c:spPr>
    <a:solidFill>
      <a:srgbClr val="F3F3F3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Charts'!$I$6</c:f>
            </c:strRef>
          </c:tx>
          <c:spPr>
            <a:ln cmpd="sng" w="19050">
              <a:solidFill>
                <a:srgbClr val="3053F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3053FF">
                  <a:alpha val="100000"/>
                </a:srgbClr>
              </a:solidFill>
              <a:ln cmpd="sng">
                <a:solidFill>
                  <a:srgbClr val="3053FF">
                    <a:alpha val="100000"/>
                  </a:srgbClr>
                </a:solidFill>
              </a:ln>
            </c:spPr>
          </c:marker>
          <c:dPt>
            <c:idx val="5"/>
            <c:marker>
              <c:symbol val="none"/>
            </c:marker>
          </c:dPt>
          <c:cat>
            <c:strRef>
              <c:f>'Line Charts'!$H$7:$H$18</c:f>
            </c:strRef>
          </c:cat>
          <c:val>
            <c:numRef>
              <c:f>'Line Charts'!$I$7:$I$18</c:f>
              <c:numCache/>
            </c:numRef>
          </c:val>
          <c:smooth val="0"/>
        </c:ser>
        <c:axId val="1363033644"/>
        <c:axId val="1103682484"/>
      </c:lineChart>
      <c:catAx>
        <c:axId val="1363033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Roboto"/>
              </a:defRPr>
            </a:pPr>
          </a:p>
        </c:txPr>
        <c:crossAx val="1103682484"/>
      </c:catAx>
      <c:valAx>
        <c:axId val="1103682484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Roboto"/>
                  </a:defRPr>
                </a:pPr>
                <a:r>
                  <a:rPr b="0">
                    <a:solidFill>
                      <a:srgbClr val="999999"/>
                    </a:solidFill>
                    <a:latin typeface="Roboto"/>
                  </a:rPr>
                  <a:t>Monthly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Roboto"/>
              </a:defRPr>
            </a:pPr>
          </a:p>
        </c:txPr>
        <c:crossAx val="1363033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6-month Profit Projections Chart</a:t>
            </a:r>
          </a:p>
        </c:rich>
      </c:tx>
      <c:overlay val="0"/>
    </c:title>
    <c:plotArea>
      <c:layout/>
      <c:areaChart>
        <c:ser>
          <c:idx val="2"/>
          <c:order val="2"/>
          <c:tx>
            <c:strRef>
              <c:f>'Line Charts'!$K$293</c:f>
            </c:strRef>
          </c:tx>
          <c:spPr>
            <a:solidFill>
              <a:srgbClr val="06C167">
                <a:alpha val="30000"/>
              </a:srgbClr>
            </a:solidFill>
            <a:ln cmpd="sng">
              <a:solidFill>
                <a:srgbClr val="06C167">
                  <a:alpha val="0"/>
                </a:srgbClr>
              </a:solidFill>
            </a:ln>
          </c:spPr>
          <c:cat>
            <c:strRef>
              <c:f>'Line Charts'!$H$294:$H$311</c:f>
            </c:strRef>
          </c:cat>
          <c:val>
            <c:numRef>
              <c:f>'Line Charts'!$K$294:$K$311</c:f>
              <c:numCache/>
            </c:numRef>
          </c:val>
        </c:ser>
        <c:ser>
          <c:idx val="3"/>
          <c:order val="3"/>
          <c:tx>
            <c:strRef>
              <c:f>'Line Charts'!$L$293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0"/>
                </a:srgbClr>
              </a:solidFill>
            </a:ln>
          </c:spPr>
          <c:cat>
            <c:strRef>
              <c:f>'Line Charts'!$H$294:$H$311</c:f>
            </c:strRef>
          </c:cat>
          <c:val>
            <c:numRef>
              <c:f>'Line Charts'!$L$294:$L$311</c:f>
              <c:numCache/>
            </c:numRef>
          </c:val>
        </c:ser>
        <c:axId val="1554417972"/>
        <c:axId val="1453745622"/>
      </c:areaChart>
      <c:lineChart>
        <c:ser>
          <c:idx val="0"/>
          <c:order val="0"/>
          <c:tx>
            <c:strRef>
              <c:f>'Line Charts'!$I$293</c:f>
            </c:strRef>
          </c:tx>
          <c:spPr>
            <a:ln cmpd="sng">
              <a:solidFill>
                <a:srgbClr val="2677F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'Line Charts'!$H$294:$H$311</c:f>
            </c:strRef>
          </c:cat>
          <c:val>
            <c:numRef>
              <c:f>'Line Charts'!$I$294:$I$311</c:f>
              <c:numCache/>
            </c:numRef>
          </c:val>
          <c:smooth val="0"/>
        </c:ser>
        <c:ser>
          <c:idx val="1"/>
          <c:order val="1"/>
          <c:tx>
            <c:strRef>
              <c:f>'Line Charts'!$J$293</c:f>
            </c:strRef>
          </c:tx>
          <c:spPr>
            <a:ln cmpd="sng" w="28575">
              <a:solidFill>
                <a:srgbClr val="38761D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'Line Charts'!$H$294:$H$311</c:f>
            </c:strRef>
          </c:cat>
          <c:val>
            <c:numRef>
              <c:f>'Line Charts'!$J$294:$J$311</c:f>
              <c:numCache/>
            </c:numRef>
          </c:val>
          <c:smooth val="0"/>
        </c:ser>
        <c:axId val="1554417972"/>
        <c:axId val="1453745622"/>
      </c:lineChart>
      <c:catAx>
        <c:axId val="1554417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453745622"/>
      </c:catAx>
      <c:valAx>
        <c:axId val="1453745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554417972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vs. Target</a:t>
            </a:r>
          </a:p>
        </c:rich>
      </c:tx>
      <c:overlay val="0"/>
    </c:title>
    <c:plotArea>
      <c:layout>
        <c:manualLayout>
          <c:xMode val="edge"/>
          <c:yMode val="edge"/>
          <c:x val="0.13442940038684717"/>
          <c:y val="0.2545126353790614"/>
          <c:w val="0.7736943907156673"/>
          <c:h val="0.5422393572833606"/>
        </c:manualLayout>
      </c:layout>
      <c:lineChart>
        <c:ser>
          <c:idx val="0"/>
          <c:order val="0"/>
          <c:tx>
            <c:strRef>
              <c:f>'Line Charts'!$I$48</c:f>
            </c:strRef>
          </c:tx>
          <c:spPr>
            <a:ln cmpd="sng" w="38100">
              <a:solidFill>
                <a:srgbClr val="3053FF"/>
              </a:solidFill>
              <a:prstDash val="solid"/>
            </a:ln>
          </c:spPr>
          <c:marker>
            <c:symbol val="none"/>
          </c:marker>
          <c:cat>
            <c:strRef>
              <c:f>'Line Charts'!$H$49:$H$60</c:f>
            </c:strRef>
          </c:cat>
          <c:val>
            <c:numRef>
              <c:f>'Line Charts'!$I$49:$I$60</c:f>
              <c:numCache/>
            </c:numRef>
          </c:val>
          <c:smooth val="0"/>
        </c:ser>
        <c:ser>
          <c:idx val="1"/>
          <c:order val="1"/>
          <c:tx>
            <c:strRef>
              <c:f>'Line Charts'!$J$48</c:f>
            </c:strRef>
          </c:tx>
          <c:spPr>
            <a:ln cmpd="sng">
              <a:solidFill>
                <a:srgbClr val="E74C3C">
                  <a:alpha val="100000"/>
                </a:srgbClr>
              </a:solidFill>
              <a:prstDash val="dash"/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cat>
            <c:strRef>
              <c:f>'Line Charts'!$H$49:$H$60</c:f>
            </c:strRef>
          </c:cat>
          <c:val>
            <c:numRef>
              <c:f>'Line Charts'!$J$49:$J$60</c:f>
              <c:numCache/>
            </c:numRef>
          </c:val>
          <c:smooth val="0"/>
        </c:ser>
        <c:ser>
          <c:idx val="2"/>
          <c:order val="2"/>
          <c:tx>
            <c:strRef>
              <c:f>'Line Charts'!$K$48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cat>
            <c:strRef>
              <c:f>'Line Charts'!$H$49:$H$60</c:f>
            </c:strRef>
          </c:cat>
          <c:val>
            <c:numRef>
              <c:f>'Line Charts'!$K$49:$K$60</c:f>
              <c:numCache/>
            </c:numRef>
          </c:val>
          <c:smooth val="0"/>
        </c:ser>
        <c:axId val="1595104955"/>
        <c:axId val="1510620163"/>
      </c:lineChart>
      <c:catAx>
        <c:axId val="1595104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510620163"/>
      </c:catAx>
      <c:valAx>
        <c:axId val="1510620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595104955"/>
      </c:valAx>
    </c:plotArea>
    <c:legend>
      <c:legendPos val="r"/>
      <c:legendEntry>
        <c:idx val="2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Cumulative 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Charts'!$I$68</c:f>
            </c:strRef>
          </c:tx>
          <c:spPr>
            <a:ln cmpd="sng" w="28575">
              <a:solidFill>
                <a:srgbClr val="3053FF"/>
              </a:solidFill>
              <a:prstDash val="sysDot"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'Line Charts'!$H$69:$H$80</c:f>
            </c:strRef>
          </c:cat>
          <c:val>
            <c:numRef>
              <c:f>'Line Charts'!$I$69:$I$80</c:f>
              <c:numCache/>
            </c:numRef>
          </c:val>
          <c:smooth val="0"/>
        </c:ser>
        <c:axId val="346995488"/>
        <c:axId val="1683809795"/>
      </c:lineChart>
      <c:catAx>
        <c:axId val="34699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683809795"/>
      </c:catAx>
      <c:valAx>
        <c:axId val="1683809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346995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Year-over-Year Sales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Charts'!$I$88</c:f>
            </c:strRef>
          </c:tx>
          <c:spPr>
            <a:ln cmpd="sng" w="19050">
              <a:solidFill>
                <a:srgbClr val="3BCEE4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Charts'!$I$89:$I$100</c:f>
              <c:numCache/>
            </c:numRef>
          </c:val>
          <c:smooth val="0"/>
        </c:ser>
        <c:ser>
          <c:idx val="1"/>
          <c:order val="1"/>
          <c:tx>
            <c:strRef>
              <c:f>'Line Charts'!$J$88</c:f>
            </c:strRef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3F3F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Charts'!$J$89:$J$100</c:f>
              <c:numCache/>
            </c:numRef>
          </c:val>
          <c:smooth val="0"/>
        </c:ser>
        <c:axId val="1155819115"/>
        <c:axId val="1834776612"/>
      </c:lineChart>
      <c:catAx>
        <c:axId val="1155819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834776612"/>
      </c:catAx>
      <c:valAx>
        <c:axId val="1834776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155819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with Moving Average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Charts'!$I$108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Charts'!$H$109:$H$120</c:f>
            </c:strRef>
          </c:cat>
          <c:val>
            <c:numRef>
              <c:f>'Line Charts'!$I$109:$I$120</c:f>
              <c:numCache/>
            </c:numRef>
          </c:val>
          <c:smooth val="0"/>
        </c:ser>
        <c:ser>
          <c:idx val="1"/>
          <c:order val="1"/>
          <c:tx>
            <c:strRef>
              <c:f>'Line Charts'!$J$108</c:f>
            </c:strRef>
          </c:tx>
          <c:spPr>
            <a:ln cmpd="sng" w="28575">
              <a:solidFill>
                <a:schemeClr val="accent2"/>
              </a:solidFill>
              <a:prstDash val="sys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cat>
            <c:strRef>
              <c:f>'Line Charts'!$H$109:$H$120</c:f>
            </c:strRef>
          </c:cat>
          <c:val>
            <c:numRef>
              <c:f>'Line Charts'!$J$109:$J$120</c:f>
              <c:numCache/>
            </c:numRef>
          </c:val>
          <c:smooth val="0"/>
        </c:ser>
        <c:axId val="1280326130"/>
        <c:axId val="1787153795"/>
      </c:lineChart>
      <c:catAx>
        <c:axId val="1280326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787153795"/>
      </c:catAx>
      <c:valAx>
        <c:axId val="1787153795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280326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Sales Conversion Ratio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Charts'!$K$128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Charts'!$H$129:$H$140</c:f>
            </c:strRef>
          </c:cat>
          <c:val>
            <c:numRef>
              <c:f>'Line Charts'!$K$129:$K$140</c:f>
              <c:numCache/>
            </c:numRef>
          </c:val>
          <c:smooth val="0"/>
        </c:ser>
        <c:axId val="61221542"/>
        <c:axId val="345046487"/>
      </c:lineChart>
      <c:catAx>
        <c:axId val="61221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345046487"/>
      </c:catAx>
      <c:valAx>
        <c:axId val="345046487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>Conversion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61221542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'Line Charts'!$L$151</c:f>
            </c:strRef>
          </c:tx>
          <c:spPr>
            <a:ln cmpd="sng" w="28575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Charts'!$H$152:$H$163</c:f>
            </c:strRef>
          </c:cat>
          <c:val>
            <c:numRef>
              <c:f>'Line Charts'!$L$152:$L$163</c:f>
              <c:numCache/>
            </c:numRef>
          </c:val>
          <c:smooth val="0"/>
        </c:ser>
        <c:axId val="276715738"/>
        <c:axId val="1245231445"/>
      </c:lineChart>
      <c:catAx>
        <c:axId val="276715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245231445"/>
      </c:catAx>
      <c:valAx>
        <c:axId val="1245231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276715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0"/>
  </c:chart>
  <c:spPr>
    <a:solidFill>
      <a:schemeClr val="dk1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Charts'!$K$174</c:f>
            </c:strRef>
          </c:tx>
          <c:spPr>
            <a:ln cmpd="sng" w="19050">
              <a:solidFill>
                <a:schemeClr val="accent2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cat>
            <c:strRef>
              <c:f>'Line Charts'!$H$175:$H$186</c:f>
            </c:strRef>
          </c:cat>
          <c:val>
            <c:numRef>
              <c:f>'Line Charts'!$K$175:$K$186</c:f>
              <c:numCache/>
            </c:numRef>
          </c:val>
          <c:smooth val="0"/>
        </c:ser>
        <c:ser>
          <c:idx val="1"/>
          <c:order val="1"/>
          <c:tx>
            <c:strRef>
              <c:f>'Line Charts'!$L$174</c:f>
            </c:strRef>
          </c:tx>
          <c:spPr>
            <a:ln cmpd="sng" w="19050">
              <a:solidFill>
                <a:schemeClr val="accent2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9"/>
            <c:marker>
              <c:symbol val="none"/>
            </c:marker>
          </c:dPt>
          <c:cat>
            <c:strRef>
              <c:f>'Line Charts'!$H$175:$H$186</c:f>
            </c:strRef>
          </c:cat>
          <c:val>
            <c:numRef>
              <c:f>'Line Charts'!$L$175:$L$186</c:f>
              <c:numCache/>
            </c:numRef>
          </c:val>
          <c:smooth val="0"/>
        </c:ser>
        <c:ser>
          <c:idx val="2"/>
          <c:order val="2"/>
          <c:tx>
            <c:strRef>
              <c:f>'Line Charts'!$M$174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Charts'!$M$175:$M$186</c:f>
              <c:numCache/>
            </c:numRef>
          </c:val>
          <c:smooth val="0"/>
        </c:ser>
        <c:ser>
          <c:idx val="3"/>
          <c:order val="3"/>
          <c:tx>
            <c:strRef>
              <c:f>'Line Charts'!$I$174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Charts'!$I$175:$I$186</c:f>
              <c:numCache/>
            </c:numRef>
          </c:val>
          <c:smooth val="0"/>
        </c:ser>
        <c:ser>
          <c:idx val="4"/>
          <c:order val="4"/>
          <c:tx>
            <c:strRef>
              <c:f>'Line Charts'!$J$174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Charts'!$J$175:$J$186</c:f>
              <c:numCache/>
            </c:numRef>
          </c:val>
          <c:smooth val="0"/>
        </c:ser>
        <c:ser>
          <c:idx val="5"/>
          <c:order val="5"/>
          <c:tx>
            <c:strRef>
              <c:f>'Line Charts'!$N$174</c:f>
            </c:strRef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'Line Charts'!$H$175:$H$186</c:f>
            </c:strRef>
          </c:cat>
          <c:val>
            <c:numRef>
              <c:f>'Line Charts'!$N$175:$N$186</c:f>
              <c:numCache/>
            </c:numRef>
          </c:val>
          <c:smooth val="0"/>
        </c:ser>
        <c:axId val="567326251"/>
        <c:axId val="910492701"/>
      </c:lineChart>
      <c:catAx>
        <c:axId val="567326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910492701"/>
      </c:catAx>
      <c:valAx>
        <c:axId val="910492701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567326251"/>
      </c:valAx>
    </c:plotArea>
    <c:plotVisOnly val="0"/>
  </c:chart>
  <c:spPr>
    <a:solidFill>
      <a:schemeClr val="dk1"/>
    </a:solidFill>
  </c:spPr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Control Chart with Warning Limits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Charts'!$I$214</c:f>
            </c:strRef>
          </c:tx>
          <c:spPr>
            <a:ln cmpd="sng" w="38100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'Line Charts'!$H$215:$H$228</c:f>
            </c:strRef>
          </c:cat>
          <c:val>
            <c:numRef>
              <c:f>'Line Charts'!$I$215:$I$228</c:f>
              <c:numCache/>
            </c:numRef>
          </c:val>
          <c:smooth val="0"/>
        </c:ser>
        <c:ser>
          <c:idx val="1"/>
          <c:order val="1"/>
          <c:tx>
            <c:strRef>
              <c:f>'Line Charts'!$J$214</c:f>
            </c:strRef>
          </c:tx>
          <c:spPr>
            <a:ln cmpd="sng" w="9525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cat>
            <c:strRef>
              <c:f>'Line Charts'!$H$215:$H$228</c:f>
            </c:strRef>
          </c:cat>
          <c:val>
            <c:numRef>
              <c:f>'Line Charts'!$J$215:$J$228</c:f>
              <c:numCache/>
            </c:numRef>
          </c:val>
          <c:smooth val="0"/>
        </c:ser>
        <c:ser>
          <c:idx val="2"/>
          <c:order val="2"/>
          <c:tx>
            <c:strRef>
              <c:f>'Line Charts'!$K$214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'Line Charts'!$H$215:$H$228</c:f>
            </c:strRef>
          </c:cat>
          <c:val>
            <c:numRef>
              <c:f>'Line Charts'!$K$215:$K$228</c:f>
              <c:numCache/>
            </c:numRef>
          </c:val>
          <c:smooth val="0"/>
        </c:ser>
        <c:ser>
          <c:idx val="3"/>
          <c:order val="3"/>
          <c:tx>
            <c:strRef>
              <c:f>'Line Charts'!$L$214</c:f>
            </c:strRef>
          </c:tx>
          <c:spPr>
            <a:ln cmpd="sng" w="952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'Line Charts'!$H$215:$H$228</c:f>
            </c:strRef>
          </c:cat>
          <c:val>
            <c:numRef>
              <c:f>'Line Charts'!$L$215:$L$228</c:f>
              <c:numCache/>
            </c:numRef>
          </c:val>
          <c:smooth val="0"/>
        </c:ser>
        <c:ser>
          <c:idx val="4"/>
          <c:order val="4"/>
          <c:tx>
            <c:strRef>
              <c:f>'Line Charts'!$M$214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'Line Charts'!$H$215:$H$228</c:f>
            </c:strRef>
          </c:cat>
          <c:val>
            <c:numRef>
              <c:f>'Line Charts'!$M$215:$M$228</c:f>
              <c:numCache/>
            </c:numRef>
          </c:val>
          <c:smooth val="0"/>
        </c:ser>
        <c:axId val="1246053575"/>
        <c:axId val="1472396090"/>
      </c:lineChart>
      <c:catAx>
        <c:axId val="1246053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472396090"/>
      </c:catAx>
      <c:valAx>
        <c:axId val="14723960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246053575"/>
      </c:valAx>
    </c:plotArea>
    <c:plotVisOnly val="1"/>
  </c:chart>
  <c:spPr>
    <a:solidFill>
      <a:schemeClr val="dk1"/>
    </a:solidFill>
  </c:spPr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Sales by Week Time series</a:t>
            </a:r>
          </a:p>
        </c:rich>
      </c:tx>
      <c:overlay val="0"/>
    </c:title>
    <c:plotArea>
      <c:layout>
        <c:manualLayout>
          <c:xMode val="edge"/>
          <c:yMode val="edge"/>
          <c:x val="0.019230769230769232"/>
          <c:y val="0.1495956873315364"/>
          <c:w val="0.9624753451676529"/>
          <c:h val="0.75188679245283"/>
        </c:manualLayout>
      </c:layout>
      <c:lineChart>
        <c:ser>
          <c:idx val="0"/>
          <c:order val="0"/>
          <c:tx>
            <c:strRef>
              <c:f>'Line Charts'!$I$234</c:f>
            </c:strRef>
          </c:tx>
          <c:spPr>
            <a:ln cmpd="sng" w="28575">
              <a:solidFill>
                <a:srgbClr val="3053FF"/>
              </a:solidFill>
            </a:ln>
          </c:spPr>
          <c:marker>
            <c:symbol val="none"/>
          </c:marker>
          <c:cat>
            <c:strRef>
              <c:f>'Line Charts'!$H$235:$H$287</c:f>
            </c:strRef>
          </c:cat>
          <c:val>
            <c:numRef>
              <c:f>'Line Charts'!$I$235:$I$287</c:f>
              <c:numCache/>
            </c:numRef>
          </c:val>
          <c:smooth val="0"/>
        </c:ser>
        <c:ser>
          <c:idx val="1"/>
          <c:order val="1"/>
          <c:tx>
            <c:strRef>
              <c:f>'Line Charts'!$J$234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'Line Charts'!$H$235:$H$287</c:f>
            </c:strRef>
          </c:cat>
          <c:val>
            <c:numRef>
              <c:f>'Line Charts'!$J$235:$J$287</c:f>
              <c:numCache/>
            </c:numRef>
          </c:val>
          <c:smooth val="0"/>
        </c:ser>
        <c:axId val="921441209"/>
        <c:axId val="198984669"/>
      </c:lineChart>
      <c:catAx>
        <c:axId val="921441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98984669"/>
      </c:catAx>
      <c:valAx>
        <c:axId val="198984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441209"/>
      </c:valAx>
    </c:plotArea>
    <c:plotVisOnly val="0"/>
  </c:chart>
  <c:spPr>
    <a:solidFill>
      <a:schemeClr val="dk1"/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Monthly Sales Growth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Charts'!$J$5</c:f>
            </c:strRef>
          </c:tx>
          <c:spPr>
            <a:solidFill>
              <a:srgbClr val="3053FF">
                <a:alpha val="20000"/>
              </a:srgbClr>
            </a:solidFill>
            <a:ln cmpd="sng" w="38100">
              <a:solidFill>
                <a:srgbClr val="3053FF"/>
              </a:solidFill>
            </a:ln>
          </c:spPr>
          <c:cat>
            <c:strRef>
              <c:f>'Area Charts'!$I$6:$I$17</c:f>
            </c:strRef>
          </c:cat>
          <c:val>
            <c:numRef>
              <c:f>'Area Charts'!$J$6:$J$17</c:f>
              <c:numCache/>
            </c:numRef>
          </c:val>
        </c:ser>
        <c:axId val="1670466788"/>
        <c:axId val="829317966"/>
      </c:areaChart>
      <c:catAx>
        <c:axId val="1670466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829317966"/>
      </c:catAx>
      <c:valAx>
        <c:axId val="829317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670466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Actual vs Projected Sales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Charts'!$J$47</c:f>
            </c:strRef>
          </c:tx>
          <c:spPr>
            <a:solidFill>
              <a:srgbClr val="3053FF">
                <a:alpha val="20000"/>
              </a:srgbClr>
            </a:solidFill>
            <a:ln cmpd="sng">
              <a:solidFill>
                <a:srgbClr val="3053FF"/>
              </a:solidFill>
            </a:ln>
          </c:spPr>
          <c:cat>
            <c:strRef>
              <c:f>'Area Charts'!$I$48:$I$59</c:f>
            </c:strRef>
          </c:cat>
          <c:val>
            <c:numRef>
              <c:f>'Area Charts'!$J$48:$J$59</c:f>
              <c:numCache/>
            </c:numRef>
          </c:val>
        </c:ser>
        <c:ser>
          <c:idx val="1"/>
          <c:order val="1"/>
          <c:tx>
            <c:strRef>
              <c:f>'Area Charts'!$K$47</c:f>
            </c:strRef>
          </c:tx>
          <c:spPr>
            <a:solidFill>
              <a:schemeClr val="accent2">
                <a:alpha val="20000"/>
              </a:schemeClr>
            </a:solidFill>
            <a:ln cmpd="sng">
              <a:solidFill>
                <a:schemeClr val="accent2"/>
              </a:solidFill>
            </a:ln>
          </c:spPr>
          <c:cat>
            <c:strRef>
              <c:f>'Area Charts'!$I$48:$I$59</c:f>
            </c:strRef>
          </c:cat>
          <c:val>
            <c:numRef>
              <c:f>'Area Charts'!$K$48:$K$59</c:f>
              <c:numCache/>
            </c:numRef>
          </c:val>
        </c:ser>
        <c:axId val="1045040217"/>
        <c:axId val="1887665046"/>
      </c:areaChart>
      <c:catAx>
        <c:axId val="1045040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887665046"/>
      </c:catAx>
      <c:valAx>
        <c:axId val="1887665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045040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Quarterly Product Sales</a:t>
            </a:r>
          </a:p>
        </c:rich>
      </c:tx>
      <c:overlay val="0"/>
    </c:title>
    <c:plotArea>
      <c:layout>
        <c:manualLayout>
          <c:xMode val="edge"/>
          <c:yMode val="edge"/>
          <c:x val="0.04583333333333333"/>
          <c:y val="0.21909254267744827"/>
          <c:w val="0.91"/>
          <c:h val="0.6690476190476191"/>
        </c:manualLayout>
      </c:layout>
      <c:areaChart>
        <c:grouping val="stacked"/>
        <c:ser>
          <c:idx val="0"/>
          <c:order val="0"/>
          <c:tx>
            <c:strRef>
              <c:f>'Area Charts'!$L$89</c:f>
            </c:strRef>
          </c:tx>
          <c:spPr>
            <a:solidFill>
              <a:srgbClr val="3053FF">
                <a:alpha val="20000"/>
              </a:srgbClr>
            </a:solidFill>
            <a:ln cmpd="sng" w="28575">
              <a:solidFill>
                <a:srgbClr val="3053FF"/>
              </a:solidFill>
            </a:ln>
          </c:spPr>
          <c:cat>
            <c:strRef>
              <c:f>'Area Charts'!$I$90:$I$93</c:f>
            </c:strRef>
          </c:cat>
          <c:val>
            <c:numRef>
              <c:f>'Area Charts'!$L$90:$L$93</c:f>
              <c:numCache/>
            </c:numRef>
          </c:val>
        </c:ser>
        <c:ser>
          <c:idx val="1"/>
          <c:order val="1"/>
          <c:tx>
            <c:strRef>
              <c:f>'Area Charts'!$K$89</c:f>
            </c:strRef>
          </c:tx>
          <c:spPr>
            <a:solidFill>
              <a:srgbClr val="3BCEE4">
                <a:alpha val="20000"/>
              </a:srgbClr>
            </a:solidFill>
            <a:ln cmpd="sng" w="28575">
              <a:solidFill>
                <a:srgbClr val="3BCEE4"/>
              </a:solidFill>
            </a:ln>
          </c:spPr>
          <c:cat>
            <c:strRef>
              <c:f>'Area Charts'!$I$90:$I$93</c:f>
            </c:strRef>
          </c:cat>
          <c:val>
            <c:numRef>
              <c:f>'Area Charts'!$K$90:$K$93</c:f>
              <c:numCache/>
            </c:numRef>
          </c:val>
        </c:ser>
        <c:ser>
          <c:idx val="2"/>
          <c:order val="2"/>
          <c:tx>
            <c:strRef>
              <c:f>'Area Charts'!$J$89</c:f>
            </c:strRef>
          </c:tx>
          <c:spPr>
            <a:solidFill>
              <a:srgbClr val="06C167">
                <a:alpha val="20000"/>
              </a:srgbClr>
            </a:solidFill>
            <a:ln cmpd="sng" w="28575">
              <a:solidFill>
                <a:srgbClr val="06C167"/>
              </a:solidFill>
            </a:ln>
          </c:spPr>
          <c:cat>
            <c:strRef>
              <c:f>'Area Charts'!$I$90:$I$93</c:f>
            </c:strRef>
          </c:cat>
          <c:val>
            <c:numRef>
              <c:f>'Area Charts'!$J$90:$J$93</c:f>
              <c:numCache/>
            </c:numRef>
          </c:val>
        </c:ser>
        <c:axId val="1777583783"/>
        <c:axId val="1068538526"/>
      </c:areaChart>
      <c:catAx>
        <c:axId val="1777583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068538526"/>
      </c:catAx>
      <c:valAx>
        <c:axId val="106853852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1777583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Monthly Revenue Contribution</a:t>
            </a:r>
          </a:p>
        </c:rich>
      </c:tx>
      <c:overlay val="0"/>
    </c:title>
    <c:plotArea>
      <c:layout>
        <c:manualLayout>
          <c:xMode val="edge"/>
          <c:yMode val="edge"/>
          <c:x val="0.034166666666666665"/>
          <c:y val="0.13611859838274934"/>
          <c:w val="0.9349166666666667"/>
          <c:h val="0.7088948787061995"/>
        </c:manualLayout>
      </c:layout>
      <c:areaChart>
        <c:grouping val="percentStacked"/>
        <c:ser>
          <c:idx val="0"/>
          <c:order val="0"/>
          <c:tx>
            <c:strRef>
              <c:f>'Area Charts'!$J$110</c:f>
            </c:strRef>
          </c:tx>
          <c:spPr>
            <a:solidFill>
              <a:srgbClr val="3053FF">
                <a:alpha val="20000"/>
              </a:srgbClr>
            </a:solidFill>
            <a:ln cmpd="sng" w="28575">
              <a:solidFill>
                <a:srgbClr val="3053FF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Charts'!$J$111:$J$122</c:f>
              <c:numCache/>
            </c:numRef>
          </c:val>
        </c:ser>
        <c:ser>
          <c:idx val="1"/>
          <c:order val="1"/>
          <c:tx>
            <c:strRef>
              <c:f>'Area Charts'!$K$110</c:f>
            </c:strRef>
          </c:tx>
          <c:spPr>
            <a:solidFill>
              <a:srgbClr val="3BCEE4">
                <a:alpha val="20000"/>
              </a:srgbClr>
            </a:solidFill>
            <a:ln cmpd="sng" w="28575">
              <a:solidFill>
                <a:srgbClr val="3BCEE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Charts'!$K$111:$K$122</c:f>
              <c:numCache/>
            </c:numRef>
          </c:val>
        </c:ser>
        <c:ser>
          <c:idx val="2"/>
          <c:order val="2"/>
          <c:tx>
            <c:strRef>
              <c:f>'Area Charts'!$L$110</c:f>
            </c:strRef>
          </c:tx>
          <c:spPr>
            <a:solidFill>
              <a:srgbClr val="06C167">
                <a:alpha val="20000"/>
              </a:srgbClr>
            </a:solidFill>
            <a:ln cmpd="sng" w="28575">
              <a:solidFill>
                <a:srgbClr val="06C167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Charts'!$L$111:$L$122</c:f>
              <c:numCache/>
            </c:numRef>
          </c:val>
        </c:ser>
        <c:ser>
          <c:idx val="3"/>
          <c:order val="3"/>
          <c:tx>
            <c:strRef>
              <c:f>'Area Charts'!$M$110</c:f>
            </c:strRef>
          </c:tx>
          <c:spPr>
            <a:solidFill>
              <a:srgbClr val="E142BC">
                <a:alpha val="20000"/>
              </a:srgbClr>
            </a:solidFill>
            <a:ln cmpd="sng" w="28575">
              <a:solidFill>
                <a:srgbClr val="E142BC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Charts'!$M$111:$M$122</c:f>
              <c:numCache/>
            </c:numRef>
          </c:val>
        </c:ser>
        <c:axId val="2027569889"/>
        <c:axId val="919261512"/>
      </c:areaChart>
      <c:catAx>
        <c:axId val="2027569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919261512"/>
      </c:catAx>
      <c:valAx>
        <c:axId val="919261512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Roboto"/>
              </a:defRPr>
            </a:pPr>
          </a:p>
        </c:txPr>
        <c:crossAx val="202756988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Temperature by Hour			</a:t>
            </a:r>
          </a:p>
        </c:rich>
      </c:tx>
      <c:overlay val="0"/>
    </c:title>
    <c:plotArea>
      <c:layout>
        <c:manualLayout>
          <c:xMode val="edge"/>
          <c:yMode val="edge"/>
          <c:x val="0.034166666666666665"/>
          <c:y val="0.2190925426774483"/>
          <c:w val="0.9349166666666667"/>
          <c:h val="0.6015274034141957"/>
        </c:manualLayout>
      </c:layout>
      <c:areaChart>
        <c:grouping val="stacked"/>
        <c:ser>
          <c:idx val="1"/>
          <c:order val="1"/>
          <c:tx>
            <c:strRef>
              <c:f>'Area Charts'!$K$131</c:f>
            </c:strRef>
          </c:tx>
          <c:spPr>
            <a:solidFill>
              <a:schemeClr val="accent6">
                <a:alpha val="0"/>
              </a:schemeClr>
            </a:solidFill>
            <a:ln cmpd="sng" w="28575">
              <a:solidFill>
                <a:schemeClr val="accent6"/>
              </a:solidFill>
            </a:ln>
          </c:spPr>
          <c:cat>
            <c:strRef>
              <c:f>'Area Charts'!$I$132:$I$144</c:f>
            </c:strRef>
          </c:cat>
          <c:val>
            <c:numRef>
              <c:f>'Area Charts'!$K$132:$K$144</c:f>
              <c:numCache/>
            </c:numRef>
          </c:val>
        </c:ser>
        <c:ser>
          <c:idx val="2"/>
          <c:order val="2"/>
          <c:tx>
            <c:strRef>
              <c:f>'Area Charts'!$M$131</c:f>
            </c:strRef>
          </c:tx>
          <c:spPr>
            <a:solidFill>
              <a:schemeClr val="accent2">
                <a:alpha val="20000"/>
              </a:schemeClr>
            </a:solidFill>
            <a:ln cmpd="sng" w="28575">
              <a:solidFill>
                <a:schemeClr val="accent2"/>
              </a:solidFill>
            </a:ln>
          </c:spPr>
          <c:cat>
            <c:strRef>
              <c:f>'Area Charts'!$I$132:$I$144</c:f>
            </c:strRef>
          </c:cat>
          <c:val>
            <c:numRef>
              <c:f>'Area Charts'!$M$132:$M$144</c:f>
              <c:numCache/>
            </c:numRef>
          </c:val>
        </c:ser>
        <c:axId val="1324996191"/>
        <c:axId val="885209345"/>
      </c:areaChart>
      <c:lineChart>
        <c:varyColors val="0"/>
        <c:ser>
          <c:idx val="0"/>
          <c:order val="0"/>
          <c:tx>
            <c:strRef>
              <c:f>'Area Charts'!$J$131</c:f>
            </c:strRef>
          </c:tx>
          <c:spPr>
            <a:ln cmpd="sng" w="28575">
              <a:solidFill>
                <a:srgbClr val="3053FF"/>
              </a:solidFill>
            </a:ln>
          </c:spPr>
          <c:marker>
            <c:symbol val="circle"/>
            <c:size val="7"/>
            <c:spPr>
              <a:solidFill>
                <a:srgbClr val="3053FF"/>
              </a:solidFill>
              <a:ln cmpd="sng">
                <a:solidFill>
                  <a:srgbClr val="3053FF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Charts'!$I$132:$I$144</c:f>
            </c:strRef>
          </c:cat>
          <c:val>
            <c:numRef>
              <c:f>'Area Charts'!$J$132:$J$144</c:f>
              <c:numCache/>
            </c:numRef>
          </c:val>
          <c:smooth val="0"/>
        </c:ser>
        <c:axId val="1324996191"/>
        <c:axId val="885209345"/>
      </c:lineChart>
      <c:catAx>
        <c:axId val="1324996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885209345"/>
      </c:catAx>
      <c:valAx>
        <c:axId val="885209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249961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Products sold by Month</a:t>
            </a:r>
          </a:p>
        </c:rich>
      </c:tx>
      <c:overlay val="0"/>
    </c:title>
    <c:plotArea>
      <c:layout>
        <c:manualLayout>
          <c:xMode val="edge"/>
          <c:yMode val="edge"/>
          <c:x val="0.034166666666666665"/>
          <c:y val="0.22776280323450135"/>
          <c:w val="0.9349166666666667"/>
          <c:h val="0.6737196765498652"/>
        </c:manualLayout>
      </c:layout>
      <c:areaChart>
        <c:grouping val="stacked"/>
        <c:ser>
          <c:idx val="0"/>
          <c:order val="0"/>
          <c:tx>
            <c:strRef>
              <c:f>'Area Charts'!$N$152</c:f>
            </c:strRef>
          </c:tx>
          <c:spPr>
            <a:solidFill>
              <a:srgbClr val="3053FF">
                <a:alpha val="20000"/>
              </a:srgbClr>
            </a:solidFill>
            <a:ln cmpd="sng" w="28575">
              <a:solidFill>
                <a:srgbClr val="3053FF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Charts'!$N$153:$N$164</c:f>
              <c:numCache/>
            </c:numRef>
          </c:val>
        </c:ser>
        <c:ser>
          <c:idx val="1"/>
          <c:order val="1"/>
          <c:tx>
            <c:strRef>
              <c:f>'Area Charts'!$O$152</c:f>
            </c:strRef>
          </c:tx>
          <c:spPr>
            <a:solidFill>
              <a:srgbClr val="3BCEE4">
                <a:alpha val="20000"/>
              </a:srgbClr>
            </a:solidFill>
            <a:ln cmpd="sng" w="28575">
              <a:solidFill>
                <a:srgbClr val="3BCEE4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Charts'!$O$153:$O$164</c:f>
              <c:numCache/>
            </c:numRef>
          </c:val>
        </c:ser>
        <c:ser>
          <c:idx val="2"/>
          <c:order val="2"/>
          <c:tx>
            <c:strRef>
              <c:f>'Area Charts'!$P$152</c:f>
            </c:strRef>
          </c:tx>
          <c:spPr>
            <a:solidFill>
              <a:srgbClr val="06C167">
                <a:alpha val="20000"/>
              </a:srgbClr>
            </a:solidFill>
            <a:ln cmpd="sng" w="28575">
              <a:solidFill>
                <a:srgbClr val="06C167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Charts'!$P$153:$P$164</c:f>
              <c:numCache/>
            </c:numRef>
          </c:val>
        </c:ser>
        <c:ser>
          <c:idx val="3"/>
          <c:order val="3"/>
          <c:tx>
            <c:strRef>
              <c:f>'Area Charts'!$Q$152</c:f>
            </c:strRef>
          </c:tx>
          <c:spPr>
            <a:solidFill>
              <a:srgbClr val="E142BC">
                <a:alpha val="20000"/>
              </a:srgbClr>
            </a:solidFill>
            <a:ln cmpd="sng" w="28575">
              <a:solidFill>
                <a:srgbClr val="E142BC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Charts'!$Q$153:$Q$164</c:f>
              <c:numCache/>
            </c:numRef>
          </c:val>
        </c:ser>
        <c:axId val="1376727377"/>
        <c:axId val="951528785"/>
      </c:areaChart>
      <c:catAx>
        <c:axId val="1376727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951528785"/>
      </c:catAx>
      <c:valAx>
        <c:axId val="951528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1376727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 Inventory Levels by Month</a:t>
            </a:r>
          </a:p>
        </c:rich>
      </c:tx>
      <c:overlay val="0"/>
    </c:title>
    <c:plotArea>
      <c:layout>
        <c:manualLayout>
          <c:xMode val="edge"/>
          <c:yMode val="edge"/>
          <c:x val="0.025833333333333333"/>
          <c:y val="0.15341419586702604"/>
          <c:w val="0.94325"/>
          <c:h val="0.7480682839173405"/>
        </c:manualLayout>
      </c:layout>
      <c:areaChart>
        <c:ser>
          <c:idx val="0"/>
          <c:order val="0"/>
          <c:tx>
            <c:strRef>
              <c:f>'Area Charts'!$J$26</c:f>
            </c:strRef>
          </c:tx>
          <c:spPr>
            <a:solidFill>
              <a:schemeClr val="accent1">
                <a:alpha val="20000"/>
              </a:schemeClr>
            </a:solidFill>
            <a:ln cmpd="sng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3053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Charts'!$I$27:$I$34</c:f>
            </c:strRef>
          </c:cat>
          <c:val>
            <c:numRef>
              <c:f>'Area Charts'!$J$27:$J$34</c:f>
              <c:numCache/>
            </c:numRef>
          </c:val>
        </c:ser>
        <c:axId val="507979381"/>
        <c:axId val="1156832519"/>
      </c:areaChart>
      <c:catAx>
        <c:axId val="507979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156832519"/>
      </c:catAx>
      <c:valAx>
        <c:axId val="1156832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507979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Target vs Actual Expense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1"/>
          <c:order val="1"/>
          <c:tx>
            <c:strRef>
              <c:f>'Area Charts'!$L$68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'Area Charts'!$I$69:$I$78</c:f>
            </c:strRef>
          </c:cat>
          <c:val>
            <c:numRef>
              <c:f>'Area Charts'!$L$69:$L$78</c:f>
              <c:numCache/>
            </c:numRef>
          </c:val>
        </c:ser>
        <c:ser>
          <c:idx val="2"/>
          <c:order val="2"/>
          <c:tx>
            <c:strRef>
              <c:f>'Area Charts'!$M$68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2"/>
          </c:dPt>
          <c:dPt>
            <c:idx val="5"/>
          </c:dPt>
          <c:cat>
            <c:strRef>
              <c:f>'Area Charts'!$I$69:$I$78</c:f>
            </c:strRef>
          </c:cat>
          <c:val>
            <c:numRef>
              <c:f>'Area Charts'!$M$69:$M$78</c:f>
              <c:numCache/>
            </c:numRef>
          </c:val>
        </c:ser>
        <c:overlap val="100"/>
        <c:axId val="339778734"/>
        <c:axId val="2030713523"/>
      </c:barChart>
      <c:areaChart>
        <c:grouping val="stacked"/>
        <c:ser>
          <c:idx val="0"/>
          <c:order val="0"/>
          <c:tx>
            <c:strRef>
              <c:f>'Area Charts'!$J$68</c:f>
            </c:strRef>
          </c:tx>
          <c:spPr>
            <a:solidFill>
              <a:schemeClr val="accent6">
                <a:alpha val="20000"/>
              </a:schemeClr>
            </a:solidFill>
            <a:ln cmpd="sng">
              <a:solidFill>
                <a:schemeClr val="accent6"/>
              </a:solidFill>
            </a:ln>
          </c:spPr>
          <c:cat>
            <c:strRef>
              <c:f>'Area Charts'!$I$69:$I$78</c:f>
            </c:strRef>
          </c:cat>
          <c:val>
            <c:numRef>
              <c:f>'Area Charts'!$J$69:$J$78</c:f>
              <c:numCache/>
            </c:numRef>
          </c:val>
        </c:ser>
        <c:axId val="339778734"/>
        <c:axId val="2030713523"/>
      </c:areaChart>
      <c:catAx>
        <c:axId val="339778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2030713523"/>
      </c:catAx>
      <c:valAx>
        <c:axId val="2030713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39778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Products sold by Month</a:t>
            </a:r>
          </a:p>
        </c:rich>
      </c:tx>
      <c:overlay val="0"/>
    </c:title>
    <c:plotArea>
      <c:layout>
        <c:manualLayout>
          <c:xMode val="edge"/>
          <c:yMode val="edge"/>
          <c:x val="0.03100338218714769"/>
          <c:y val="0.13069216757741348"/>
          <c:w val="0.9402480270574972"/>
          <c:h val="0.7865209471766847"/>
        </c:manualLayout>
      </c:layout>
      <c:areaChart>
        <c:grouping val="stacked"/>
        <c:ser>
          <c:idx val="1"/>
          <c:order val="1"/>
          <c:tx>
            <c:strRef>
              <c:f>'Area Charts'!$DD$172</c:f>
            </c:strRef>
          </c:tx>
          <c:spPr>
            <a:solidFill>
              <a:srgbClr val="93C47D">
                <a:alpha val="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Charts'!$DD$173:$DD$184</c:f>
              <c:numCache/>
            </c:numRef>
          </c:val>
        </c:ser>
        <c:ser>
          <c:idx val="2"/>
          <c:order val="2"/>
          <c:tx>
            <c:strRef>
              <c:f>'Area Charts'!$K$172</c:f>
            </c:strRef>
          </c:tx>
          <c:spPr>
            <a:solidFill>
              <a:srgbClr val="93C47D">
                <a:alpha val="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Charts'!$K$173:$K$184</c:f>
              <c:numCache/>
            </c:numRef>
          </c:val>
        </c:ser>
        <c:ser>
          <c:idx val="3"/>
          <c:order val="3"/>
          <c:tx>
            <c:strRef>
              <c:f>'Area Charts'!$L$172</c:f>
            </c:strRef>
          </c:tx>
          <c:spPr>
            <a:solidFill>
              <a:srgbClr val="93C47D">
                <a:alpha val="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Charts'!$L$173:$L$184</c:f>
              <c:numCache/>
            </c:numRef>
          </c:val>
        </c:ser>
        <c:ser>
          <c:idx val="4"/>
          <c:order val="4"/>
          <c:tx>
            <c:strRef>
              <c:f>'Area Charts'!$M$172</c:f>
            </c:strRef>
          </c:tx>
          <c:spPr>
            <a:solidFill>
              <a:srgbClr val="93C47D">
                <a:alpha val="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Charts'!$M$173:$M$184</c:f>
              <c:numCache/>
            </c:numRef>
          </c:val>
        </c:ser>
        <c:ser>
          <c:idx val="5"/>
          <c:order val="5"/>
          <c:tx>
            <c:strRef>
              <c:f>'Area Charts'!$N$172</c:f>
            </c:strRef>
          </c:tx>
          <c:spPr>
            <a:solidFill>
              <a:srgbClr val="93C47D">
                <a:alpha val="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Charts'!$N$173:$N$184</c:f>
              <c:numCache/>
            </c:numRef>
          </c:val>
        </c:ser>
        <c:ser>
          <c:idx val="6"/>
          <c:order val="6"/>
          <c:tx>
            <c:strRef>
              <c:f>'Area Charts'!$O$172</c:f>
            </c:strRef>
          </c:tx>
          <c:spPr>
            <a:solidFill>
              <a:srgbClr val="93C47D">
                <a:alpha val="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Charts'!$O$173:$O$184</c:f>
              <c:numCache/>
            </c:numRef>
          </c:val>
        </c:ser>
        <c:ser>
          <c:idx val="7"/>
          <c:order val="7"/>
          <c:tx>
            <c:strRef>
              <c:f>'Area Charts'!$P$172</c:f>
            </c:strRef>
          </c:tx>
          <c:spPr>
            <a:solidFill>
              <a:srgbClr val="93C47D">
                <a:alpha val="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Charts'!$P$173:$P$184</c:f>
              <c:numCache/>
            </c:numRef>
          </c:val>
        </c:ser>
        <c:ser>
          <c:idx val="8"/>
          <c:order val="8"/>
          <c:tx>
            <c:strRef>
              <c:f>'Area Charts'!$Q$172</c:f>
            </c:strRef>
          </c:tx>
          <c:spPr>
            <a:solidFill>
              <a:srgbClr val="93C47D">
                <a:alpha val="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Charts'!$Q$173:$Q$184</c:f>
              <c:numCache/>
            </c:numRef>
          </c:val>
        </c:ser>
        <c:ser>
          <c:idx val="9"/>
          <c:order val="9"/>
          <c:tx>
            <c:strRef>
              <c:f>'Area Charts'!$R$172</c:f>
            </c:strRef>
          </c:tx>
          <c:spPr>
            <a:solidFill>
              <a:srgbClr val="93C47D">
                <a:alpha val="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Charts'!$R$173:$R$184</c:f>
              <c:numCache/>
            </c:numRef>
          </c:val>
        </c:ser>
        <c:ser>
          <c:idx val="10"/>
          <c:order val="10"/>
          <c:tx>
            <c:strRef>
              <c:f>'Area Charts'!$S$172</c:f>
            </c:strRef>
          </c:tx>
          <c:spPr>
            <a:solidFill>
              <a:srgbClr val="93C47D">
                <a:alpha val="1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Charts'!$S$173:$S$184</c:f>
              <c:numCache/>
            </c:numRef>
          </c:val>
        </c:ser>
        <c:ser>
          <c:idx val="11"/>
          <c:order val="11"/>
          <c:tx>
            <c:strRef>
              <c:f>'Area Charts'!$T$172</c:f>
            </c:strRef>
          </c:tx>
          <c:spPr>
            <a:solidFill>
              <a:srgbClr val="93C47D">
                <a:alpha val="1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Charts'!$T$173:$T$184</c:f>
              <c:numCache/>
            </c:numRef>
          </c:val>
        </c:ser>
        <c:ser>
          <c:idx val="12"/>
          <c:order val="12"/>
          <c:tx>
            <c:strRef>
              <c:f>'Area Charts'!$U$172</c:f>
            </c:strRef>
          </c:tx>
          <c:spPr>
            <a:solidFill>
              <a:srgbClr val="93C47D">
                <a:alpha val="1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Charts'!$U$173:$U$184</c:f>
              <c:numCache/>
            </c:numRef>
          </c:val>
        </c:ser>
        <c:ser>
          <c:idx val="13"/>
          <c:order val="13"/>
          <c:tx>
            <c:strRef>
              <c:f>'Area Charts'!$V$172</c:f>
            </c:strRef>
          </c:tx>
          <c:spPr>
            <a:solidFill>
              <a:srgbClr val="93C47D">
                <a:alpha val="1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Charts'!$V$173:$V$184</c:f>
              <c:numCache/>
            </c:numRef>
          </c:val>
        </c:ser>
        <c:ser>
          <c:idx val="14"/>
          <c:order val="14"/>
          <c:tx>
            <c:strRef>
              <c:f>'Area Charts'!$W$172</c:f>
            </c:strRef>
          </c:tx>
          <c:spPr>
            <a:solidFill>
              <a:srgbClr val="93C47D">
                <a:alpha val="1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Charts'!$W$173:$W$184</c:f>
              <c:numCache/>
            </c:numRef>
          </c:val>
        </c:ser>
        <c:ser>
          <c:idx val="15"/>
          <c:order val="15"/>
          <c:tx>
            <c:strRef>
              <c:f>'Area Charts'!$X$172</c:f>
            </c:strRef>
          </c:tx>
          <c:spPr>
            <a:solidFill>
              <a:srgbClr val="93C47D">
                <a:alpha val="1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Charts'!$X$173:$X$184</c:f>
              <c:numCache/>
            </c:numRef>
          </c:val>
        </c:ser>
        <c:ser>
          <c:idx val="16"/>
          <c:order val="16"/>
          <c:tx>
            <c:strRef>
              <c:f>'Area Charts'!$Y$172</c:f>
            </c:strRef>
          </c:tx>
          <c:spPr>
            <a:solidFill>
              <a:srgbClr val="93C47D">
                <a:alpha val="1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Charts'!$Y$173:$Y$184</c:f>
              <c:numCache/>
            </c:numRef>
          </c:val>
        </c:ser>
        <c:ser>
          <c:idx val="17"/>
          <c:order val="17"/>
          <c:tx>
            <c:strRef>
              <c:f>'Area Charts'!$Z$172</c:f>
            </c:strRef>
          </c:tx>
          <c:spPr>
            <a:solidFill>
              <a:srgbClr val="93C47D">
                <a:alpha val="1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Charts'!$Z$173:$Z$184</c:f>
              <c:numCache/>
            </c:numRef>
          </c:val>
        </c:ser>
        <c:ser>
          <c:idx val="18"/>
          <c:order val="18"/>
          <c:tx>
            <c:strRef>
              <c:f>'Area Charts'!$AA$172</c:f>
            </c:strRef>
          </c:tx>
          <c:spPr>
            <a:solidFill>
              <a:srgbClr val="93C47D">
                <a:alpha val="1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Charts'!$AA$173:$AA$184</c:f>
              <c:numCache/>
            </c:numRef>
          </c:val>
        </c:ser>
        <c:ser>
          <c:idx val="19"/>
          <c:order val="19"/>
          <c:tx>
            <c:strRef>
              <c:f>'Area Charts'!$AB$172</c:f>
            </c:strRef>
          </c:tx>
          <c:spPr>
            <a:solidFill>
              <a:srgbClr val="93C47D">
                <a:alpha val="1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Charts'!$AB$173:$AB$184</c:f>
              <c:numCache/>
            </c:numRef>
          </c:val>
        </c:ser>
        <c:ser>
          <c:idx val="20"/>
          <c:order val="20"/>
          <c:tx>
            <c:strRef>
              <c:f>'Area Charts'!$AC$172</c:f>
            </c:strRef>
          </c:tx>
          <c:spPr>
            <a:solidFill>
              <a:srgbClr val="93C47D">
                <a:alpha val="2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Charts'!$AC$173:$AC$184</c:f>
              <c:numCache/>
            </c:numRef>
          </c:val>
        </c:ser>
        <c:ser>
          <c:idx val="21"/>
          <c:order val="21"/>
          <c:tx>
            <c:strRef>
              <c:f>'Area Charts'!$AD$172</c:f>
            </c:strRef>
          </c:tx>
          <c:spPr>
            <a:solidFill>
              <a:srgbClr val="93C47D">
                <a:alpha val="2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Charts'!$AD$173:$AD$184</c:f>
              <c:numCache/>
            </c:numRef>
          </c:val>
        </c:ser>
        <c:ser>
          <c:idx val="22"/>
          <c:order val="22"/>
          <c:tx>
            <c:strRef>
              <c:f>'Area Charts'!$AE$172</c:f>
            </c:strRef>
          </c:tx>
          <c:spPr>
            <a:solidFill>
              <a:srgbClr val="93C47D">
                <a:alpha val="2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Charts'!$AE$173:$AE$184</c:f>
              <c:numCache/>
            </c:numRef>
          </c:val>
        </c:ser>
        <c:ser>
          <c:idx val="23"/>
          <c:order val="23"/>
          <c:tx>
            <c:strRef>
              <c:f>'Area Charts'!$AF$172</c:f>
            </c:strRef>
          </c:tx>
          <c:spPr>
            <a:solidFill>
              <a:srgbClr val="93C47D">
                <a:alpha val="2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Charts'!$AF$173:$AF$184</c:f>
              <c:numCache/>
            </c:numRef>
          </c:val>
        </c:ser>
        <c:ser>
          <c:idx val="24"/>
          <c:order val="24"/>
          <c:tx>
            <c:strRef>
              <c:f>'Area Charts'!$AG$172</c:f>
            </c:strRef>
          </c:tx>
          <c:spPr>
            <a:solidFill>
              <a:srgbClr val="93C47D">
                <a:alpha val="2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Charts'!$AG$173:$AG$184</c:f>
              <c:numCache/>
            </c:numRef>
          </c:val>
        </c:ser>
        <c:ser>
          <c:idx val="25"/>
          <c:order val="25"/>
          <c:tx>
            <c:strRef>
              <c:f>'Area Charts'!$AH$172</c:f>
            </c:strRef>
          </c:tx>
          <c:spPr>
            <a:solidFill>
              <a:srgbClr val="93C47D">
                <a:alpha val="2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Charts'!$AH$173:$AH$184</c:f>
              <c:numCache/>
            </c:numRef>
          </c:val>
        </c:ser>
        <c:ser>
          <c:idx val="26"/>
          <c:order val="26"/>
          <c:tx>
            <c:strRef>
              <c:f>'Area Charts'!$AI$172</c:f>
            </c:strRef>
          </c:tx>
          <c:spPr>
            <a:solidFill>
              <a:srgbClr val="93C47D">
                <a:alpha val="2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Charts'!$AI$173:$AI$184</c:f>
              <c:numCache/>
            </c:numRef>
          </c:val>
        </c:ser>
        <c:ser>
          <c:idx val="27"/>
          <c:order val="27"/>
          <c:tx>
            <c:strRef>
              <c:f>'Area Charts'!$AJ$172</c:f>
            </c:strRef>
          </c:tx>
          <c:spPr>
            <a:solidFill>
              <a:srgbClr val="93C47D">
                <a:alpha val="2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Charts'!$AJ$173:$AJ$184</c:f>
              <c:numCache/>
            </c:numRef>
          </c:val>
        </c:ser>
        <c:ser>
          <c:idx val="28"/>
          <c:order val="28"/>
          <c:tx>
            <c:strRef>
              <c:f>'Area Charts'!$AK$172</c:f>
            </c:strRef>
          </c:tx>
          <c:spPr>
            <a:solidFill>
              <a:srgbClr val="93C47D">
                <a:alpha val="2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Charts'!$AK$173:$AK$184</c:f>
              <c:numCache/>
            </c:numRef>
          </c:val>
        </c:ser>
        <c:ser>
          <c:idx val="29"/>
          <c:order val="29"/>
          <c:tx>
            <c:strRef>
              <c:f>'Area Charts'!$AL$172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Charts'!$AL$173:$AL$184</c:f>
              <c:numCache/>
            </c:numRef>
          </c:val>
        </c:ser>
        <c:ser>
          <c:idx val="30"/>
          <c:order val="30"/>
          <c:tx>
            <c:strRef>
              <c:f>'Area Charts'!$AM$172</c:f>
            </c:strRef>
          </c:tx>
          <c:spPr>
            <a:solidFill>
              <a:srgbClr val="93C47D">
                <a:alpha val="3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Charts'!$AM$173:$AM$184</c:f>
              <c:numCache/>
            </c:numRef>
          </c:val>
        </c:ser>
        <c:ser>
          <c:idx val="31"/>
          <c:order val="31"/>
          <c:tx>
            <c:strRef>
              <c:f>'Area Charts'!$AN$172</c:f>
            </c:strRef>
          </c:tx>
          <c:spPr>
            <a:solidFill>
              <a:srgbClr val="93C47D">
                <a:alpha val="3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Charts'!$AN$173:$AN$184</c:f>
              <c:numCache/>
            </c:numRef>
          </c:val>
        </c:ser>
        <c:ser>
          <c:idx val="32"/>
          <c:order val="32"/>
          <c:tx>
            <c:strRef>
              <c:f>'Area Charts'!$AO$172</c:f>
            </c:strRef>
          </c:tx>
          <c:spPr>
            <a:solidFill>
              <a:srgbClr val="93C47D">
                <a:alpha val="3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Charts'!$AO$173:$AO$184</c:f>
              <c:numCache/>
            </c:numRef>
          </c:val>
        </c:ser>
        <c:ser>
          <c:idx val="33"/>
          <c:order val="33"/>
          <c:tx>
            <c:strRef>
              <c:f>'Area Charts'!$AP$172</c:f>
            </c:strRef>
          </c:tx>
          <c:spPr>
            <a:solidFill>
              <a:srgbClr val="93C47D">
                <a:alpha val="3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Charts'!$AP$173:$AP$184</c:f>
              <c:numCache/>
            </c:numRef>
          </c:val>
        </c:ser>
        <c:ser>
          <c:idx val="34"/>
          <c:order val="34"/>
          <c:tx>
            <c:strRef>
              <c:f>'Area Charts'!$AQ$172</c:f>
            </c:strRef>
          </c:tx>
          <c:spPr>
            <a:solidFill>
              <a:srgbClr val="93C47D">
                <a:alpha val="3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Charts'!$AQ$173:$AQ$184</c:f>
              <c:numCache/>
            </c:numRef>
          </c:val>
        </c:ser>
        <c:ser>
          <c:idx val="35"/>
          <c:order val="35"/>
          <c:tx>
            <c:strRef>
              <c:f>'Area Charts'!$AR$172</c:f>
            </c:strRef>
          </c:tx>
          <c:spPr>
            <a:solidFill>
              <a:srgbClr val="93C47D">
                <a:alpha val="3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Charts'!$AR$173:$AR$184</c:f>
              <c:numCache/>
            </c:numRef>
          </c:val>
        </c:ser>
        <c:ser>
          <c:idx val="36"/>
          <c:order val="36"/>
          <c:tx>
            <c:strRef>
              <c:f>'Area Charts'!$AS$172</c:f>
            </c:strRef>
          </c:tx>
          <c:spPr>
            <a:solidFill>
              <a:srgbClr val="93C47D">
                <a:alpha val="3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Charts'!$AS$173:$AS$184</c:f>
              <c:numCache/>
            </c:numRef>
          </c:val>
        </c:ser>
        <c:ser>
          <c:idx val="37"/>
          <c:order val="37"/>
          <c:tx>
            <c:strRef>
              <c:f>'Area Charts'!$AT$172</c:f>
            </c:strRef>
          </c:tx>
          <c:spPr>
            <a:solidFill>
              <a:srgbClr val="93C47D">
                <a:alpha val="3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Charts'!$AT$173:$AT$184</c:f>
              <c:numCache/>
            </c:numRef>
          </c:val>
        </c:ser>
        <c:ser>
          <c:idx val="38"/>
          <c:order val="38"/>
          <c:tx>
            <c:strRef>
              <c:f>'Area Charts'!$AU$172</c:f>
            </c:strRef>
          </c:tx>
          <c:spPr>
            <a:solidFill>
              <a:srgbClr val="93C47D">
                <a:alpha val="3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Charts'!$AU$173:$AU$184</c:f>
              <c:numCache/>
            </c:numRef>
          </c:val>
        </c:ser>
        <c:ser>
          <c:idx val="39"/>
          <c:order val="39"/>
          <c:tx>
            <c:strRef>
              <c:f>'Area Charts'!$AV$172</c:f>
            </c:strRef>
          </c:tx>
          <c:spPr>
            <a:solidFill>
              <a:srgbClr val="93C47D">
                <a:alpha val="4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Charts'!$AV$173:$AV$184</c:f>
              <c:numCache/>
            </c:numRef>
          </c:val>
        </c:ser>
        <c:ser>
          <c:idx val="40"/>
          <c:order val="40"/>
          <c:tx>
            <c:strRef>
              <c:f>'Area Charts'!$AW$172</c:f>
            </c:strRef>
          </c:tx>
          <c:spPr>
            <a:solidFill>
              <a:srgbClr val="93C47D">
                <a:alpha val="4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Charts'!$AW$173:$AW$184</c:f>
              <c:numCache/>
            </c:numRef>
          </c:val>
        </c:ser>
        <c:ser>
          <c:idx val="41"/>
          <c:order val="41"/>
          <c:tx>
            <c:strRef>
              <c:f>'Area Charts'!$AX$172</c:f>
            </c:strRef>
          </c:tx>
          <c:spPr>
            <a:solidFill>
              <a:srgbClr val="93C47D">
                <a:alpha val="4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Charts'!$AX$173:$AX$184</c:f>
              <c:numCache/>
            </c:numRef>
          </c:val>
        </c:ser>
        <c:ser>
          <c:idx val="42"/>
          <c:order val="42"/>
          <c:tx>
            <c:strRef>
              <c:f>'Area Charts'!$AY$172</c:f>
            </c:strRef>
          </c:tx>
          <c:spPr>
            <a:solidFill>
              <a:srgbClr val="93C47D">
                <a:alpha val="4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Charts'!$AY$173:$AY$184</c:f>
              <c:numCache/>
            </c:numRef>
          </c:val>
        </c:ser>
        <c:ser>
          <c:idx val="43"/>
          <c:order val="43"/>
          <c:tx>
            <c:strRef>
              <c:f>'Area Charts'!$AZ$172</c:f>
            </c:strRef>
          </c:tx>
          <c:spPr>
            <a:solidFill>
              <a:srgbClr val="93C47D">
                <a:alpha val="4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Charts'!$AZ$173:$AZ$184</c:f>
              <c:numCache/>
            </c:numRef>
          </c:val>
        </c:ser>
        <c:ser>
          <c:idx val="44"/>
          <c:order val="44"/>
          <c:tx>
            <c:strRef>
              <c:f>'Area Charts'!$BA$172</c:f>
            </c:strRef>
          </c:tx>
          <c:spPr>
            <a:solidFill>
              <a:srgbClr val="93C47D">
                <a:alpha val="4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Charts'!$BA$173:$BA$184</c:f>
              <c:numCache/>
            </c:numRef>
          </c:val>
        </c:ser>
        <c:ser>
          <c:idx val="45"/>
          <c:order val="45"/>
          <c:tx>
            <c:strRef>
              <c:f>'Area Charts'!$BB$172</c:f>
            </c:strRef>
          </c:tx>
          <c:spPr>
            <a:solidFill>
              <a:srgbClr val="93C47D">
                <a:alpha val="4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Charts'!$BB$173:$BB$184</c:f>
              <c:numCache/>
            </c:numRef>
          </c:val>
        </c:ser>
        <c:ser>
          <c:idx val="46"/>
          <c:order val="46"/>
          <c:tx>
            <c:strRef>
              <c:f>'Area Charts'!$BC$172</c:f>
            </c:strRef>
          </c:tx>
          <c:spPr>
            <a:solidFill>
              <a:srgbClr val="93C47D">
                <a:alpha val="4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Charts'!$BC$173:$BC$184</c:f>
              <c:numCache/>
            </c:numRef>
          </c:val>
        </c:ser>
        <c:ser>
          <c:idx val="47"/>
          <c:order val="47"/>
          <c:tx>
            <c:strRef>
              <c:f>'Area Charts'!$BD$172</c:f>
            </c:strRef>
          </c:tx>
          <c:spPr>
            <a:solidFill>
              <a:srgbClr val="93C47D">
                <a:alpha val="4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Charts'!$BD$173:$BD$184</c:f>
              <c:numCache/>
            </c:numRef>
          </c:val>
        </c:ser>
        <c:ser>
          <c:idx val="48"/>
          <c:order val="48"/>
          <c:tx>
            <c:strRef>
              <c:f>'Area Charts'!$BE$172</c:f>
            </c:strRef>
          </c:tx>
          <c:spPr>
            <a:solidFill>
              <a:srgbClr val="93C47D">
                <a:alpha val="4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Charts'!$BE$173:$BE$184</c:f>
              <c:numCache/>
            </c:numRef>
          </c:val>
        </c:ser>
        <c:ser>
          <c:idx val="49"/>
          <c:order val="49"/>
          <c:tx>
            <c:strRef>
              <c:f>'Area Charts'!$BF$172</c:f>
            </c:strRef>
          </c:tx>
          <c:spPr>
            <a:solidFill>
              <a:srgbClr val="93C47D">
                <a:alpha val="5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Charts'!$BF$173:$BF$184</c:f>
              <c:numCache/>
            </c:numRef>
          </c:val>
        </c:ser>
        <c:ser>
          <c:idx val="50"/>
          <c:order val="50"/>
          <c:tx>
            <c:strRef>
              <c:f>'Area Charts'!$BG$172</c:f>
            </c:strRef>
          </c:tx>
          <c:spPr>
            <a:solidFill>
              <a:srgbClr val="93C47D">
                <a:alpha val="5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Charts'!$BG$173:$BG$184</c:f>
              <c:numCache/>
            </c:numRef>
          </c:val>
        </c:ser>
        <c:ser>
          <c:idx val="51"/>
          <c:order val="51"/>
          <c:tx>
            <c:strRef>
              <c:f>'Area Charts'!$BH$172</c:f>
            </c:strRef>
          </c:tx>
          <c:spPr>
            <a:solidFill>
              <a:srgbClr val="93C47D">
                <a:alpha val="5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Charts'!$BH$173:$BH$184</c:f>
              <c:numCache/>
            </c:numRef>
          </c:val>
        </c:ser>
        <c:ser>
          <c:idx val="52"/>
          <c:order val="52"/>
          <c:tx>
            <c:strRef>
              <c:f>'Area Charts'!$BI$172</c:f>
            </c:strRef>
          </c:tx>
          <c:spPr>
            <a:solidFill>
              <a:srgbClr val="93C47D">
                <a:alpha val="5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Charts'!$BI$173:$BI$184</c:f>
              <c:numCache/>
            </c:numRef>
          </c:val>
        </c:ser>
        <c:ser>
          <c:idx val="53"/>
          <c:order val="53"/>
          <c:tx>
            <c:strRef>
              <c:f>'Area Charts'!$BJ$172</c:f>
            </c:strRef>
          </c:tx>
          <c:spPr>
            <a:solidFill>
              <a:srgbClr val="93C47D">
                <a:alpha val="5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Charts'!$BJ$173:$BJ$184</c:f>
              <c:numCache/>
            </c:numRef>
          </c:val>
        </c:ser>
        <c:ser>
          <c:idx val="54"/>
          <c:order val="54"/>
          <c:tx>
            <c:strRef>
              <c:f>'Area Charts'!$BK$172</c:f>
            </c:strRef>
          </c:tx>
          <c:spPr>
            <a:solidFill>
              <a:srgbClr val="93C47D">
                <a:alpha val="5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Charts'!$BK$173:$BK$184</c:f>
              <c:numCache/>
            </c:numRef>
          </c:val>
        </c:ser>
        <c:ser>
          <c:idx val="55"/>
          <c:order val="55"/>
          <c:tx>
            <c:strRef>
              <c:f>'Area Charts'!$BL$172</c:f>
            </c:strRef>
          </c:tx>
          <c:spPr>
            <a:solidFill>
              <a:srgbClr val="93C47D">
                <a:alpha val="5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Charts'!$BL$173:$BL$184</c:f>
              <c:numCache/>
            </c:numRef>
          </c:val>
        </c:ser>
        <c:ser>
          <c:idx val="56"/>
          <c:order val="56"/>
          <c:tx>
            <c:strRef>
              <c:f>'Area Charts'!$BM$172</c:f>
            </c:strRef>
          </c:tx>
          <c:spPr>
            <a:solidFill>
              <a:srgbClr val="93C47D">
                <a:alpha val="5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Charts'!$BM$173:$BM$184</c:f>
              <c:numCache/>
            </c:numRef>
          </c:val>
        </c:ser>
        <c:ser>
          <c:idx val="57"/>
          <c:order val="57"/>
          <c:tx>
            <c:strRef>
              <c:f>'Area Charts'!$BN$172</c:f>
            </c:strRef>
          </c:tx>
          <c:spPr>
            <a:solidFill>
              <a:srgbClr val="93C47D">
                <a:alpha val="5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Charts'!$BN$173:$BN$184</c:f>
              <c:numCache/>
            </c:numRef>
          </c:val>
        </c:ser>
        <c:ser>
          <c:idx val="58"/>
          <c:order val="58"/>
          <c:tx>
            <c:strRef>
              <c:f>'Area Charts'!$BO$172</c:f>
            </c:strRef>
          </c:tx>
          <c:spPr>
            <a:solidFill>
              <a:srgbClr val="93C47D">
                <a:alpha val="5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Charts'!$BO$173:$BO$184</c:f>
              <c:numCache/>
            </c:numRef>
          </c:val>
        </c:ser>
        <c:ser>
          <c:idx val="59"/>
          <c:order val="59"/>
          <c:tx>
            <c:strRef>
              <c:f>'Area Charts'!$BP$172</c:f>
            </c:strRef>
          </c:tx>
          <c:spPr>
            <a:solidFill>
              <a:srgbClr val="93C47D">
                <a:alpha val="6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Charts'!$BP$173:$BP$184</c:f>
              <c:numCache/>
            </c:numRef>
          </c:val>
        </c:ser>
        <c:ser>
          <c:idx val="60"/>
          <c:order val="60"/>
          <c:tx>
            <c:strRef>
              <c:f>'Area Charts'!$BQ$172</c:f>
            </c:strRef>
          </c:tx>
          <c:spPr>
            <a:solidFill>
              <a:srgbClr val="93C47D">
                <a:alpha val="6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Charts'!$BQ$173:$BQ$184</c:f>
              <c:numCache/>
            </c:numRef>
          </c:val>
        </c:ser>
        <c:ser>
          <c:idx val="61"/>
          <c:order val="61"/>
          <c:tx>
            <c:strRef>
              <c:f>'Area Charts'!$BR$172</c:f>
            </c:strRef>
          </c:tx>
          <c:spPr>
            <a:solidFill>
              <a:srgbClr val="93C47D">
                <a:alpha val="6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Charts'!$BR$173:$BR$184</c:f>
              <c:numCache/>
            </c:numRef>
          </c:val>
        </c:ser>
        <c:ser>
          <c:idx val="62"/>
          <c:order val="62"/>
          <c:tx>
            <c:strRef>
              <c:f>'Area Charts'!$BS$172</c:f>
            </c:strRef>
          </c:tx>
          <c:spPr>
            <a:solidFill>
              <a:srgbClr val="93C47D">
                <a:alpha val="6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Charts'!$BS$173:$BS$184</c:f>
              <c:numCache/>
            </c:numRef>
          </c:val>
        </c:ser>
        <c:ser>
          <c:idx val="63"/>
          <c:order val="63"/>
          <c:tx>
            <c:strRef>
              <c:f>'Area Charts'!$BT$172</c:f>
            </c:strRef>
          </c:tx>
          <c:spPr>
            <a:solidFill>
              <a:srgbClr val="93C47D">
                <a:alpha val="6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Charts'!$BT$173:$BT$184</c:f>
              <c:numCache/>
            </c:numRef>
          </c:val>
        </c:ser>
        <c:ser>
          <c:idx val="64"/>
          <c:order val="64"/>
          <c:tx>
            <c:strRef>
              <c:f>'Area Charts'!$BU$172</c:f>
            </c:strRef>
          </c:tx>
          <c:spPr>
            <a:solidFill>
              <a:srgbClr val="93C47D">
                <a:alpha val="6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Charts'!$BU$173:$BU$184</c:f>
              <c:numCache/>
            </c:numRef>
          </c:val>
        </c:ser>
        <c:ser>
          <c:idx val="65"/>
          <c:order val="65"/>
          <c:tx>
            <c:strRef>
              <c:f>'Area Charts'!$BV$172</c:f>
            </c:strRef>
          </c:tx>
          <c:spPr>
            <a:solidFill>
              <a:srgbClr val="93C47D">
                <a:alpha val="6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Charts'!$BV$173:$BV$184</c:f>
              <c:numCache/>
            </c:numRef>
          </c:val>
        </c:ser>
        <c:ser>
          <c:idx val="66"/>
          <c:order val="66"/>
          <c:tx>
            <c:strRef>
              <c:f>'Area Charts'!$BW$172</c:f>
            </c:strRef>
          </c:tx>
          <c:spPr>
            <a:solidFill>
              <a:srgbClr val="93C47D">
                <a:alpha val="6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Charts'!$BW$173:$BW$184</c:f>
              <c:numCache/>
            </c:numRef>
          </c:val>
        </c:ser>
        <c:ser>
          <c:idx val="67"/>
          <c:order val="67"/>
          <c:tx>
            <c:strRef>
              <c:f>'Area Charts'!$BX$172</c:f>
            </c:strRef>
          </c:tx>
          <c:spPr>
            <a:solidFill>
              <a:srgbClr val="93C47D">
                <a:alpha val="6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Charts'!$BX$173:$BX$184</c:f>
              <c:numCache/>
            </c:numRef>
          </c:val>
        </c:ser>
        <c:ser>
          <c:idx val="68"/>
          <c:order val="68"/>
          <c:tx>
            <c:strRef>
              <c:f>'Area Charts'!$BY$172</c:f>
            </c:strRef>
          </c:tx>
          <c:spPr>
            <a:solidFill>
              <a:srgbClr val="93C47D">
                <a:alpha val="6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Charts'!$BY$173:$BY$184</c:f>
              <c:numCache/>
            </c:numRef>
          </c:val>
        </c:ser>
        <c:ser>
          <c:idx val="69"/>
          <c:order val="69"/>
          <c:tx>
            <c:strRef>
              <c:f>'Area Charts'!$BZ$172</c:f>
            </c:strRef>
          </c:tx>
          <c:spPr>
            <a:solidFill>
              <a:srgbClr val="93C47D">
                <a:alpha val="7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Charts'!$BZ$173:$BZ$184</c:f>
              <c:numCache/>
            </c:numRef>
          </c:val>
        </c:ser>
        <c:ser>
          <c:idx val="70"/>
          <c:order val="70"/>
          <c:tx>
            <c:strRef>
              <c:f>'Area Charts'!$CA$172</c:f>
            </c:strRef>
          </c:tx>
          <c:spPr>
            <a:solidFill>
              <a:srgbClr val="93C47D">
                <a:alpha val="7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Charts'!$CA$173:$CA$184</c:f>
              <c:numCache/>
            </c:numRef>
          </c:val>
        </c:ser>
        <c:ser>
          <c:idx val="71"/>
          <c:order val="71"/>
          <c:tx>
            <c:strRef>
              <c:f>'Area Charts'!$CB$172</c:f>
            </c:strRef>
          </c:tx>
          <c:spPr>
            <a:solidFill>
              <a:srgbClr val="93C47D">
                <a:alpha val="7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Charts'!$CB$173:$CB$184</c:f>
              <c:numCache/>
            </c:numRef>
          </c:val>
        </c:ser>
        <c:ser>
          <c:idx val="72"/>
          <c:order val="72"/>
          <c:tx>
            <c:strRef>
              <c:f>'Area Charts'!$CC$172</c:f>
            </c:strRef>
          </c:tx>
          <c:spPr>
            <a:solidFill>
              <a:srgbClr val="93C47D">
                <a:alpha val="7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Charts'!$CC$173:$CC$184</c:f>
              <c:numCache/>
            </c:numRef>
          </c:val>
        </c:ser>
        <c:ser>
          <c:idx val="73"/>
          <c:order val="73"/>
          <c:tx>
            <c:strRef>
              <c:f>'Area Charts'!$CD$172</c:f>
            </c:strRef>
          </c:tx>
          <c:spPr>
            <a:solidFill>
              <a:srgbClr val="93C47D">
                <a:alpha val="7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Charts'!$CD$173:$CD$184</c:f>
              <c:numCache/>
            </c:numRef>
          </c:val>
        </c:ser>
        <c:ser>
          <c:idx val="74"/>
          <c:order val="74"/>
          <c:tx>
            <c:strRef>
              <c:f>'Area Charts'!$CE$172</c:f>
            </c:strRef>
          </c:tx>
          <c:spPr>
            <a:solidFill>
              <a:srgbClr val="93C47D">
                <a:alpha val="7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Charts'!$CE$173:$CE$184</c:f>
              <c:numCache/>
            </c:numRef>
          </c:val>
        </c:ser>
        <c:ser>
          <c:idx val="75"/>
          <c:order val="75"/>
          <c:tx>
            <c:strRef>
              <c:f>'Area Charts'!$CF$172</c:f>
            </c:strRef>
          </c:tx>
          <c:spPr>
            <a:solidFill>
              <a:srgbClr val="93C47D">
                <a:alpha val="7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Charts'!$CF$173:$CF$184</c:f>
              <c:numCache/>
            </c:numRef>
          </c:val>
        </c:ser>
        <c:ser>
          <c:idx val="76"/>
          <c:order val="76"/>
          <c:tx>
            <c:strRef>
              <c:f>'Area Charts'!$CG$172</c:f>
            </c:strRef>
          </c:tx>
          <c:spPr>
            <a:solidFill>
              <a:srgbClr val="93C47D">
                <a:alpha val="7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Charts'!$CG$173:$CG$184</c:f>
              <c:numCache/>
            </c:numRef>
          </c:val>
        </c:ser>
        <c:ser>
          <c:idx val="77"/>
          <c:order val="77"/>
          <c:tx>
            <c:strRef>
              <c:f>'Area Charts'!$CH$172</c:f>
            </c:strRef>
          </c:tx>
          <c:spPr>
            <a:solidFill>
              <a:srgbClr val="93C47D">
                <a:alpha val="7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Charts'!$CH$173:$CH$184</c:f>
              <c:numCache/>
            </c:numRef>
          </c:val>
        </c:ser>
        <c:ser>
          <c:idx val="78"/>
          <c:order val="78"/>
          <c:tx>
            <c:strRef>
              <c:f>'Area Charts'!$CI$172</c:f>
            </c:strRef>
          </c:tx>
          <c:spPr>
            <a:solidFill>
              <a:srgbClr val="93C47D">
                <a:alpha val="8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Charts'!$CI$173:$CI$184</c:f>
              <c:numCache/>
            </c:numRef>
          </c:val>
        </c:ser>
        <c:ser>
          <c:idx val="79"/>
          <c:order val="79"/>
          <c:tx>
            <c:strRef>
              <c:f>'Area Charts'!$CJ$172</c:f>
            </c:strRef>
          </c:tx>
          <c:spPr>
            <a:solidFill>
              <a:srgbClr val="93C47D">
                <a:alpha val="8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Charts'!$CJ$173:$CJ$184</c:f>
              <c:numCache/>
            </c:numRef>
          </c:val>
        </c:ser>
        <c:ser>
          <c:idx val="80"/>
          <c:order val="80"/>
          <c:tx>
            <c:strRef>
              <c:f>'Area Charts'!$CK$172</c:f>
            </c:strRef>
          </c:tx>
          <c:spPr>
            <a:solidFill>
              <a:srgbClr val="93C47D">
                <a:alpha val="8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Charts'!$CK$173:$CK$184</c:f>
              <c:numCache/>
            </c:numRef>
          </c:val>
        </c:ser>
        <c:ser>
          <c:idx val="81"/>
          <c:order val="81"/>
          <c:tx>
            <c:strRef>
              <c:f>'Area Charts'!$CL$172</c:f>
            </c:strRef>
          </c:tx>
          <c:spPr>
            <a:solidFill>
              <a:srgbClr val="93C47D">
                <a:alpha val="8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Charts'!$CL$173:$CL$184</c:f>
              <c:numCache/>
            </c:numRef>
          </c:val>
        </c:ser>
        <c:ser>
          <c:idx val="82"/>
          <c:order val="82"/>
          <c:tx>
            <c:strRef>
              <c:f>'Area Charts'!$CM$172</c:f>
            </c:strRef>
          </c:tx>
          <c:spPr>
            <a:solidFill>
              <a:srgbClr val="93C47D">
                <a:alpha val="8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Charts'!$CM$173:$CM$184</c:f>
              <c:numCache/>
            </c:numRef>
          </c:val>
        </c:ser>
        <c:ser>
          <c:idx val="83"/>
          <c:order val="83"/>
          <c:tx>
            <c:strRef>
              <c:f>'Area Charts'!$CN$172</c:f>
            </c:strRef>
          </c:tx>
          <c:spPr>
            <a:solidFill>
              <a:srgbClr val="93C47D">
                <a:alpha val="8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Charts'!$CN$173:$CN$184</c:f>
              <c:numCache/>
            </c:numRef>
          </c:val>
        </c:ser>
        <c:ser>
          <c:idx val="84"/>
          <c:order val="84"/>
          <c:tx>
            <c:strRef>
              <c:f>'Area Charts'!$CO$172</c:f>
            </c:strRef>
          </c:tx>
          <c:spPr>
            <a:solidFill>
              <a:srgbClr val="93C47D">
                <a:alpha val="8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Charts'!$CO$173:$CO$184</c:f>
              <c:numCache/>
            </c:numRef>
          </c:val>
        </c:ser>
        <c:ser>
          <c:idx val="85"/>
          <c:order val="85"/>
          <c:tx>
            <c:strRef>
              <c:f>'Area Charts'!$CP$172</c:f>
            </c:strRef>
          </c:tx>
          <c:spPr>
            <a:solidFill>
              <a:srgbClr val="93C47D">
                <a:alpha val="8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Charts'!$CP$173:$CP$184</c:f>
              <c:numCache/>
            </c:numRef>
          </c:val>
        </c:ser>
        <c:ser>
          <c:idx val="86"/>
          <c:order val="86"/>
          <c:tx>
            <c:strRef>
              <c:f>'Area Charts'!$CQ$172</c:f>
            </c:strRef>
          </c:tx>
          <c:spPr>
            <a:solidFill>
              <a:srgbClr val="93C47D">
                <a:alpha val="8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Charts'!$CQ$173:$CQ$184</c:f>
              <c:numCache/>
            </c:numRef>
          </c:val>
        </c:ser>
        <c:ser>
          <c:idx val="87"/>
          <c:order val="87"/>
          <c:tx>
            <c:strRef>
              <c:f>'Area Charts'!$CR$172</c:f>
            </c:strRef>
          </c:tx>
          <c:spPr>
            <a:solidFill>
              <a:srgbClr val="93C47D">
                <a:alpha val="8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Charts'!$CR$173:$CR$184</c:f>
              <c:numCache/>
            </c:numRef>
          </c:val>
        </c:ser>
        <c:ser>
          <c:idx val="88"/>
          <c:order val="88"/>
          <c:tx>
            <c:strRef>
              <c:f>'Area Charts'!$CS$172</c:f>
            </c:strRef>
          </c:tx>
          <c:spPr>
            <a:solidFill>
              <a:srgbClr val="93C47D">
                <a:alpha val="9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Charts'!$CS$173:$CS$184</c:f>
              <c:numCache/>
            </c:numRef>
          </c:val>
        </c:ser>
        <c:ser>
          <c:idx val="89"/>
          <c:order val="89"/>
          <c:tx>
            <c:strRef>
              <c:f>'Area Charts'!$CT$172</c:f>
            </c:strRef>
          </c:tx>
          <c:spPr>
            <a:solidFill>
              <a:srgbClr val="93C47D">
                <a:alpha val="9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Charts'!$CT$173:$CT$184</c:f>
              <c:numCache/>
            </c:numRef>
          </c:val>
        </c:ser>
        <c:ser>
          <c:idx val="90"/>
          <c:order val="90"/>
          <c:tx>
            <c:strRef>
              <c:f>'Area Charts'!$CU$172</c:f>
            </c:strRef>
          </c:tx>
          <c:spPr>
            <a:solidFill>
              <a:srgbClr val="93C47D">
                <a:alpha val="9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Charts'!$CU$173:$CU$184</c:f>
              <c:numCache/>
            </c:numRef>
          </c:val>
        </c:ser>
        <c:ser>
          <c:idx val="91"/>
          <c:order val="91"/>
          <c:tx>
            <c:strRef>
              <c:f>'Area Charts'!$CV$172</c:f>
            </c:strRef>
          </c:tx>
          <c:spPr>
            <a:solidFill>
              <a:srgbClr val="93C47D">
                <a:alpha val="9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Charts'!$CV$173:$CV$184</c:f>
              <c:numCache/>
            </c:numRef>
          </c:val>
        </c:ser>
        <c:ser>
          <c:idx val="92"/>
          <c:order val="92"/>
          <c:tx>
            <c:strRef>
              <c:f>'Area Charts'!$CW$172</c:f>
            </c:strRef>
          </c:tx>
          <c:spPr>
            <a:solidFill>
              <a:srgbClr val="93C47D">
                <a:alpha val="9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Charts'!$CW$173:$CW$184</c:f>
              <c:numCache/>
            </c:numRef>
          </c:val>
        </c:ser>
        <c:ser>
          <c:idx val="93"/>
          <c:order val="93"/>
          <c:tx>
            <c:strRef>
              <c:f>'Area Charts'!$CX$172</c:f>
            </c:strRef>
          </c:tx>
          <c:spPr>
            <a:solidFill>
              <a:srgbClr val="93C47D">
                <a:alpha val="9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Charts'!$CX$173:$CX$184</c:f>
              <c:numCache/>
            </c:numRef>
          </c:val>
        </c:ser>
        <c:ser>
          <c:idx val="94"/>
          <c:order val="94"/>
          <c:tx>
            <c:strRef>
              <c:f>'Area Charts'!$CY$172</c:f>
            </c:strRef>
          </c:tx>
          <c:spPr>
            <a:solidFill>
              <a:srgbClr val="93C47D">
                <a:alpha val="9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Charts'!$CY$173:$CY$184</c:f>
              <c:numCache/>
            </c:numRef>
          </c:val>
        </c:ser>
        <c:ser>
          <c:idx val="95"/>
          <c:order val="95"/>
          <c:tx>
            <c:strRef>
              <c:f>'Area Charts'!$CZ$172</c:f>
            </c:strRef>
          </c:tx>
          <c:spPr>
            <a:solidFill>
              <a:srgbClr val="93C47D">
                <a:alpha val="99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Charts'!$CZ$173:$CZ$184</c:f>
              <c:numCache/>
            </c:numRef>
          </c:val>
        </c:ser>
        <c:ser>
          <c:idx val="96"/>
          <c:order val="96"/>
          <c:tx>
            <c:strRef>
              <c:f>'Area Charts'!$DA$172</c:f>
            </c:strRef>
          </c:tx>
          <c:spPr>
            <a:solidFill>
              <a:srgbClr val="274E13"/>
            </a:solidFill>
            <a:ln cmpd="sng">
              <a:solidFill>
                <a:srgbClr val="274E13">
                  <a:alpha val="10000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Charts'!$DA$173:$DA$184</c:f>
              <c:numCache/>
            </c:numRef>
          </c:val>
        </c:ser>
        <c:axId val="832388326"/>
        <c:axId val="885722430"/>
      </c:areaChart>
      <c:catAx>
        <c:axId val="832388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262E32"/>
                </a:solidFill>
                <a:latin typeface="Roboto"/>
              </a:defRPr>
            </a:pPr>
          </a:p>
        </c:txPr>
        <c:crossAx val="885722430"/>
      </c:catAx>
      <c:valAx>
        <c:axId val="8857224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32388326"/>
      </c:valAx>
      <c:areaChart>
        <c:grouping val="stacked"/>
        <c:ser>
          <c:idx val="0"/>
          <c:order val="0"/>
          <c:tx>
            <c:strRef>
              <c:f>'Area Charts'!$J$172</c:f>
            </c:strRef>
          </c:tx>
          <c:spPr>
            <a:solidFill>
              <a:srgbClr val="274E13">
                <a:alpha val="1000"/>
              </a:srgbClr>
            </a:solidFill>
            <a:ln cmpd="sng">
              <a:solidFill>
                <a:srgbClr val="274E13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Charts'!$J$173:$J$184</c:f>
              <c:numCache/>
            </c:numRef>
          </c:val>
        </c:ser>
        <c:axId val="941863863"/>
        <c:axId val="1773660134"/>
      </c:areaChart>
      <c:catAx>
        <c:axId val="941863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262E32"/>
                </a:solidFill>
                <a:latin typeface="Roboto"/>
              </a:defRPr>
            </a:pPr>
          </a:p>
        </c:txPr>
        <c:crossAx val="1773660134"/>
      </c:catAx>
      <c:valAx>
        <c:axId val="17736601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41863863"/>
        <c:crosses val="max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chemeClr val="dk1"/>
                </a:solidFill>
                <a:latin typeface="Roboto"/>
              </a:defRPr>
            </a:pPr>
            <a:r>
              <a:rPr b="1" sz="2000">
                <a:solidFill>
                  <a:schemeClr val="dk1"/>
                </a:solidFill>
                <a:latin typeface="Roboto"/>
              </a:rPr>
              <a:t>Sales to Quota</a:t>
            </a:r>
          </a:p>
        </c:rich>
      </c:tx>
      <c:overlay val="0"/>
    </c:title>
    <c:plotArea>
      <c:layout>
        <c:manualLayout>
          <c:xMode val="edge"/>
          <c:yMode val="edge"/>
          <c:x val="0.024133663366336603"/>
          <c:y val="0.09518348623853211"/>
          <c:w val="0.8178802255225522"/>
          <c:h val="0.8360870732220332"/>
        </c:manualLayout>
      </c:layout>
      <c:areaChart>
        <c:ser>
          <c:idx val="0"/>
          <c:order val="0"/>
          <c:tx>
            <c:strRef>
              <c:f>'Area Charts'!$I$225</c:f>
            </c:strRef>
          </c:tx>
          <c:spPr>
            <a:solidFill>
              <a:schemeClr val="accent1"/>
            </a:solidFill>
            <a:ln cmpd="sng" w="38100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Charts'!$J$225:$U$225</c:f>
              <c:numCache/>
            </c:numRef>
          </c:val>
        </c:ser>
        <c:ser>
          <c:idx val="1"/>
          <c:order val="1"/>
          <c:tx>
            <c:strRef>
              <c:f>'Area Charts'!$I$231</c:f>
            </c:strRef>
          </c:tx>
          <c:spPr>
            <a:solidFill>
              <a:schemeClr val="accent1">
                <a:alpha val="70000"/>
              </a:schemeClr>
            </a:solidFill>
            <a:ln cmpd="sng" w="19050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Charts'!$J$231:$U$231</c:f>
              <c:numCache/>
            </c:numRef>
          </c:val>
        </c:ser>
        <c:ser>
          <c:idx val="2"/>
          <c:order val="2"/>
          <c:tx>
            <c:strRef>
              <c:f>'Area Charts'!$I$226</c:f>
            </c:strRef>
          </c:tx>
          <c:spPr>
            <a:solidFill>
              <a:schemeClr val="accent1">
                <a:alpha val="40000"/>
              </a:schemeClr>
            </a:solidFill>
            <a:ln cmpd="sng" w="9525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Charts'!$J$226:$U$226</c:f>
              <c:numCache/>
            </c:numRef>
          </c:val>
        </c:ser>
        <c:ser>
          <c:idx val="3"/>
          <c:order val="3"/>
          <c:tx>
            <c:strRef>
              <c:f>'Area Charts'!$I$232</c:f>
            </c:strRef>
          </c:tx>
          <c:spPr>
            <a:solidFill>
              <a:schemeClr val="accent1">
                <a:alpha val="20000"/>
              </a:schemeClr>
            </a:solidFill>
            <a:ln cmpd="sng" w="9525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Charts'!$J$232:$U$232</c:f>
              <c:numCache/>
            </c:numRef>
          </c:val>
        </c:ser>
        <c:ser>
          <c:idx val="4"/>
          <c:order val="4"/>
          <c:tx>
            <c:strRef>
              <c:f>'Area Charts'!$I$227</c:f>
            </c:strRef>
          </c:tx>
          <c:spPr>
            <a:solidFill>
              <a:schemeClr val="accent1">
                <a:alpha val="12000"/>
              </a:schemeClr>
            </a:solidFill>
            <a:ln cmpd="sng" w="9525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Charts'!$J$227:$U$227</c:f>
              <c:numCache/>
            </c:numRef>
          </c:val>
        </c:ser>
        <c:ser>
          <c:idx val="5"/>
          <c:order val="5"/>
          <c:tx>
            <c:strRef>
              <c:f>'Area Charts'!$I$233</c:f>
            </c:strRef>
          </c:tx>
          <c:spPr>
            <a:solidFill>
              <a:schemeClr val="accent1">
                <a:alpha val="3000"/>
              </a:schemeClr>
            </a:solidFill>
            <a:ln cmpd="sng" w="9525">
              <a:solidFill>
                <a:schemeClr val="accent1"/>
              </a:solidFill>
            </a:ln>
          </c:spPr>
          <c:cat>
            <c:strRef>
              <c:f>'Area Charts'!$J$215:$U$215</c:f>
            </c:strRef>
          </c:cat>
          <c:val>
            <c:numRef>
              <c:f>'Area Charts'!$J$233:$U$233</c:f>
              <c:numCache/>
            </c:numRef>
          </c:val>
        </c:ser>
        <c:ser>
          <c:idx val="6"/>
          <c:order val="6"/>
          <c:tx>
            <c:strRef>
              <c:f>'Area Charts'!$I$228</c:f>
            </c:strRef>
          </c:tx>
          <c:spPr>
            <a:solidFill>
              <a:schemeClr val="dk1">
                <a:alpha val="0"/>
              </a:schemeClr>
            </a:solidFill>
            <a:ln cmpd="sng" w="19050">
              <a:solidFill>
                <a:schemeClr val="dk1"/>
              </a:solidFill>
            </a:ln>
          </c:spPr>
          <c:cat>
            <c:strRef>
              <c:f>'Area Charts'!$J$215:$U$215</c:f>
            </c:strRef>
          </c:cat>
          <c:val>
            <c:numRef>
              <c:f>'Area Charts'!$J$228:$U$228</c:f>
              <c:numCache/>
            </c:numRef>
          </c:val>
        </c:ser>
        <c:axId val="1431050667"/>
        <c:axId val="1587956873"/>
      </c:areaChart>
      <c:catAx>
        <c:axId val="1431050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262E32"/>
                </a:solidFill>
                <a:latin typeface="Roboto"/>
              </a:defRPr>
            </a:pPr>
          </a:p>
        </c:txPr>
        <c:crossAx val="1587956873"/>
      </c:catAx>
      <c:valAx>
        <c:axId val="158795687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F3F3F3"/>
                </a:solidFill>
                <a:latin typeface="Roboto"/>
              </a:defRPr>
            </a:pPr>
          </a:p>
        </c:txPr>
        <c:crossAx val="1431050667"/>
      </c:valAx>
    </c:plotArea>
    <c:plotVisOnly val="0"/>
  </c:chart>
  <c:spPr>
    <a:solidFill>
      <a:srgbClr val="F3F3F3"/>
    </a:solidFill>
  </c:spPr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Product A vs Product B Comparative Analysis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Charts'!$L$246</c:f>
            </c:strRef>
          </c:tx>
          <c:spPr>
            <a:solidFill>
              <a:srgbClr val="0000FF">
                <a:alpha val="30000"/>
              </a:srgbClr>
            </a:solidFill>
            <a:ln cmpd="sng">
              <a:solidFill>
                <a:srgbClr val="0000FF">
                  <a:alpha val="100000"/>
                </a:srgbClr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Charts'!$L$247:$L$336</c:f>
              <c:numCache/>
            </c:numRef>
          </c:val>
        </c:ser>
        <c:ser>
          <c:idx val="2"/>
          <c:order val="2"/>
          <c:tx>
            <c:strRef>
              <c:f>'Area Charts'!$M$246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Charts'!$M$247:$M$336</c:f>
              <c:numCache/>
            </c:numRef>
          </c:val>
        </c:ser>
        <c:ser>
          <c:idx val="4"/>
          <c:order val="4"/>
          <c:tx>
            <c:strRef>
              <c:f>'Area Charts'!$N$246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0"/>
                </a:srgbClr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Charts'!$N$247:$N$336</c:f>
              <c:numCache/>
            </c:numRef>
          </c:val>
        </c:ser>
        <c:ser>
          <c:idx val="5"/>
          <c:order val="5"/>
          <c:tx>
            <c:strRef>
              <c:f>'Area Charts'!$O$246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0"/>
                </a:srgbClr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Charts'!$O$247:$O$336</c:f>
              <c:numCache/>
            </c:numRef>
          </c:val>
        </c:ser>
        <c:axId val="1759995086"/>
        <c:axId val="412940958"/>
      </c:areaChart>
      <c:lineChart>
        <c:ser>
          <c:idx val="1"/>
          <c:order val="1"/>
          <c:tx>
            <c:strRef>
              <c:f>'Area Charts'!$J$246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'Area Charts'!$I$247:$I$336</c:f>
            </c:strRef>
          </c:cat>
          <c:val>
            <c:numRef>
              <c:f>'Area Charts'!$J$247:$J$336</c:f>
              <c:numCache/>
            </c:numRef>
          </c:val>
          <c:smooth val="0"/>
        </c:ser>
        <c:ser>
          <c:idx val="3"/>
          <c:order val="3"/>
          <c:tx>
            <c:strRef>
              <c:f>'Area Charts'!$K$246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'Area Charts'!$I$247:$I$336</c:f>
            </c:strRef>
          </c:cat>
          <c:val>
            <c:numRef>
              <c:f>'Area Charts'!$K$247:$K$336</c:f>
              <c:numCache/>
            </c:numRef>
          </c:val>
          <c:smooth val="0"/>
        </c:ser>
        <c:axId val="1759995086"/>
        <c:axId val="412940958"/>
      </c:lineChart>
      <c:catAx>
        <c:axId val="1759995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412940958"/>
      </c:catAx>
      <c:valAx>
        <c:axId val="412940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7599950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0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062767475035663"/>
          <c:y val="0.08405430671992069"/>
          <c:w val="0.9073172571717985"/>
          <c:h val="0.7373032792061032"/>
        </c:manualLayout>
      </c:layout>
      <c:areaChart>
        <c:ser>
          <c:idx val="0"/>
          <c:order val="0"/>
          <c:tx>
            <c:strRef>
              <c:f>'Area Charts'!$O$342</c:f>
            </c:strRef>
          </c:tx>
          <c:spPr>
            <a:solidFill>
              <a:schemeClr val="accent1">
                <a:alpha val="3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Charts'!$O$343:$O$366</c:f>
              <c:numCache/>
            </c:numRef>
          </c:val>
        </c:ser>
        <c:ser>
          <c:idx val="1"/>
          <c:order val="1"/>
          <c:tx>
            <c:strRef>
              <c:f>'Area Charts'!$P$342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0"/>
                </a:srgbClr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Charts'!$P$343:$P$366</c:f>
              <c:numCache/>
            </c:numRef>
          </c:val>
        </c:ser>
        <c:ser>
          <c:idx val="2"/>
          <c:order val="2"/>
          <c:tx>
            <c:strRef>
              <c:f>'Area Charts'!$Q$342</c:f>
            </c:strRef>
          </c:tx>
          <c:spPr>
            <a:solidFill>
              <a:schemeClr val="accent2">
                <a:alpha val="30000"/>
              </a:schemeClr>
            </a:solidFill>
            <a:ln cmpd="sng">
              <a:solidFill>
                <a:schemeClr val="accent2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Charts'!$Q$343:$Q$366</c:f>
              <c:numCache/>
            </c:numRef>
          </c:val>
        </c:ser>
        <c:ser>
          <c:idx val="3"/>
          <c:order val="3"/>
          <c:tx>
            <c:strRef>
              <c:f>'Area Charts'!$R$342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100000"/>
                </a:srgbClr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Charts'!$R$343:$R$366</c:f>
              <c:numCache/>
            </c:numRef>
          </c:val>
        </c:ser>
        <c:ser>
          <c:idx val="4"/>
          <c:order val="4"/>
          <c:tx>
            <c:strRef>
              <c:f>'Area Charts'!$S$342</c:f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Charts'!$S$343:$S$366</c:f>
              <c:numCache/>
            </c:numRef>
          </c:val>
        </c:ser>
        <c:ser>
          <c:idx val="5"/>
          <c:order val="5"/>
          <c:tx>
            <c:strRef>
              <c:f>'Area Charts'!$T$342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0"/>
                </a:srgbClr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Charts'!$T$343:$T$366</c:f>
              <c:numCache/>
            </c:numRef>
          </c:val>
        </c:ser>
        <c:ser>
          <c:idx val="6"/>
          <c:order val="6"/>
          <c:tx>
            <c:strRef>
              <c:f>'Area Charts'!$U$342</c:f>
            </c:strRef>
          </c:tx>
          <c:spPr>
            <a:solidFill>
              <a:schemeClr val="accent4">
                <a:alpha val="30000"/>
              </a:schemeClr>
            </a:solidFill>
            <a:ln cmpd="sng">
              <a:solidFill>
                <a:schemeClr val="accent4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Charts'!$U$343:$U$366</c:f>
              <c:numCache/>
            </c:numRef>
          </c:val>
        </c:ser>
        <c:ser>
          <c:idx val="7"/>
          <c:order val="7"/>
          <c:tx>
            <c:strRef>
              <c:f>'Area Charts'!$V$342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0"/>
                </a:srgbClr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Charts'!$V$343:$V$366</c:f>
              <c:numCache/>
            </c:numRef>
          </c:val>
        </c:ser>
        <c:ser>
          <c:idx val="8"/>
          <c:order val="8"/>
          <c:tx>
            <c:strRef>
              <c:f>'Area Charts'!$W$342</c:f>
            </c:strRef>
          </c:tx>
          <c:spPr>
            <a:solidFill>
              <a:schemeClr val="accent5">
                <a:alpha val="30000"/>
              </a:schemeClr>
            </a:solidFill>
            <a:ln cmpd="sng">
              <a:solidFill>
                <a:schemeClr val="accent5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Charts'!$W$343:$W$366</c:f>
              <c:numCache/>
            </c:numRef>
          </c:val>
        </c:ser>
        <c:axId val="1850041635"/>
        <c:axId val="49533232"/>
      </c:areaChart>
      <c:catAx>
        <c:axId val="1850041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49533232"/>
      </c:catAx>
      <c:valAx>
        <c:axId val="495332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1850041635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Monthly Sales Growth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Charts'!$J$5</c:f>
            </c:strRef>
          </c:tx>
          <c:spPr>
            <a:solidFill>
              <a:srgbClr val="3053FF">
                <a:alpha val="20000"/>
              </a:srgbClr>
            </a:solidFill>
            <a:ln cmpd="sng" w="38100">
              <a:solidFill>
                <a:srgbClr val="3053FF"/>
              </a:solidFill>
            </a:ln>
          </c:spPr>
          <c:cat>
            <c:strRef>
              <c:f>'Area Charts'!$I$6:$I$17</c:f>
            </c:strRef>
          </c:cat>
          <c:val>
            <c:numRef>
              <c:f>'Area Charts'!$J$6:$J$17</c:f>
              <c:numCache/>
            </c:numRef>
          </c:val>
        </c:ser>
        <c:axId val="1590505884"/>
        <c:axId val="372689097"/>
      </c:areaChart>
      <c:catAx>
        <c:axId val="1590505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372689097"/>
      </c:catAx>
      <c:valAx>
        <c:axId val="372689097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590505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Inventory Levels by Month</a:t>
            </a:r>
          </a:p>
        </c:rich>
      </c:tx>
      <c:overlay val="0"/>
    </c:title>
    <c:plotArea>
      <c:layout>
        <c:manualLayout>
          <c:xMode val="edge"/>
          <c:yMode val="edge"/>
          <c:x val="0.025833333333333333"/>
          <c:y val="0.15341419586702604"/>
          <c:w val="0.94325"/>
          <c:h val="0.7480682839173405"/>
        </c:manualLayout>
      </c:layout>
      <c:areaChart>
        <c:ser>
          <c:idx val="0"/>
          <c:order val="0"/>
          <c:tx>
            <c:strRef>
              <c:f>'Area Charts'!$J$26</c:f>
            </c:strRef>
          </c:tx>
          <c:spPr>
            <a:solidFill>
              <a:schemeClr val="accent1">
                <a:alpha val="20000"/>
              </a:schemeClr>
            </a:solidFill>
            <a:ln cmpd="sng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3053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Charts'!$I$27:$I$34</c:f>
            </c:strRef>
          </c:cat>
          <c:val>
            <c:numRef>
              <c:f>'Area Charts'!$J$27:$J$34</c:f>
              <c:numCache/>
            </c:numRef>
          </c:val>
        </c:ser>
        <c:axId val="1443664239"/>
        <c:axId val="299715874"/>
      </c:areaChart>
      <c:catAx>
        <c:axId val="1443664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299715874"/>
      </c:catAx>
      <c:valAx>
        <c:axId val="299715874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3664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Actual vs Projected Sales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Charts'!$J$47</c:f>
            </c:strRef>
          </c:tx>
          <c:spPr>
            <a:solidFill>
              <a:srgbClr val="3053FF">
                <a:alpha val="20000"/>
              </a:srgbClr>
            </a:solidFill>
            <a:ln cmpd="sng">
              <a:solidFill>
                <a:srgbClr val="3053FF"/>
              </a:solidFill>
            </a:ln>
          </c:spPr>
          <c:cat>
            <c:strRef>
              <c:f>'Area Charts'!$I$48:$I$59</c:f>
            </c:strRef>
          </c:cat>
          <c:val>
            <c:numRef>
              <c:f>'Area Charts'!$J$48:$J$59</c:f>
              <c:numCache/>
            </c:numRef>
          </c:val>
        </c:ser>
        <c:ser>
          <c:idx val="1"/>
          <c:order val="1"/>
          <c:tx>
            <c:strRef>
              <c:f>'Area Charts'!$K$47</c:f>
            </c:strRef>
          </c:tx>
          <c:spPr>
            <a:solidFill>
              <a:schemeClr val="accent2">
                <a:alpha val="20000"/>
              </a:schemeClr>
            </a:solidFill>
            <a:ln cmpd="sng">
              <a:solidFill>
                <a:schemeClr val="accent2"/>
              </a:solidFill>
            </a:ln>
          </c:spPr>
          <c:cat>
            <c:strRef>
              <c:f>'Area Charts'!$I$48:$I$59</c:f>
            </c:strRef>
          </c:cat>
          <c:val>
            <c:numRef>
              <c:f>'Area Charts'!$K$48:$K$59</c:f>
              <c:numCache/>
            </c:numRef>
          </c:val>
        </c:ser>
        <c:axId val="630921257"/>
        <c:axId val="1342099233"/>
      </c:areaChart>
      <c:catAx>
        <c:axId val="630921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342099233"/>
      </c:catAx>
      <c:valAx>
        <c:axId val="1342099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630921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Target vs Actual Expense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1"/>
          <c:order val="1"/>
          <c:tx>
            <c:strRef>
              <c:f>'Area Charts'!$L$68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'Area Charts'!$I$69:$I$78</c:f>
            </c:strRef>
          </c:cat>
          <c:val>
            <c:numRef>
              <c:f>'Area Charts'!$L$69:$L$78</c:f>
              <c:numCache/>
            </c:numRef>
          </c:val>
        </c:ser>
        <c:ser>
          <c:idx val="2"/>
          <c:order val="2"/>
          <c:tx>
            <c:strRef>
              <c:f>'Area Charts'!$M$68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2"/>
          </c:dPt>
          <c:dPt>
            <c:idx val="5"/>
          </c:dPt>
          <c:cat>
            <c:strRef>
              <c:f>'Area Charts'!$I$69:$I$78</c:f>
            </c:strRef>
          </c:cat>
          <c:val>
            <c:numRef>
              <c:f>'Area Charts'!$M$69:$M$78</c:f>
              <c:numCache/>
            </c:numRef>
          </c:val>
        </c:ser>
        <c:overlap val="100"/>
        <c:axId val="1534785005"/>
        <c:axId val="478078495"/>
      </c:barChart>
      <c:areaChart>
        <c:grouping val="stacked"/>
        <c:ser>
          <c:idx val="0"/>
          <c:order val="0"/>
          <c:tx>
            <c:strRef>
              <c:f>'Area Charts'!$J$68</c:f>
            </c:strRef>
          </c:tx>
          <c:spPr>
            <a:solidFill>
              <a:schemeClr val="accent6">
                <a:alpha val="20000"/>
              </a:schemeClr>
            </a:solidFill>
            <a:ln cmpd="sng">
              <a:solidFill>
                <a:schemeClr val="accent6"/>
              </a:solidFill>
            </a:ln>
          </c:spPr>
          <c:cat>
            <c:strRef>
              <c:f>'Area Charts'!$I$69:$I$78</c:f>
            </c:strRef>
          </c:cat>
          <c:val>
            <c:numRef>
              <c:f>'Area Charts'!$J$69:$J$78</c:f>
              <c:numCache/>
            </c:numRef>
          </c:val>
        </c:ser>
        <c:axId val="1534785005"/>
        <c:axId val="478078495"/>
      </c:areaChart>
      <c:catAx>
        <c:axId val="1534785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478078495"/>
      </c:catAx>
      <c:valAx>
        <c:axId val="478078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534785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Quarterly Product Sales</a:t>
            </a:r>
          </a:p>
        </c:rich>
      </c:tx>
      <c:overlay val="0"/>
    </c:title>
    <c:plotArea>
      <c:layout>
        <c:manualLayout>
          <c:xMode val="edge"/>
          <c:yMode val="edge"/>
          <c:x val="0.04583333333333333"/>
          <c:y val="0.21909254267744827"/>
          <c:w val="0.91"/>
          <c:h val="0.6690476190476191"/>
        </c:manualLayout>
      </c:layout>
      <c:areaChart>
        <c:grouping val="stacked"/>
        <c:ser>
          <c:idx val="0"/>
          <c:order val="0"/>
          <c:tx>
            <c:strRef>
              <c:f>'Area Charts'!$L$89</c:f>
            </c:strRef>
          </c:tx>
          <c:spPr>
            <a:solidFill>
              <a:srgbClr val="3053FF">
                <a:alpha val="20000"/>
              </a:srgbClr>
            </a:solidFill>
            <a:ln cmpd="sng" w="28575">
              <a:solidFill>
                <a:srgbClr val="3053FF"/>
              </a:solidFill>
            </a:ln>
          </c:spPr>
          <c:cat>
            <c:strRef>
              <c:f>'Area Charts'!$I$90:$I$93</c:f>
            </c:strRef>
          </c:cat>
          <c:val>
            <c:numRef>
              <c:f>'Area Charts'!$L$90:$L$93</c:f>
              <c:numCache/>
            </c:numRef>
          </c:val>
        </c:ser>
        <c:ser>
          <c:idx val="1"/>
          <c:order val="1"/>
          <c:tx>
            <c:strRef>
              <c:f>'Area Charts'!$K$89</c:f>
            </c:strRef>
          </c:tx>
          <c:spPr>
            <a:solidFill>
              <a:srgbClr val="3BCEE4">
                <a:alpha val="20000"/>
              </a:srgbClr>
            </a:solidFill>
            <a:ln cmpd="sng" w="28575">
              <a:solidFill>
                <a:srgbClr val="3BCEE4"/>
              </a:solidFill>
            </a:ln>
          </c:spPr>
          <c:cat>
            <c:strRef>
              <c:f>'Area Charts'!$I$90:$I$93</c:f>
            </c:strRef>
          </c:cat>
          <c:val>
            <c:numRef>
              <c:f>'Area Charts'!$K$90:$K$93</c:f>
              <c:numCache/>
            </c:numRef>
          </c:val>
        </c:ser>
        <c:ser>
          <c:idx val="2"/>
          <c:order val="2"/>
          <c:tx>
            <c:strRef>
              <c:f>'Area Charts'!$J$89</c:f>
            </c:strRef>
          </c:tx>
          <c:spPr>
            <a:solidFill>
              <a:srgbClr val="06C167">
                <a:alpha val="20000"/>
              </a:srgbClr>
            </a:solidFill>
            <a:ln cmpd="sng" w="28575">
              <a:solidFill>
                <a:srgbClr val="06C167"/>
              </a:solidFill>
            </a:ln>
          </c:spPr>
          <c:cat>
            <c:strRef>
              <c:f>'Area Charts'!$I$90:$I$93</c:f>
            </c:strRef>
          </c:cat>
          <c:val>
            <c:numRef>
              <c:f>'Area Charts'!$J$90:$J$93</c:f>
              <c:numCache/>
            </c:numRef>
          </c:val>
        </c:ser>
        <c:axId val="1752180405"/>
        <c:axId val="231374578"/>
      </c:areaChart>
      <c:catAx>
        <c:axId val="1752180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231374578"/>
      </c:catAx>
      <c:valAx>
        <c:axId val="23137457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752180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Monthly Revenue Contribution</a:t>
            </a:r>
          </a:p>
        </c:rich>
      </c:tx>
      <c:overlay val="0"/>
    </c:title>
    <c:plotArea>
      <c:layout>
        <c:manualLayout>
          <c:xMode val="edge"/>
          <c:yMode val="edge"/>
          <c:x val="0.034166666666666665"/>
          <c:y val="0.13611859838274934"/>
          <c:w val="0.9349166666666667"/>
          <c:h val="0.7088948787061995"/>
        </c:manualLayout>
      </c:layout>
      <c:areaChart>
        <c:grouping val="percentStacked"/>
        <c:ser>
          <c:idx val="0"/>
          <c:order val="0"/>
          <c:tx>
            <c:strRef>
              <c:f>'Area Charts'!$J$110</c:f>
            </c:strRef>
          </c:tx>
          <c:spPr>
            <a:solidFill>
              <a:srgbClr val="3053FF">
                <a:alpha val="20000"/>
              </a:srgbClr>
            </a:solidFill>
            <a:ln cmpd="sng" w="28575">
              <a:solidFill>
                <a:srgbClr val="3053FF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Charts'!$J$111:$J$122</c:f>
              <c:numCache/>
            </c:numRef>
          </c:val>
        </c:ser>
        <c:ser>
          <c:idx val="1"/>
          <c:order val="1"/>
          <c:tx>
            <c:strRef>
              <c:f>'Area Charts'!$K$110</c:f>
            </c:strRef>
          </c:tx>
          <c:spPr>
            <a:solidFill>
              <a:srgbClr val="3BCEE4">
                <a:alpha val="20000"/>
              </a:srgbClr>
            </a:solidFill>
            <a:ln cmpd="sng" w="28575">
              <a:solidFill>
                <a:srgbClr val="3BCEE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Charts'!$K$111:$K$122</c:f>
              <c:numCache/>
            </c:numRef>
          </c:val>
        </c:ser>
        <c:ser>
          <c:idx val="2"/>
          <c:order val="2"/>
          <c:tx>
            <c:strRef>
              <c:f>'Area Charts'!$L$110</c:f>
            </c:strRef>
          </c:tx>
          <c:spPr>
            <a:solidFill>
              <a:srgbClr val="06C167">
                <a:alpha val="20000"/>
              </a:srgbClr>
            </a:solidFill>
            <a:ln cmpd="sng" w="28575">
              <a:solidFill>
                <a:srgbClr val="06C167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Charts'!$L$111:$L$122</c:f>
              <c:numCache/>
            </c:numRef>
          </c:val>
        </c:ser>
        <c:ser>
          <c:idx val="3"/>
          <c:order val="3"/>
          <c:tx>
            <c:strRef>
              <c:f>'Area Charts'!$M$110</c:f>
            </c:strRef>
          </c:tx>
          <c:spPr>
            <a:solidFill>
              <a:srgbClr val="E142BC">
                <a:alpha val="20000"/>
              </a:srgbClr>
            </a:solidFill>
            <a:ln cmpd="sng" w="28575">
              <a:solidFill>
                <a:srgbClr val="E142BC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Charts'!$I$111:$I$122</c:f>
            </c:strRef>
          </c:cat>
          <c:val>
            <c:numRef>
              <c:f>'Area Charts'!$M$111:$M$122</c:f>
              <c:numCache/>
            </c:numRef>
          </c:val>
        </c:ser>
        <c:axId val="1999939177"/>
        <c:axId val="1756165256"/>
      </c:areaChart>
      <c:catAx>
        <c:axId val="1999939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756165256"/>
      </c:catAx>
      <c:valAx>
        <c:axId val="1756165256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Roboto"/>
              </a:defRPr>
            </a:pPr>
          </a:p>
        </c:txPr>
        <c:crossAx val="199993917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Temperature by Hour			</a:t>
            </a:r>
          </a:p>
        </c:rich>
      </c:tx>
      <c:overlay val="0"/>
    </c:title>
    <c:plotArea>
      <c:layout>
        <c:manualLayout>
          <c:xMode val="edge"/>
          <c:yMode val="edge"/>
          <c:x val="0.034166666666666665"/>
          <c:y val="0.2190925426774483"/>
          <c:w val="0.9349166666666667"/>
          <c:h val="0.6015274034141957"/>
        </c:manualLayout>
      </c:layout>
      <c:areaChart>
        <c:grouping val="stacked"/>
        <c:ser>
          <c:idx val="1"/>
          <c:order val="1"/>
          <c:tx>
            <c:strRef>
              <c:f>'Area Charts'!$K$131</c:f>
            </c:strRef>
          </c:tx>
          <c:spPr>
            <a:solidFill>
              <a:schemeClr val="accent6">
                <a:alpha val="0"/>
              </a:schemeClr>
            </a:solidFill>
            <a:ln cmpd="sng" w="28575">
              <a:solidFill>
                <a:schemeClr val="accent6"/>
              </a:solidFill>
            </a:ln>
          </c:spPr>
          <c:cat>
            <c:strRef>
              <c:f>'Area Charts'!$I$132:$I$144</c:f>
            </c:strRef>
          </c:cat>
          <c:val>
            <c:numRef>
              <c:f>'Area Charts'!$K$132:$K$144</c:f>
              <c:numCache/>
            </c:numRef>
          </c:val>
        </c:ser>
        <c:ser>
          <c:idx val="2"/>
          <c:order val="2"/>
          <c:tx>
            <c:strRef>
              <c:f>'Area Charts'!$M$131</c:f>
            </c:strRef>
          </c:tx>
          <c:spPr>
            <a:solidFill>
              <a:schemeClr val="accent2">
                <a:alpha val="20000"/>
              </a:schemeClr>
            </a:solidFill>
            <a:ln cmpd="sng" w="28575">
              <a:solidFill>
                <a:schemeClr val="accent2"/>
              </a:solidFill>
            </a:ln>
          </c:spPr>
          <c:cat>
            <c:strRef>
              <c:f>'Area Charts'!$I$132:$I$144</c:f>
            </c:strRef>
          </c:cat>
          <c:val>
            <c:numRef>
              <c:f>'Area Charts'!$M$132:$M$144</c:f>
              <c:numCache/>
            </c:numRef>
          </c:val>
        </c:ser>
        <c:axId val="19488997"/>
        <c:axId val="1291205966"/>
      </c:areaChart>
      <c:lineChart>
        <c:varyColors val="0"/>
        <c:ser>
          <c:idx val="0"/>
          <c:order val="0"/>
          <c:tx>
            <c:strRef>
              <c:f>'Area Charts'!$J$131</c:f>
            </c:strRef>
          </c:tx>
          <c:spPr>
            <a:ln cmpd="sng" w="28575">
              <a:solidFill>
                <a:srgbClr val="3053FF"/>
              </a:solidFill>
            </a:ln>
          </c:spPr>
          <c:marker>
            <c:symbol val="circle"/>
            <c:size val="7"/>
            <c:spPr>
              <a:solidFill>
                <a:srgbClr val="3053FF"/>
              </a:solidFill>
              <a:ln cmpd="sng">
                <a:solidFill>
                  <a:srgbClr val="3053FF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'Area Charts'!$I$132:$I$144</c:f>
            </c:strRef>
          </c:cat>
          <c:val>
            <c:numRef>
              <c:f>'Area Charts'!$J$132:$J$144</c:f>
              <c:numCache/>
            </c:numRef>
          </c:val>
          <c:smooth val="0"/>
        </c:ser>
        <c:axId val="19488997"/>
        <c:axId val="1291205966"/>
      </c:lineChart>
      <c:catAx>
        <c:axId val="19488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291205966"/>
      </c:catAx>
      <c:valAx>
        <c:axId val="1291205966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948899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Products sold by Month</a:t>
            </a:r>
          </a:p>
        </c:rich>
      </c:tx>
      <c:overlay val="0"/>
    </c:title>
    <c:plotArea>
      <c:layout>
        <c:manualLayout>
          <c:xMode val="edge"/>
          <c:yMode val="edge"/>
          <c:x val="0.034166666666666665"/>
          <c:y val="0.22776280323450135"/>
          <c:w val="0.9349166666666667"/>
          <c:h val="0.6737196765498652"/>
        </c:manualLayout>
      </c:layout>
      <c:areaChart>
        <c:grouping val="stacked"/>
        <c:ser>
          <c:idx val="0"/>
          <c:order val="0"/>
          <c:tx>
            <c:strRef>
              <c:f>'Area Charts'!$N$152</c:f>
            </c:strRef>
          </c:tx>
          <c:spPr>
            <a:solidFill>
              <a:srgbClr val="3053FF">
                <a:alpha val="20000"/>
              </a:srgbClr>
            </a:solidFill>
            <a:ln cmpd="sng" w="28575">
              <a:solidFill>
                <a:srgbClr val="3053FF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Charts'!$N$153:$N$164</c:f>
              <c:numCache/>
            </c:numRef>
          </c:val>
        </c:ser>
        <c:ser>
          <c:idx val="1"/>
          <c:order val="1"/>
          <c:tx>
            <c:strRef>
              <c:f>'Area Charts'!$O$152</c:f>
            </c:strRef>
          </c:tx>
          <c:spPr>
            <a:solidFill>
              <a:srgbClr val="3BCEE4">
                <a:alpha val="20000"/>
              </a:srgbClr>
            </a:solidFill>
            <a:ln cmpd="sng" w="28575">
              <a:solidFill>
                <a:srgbClr val="3BCEE4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Charts'!$O$153:$O$164</c:f>
              <c:numCache/>
            </c:numRef>
          </c:val>
        </c:ser>
        <c:ser>
          <c:idx val="2"/>
          <c:order val="2"/>
          <c:tx>
            <c:strRef>
              <c:f>'Area Charts'!$P$152</c:f>
            </c:strRef>
          </c:tx>
          <c:spPr>
            <a:solidFill>
              <a:srgbClr val="06C167">
                <a:alpha val="20000"/>
              </a:srgbClr>
            </a:solidFill>
            <a:ln cmpd="sng" w="28575">
              <a:solidFill>
                <a:srgbClr val="06C167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Charts'!$P$153:$P$164</c:f>
              <c:numCache/>
            </c:numRef>
          </c:val>
        </c:ser>
        <c:ser>
          <c:idx val="3"/>
          <c:order val="3"/>
          <c:tx>
            <c:strRef>
              <c:f>'Area Charts'!$Q$152</c:f>
            </c:strRef>
          </c:tx>
          <c:spPr>
            <a:solidFill>
              <a:srgbClr val="E142BC">
                <a:alpha val="20000"/>
              </a:srgbClr>
            </a:solidFill>
            <a:ln cmpd="sng" w="28575">
              <a:solidFill>
                <a:srgbClr val="E142BC"/>
              </a:solidFill>
            </a:ln>
          </c:spPr>
          <c:cat>
            <c:strRef>
              <c:f>'Area Charts'!$I$153:$I$164</c:f>
            </c:strRef>
          </c:cat>
          <c:val>
            <c:numRef>
              <c:f>'Area Charts'!$Q$153:$Q$164</c:f>
              <c:numCache/>
            </c:numRef>
          </c:val>
        </c:ser>
        <c:axId val="965338224"/>
        <c:axId val="523664045"/>
      </c:areaChart>
      <c:catAx>
        <c:axId val="96533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523664045"/>
      </c:catAx>
      <c:valAx>
        <c:axId val="523664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965338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Products sold by Month</a:t>
            </a:r>
          </a:p>
        </c:rich>
      </c:tx>
      <c:overlay val="0"/>
    </c:title>
    <c:plotArea>
      <c:layout>
        <c:manualLayout>
          <c:xMode val="edge"/>
          <c:yMode val="edge"/>
          <c:x val="0.03100338218714769"/>
          <c:y val="0.13069216757741348"/>
          <c:w val="0.9402480270574972"/>
          <c:h val="0.7865209471766847"/>
        </c:manualLayout>
      </c:layout>
      <c:areaChart>
        <c:grouping val="stacked"/>
        <c:ser>
          <c:idx val="1"/>
          <c:order val="1"/>
          <c:tx>
            <c:strRef>
              <c:f>'Area Charts'!$DD$172</c:f>
            </c:strRef>
          </c:tx>
          <c:spPr>
            <a:solidFill>
              <a:srgbClr val="93C47D">
                <a:alpha val="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Charts'!$DD$173:$DD$184</c:f>
              <c:numCache/>
            </c:numRef>
          </c:val>
        </c:ser>
        <c:ser>
          <c:idx val="2"/>
          <c:order val="2"/>
          <c:tx>
            <c:strRef>
              <c:f>'Area Charts'!$K$172</c:f>
            </c:strRef>
          </c:tx>
          <c:spPr>
            <a:solidFill>
              <a:srgbClr val="93C47D">
                <a:alpha val="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Charts'!$K$173:$K$184</c:f>
              <c:numCache/>
            </c:numRef>
          </c:val>
        </c:ser>
        <c:ser>
          <c:idx val="3"/>
          <c:order val="3"/>
          <c:tx>
            <c:strRef>
              <c:f>'Area Charts'!$L$172</c:f>
            </c:strRef>
          </c:tx>
          <c:spPr>
            <a:solidFill>
              <a:srgbClr val="93C47D">
                <a:alpha val="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Charts'!$L$173:$L$184</c:f>
              <c:numCache/>
            </c:numRef>
          </c:val>
        </c:ser>
        <c:ser>
          <c:idx val="4"/>
          <c:order val="4"/>
          <c:tx>
            <c:strRef>
              <c:f>'Area Charts'!$M$172</c:f>
            </c:strRef>
          </c:tx>
          <c:spPr>
            <a:solidFill>
              <a:srgbClr val="93C47D">
                <a:alpha val="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Charts'!$M$173:$M$184</c:f>
              <c:numCache/>
            </c:numRef>
          </c:val>
        </c:ser>
        <c:ser>
          <c:idx val="5"/>
          <c:order val="5"/>
          <c:tx>
            <c:strRef>
              <c:f>'Area Charts'!$N$172</c:f>
            </c:strRef>
          </c:tx>
          <c:spPr>
            <a:solidFill>
              <a:srgbClr val="93C47D">
                <a:alpha val="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Charts'!$N$173:$N$184</c:f>
              <c:numCache/>
            </c:numRef>
          </c:val>
        </c:ser>
        <c:ser>
          <c:idx val="6"/>
          <c:order val="6"/>
          <c:tx>
            <c:strRef>
              <c:f>'Area Charts'!$O$172</c:f>
            </c:strRef>
          </c:tx>
          <c:spPr>
            <a:solidFill>
              <a:srgbClr val="93C47D">
                <a:alpha val="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Charts'!$O$173:$O$184</c:f>
              <c:numCache/>
            </c:numRef>
          </c:val>
        </c:ser>
        <c:ser>
          <c:idx val="7"/>
          <c:order val="7"/>
          <c:tx>
            <c:strRef>
              <c:f>'Area Charts'!$P$172</c:f>
            </c:strRef>
          </c:tx>
          <c:spPr>
            <a:solidFill>
              <a:srgbClr val="93C47D">
                <a:alpha val="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Charts'!$P$173:$P$184</c:f>
              <c:numCache/>
            </c:numRef>
          </c:val>
        </c:ser>
        <c:ser>
          <c:idx val="8"/>
          <c:order val="8"/>
          <c:tx>
            <c:strRef>
              <c:f>'Area Charts'!$Q$172</c:f>
            </c:strRef>
          </c:tx>
          <c:spPr>
            <a:solidFill>
              <a:srgbClr val="93C47D">
                <a:alpha val="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Charts'!$Q$173:$Q$184</c:f>
              <c:numCache/>
            </c:numRef>
          </c:val>
        </c:ser>
        <c:ser>
          <c:idx val="9"/>
          <c:order val="9"/>
          <c:tx>
            <c:strRef>
              <c:f>'Area Charts'!$R$172</c:f>
            </c:strRef>
          </c:tx>
          <c:spPr>
            <a:solidFill>
              <a:srgbClr val="93C47D">
                <a:alpha val="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Charts'!$R$173:$R$184</c:f>
              <c:numCache/>
            </c:numRef>
          </c:val>
        </c:ser>
        <c:ser>
          <c:idx val="10"/>
          <c:order val="10"/>
          <c:tx>
            <c:strRef>
              <c:f>'Area Charts'!$S$172</c:f>
            </c:strRef>
          </c:tx>
          <c:spPr>
            <a:solidFill>
              <a:srgbClr val="93C47D">
                <a:alpha val="1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Charts'!$S$173:$S$184</c:f>
              <c:numCache/>
            </c:numRef>
          </c:val>
        </c:ser>
        <c:ser>
          <c:idx val="11"/>
          <c:order val="11"/>
          <c:tx>
            <c:strRef>
              <c:f>'Area Charts'!$T$172</c:f>
            </c:strRef>
          </c:tx>
          <c:spPr>
            <a:solidFill>
              <a:srgbClr val="93C47D">
                <a:alpha val="1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Charts'!$T$173:$T$184</c:f>
              <c:numCache/>
            </c:numRef>
          </c:val>
        </c:ser>
        <c:ser>
          <c:idx val="12"/>
          <c:order val="12"/>
          <c:tx>
            <c:strRef>
              <c:f>'Area Charts'!$U$172</c:f>
            </c:strRef>
          </c:tx>
          <c:spPr>
            <a:solidFill>
              <a:srgbClr val="93C47D">
                <a:alpha val="1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Charts'!$U$173:$U$184</c:f>
              <c:numCache/>
            </c:numRef>
          </c:val>
        </c:ser>
        <c:ser>
          <c:idx val="13"/>
          <c:order val="13"/>
          <c:tx>
            <c:strRef>
              <c:f>'Area Charts'!$V$172</c:f>
            </c:strRef>
          </c:tx>
          <c:spPr>
            <a:solidFill>
              <a:srgbClr val="93C47D">
                <a:alpha val="1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Charts'!$V$173:$V$184</c:f>
              <c:numCache/>
            </c:numRef>
          </c:val>
        </c:ser>
        <c:ser>
          <c:idx val="14"/>
          <c:order val="14"/>
          <c:tx>
            <c:strRef>
              <c:f>'Area Charts'!$W$172</c:f>
            </c:strRef>
          </c:tx>
          <c:spPr>
            <a:solidFill>
              <a:srgbClr val="93C47D">
                <a:alpha val="1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Charts'!$W$173:$W$184</c:f>
              <c:numCache/>
            </c:numRef>
          </c:val>
        </c:ser>
        <c:ser>
          <c:idx val="15"/>
          <c:order val="15"/>
          <c:tx>
            <c:strRef>
              <c:f>'Area Charts'!$X$172</c:f>
            </c:strRef>
          </c:tx>
          <c:spPr>
            <a:solidFill>
              <a:srgbClr val="93C47D">
                <a:alpha val="1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Charts'!$X$173:$X$184</c:f>
              <c:numCache/>
            </c:numRef>
          </c:val>
        </c:ser>
        <c:ser>
          <c:idx val="16"/>
          <c:order val="16"/>
          <c:tx>
            <c:strRef>
              <c:f>'Area Charts'!$Y$172</c:f>
            </c:strRef>
          </c:tx>
          <c:spPr>
            <a:solidFill>
              <a:srgbClr val="93C47D">
                <a:alpha val="1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Charts'!$Y$173:$Y$184</c:f>
              <c:numCache/>
            </c:numRef>
          </c:val>
        </c:ser>
        <c:ser>
          <c:idx val="17"/>
          <c:order val="17"/>
          <c:tx>
            <c:strRef>
              <c:f>'Area Charts'!$Z$172</c:f>
            </c:strRef>
          </c:tx>
          <c:spPr>
            <a:solidFill>
              <a:srgbClr val="93C47D">
                <a:alpha val="1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Charts'!$Z$173:$Z$184</c:f>
              <c:numCache/>
            </c:numRef>
          </c:val>
        </c:ser>
        <c:ser>
          <c:idx val="18"/>
          <c:order val="18"/>
          <c:tx>
            <c:strRef>
              <c:f>'Area Charts'!$AA$172</c:f>
            </c:strRef>
          </c:tx>
          <c:spPr>
            <a:solidFill>
              <a:srgbClr val="93C47D">
                <a:alpha val="1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Charts'!$AA$173:$AA$184</c:f>
              <c:numCache/>
            </c:numRef>
          </c:val>
        </c:ser>
        <c:ser>
          <c:idx val="19"/>
          <c:order val="19"/>
          <c:tx>
            <c:strRef>
              <c:f>'Area Charts'!$AB$172</c:f>
            </c:strRef>
          </c:tx>
          <c:spPr>
            <a:solidFill>
              <a:srgbClr val="93C47D">
                <a:alpha val="1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Charts'!$AB$173:$AB$184</c:f>
              <c:numCache/>
            </c:numRef>
          </c:val>
        </c:ser>
        <c:ser>
          <c:idx val="20"/>
          <c:order val="20"/>
          <c:tx>
            <c:strRef>
              <c:f>'Area Charts'!$AC$172</c:f>
            </c:strRef>
          </c:tx>
          <c:spPr>
            <a:solidFill>
              <a:srgbClr val="93C47D">
                <a:alpha val="2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Charts'!$AC$173:$AC$184</c:f>
              <c:numCache/>
            </c:numRef>
          </c:val>
        </c:ser>
        <c:ser>
          <c:idx val="21"/>
          <c:order val="21"/>
          <c:tx>
            <c:strRef>
              <c:f>'Area Charts'!$AD$172</c:f>
            </c:strRef>
          </c:tx>
          <c:spPr>
            <a:solidFill>
              <a:srgbClr val="93C47D">
                <a:alpha val="2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Charts'!$AD$173:$AD$184</c:f>
              <c:numCache/>
            </c:numRef>
          </c:val>
        </c:ser>
        <c:ser>
          <c:idx val="22"/>
          <c:order val="22"/>
          <c:tx>
            <c:strRef>
              <c:f>'Area Charts'!$AE$172</c:f>
            </c:strRef>
          </c:tx>
          <c:spPr>
            <a:solidFill>
              <a:srgbClr val="93C47D">
                <a:alpha val="2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Charts'!$AE$173:$AE$184</c:f>
              <c:numCache/>
            </c:numRef>
          </c:val>
        </c:ser>
        <c:ser>
          <c:idx val="23"/>
          <c:order val="23"/>
          <c:tx>
            <c:strRef>
              <c:f>'Area Charts'!$AF$172</c:f>
            </c:strRef>
          </c:tx>
          <c:spPr>
            <a:solidFill>
              <a:srgbClr val="93C47D">
                <a:alpha val="2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Charts'!$AF$173:$AF$184</c:f>
              <c:numCache/>
            </c:numRef>
          </c:val>
        </c:ser>
        <c:ser>
          <c:idx val="24"/>
          <c:order val="24"/>
          <c:tx>
            <c:strRef>
              <c:f>'Area Charts'!$AG$172</c:f>
            </c:strRef>
          </c:tx>
          <c:spPr>
            <a:solidFill>
              <a:srgbClr val="93C47D">
                <a:alpha val="2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Charts'!$AG$173:$AG$184</c:f>
              <c:numCache/>
            </c:numRef>
          </c:val>
        </c:ser>
        <c:ser>
          <c:idx val="25"/>
          <c:order val="25"/>
          <c:tx>
            <c:strRef>
              <c:f>'Area Charts'!$AH$172</c:f>
            </c:strRef>
          </c:tx>
          <c:spPr>
            <a:solidFill>
              <a:srgbClr val="93C47D">
                <a:alpha val="2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Charts'!$AH$173:$AH$184</c:f>
              <c:numCache/>
            </c:numRef>
          </c:val>
        </c:ser>
        <c:ser>
          <c:idx val="26"/>
          <c:order val="26"/>
          <c:tx>
            <c:strRef>
              <c:f>'Area Charts'!$AI$172</c:f>
            </c:strRef>
          </c:tx>
          <c:spPr>
            <a:solidFill>
              <a:srgbClr val="93C47D">
                <a:alpha val="2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Charts'!$AI$173:$AI$184</c:f>
              <c:numCache/>
            </c:numRef>
          </c:val>
        </c:ser>
        <c:ser>
          <c:idx val="27"/>
          <c:order val="27"/>
          <c:tx>
            <c:strRef>
              <c:f>'Area Charts'!$AJ$172</c:f>
            </c:strRef>
          </c:tx>
          <c:spPr>
            <a:solidFill>
              <a:srgbClr val="93C47D">
                <a:alpha val="2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Charts'!$AJ$173:$AJ$184</c:f>
              <c:numCache/>
            </c:numRef>
          </c:val>
        </c:ser>
        <c:ser>
          <c:idx val="28"/>
          <c:order val="28"/>
          <c:tx>
            <c:strRef>
              <c:f>'Area Charts'!$AK$172</c:f>
            </c:strRef>
          </c:tx>
          <c:spPr>
            <a:solidFill>
              <a:srgbClr val="93C47D">
                <a:alpha val="2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Charts'!$AK$173:$AK$184</c:f>
              <c:numCache/>
            </c:numRef>
          </c:val>
        </c:ser>
        <c:ser>
          <c:idx val="29"/>
          <c:order val="29"/>
          <c:tx>
            <c:strRef>
              <c:f>'Area Charts'!$AL$172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Charts'!$AL$173:$AL$184</c:f>
              <c:numCache/>
            </c:numRef>
          </c:val>
        </c:ser>
        <c:ser>
          <c:idx val="30"/>
          <c:order val="30"/>
          <c:tx>
            <c:strRef>
              <c:f>'Area Charts'!$AM$172</c:f>
            </c:strRef>
          </c:tx>
          <c:spPr>
            <a:solidFill>
              <a:srgbClr val="93C47D">
                <a:alpha val="3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Charts'!$AM$173:$AM$184</c:f>
              <c:numCache/>
            </c:numRef>
          </c:val>
        </c:ser>
        <c:ser>
          <c:idx val="31"/>
          <c:order val="31"/>
          <c:tx>
            <c:strRef>
              <c:f>'Area Charts'!$AN$172</c:f>
            </c:strRef>
          </c:tx>
          <c:spPr>
            <a:solidFill>
              <a:srgbClr val="93C47D">
                <a:alpha val="3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Charts'!$AN$173:$AN$184</c:f>
              <c:numCache/>
            </c:numRef>
          </c:val>
        </c:ser>
        <c:ser>
          <c:idx val="32"/>
          <c:order val="32"/>
          <c:tx>
            <c:strRef>
              <c:f>'Area Charts'!$AO$172</c:f>
            </c:strRef>
          </c:tx>
          <c:spPr>
            <a:solidFill>
              <a:srgbClr val="93C47D">
                <a:alpha val="3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Charts'!$AO$173:$AO$184</c:f>
              <c:numCache/>
            </c:numRef>
          </c:val>
        </c:ser>
        <c:ser>
          <c:idx val="33"/>
          <c:order val="33"/>
          <c:tx>
            <c:strRef>
              <c:f>'Area Charts'!$AP$172</c:f>
            </c:strRef>
          </c:tx>
          <c:spPr>
            <a:solidFill>
              <a:srgbClr val="93C47D">
                <a:alpha val="3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Charts'!$AP$173:$AP$184</c:f>
              <c:numCache/>
            </c:numRef>
          </c:val>
        </c:ser>
        <c:ser>
          <c:idx val="34"/>
          <c:order val="34"/>
          <c:tx>
            <c:strRef>
              <c:f>'Area Charts'!$AQ$172</c:f>
            </c:strRef>
          </c:tx>
          <c:spPr>
            <a:solidFill>
              <a:srgbClr val="93C47D">
                <a:alpha val="3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Charts'!$AQ$173:$AQ$184</c:f>
              <c:numCache/>
            </c:numRef>
          </c:val>
        </c:ser>
        <c:ser>
          <c:idx val="35"/>
          <c:order val="35"/>
          <c:tx>
            <c:strRef>
              <c:f>'Area Charts'!$AR$172</c:f>
            </c:strRef>
          </c:tx>
          <c:spPr>
            <a:solidFill>
              <a:srgbClr val="93C47D">
                <a:alpha val="3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Charts'!$AR$173:$AR$184</c:f>
              <c:numCache/>
            </c:numRef>
          </c:val>
        </c:ser>
        <c:ser>
          <c:idx val="36"/>
          <c:order val="36"/>
          <c:tx>
            <c:strRef>
              <c:f>'Area Charts'!$AS$172</c:f>
            </c:strRef>
          </c:tx>
          <c:spPr>
            <a:solidFill>
              <a:srgbClr val="93C47D">
                <a:alpha val="3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Charts'!$AS$173:$AS$184</c:f>
              <c:numCache/>
            </c:numRef>
          </c:val>
        </c:ser>
        <c:ser>
          <c:idx val="37"/>
          <c:order val="37"/>
          <c:tx>
            <c:strRef>
              <c:f>'Area Charts'!$AT$172</c:f>
            </c:strRef>
          </c:tx>
          <c:spPr>
            <a:solidFill>
              <a:srgbClr val="93C47D">
                <a:alpha val="3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Charts'!$AT$173:$AT$184</c:f>
              <c:numCache/>
            </c:numRef>
          </c:val>
        </c:ser>
        <c:ser>
          <c:idx val="38"/>
          <c:order val="38"/>
          <c:tx>
            <c:strRef>
              <c:f>'Area Charts'!$AU$172</c:f>
            </c:strRef>
          </c:tx>
          <c:spPr>
            <a:solidFill>
              <a:srgbClr val="93C47D">
                <a:alpha val="3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Charts'!$AU$173:$AU$184</c:f>
              <c:numCache/>
            </c:numRef>
          </c:val>
        </c:ser>
        <c:ser>
          <c:idx val="39"/>
          <c:order val="39"/>
          <c:tx>
            <c:strRef>
              <c:f>'Area Charts'!$AV$172</c:f>
            </c:strRef>
          </c:tx>
          <c:spPr>
            <a:solidFill>
              <a:srgbClr val="93C47D">
                <a:alpha val="4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Charts'!$AV$173:$AV$184</c:f>
              <c:numCache/>
            </c:numRef>
          </c:val>
        </c:ser>
        <c:ser>
          <c:idx val="40"/>
          <c:order val="40"/>
          <c:tx>
            <c:strRef>
              <c:f>'Area Charts'!$AW$172</c:f>
            </c:strRef>
          </c:tx>
          <c:spPr>
            <a:solidFill>
              <a:srgbClr val="93C47D">
                <a:alpha val="4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Charts'!$AW$173:$AW$184</c:f>
              <c:numCache/>
            </c:numRef>
          </c:val>
        </c:ser>
        <c:ser>
          <c:idx val="41"/>
          <c:order val="41"/>
          <c:tx>
            <c:strRef>
              <c:f>'Area Charts'!$AX$172</c:f>
            </c:strRef>
          </c:tx>
          <c:spPr>
            <a:solidFill>
              <a:srgbClr val="93C47D">
                <a:alpha val="4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Charts'!$AX$173:$AX$184</c:f>
              <c:numCache/>
            </c:numRef>
          </c:val>
        </c:ser>
        <c:ser>
          <c:idx val="42"/>
          <c:order val="42"/>
          <c:tx>
            <c:strRef>
              <c:f>'Area Charts'!$AY$172</c:f>
            </c:strRef>
          </c:tx>
          <c:spPr>
            <a:solidFill>
              <a:srgbClr val="93C47D">
                <a:alpha val="4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Charts'!$AY$173:$AY$184</c:f>
              <c:numCache/>
            </c:numRef>
          </c:val>
        </c:ser>
        <c:ser>
          <c:idx val="43"/>
          <c:order val="43"/>
          <c:tx>
            <c:strRef>
              <c:f>'Area Charts'!$AZ$172</c:f>
            </c:strRef>
          </c:tx>
          <c:spPr>
            <a:solidFill>
              <a:srgbClr val="93C47D">
                <a:alpha val="4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Charts'!$AZ$173:$AZ$184</c:f>
              <c:numCache/>
            </c:numRef>
          </c:val>
        </c:ser>
        <c:ser>
          <c:idx val="44"/>
          <c:order val="44"/>
          <c:tx>
            <c:strRef>
              <c:f>'Area Charts'!$BA$172</c:f>
            </c:strRef>
          </c:tx>
          <c:spPr>
            <a:solidFill>
              <a:srgbClr val="93C47D">
                <a:alpha val="4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Charts'!$BA$173:$BA$184</c:f>
              <c:numCache/>
            </c:numRef>
          </c:val>
        </c:ser>
        <c:ser>
          <c:idx val="45"/>
          <c:order val="45"/>
          <c:tx>
            <c:strRef>
              <c:f>'Area Charts'!$BB$172</c:f>
            </c:strRef>
          </c:tx>
          <c:spPr>
            <a:solidFill>
              <a:srgbClr val="93C47D">
                <a:alpha val="4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Charts'!$BB$173:$BB$184</c:f>
              <c:numCache/>
            </c:numRef>
          </c:val>
        </c:ser>
        <c:ser>
          <c:idx val="46"/>
          <c:order val="46"/>
          <c:tx>
            <c:strRef>
              <c:f>'Area Charts'!$BC$172</c:f>
            </c:strRef>
          </c:tx>
          <c:spPr>
            <a:solidFill>
              <a:srgbClr val="93C47D">
                <a:alpha val="4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Charts'!$BC$173:$BC$184</c:f>
              <c:numCache/>
            </c:numRef>
          </c:val>
        </c:ser>
        <c:ser>
          <c:idx val="47"/>
          <c:order val="47"/>
          <c:tx>
            <c:strRef>
              <c:f>'Area Charts'!$BD$172</c:f>
            </c:strRef>
          </c:tx>
          <c:spPr>
            <a:solidFill>
              <a:srgbClr val="93C47D">
                <a:alpha val="4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Charts'!$BD$173:$BD$184</c:f>
              <c:numCache/>
            </c:numRef>
          </c:val>
        </c:ser>
        <c:ser>
          <c:idx val="48"/>
          <c:order val="48"/>
          <c:tx>
            <c:strRef>
              <c:f>'Area Charts'!$BE$172</c:f>
            </c:strRef>
          </c:tx>
          <c:spPr>
            <a:solidFill>
              <a:srgbClr val="93C47D">
                <a:alpha val="4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Charts'!$BE$173:$BE$184</c:f>
              <c:numCache/>
            </c:numRef>
          </c:val>
        </c:ser>
        <c:ser>
          <c:idx val="49"/>
          <c:order val="49"/>
          <c:tx>
            <c:strRef>
              <c:f>'Area Charts'!$BF$172</c:f>
            </c:strRef>
          </c:tx>
          <c:spPr>
            <a:solidFill>
              <a:srgbClr val="93C47D">
                <a:alpha val="5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Charts'!$BF$173:$BF$184</c:f>
              <c:numCache/>
            </c:numRef>
          </c:val>
        </c:ser>
        <c:ser>
          <c:idx val="50"/>
          <c:order val="50"/>
          <c:tx>
            <c:strRef>
              <c:f>'Area Charts'!$BG$172</c:f>
            </c:strRef>
          </c:tx>
          <c:spPr>
            <a:solidFill>
              <a:srgbClr val="93C47D">
                <a:alpha val="5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Charts'!$BG$173:$BG$184</c:f>
              <c:numCache/>
            </c:numRef>
          </c:val>
        </c:ser>
        <c:ser>
          <c:idx val="51"/>
          <c:order val="51"/>
          <c:tx>
            <c:strRef>
              <c:f>'Area Charts'!$BH$172</c:f>
            </c:strRef>
          </c:tx>
          <c:spPr>
            <a:solidFill>
              <a:srgbClr val="93C47D">
                <a:alpha val="5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Charts'!$BH$173:$BH$184</c:f>
              <c:numCache/>
            </c:numRef>
          </c:val>
        </c:ser>
        <c:ser>
          <c:idx val="52"/>
          <c:order val="52"/>
          <c:tx>
            <c:strRef>
              <c:f>'Area Charts'!$BI$172</c:f>
            </c:strRef>
          </c:tx>
          <c:spPr>
            <a:solidFill>
              <a:srgbClr val="93C47D">
                <a:alpha val="5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Charts'!$BI$173:$BI$184</c:f>
              <c:numCache/>
            </c:numRef>
          </c:val>
        </c:ser>
        <c:ser>
          <c:idx val="53"/>
          <c:order val="53"/>
          <c:tx>
            <c:strRef>
              <c:f>'Area Charts'!$BJ$172</c:f>
            </c:strRef>
          </c:tx>
          <c:spPr>
            <a:solidFill>
              <a:srgbClr val="93C47D">
                <a:alpha val="5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Charts'!$BJ$173:$BJ$184</c:f>
              <c:numCache/>
            </c:numRef>
          </c:val>
        </c:ser>
        <c:ser>
          <c:idx val="54"/>
          <c:order val="54"/>
          <c:tx>
            <c:strRef>
              <c:f>'Area Charts'!$BK$172</c:f>
            </c:strRef>
          </c:tx>
          <c:spPr>
            <a:solidFill>
              <a:srgbClr val="93C47D">
                <a:alpha val="5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Charts'!$BK$173:$BK$184</c:f>
              <c:numCache/>
            </c:numRef>
          </c:val>
        </c:ser>
        <c:ser>
          <c:idx val="55"/>
          <c:order val="55"/>
          <c:tx>
            <c:strRef>
              <c:f>'Area Charts'!$BL$172</c:f>
            </c:strRef>
          </c:tx>
          <c:spPr>
            <a:solidFill>
              <a:srgbClr val="93C47D">
                <a:alpha val="5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Charts'!$BL$173:$BL$184</c:f>
              <c:numCache/>
            </c:numRef>
          </c:val>
        </c:ser>
        <c:ser>
          <c:idx val="56"/>
          <c:order val="56"/>
          <c:tx>
            <c:strRef>
              <c:f>'Area Charts'!$BM$172</c:f>
            </c:strRef>
          </c:tx>
          <c:spPr>
            <a:solidFill>
              <a:srgbClr val="93C47D">
                <a:alpha val="5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Charts'!$BM$173:$BM$184</c:f>
              <c:numCache/>
            </c:numRef>
          </c:val>
        </c:ser>
        <c:ser>
          <c:idx val="57"/>
          <c:order val="57"/>
          <c:tx>
            <c:strRef>
              <c:f>'Area Charts'!$BN$172</c:f>
            </c:strRef>
          </c:tx>
          <c:spPr>
            <a:solidFill>
              <a:srgbClr val="93C47D">
                <a:alpha val="5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Charts'!$BN$173:$BN$184</c:f>
              <c:numCache/>
            </c:numRef>
          </c:val>
        </c:ser>
        <c:ser>
          <c:idx val="58"/>
          <c:order val="58"/>
          <c:tx>
            <c:strRef>
              <c:f>'Area Charts'!$BO$172</c:f>
            </c:strRef>
          </c:tx>
          <c:spPr>
            <a:solidFill>
              <a:srgbClr val="93C47D">
                <a:alpha val="5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Charts'!$BO$173:$BO$184</c:f>
              <c:numCache/>
            </c:numRef>
          </c:val>
        </c:ser>
        <c:ser>
          <c:idx val="59"/>
          <c:order val="59"/>
          <c:tx>
            <c:strRef>
              <c:f>'Area Charts'!$BP$172</c:f>
            </c:strRef>
          </c:tx>
          <c:spPr>
            <a:solidFill>
              <a:srgbClr val="93C47D">
                <a:alpha val="6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Charts'!$BP$173:$BP$184</c:f>
              <c:numCache/>
            </c:numRef>
          </c:val>
        </c:ser>
        <c:ser>
          <c:idx val="60"/>
          <c:order val="60"/>
          <c:tx>
            <c:strRef>
              <c:f>'Area Charts'!$BQ$172</c:f>
            </c:strRef>
          </c:tx>
          <c:spPr>
            <a:solidFill>
              <a:srgbClr val="93C47D">
                <a:alpha val="6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Charts'!$BQ$173:$BQ$184</c:f>
              <c:numCache/>
            </c:numRef>
          </c:val>
        </c:ser>
        <c:ser>
          <c:idx val="61"/>
          <c:order val="61"/>
          <c:tx>
            <c:strRef>
              <c:f>'Area Charts'!$BR$172</c:f>
            </c:strRef>
          </c:tx>
          <c:spPr>
            <a:solidFill>
              <a:srgbClr val="93C47D">
                <a:alpha val="6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Charts'!$BR$173:$BR$184</c:f>
              <c:numCache/>
            </c:numRef>
          </c:val>
        </c:ser>
        <c:ser>
          <c:idx val="62"/>
          <c:order val="62"/>
          <c:tx>
            <c:strRef>
              <c:f>'Area Charts'!$BS$172</c:f>
            </c:strRef>
          </c:tx>
          <c:spPr>
            <a:solidFill>
              <a:srgbClr val="93C47D">
                <a:alpha val="6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Charts'!$BS$173:$BS$184</c:f>
              <c:numCache/>
            </c:numRef>
          </c:val>
        </c:ser>
        <c:ser>
          <c:idx val="63"/>
          <c:order val="63"/>
          <c:tx>
            <c:strRef>
              <c:f>'Area Charts'!$BT$172</c:f>
            </c:strRef>
          </c:tx>
          <c:spPr>
            <a:solidFill>
              <a:srgbClr val="93C47D">
                <a:alpha val="6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Charts'!$BT$173:$BT$184</c:f>
              <c:numCache/>
            </c:numRef>
          </c:val>
        </c:ser>
        <c:ser>
          <c:idx val="64"/>
          <c:order val="64"/>
          <c:tx>
            <c:strRef>
              <c:f>'Area Charts'!$BU$172</c:f>
            </c:strRef>
          </c:tx>
          <c:spPr>
            <a:solidFill>
              <a:srgbClr val="93C47D">
                <a:alpha val="6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Charts'!$BU$173:$BU$184</c:f>
              <c:numCache/>
            </c:numRef>
          </c:val>
        </c:ser>
        <c:ser>
          <c:idx val="65"/>
          <c:order val="65"/>
          <c:tx>
            <c:strRef>
              <c:f>'Area Charts'!$BV$172</c:f>
            </c:strRef>
          </c:tx>
          <c:spPr>
            <a:solidFill>
              <a:srgbClr val="93C47D">
                <a:alpha val="6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Charts'!$BV$173:$BV$184</c:f>
              <c:numCache/>
            </c:numRef>
          </c:val>
        </c:ser>
        <c:ser>
          <c:idx val="66"/>
          <c:order val="66"/>
          <c:tx>
            <c:strRef>
              <c:f>'Area Charts'!$BW$172</c:f>
            </c:strRef>
          </c:tx>
          <c:spPr>
            <a:solidFill>
              <a:srgbClr val="93C47D">
                <a:alpha val="6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Charts'!$BW$173:$BW$184</c:f>
              <c:numCache/>
            </c:numRef>
          </c:val>
        </c:ser>
        <c:ser>
          <c:idx val="67"/>
          <c:order val="67"/>
          <c:tx>
            <c:strRef>
              <c:f>'Area Charts'!$BX$172</c:f>
            </c:strRef>
          </c:tx>
          <c:spPr>
            <a:solidFill>
              <a:srgbClr val="93C47D">
                <a:alpha val="6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Charts'!$BX$173:$BX$184</c:f>
              <c:numCache/>
            </c:numRef>
          </c:val>
        </c:ser>
        <c:ser>
          <c:idx val="68"/>
          <c:order val="68"/>
          <c:tx>
            <c:strRef>
              <c:f>'Area Charts'!$BY$172</c:f>
            </c:strRef>
          </c:tx>
          <c:spPr>
            <a:solidFill>
              <a:srgbClr val="93C47D">
                <a:alpha val="6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Charts'!$BY$173:$BY$184</c:f>
              <c:numCache/>
            </c:numRef>
          </c:val>
        </c:ser>
        <c:ser>
          <c:idx val="69"/>
          <c:order val="69"/>
          <c:tx>
            <c:strRef>
              <c:f>'Area Charts'!$BZ$172</c:f>
            </c:strRef>
          </c:tx>
          <c:spPr>
            <a:solidFill>
              <a:srgbClr val="93C47D">
                <a:alpha val="7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Charts'!$BZ$173:$BZ$184</c:f>
              <c:numCache/>
            </c:numRef>
          </c:val>
        </c:ser>
        <c:ser>
          <c:idx val="70"/>
          <c:order val="70"/>
          <c:tx>
            <c:strRef>
              <c:f>'Area Charts'!$CA$172</c:f>
            </c:strRef>
          </c:tx>
          <c:spPr>
            <a:solidFill>
              <a:srgbClr val="93C47D">
                <a:alpha val="7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Charts'!$CA$173:$CA$184</c:f>
              <c:numCache/>
            </c:numRef>
          </c:val>
        </c:ser>
        <c:ser>
          <c:idx val="71"/>
          <c:order val="71"/>
          <c:tx>
            <c:strRef>
              <c:f>'Area Charts'!$CB$172</c:f>
            </c:strRef>
          </c:tx>
          <c:spPr>
            <a:solidFill>
              <a:srgbClr val="93C47D">
                <a:alpha val="7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Charts'!$CB$173:$CB$184</c:f>
              <c:numCache/>
            </c:numRef>
          </c:val>
        </c:ser>
        <c:ser>
          <c:idx val="72"/>
          <c:order val="72"/>
          <c:tx>
            <c:strRef>
              <c:f>'Area Charts'!$CC$172</c:f>
            </c:strRef>
          </c:tx>
          <c:spPr>
            <a:solidFill>
              <a:srgbClr val="93C47D">
                <a:alpha val="7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Charts'!$CC$173:$CC$184</c:f>
              <c:numCache/>
            </c:numRef>
          </c:val>
        </c:ser>
        <c:ser>
          <c:idx val="73"/>
          <c:order val="73"/>
          <c:tx>
            <c:strRef>
              <c:f>'Area Charts'!$CD$172</c:f>
            </c:strRef>
          </c:tx>
          <c:spPr>
            <a:solidFill>
              <a:srgbClr val="93C47D">
                <a:alpha val="7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Charts'!$CD$173:$CD$184</c:f>
              <c:numCache/>
            </c:numRef>
          </c:val>
        </c:ser>
        <c:ser>
          <c:idx val="74"/>
          <c:order val="74"/>
          <c:tx>
            <c:strRef>
              <c:f>'Area Charts'!$CE$172</c:f>
            </c:strRef>
          </c:tx>
          <c:spPr>
            <a:solidFill>
              <a:srgbClr val="93C47D">
                <a:alpha val="7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Charts'!$CE$173:$CE$184</c:f>
              <c:numCache/>
            </c:numRef>
          </c:val>
        </c:ser>
        <c:ser>
          <c:idx val="75"/>
          <c:order val="75"/>
          <c:tx>
            <c:strRef>
              <c:f>'Area Charts'!$CF$172</c:f>
            </c:strRef>
          </c:tx>
          <c:spPr>
            <a:solidFill>
              <a:srgbClr val="93C47D">
                <a:alpha val="7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Charts'!$CF$173:$CF$184</c:f>
              <c:numCache/>
            </c:numRef>
          </c:val>
        </c:ser>
        <c:ser>
          <c:idx val="76"/>
          <c:order val="76"/>
          <c:tx>
            <c:strRef>
              <c:f>'Area Charts'!$CG$172</c:f>
            </c:strRef>
          </c:tx>
          <c:spPr>
            <a:solidFill>
              <a:srgbClr val="93C47D">
                <a:alpha val="7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Charts'!$CG$173:$CG$184</c:f>
              <c:numCache/>
            </c:numRef>
          </c:val>
        </c:ser>
        <c:ser>
          <c:idx val="77"/>
          <c:order val="77"/>
          <c:tx>
            <c:strRef>
              <c:f>'Area Charts'!$CH$172</c:f>
            </c:strRef>
          </c:tx>
          <c:spPr>
            <a:solidFill>
              <a:srgbClr val="93C47D">
                <a:alpha val="7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Charts'!$CH$173:$CH$184</c:f>
              <c:numCache/>
            </c:numRef>
          </c:val>
        </c:ser>
        <c:ser>
          <c:idx val="78"/>
          <c:order val="78"/>
          <c:tx>
            <c:strRef>
              <c:f>'Area Charts'!$CI$172</c:f>
            </c:strRef>
          </c:tx>
          <c:spPr>
            <a:solidFill>
              <a:srgbClr val="93C47D">
                <a:alpha val="8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Charts'!$CI$173:$CI$184</c:f>
              <c:numCache/>
            </c:numRef>
          </c:val>
        </c:ser>
        <c:ser>
          <c:idx val="79"/>
          <c:order val="79"/>
          <c:tx>
            <c:strRef>
              <c:f>'Area Charts'!$CJ$172</c:f>
            </c:strRef>
          </c:tx>
          <c:spPr>
            <a:solidFill>
              <a:srgbClr val="93C47D">
                <a:alpha val="8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Charts'!$CJ$173:$CJ$184</c:f>
              <c:numCache/>
            </c:numRef>
          </c:val>
        </c:ser>
        <c:ser>
          <c:idx val="80"/>
          <c:order val="80"/>
          <c:tx>
            <c:strRef>
              <c:f>'Area Charts'!$CK$172</c:f>
            </c:strRef>
          </c:tx>
          <c:spPr>
            <a:solidFill>
              <a:srgbClr val="93C47D">
                <a:alpha val="8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Charts'!$CK$173:$CK$184</c:f>
              <c:numCache/>
            </c:numRef>
          </c:val>
        </c:ser>
        <c:ser>
          <c:idx val="81"/>
          <c:order val="81"/>
          <c:tx>
            <c:strRef>
              <c:f>'Area Charts'!$CL$172</c:f>
            </c:strRef>
          </c:tx>
          <c:spPr>
            <a:solidFill>
              <a:srgbClr val="93C47D">
                <a:alpha val="8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Charts'!$CL$173:$CL$184</c:f>
              <c:numCache/>
            </c:numRef>
          </c:val>
        </c:ser>
        <c:ser>
          <c:idx val="82"/>
          <c:order val="82"/>
          <c:tx>
            <c:strRef>
              <c:f>'Area Charts'!$CM$172</c:f>
            </c:strRef>
          </c:tx>
          <c:spPr>
            <a:solidFill>
              <a:srgbClr val="93C47D">
                <a:alpha val="8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Charts'!$CM$173:$CM$184</c:f>
              <c:numCache/>
            </c:numRef>
          </c:val>
        </c:ser>
        <c:ser>
          <c:idx val="83"/>
          <c:order val="83"/>
          <c:tx>
            <c:strRef>
              <c:f>'Area Charts'!$CN$172</c:f>
            </c:strRef>
          </c:tx>
          <c:spPr>
            <a:solidFill>
              <a:srgbClr val="93C47D">
                <a:alpha val="8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Charts'!$CN$173:$CN$184</c:f>
              <c:numCache/>
            </c:numRef>
          </c:val>
        </c:ser>
        <c:ser>
          <c:idx val="84"/>
          <c:order val="84"/>
          <c:tx>
            <c:strRef>
              <c:f>'Area Charts'!$CO$172</c:f>
            </c:strRef>
          </c:tx>
          <c:spPr>
            <a:solidFill>
              <a:srgbClr val="93C47D">
                <a:alpha val="8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Charts'!$CO$173:$CO$184</c:f>
              <c:numCache/>
            </c:numRef>
          </c:val>
        </c:ser>
        <c:ser>
          <c:idx val="85"/>
          <c:order val="85"/>
          <c:tx>
            <c:strRef>
              <c:f>'Area Charts'!$CP$172</c:f>
            </c:strRef>
          </c:tx>
          <c:spPr>
            <a:solidFill>
              <a:srgbClr val="93C47D">
                <a:alpha val="8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Charts'!$CP$173:$CP$184</c:f>
              <c:numCache/>
            </c:numRef>
          </c:val>
        </c:ser>
        <c:ser>
          <c:idx val="86"/>
          <c:order val="86"/>
          <c:tx>
            <c:strRef>
              <c:f>'Area Charts'!$CQ$172</c:f>
            </c:strRef>
          </c:tx>
          <c:spPr>
            <a:solidFill>
              <a:srgbClr val="93C47D">
                <a:alpha val="8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Charts'!$CQ$173:$CQ$184</c:f>
              <c:numCache/>
            </c:numRef>
          </c:val>
        </c:ser>
        <c:ser>
          <c:idx val="87"/>
          <c:order val="87"/>
          <c:tx>
            <c:strRef>
              <c:f>'Area Charts'!$CR$172</c:f>
            </c:strRef>
          </c:tx>
          <c:spPr>
            <a:solidFill>
              <a:srgbClr val="93C47D">
                <a:alpha val="8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Charts'!$CR$173:$CR$184</c:f>
              <c:numCache/>
            </c:numRef>
          </c:val>
        </c:ser>
        <c:ser>
          <c:idx val="88"/>
          <c:order val="88"/>
          <c:tx>
            <c:strRef>
              <c:f>'Area Charts'!$CS$172</c:f>
            </c:strRef>
          </c:tx>
          <c:spPr>
            <a:solidFill>
              <a:srgbClr val="93C47D">
                <a:alpha val="9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Charts'!$CS$173:$CS$184</c:f>
              <c:numCache/>
            </c:numRef>
          </c:val>
        </c:ser>
        <c:ser>
          <c:idx val="89"/>
          <c:order val="89"/>
          <c:tx>
            <c:strRef>
              <c:f>'Area Charts'!$CT$172</c:f>
            </c:strRef>
          </c:tx>
          <c:spPr>
            <a:solidFill>
              <a:srgbClr val="93C47D">
                <a:alpha val="9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Charts'!$CT$173:$CT$184</c:f>
              <c:numCache/>
            </c:numRef>
          </c:val>
        </c:ser>
        <c:ser>
          <c:idx val="90"/>
          <c:order val="90"/>
          <c:tx>
            <c:strRef>
              <c:f>'Area Charts'!$CU$172</c:f>
            </c:strRef>
          </c:tx>
          <c:spPr>
            <a:solidFill>
              <a:srgbClr val="93C47D">
                <a:alpha val="9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Charts'!$CU$173:$CU$184</c:f>
              <c:numCache/>
            </c:numRef>
          </c:val>
        </c:ser>
        <c:ser>
          <c:idx val="91"/>
          <c:order val="91"/>
          <c:tx>
            <c:strRef>
              <c:f>'Area Charts'!$CV$172</c:f>
            </c:strRef>
          </c:tx>
          <c:spPr>
            <a:solidFill>
              <a:srgbClr val="93C47D">
                <a:alpha val="9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Charts'!$CV$173:$CV$184</c:f>
              <c:numCache/>
            </c:numRef>
          </c:val>
        </c:ser>
        <c:ser>
          <c:idx val="92"/>
          <c:order val="92"/>
          <c:tx>
            <c:strRef>
              <c:f>'Area Charts'!$CW$172</c:f>
            </c:strRef>
          </c:tx>
          <c:spPr>
            <a:solidFill>
              <a:srgbClr val="93C47D">
                <a:alpha val="9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Charts'!$CW$173:$CW$184</c:f>
              <c:numCache/>
            </c:numRef>
          </c:val>
        </c:ser>
        <c:ser>
          <c:idx val="93"/>
          <c:order val="93"/>
          <c:tx>
            <c:strRef>
              <c:f>'Area Charts'!$CX$172</c:f>
            </c:strRef>
          </c:tx>
          <c:spPr>
            <a:solidFill>
              <a:srgbClr val="93C47D">
                <a:alpha val="9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Charts'!$CX$173:$CX$184</c:f>
              <c:numCache/>
            </c:numRef>
          </c:val>
        </c:ser>
        <c:ser>
          <c:idx val="94"/>
          <c:order val="94"/>
          <c:tx>
            <c:strRef>
              <c:f>'Area Charts'!$CY$172</c:f>
            </c:strRef>
          </c:tx>
          <c:spPr>
            <a:solidFill>
              <a:srgbClr val="93C47D">
                <a:alpha val="9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Charts'!$CY$173:$CY$184</c:f>
              <c:numCache/>
            </c:numRef>
          </c:val>
        </c:ser>
        <c:ser>
          <c:idx val="95"/>
          <c:order val="95"/>
          <c:tx>
            <c:strRef>
              <c:f>'Area Charts'!$CZ$172</c:f>
            </c:strRef>
          </c:tx>
          <c:spPr>
            <a:solidFill>
              <a:srgbClr val="93C47D">
                <a:alpha val="99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Charts'!$CZ$173:$CZ$184</c:f>
              <c:numCache/>
            </c:numRef>
          </c:val>
        </c:ser>
        <c:ser>
          <c:idx val="96"/>
          <c:order val="96"/>
          <c:tx>
            <c:strRef>
              <c:f>'Area Charts'!$DA$172</c:f>
            </c:strRef>
          </c:tx>
          <c:spPr>
            <a:solidFill>
              <a:srgbClr val="274E13"/>
            </a:solidFill>
            <a:ln cmpd="sng">
              <a:solidFill>
                <a:srgbClr val="274E13">
                  <a:alpha val="10000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Charts'!$DA$173:$DA$184</c:f>
              <c:numCache/>
            </c:numRef>
          </c:val>
        </c:ser>
        <c:axId val="534361189"/>
        <c:axId val="432315718"/>
      </c:areaChart>
      <c:catAx>
        <c:axId val="534361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999999"/>
                </a:solidFill>
                <a:latin typeface="Roboto"/>
              </a:defRPr>
            </a:pPr>
          </a:p>
        </c:txPr>
        <c:crossAx val="432315718"/>
      </c:catAx>
      <c:valAx>
        <c:axId val="4323157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534361189"/>
      </c:valAx>
      <c:areaChart>
        <c:grouping val="stacked"/>
        <c:ser>
          <c:idx val="0"/>
          <c:order val="0"/>
          <c:tx>
            <c:strRef>
              <c:f>'Area Charts'!$J$172</c:f>
            </c:strRef>
          </c:tx>
          <c:spPr>
            <a:solidFill>
              <a:srgbClr val="274E13">
                <a:alpha val="1000"/>
              </a:srgbClr>
            </a:solidFill>
            <a:ln cmpd="sng">
              <a:solidFill>
                <a:srgbClr val="274E13">
                  <a:alpha val="0"/>
                </a:srgbClr>
              </a:solidFill>
            </a:ln>
          </c:spPr>
          <c:cat>
            <c:strRef>
              <c:f>'Area Charts'!$I$173:$I$184</c:f>
            </c:strRef>
          </c:cat>
          <c:val>
            <c:numRef>
              <c:f>'Area Charts'!$J$173:$J$184</c:f>
              <c:numCache/>
            </c:numRef>
          </c:val>
        </c:ser>
        <c:axId val="29559958"/>
        <c:axId val="336669735"/>
      </c:areaChart>
      <c:catAx>
        <c:axId val="295599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999999"/>
                </a:solidFill>
                <a:latin typeface="Roboto"/>
              </a:defRPr>
            </a:pPr>
          </a:p>
        </c:txPr>
        <c:crossAx val="336669735"/>
      </c:catAx>
      <c:valAx>
        <c:axId val="3366697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59958"/>
        <c:crosses val="max"/>
      </c:valAx>
    </c:plotArea>
    <c:plotVisOnly val="1"/>
  </c:chart>
  <c:spPr>
    <a:solidFill>
      <a:schemeClr val="dk1"/>
    </a:solidFill>
  </c:spPr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Gradient Sales Chart with Negatives</a:t>
            </a:r>
          </a:p>
        </c:rich>
      </c:tx>
      <c:overlay val="0"/>
    </c:title>
    <c:plotArea>
      <c:layout>
        <c:manualLayout>
          <c:xMode val="edge"/>
          <c:yMode val="edge"/>
          <c:x val="0.04474708171206226"/>
          <c:y val="0.1383016208597604"/>
          <c:w val="0.9086742281608604"/>
          <c:h val="0.7482734319943624"/>
        </c:manualLayout>
      </c:layout>
      <c:areaChart>
        <c:grouping val="stacked"/>
        <c:ser>
          <c:idx val="1"/>
          <c:order val="1"/>
          <c:tx>
            <c:strRef>
              <c:f>'Area Charts'!$DD$194</c:f>
            </c:strRef>
          </c:tx>
          <c:spPr>
            <a:solidFill>
              <a:srgbClr val="E06666">
                <a:alpha val="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Charts'!$DD$195:$DD$206</c:f>
              <c:numCache/>
            </c:numRef>
          </c:val>
        </c:ser>
        <c:ser>
          <c:idx val="2"/>
          <c:order val="2"/>
          <c:tx>
            <c:strRef>
              <c:f>'Area Charts'!$BF$194</c:f>
            </c:strRef>
          </c:tx>
          <c:spPr>
            <a:solidFill>
              <a:srgbClr val="E06666">
                <a:alpha val="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Charts'!$BF$195:$BF$206</c:f>
              <c:numCache/>
            </c:numRef>
          </c:val>
        </c:ser>
        <c:ser>
          <c:idx val="3"/>
          <c:order val="3"/>
          <c:tx>
            <c:strRef>
              <c:f>'Area Charts'!$BE$194</c:f>
            </c:strRef>
          </c:tx>
          <c:spPr>
            <a:solidFill>
              <a:srgbClr val="E06666">
                <a:alpha val="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Charts'!$BE$195:$BE$206</c:f>
              <c:numCache/>
            </c:numRef>
          </c:val>
        </c:ser>
        <c:ser>
          <c:idx val="4"/>
          <c:order val="4"/>
          <c:tx>
            <c:strRef>
              <c:f>'Area Charts'!$BD$194</c:f>
            </c:strRef>
          </c:tx>
          <c:spPr>
            <a:solidFill>
              <a:srgbClr val="E06666">
                <a:alpha val="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Charts'!$BD$195:$BD$206</c:f>
              <c:numCache/>
            </c:numRef>
          </c:val>
        </c:ser>
        <c:ser>
          <c:idx val="5"/>
          <c:order val="5"/>
          <c:tx>
            <c:strRef>
              <c:f>'Area Charts'!$BC$194</c:f>
            </c:strRef>
          </c:tx>
          <c:spPr>
            <a:solidFill>
              <a:srgbClr val="E06666">
                <a:alpha val="1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Charts'!$BC$195:$BC$206</c:f>
              <c:numCache/>
            </c:numRef>
          </c:val>
        </c:ser>
        <c:ser>
          <c:idx val="6"/>
          <c:order val="6"/>
          <c:tx>
            <c:strRef>
              <c:f>'Area Charts'!$BB$194</c:f>
            </c:strRef>
          </c:tx>
          <c:spPr>
            <a:solidFill>
              <a:srgbClr val="E06666">
                <a:alpha val="1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Charts'!$BB$195:$BB$206</c:f>
              <c:numCache/>
            </c:numRef>
          </c:val>
        </c:ser>
        <c:ser>
          <c:idx val="7"/>
          <c:order val="7"/>
          <c:tx>
            <c:strRef>
              <c:f>'Area Charts'!$BA$194</c:f>
            </c:strRef>
          </c:tx>
          <c:spPr>
            <a:solidFill>
              <a:srgbClr val="E06666">
                <a:alpha val="1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Charts'!$BA$195:$BA$206</c:f>
              <c:numCache/>
            </c:numRef>
          </c:val>
        </c:ser>
        <c:ser>
          <c:idx val="8"/>
          <c:order val="8"/>
          <c:tx>
            <c:strRef>
              <c:f>'Area Charts'!$AZ$194</c:f>
            </c:strRef>
          </c:tx>
          <c:spPr>
            <a:solidFill>
              <a:srgbClr val="E06666">
                <a:alpha val="1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Charts'!$AZ$195:$AZ$206</c:f>
              <c:numCache/>
            </c:numRef>
          </c:val>
        </c:ser>
        <c:ser>
          <c:idx val="9"/>
          <c:order val="9"/>
          <c:tx>
            <c:strRef>
              <c:f>'Area Charts'!$AY$194</c:f>
            </c:strRef>
          </c:tx>
          <c:spPr>
            <a:solidFill>
              <a:srgbClr val="E06666">
                <a:alpha val="1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Charts'!$AY$195:$AY$206</c:f>
              <c:numCache/>
            </c:numRef>
          </c:val>
        </c:ser>
        <c:ser>
          <c:idx val="10"/>
          <c:order val="10"/>
          <c:tx>
            <c:strRef>
              <c:f>'Area Charts'!$AX$194</c:f>
            </c:strRef>
          </c:tx>
          <c:spPr>
            <a:solidFill>
              <a:srgbClr val="E06666">
                <a:alpha val="2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Charts'!$AX$195:$AX$206</c:f>
              <c:numCache/>
            </c:numRef>
          </c:val>
        </c:ser>
        <c:ser>
          <c:idx val="11"/>
          <c:order val="11"/>
          <c:tx>
            <c:strRef>
              <c:f>'Area Charts'!$AW$194</c:f>
            </c:strRef>
          </c:tx>
          <c:spPr>
            <a:solidFill>
              <a:srgbClr val="E06666">
                <a:alpha val="2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Charts'!$AW$195:$AW$206</c:f>
              <c:numCache/>
            </c:numRef>
          </c:val>
        </c:ser>
        <c:ser>
          <c:idx val="12"/>
          <c:order val="12"/>
          <c:tx>
            <c:strRef>
              <c:f>'Area Charts'!$AV$194</c:f>
            </c:strRef>
          </c:tx>
          <c:spPr>
            <a:solidFill>
              <a:srgbClr val="E06666">
                <a:alpha val="2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Charts'!$AV$195:$AV$206</c:f>
              <c:numCache/>
            </c:numRef>
          </c:val>
        </c:ser>
        <c:ser>
          <c:idx val="13"/>
          <c:order val="13"/>
          <c:tx>
            <c:strRef>
              <c:f>'Area Charts'!$AU$194</c:f>
            </c:strRef>
          </c:tx>
          <c:spPr>
            <a:solidFill>
              <a:srgbClr val="E06666">
                <a:alpha val="2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Charts'!$AU$195:$AU$206</c:f>
              <c:numCache/>
            </c:numRef>
          </c:val>
        </c:ser>
        <c:ser>
          <c:idx val="14"/>
          <c:order val="14"/>
          <c:tx>
            <c:strRef>
              <c:f>'Area Charts'!$AT$194</c:f>
            </c:strRef>
          </c:tx>
          <c:spPr>
            <a:solidFill>
              <a:srgbClr val="E06666">
                <a:alpha val="2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Charts'!$AT$195:$AT$206</c:f>
              <c:numCache/>
            </c:numRef>
          </c:val>
        </c:ser>
        <c:ser>
          <c:idx val="15"/>
          <c:order val="15"/>
          <c:tx>
            <c:strRef>
              <c:f>'Area Charts'!$AS$194</c:f>
            </c:strRef>
          </c:tx>
          <c:spPr>
            <a:solidFill>
              <a:srgbClr val="E06666">
                <a:alpha val="3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Charts'!$AS$195:$AS$206</c:f>
              <c:numCache/>
            </c:numRef>
          </c:val>
        </c:ser>
        <c:ser>
          <c:idx val="16"/>
          <c:order val="16"/>
          <c:tx>
            <c:strRef>
              <c:f>'Area Charts'!$AR$194</c:f>
            </c:strRef>
          </c:tx>
          <c:spPr>
            <a:solidFill>
              <a:srgbClr val="E06666">
                <a:alpha val="33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Charts'!$AR$195:$AR$206</c:f>
              <c:numCache/>
            </c:numRef>
          </c:val>
        </c:ser>
        <c:ser>
          <c:idx val="17"/>
          <c:order val="17"/>
          <c:tx>
            <c:strRef>
              <c:f>'Area Charts'!$AQ$194</c:f>
            </c:strRef>
          </c:tx>
          <c:spPr>
            <a:solidFill>
              <a:srgbClr val="E06666">
                <a:alpha val="3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Charts'!$AQ$195:$AQ$206</c:f>
              <c:numCache/>
            </c:numRef>
          </c:val>
        </c:ser>
        <c:ser>
          <c:idx val="18"/>
          <c:order val="18"/>
          <c:tx>
            <c:strRef>
              <c:f>'Area Charts'!$AP$194</c:f>
            </c:strRef>
          </c:tx>
          <c:spPr>
            <a:solidFill>
              <a:srgbClr val="E06666">
                <a:alpha val="3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Charts'!$AP$195:$AP$206</c:f>
              <c:numCache/>
            </c:numRef>
          </c:val>
        </c:ser>
        <c:ser>
          <c:idx val="19"/>
          <c:order val="19"/>
          <c:tx>
            <c:strRef>
              <c:f>'Area Charts'!$AO$194</c:f>
            </c:strRef>
          </c:tx>
          <c:spPr>
            <a:solidFill>
              <a:srgbClr val="E06666">
                <a:alpha val="4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Charts'!$AO$195:$AO$206</c:f>
              <c:numCache/>
            </c:numRef>
          </c:val>
        </c:ser>
        <c:ser>
          <c:idx val="20"/>
          <c:order val="20"/>
          <c:tx>
            <c:strRef>
              <c:f>'Area Charts'!$AN$194</c:f>
            </c:strRef>
          </c:tx>
          <c:spPr>
            <a:solidFill>
              <a:srgbClr val="E06666">
                <a:alpha val="4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Charts'!$AN$195:$AN$206</c:f>
              <c:numCache/>
            </c:numRef>
          </c:val>
        </c:ser>
        <c:ser>
          <c:idx val="21"/>
          <c:order val="21"/>
          <c:tx>
            <c:strRef>
              <c:f>'Area Charts'!$AM$194</c:f>
            </c:strRef>
          </c:tx>
          <c:spPr>
            <a:solidFill>
              <a:srgbClr val="E06666">
                <a:alpha val="4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Charts'!$AM$195:$AM$206</c:f>
              <c:numCache/>
            </c:numRef>
          </c:val>
        </c:ser>
        <c:ser>
          <c:idx val="22"/>
          <c:order val="22"/>
          <c:tx>
            <c:strRef>
              <c:f>'Area Charts'!$AL$194</c:f>
            </c:strRef>
          </c:tx>
          <c:spPr>
            <a:solidFill>
              <a:srgbClr val="E06666">
                <a:alpha val="4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Charts'!$AL$195:$AL$206</c:f>
              <c:numCache/>
            </c:numRef>
          </c:val>
        </c:ser>
        <c:ser>
          <c:idx val="23"/>
          <c:order val="23"/>
          <c:tx>
            <c:strRef>
              <c:f>'Area Charts'!$AK$194</c:f>
            </c:strRef>
          </c:tx>
          <c:spPr>
            <a:solidFill>
              <a:srgbClr val="E06666">
                <a:alpha val="4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Charts'!$AK$195:$AK$206</c:f>
              <c:numCache/>
            </c:numRef>
          </c:val>
        </c:ser>
        <c:ser>
          <c:idx val="24"/>
          <c:order val="24"/>
          <c:tx>
            <c:strRef>
              <c:f>'Area Charts'!$AJ$194</c:f>
            </c:strRef>
          </c:tx>
          <c:spPr>
            <a:solidFill>
              <a:srgbClr val="E06666">
                <a:alpha val="5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Charts'!$AJ$195:$AJ$206</c:f>
              <c:numCache/>
            </c:numRef>
          </c:val>
        </c:ser>
        <c:ser>
          <c:idx val="25"/>
          <c:order val="25"/>
          <c:tx>
            <c:strRef>
              <c:f>'Area Charts'!$AI$194</c:f>
            </c:strRef>
          </c:tx>
          <c:spPr>
            <a:solidFill>
              <a:srgbClr val="E06666">
                <a:alpha val="5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Charts'!$AI$195:$AI$206</c:f>
              <c:numCache/>
            </c:numRef>
          </c:val>
        </c:ser>
        <c:ser>
          <c:idx val="26"/>
          <c:order val="26"/>
          <c:tx>
            <c:strRef>
              <c:f>'Area Charts'!$AI$194</c:f>
            </c:strRef>
          </c:tx>
          <c:spPr>
            <a:solidFill>
              <a:srgbClr val="E06666">
                <a:alpha val="5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Charts'!$AI$195:$AI$206</c:f>
              <c:numCache/>
            </c:numRef>
          </c:val>
        </c:ser>
        <c:ser>
          <c:idx val="27"/>
          <c:order val="27"/>
          <c:tx>
            <c:strRef>
              <c:f>'Area Charts'!$AH$194</c:f>
            </c:strRef>
          </c:tx>
          <c:spPr>
            <a:solidFill>
              <a:srgbClr val="E06666">
                <a:alpha val="5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Charts'!$AH$195:$AH$206</c:f>
              <c:numCache/>
            </c:numRef>
          </c:val>
        </c:ser>
        <c:ser>
          <c:idx val="28"/>
          <c:order val="28"/>
          <c:tx>
            <c:strRef>
              <c:f>'Area Charts'!$AG$194</c:f>
            </c:strRef>
          </c:tx>
          <c:spPr>
            <a:solidFill>
              <a:srgbClr val="E06666">
                <a:alpha val="5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Charts'!$AG$195:$AG$206</c:f>
              <c:numCache/>
            </c:numRef>
          </c:val>
        </c:ser>
        <c:ser>
          <c:idx val="29"/>
          <c:order val="29"/>
          <c:tx>
            <c:strRef>
              <c:f>'Area Charts'!$AF$194</c:f>
            </c:strRef>
          </c:tx>
          <c:spPr>
            <a:solidFill>
              <a:srgbClr val="E06666">
                <a:alpha val="6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Charts'!$AF$195:$AF$206</c:f>
              <c:numCache/>
            </c:numRef>
          </c:val>
        </c:ser>
        <c:ser>
          <c:idx val="30"/>
          <c:order val="30"/>
          <c:tx>
            <c:strRef>
              <c:f>'Area Charts'!$AE$194</c:f>
            </c:strRef>
          </c:tx>
          <c:spPr>
            <a:solidFill>
              <a:srgbClr val="E06666">
                <a:alpha val="6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Charts'!$AE$195:$AE$206</c:f>
              <c:numCache/>
            </c:numRef>
          </c:val>
        </c:ser>
        <c:ser>
          <c:idx val="31"/>
          <c:order val="31"/>
          <c:tx>
            <c:strRef>
              <c:f>'Area Charts'!$AD$194</c:f>
            </c:strRef>
          </c:tx>
          <c:spPr>
            <a:solidFill>
              <a:srgbClr val="E06666">
                <a:alpha val="6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Charts'!$AD$195:$AD$206</c:f>
              <c:numCache/>
            </c:numRef>
          </c:val>
        </c:ser>
        <c:ser>
          <c:idx val="32"/>
          <c:order val="32"/>
          <c:tx>
            <c:strRef>
              <c:f>'Area Charts'!$AC$194</c:f>
            </c:strRef>
          </c:tx>
          <c:spPr>
            <a:solidFill>
              <a:srgbClr val="E06666">
                <a:alpha val="6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Charts'!$AC$195:$AC$206</c:f>
              <c:numCache/>
            </c:numRef>
          </c:val>
        </c:ser>
        <c:ser>
          <c:idx val="33"/>
          <c:order val="33"/>
          <c:tx>
            <c:strRef>
              <c:f>'Area Charts'!$AB$194</c:f>
            </c:strRef>
          </c:tx>
          <c:spPr>
            <a:solidFill>
              <a:srgbClr val="E06666">
                <a:alpha val="6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Charts'!$AB$195:$AB$206</c:f>
              <c:numCache/>
            </c:numRef>
          </c:val>
        </c:ser>
        <c:ser>
          <c:idx val="34"/>
          <c:order val="34"/>
          <c:tx>
            <c:strRef>
              <c:f>'Area Charts'!$AA$194</c:f>
            </c:strRef>
          </c:tx>
          <c:spPr>
            <a:solidFill>
              <a:srgbClr val="E06666">
                <a:alpha val="7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Charts'!$AA$195:$AA$206</c:f>
              <c:numCache/>
            </c:numRef>
          </c:val>
        </c:ser>
        <c:ser>
          <c:idx val="35"/>
          <c:order val="35"/>
          <c:tx>
            <c:strRef>
              <c:f>'Area Charts'!$Z$194</c:f>
            </c:strRef>
          </c:tx>
          <c:spPr>
            <a:solidFill>
              <a:srgbClr val="E06666">
                <a:alpha val="73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Charts'!$Z$195:$Z$206</c:f>
              <c:numCache/>
            </c:numRef>
          </c:val>
        </c:ser>
        <c:ser>
          <c:idx val="36"/>
          <c:order val="36"/>
          <c:tx>
            <c:strRef>
              <c:f>'Area Charts'!$Y$194</c:f>
            </c:strRef>
          </c:tx>
          <c:spPr>
            <a:solidFill>
              <a:srgbClr val="E06666">
                <a:alpha val="7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Charts'!$Y$195:$Y$206</c:f>
              <c:numCache/>
            </c:numRef>
          </c:val>
        </c:ser>
        <c:ser>
          <c:idx val="37"/>
          <c:order val="37"/>
          <c:tx>
            <c:strRef>
              <c:f>'Area Charts'!$X$194</c:f>
            </c:strRef>
          </c:tx>
          <c:spPr>
            <a:solidFill>
              <a:srgbClr val="E06666">
                <a:alpha val="7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Charts'!$X$195:$X$206</c:f>
              <c:numCache/>
            </c:numRef>
          </c:val>
        </c:ser>
        <c:ser>
          <c:idx val="38"/>
          <c:order val="38"/>
          <c:tx>
            <c:strRef>
              <c:f>'Area Charts'!$W$194</c:f>
            </c:strRef>
          </c:tx>
          <c:spPr>
            <a:solidFill>
              <a:srgbClr val="E06666">
                <a:alpha val="7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Charts'!$W$195:$W$206</c:f>
              <c:numCache/>
            </c:numRef>
          </c:val>
        </c:ser>
        <c:ser>
          <c:idx val="39"/>
          <c:order val="39"/>
          <c:tx>
            <c:strRef>
              <c:f>'Area Charts'!$V$194</c:f>
            </c:strRef>
          </c:tx>
          <c:spPr>
            <a:solidFill>
              <a:srgbClr val="E06666">
                <a:alpha val="8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Charts'!$V$195:$V$206</c:f>
              <c:numCache/>
            </c:numRef>
          </c:val>
        </c:ser>
        <c:ser>
          <c:idx val="40"/>
          <c:order val="40"/>
          <c:tx>
            <c:strRef>
              <c:f>'Area Charts'!$U$194</c:f>
            </c:strRef>
          </c:tx>
          <c:spPr>
            <a:solidFill>
              <a:srgbClr val="E06666">
                <a:alpha val="83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Charts'!$U$195:$U$206</c:f>
              <c:numCache/>
            </c:numRef>
          </c:val>
        </c:ser>
        <c:ser>
          <c:idx val="41"/>
          <c:order val="41"/>
          <c:tx>
            <c:strRef>
              <c:f>'Area Charts'!$T$194</c:f>
            </c:strRef>
          </c:tx>
          <c:spPr>
            <a:solidFill>
              <a:srgbClr val="E06666">
                <a:alpha val="8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Charts'!$T$195:$T$206</c:f>
              <c:numCache/>
            </c:numRef>
          </c:val>
        </c:ser>
        <c:ser>
          <c:idx val="42"/>
          <c:order val="42"/>
          <c:tx>
            <c:strRef>
              <c:f>'Area Charts'!$S$194</c:f>
            </c:strRef>
          </c:tx>
          <c:spPr>
            <a:solidFill>
              <a:srgbClr val="E06666">
                <a:alpha val="8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Charts'!$S$195:$S$206</c:f>
              <c:numCache/>
            </c:numRef>
          </c:val>
        </c:ser>
        <c:ser>
          <c:idx val="43"/>
          <c:order val="43"/>
          <c:tx>
            <c:strRef>
              <c:f>'Area Charts'!$R$194</c:f>
            </c:strRef>
          </c:tx>
          <c:spPr>
            <a:solidFill>
              <a:srgbClr val="E06666">
                <a:alpha val="9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Charts'!$R$195:$R$206</c:f>
              <c:numCache/>
            </c:numRef>
          </c:val>
        </c:ser>
        <c:ser>
          <c:idx val="44"/>
          <c:order val="44"/>
          <c:tx>
            <c:strRef>
              <c:f>'Area Charts'!$Q$194</c:f>
            </c:strRef>
          </c:tx>
          <c:spPr>
            <a:solidFill>
              <a:srgbClr val="E06666">
                <a:alpha val="9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Charts'!$Q$195:$Q$206</c:f>
              <c:numCache/>
            </c:numRef>
          </c:val>
        </c:ser>
        <c:ser>
          <c:idx val="45"/>
          <c:order val="45"/>
          <c:tx>
            <c:strRef>
              <c:f>'Area Charts'!$P$194</c:f>
            </c:strRef>
          </c:tx>
          <c:spPr>
            <a:solidFill>
              <a:srgbClr val="E06666">
                <a:alpha val="9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Charts'!$P$195:$P$206</c:f>
              <c:numCache/>
            </c:numRef>
          </c:val>
        </c:ser>
        <c:ser>
          <c:idx val="46"/>
          <c:order val="46"/>
          <c:tx>
            <c:strRef>
              <c:f>'Area Charts'!$O$194</c:f>
            </c:strRef>
          </c:tx>
          <c:spPr>
            <a:solidFill>
              <a:srgbClr val="E06666">
                <a:alpha val="9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Charts'!$O$195:$O$206</c:f>
              <c:numCache/>
            </c:numRef>
          </c:val>
        </c:ser>
        <c:ser>
          <c:idx val="47"/>
          <c:order val="47"/>
          <c:tx>
            <c:strRef>
              <c:f>'Area Charts'!$N$194</c:f>
            </c:strRef>
          </c:tx>
          <c:spPr>
            <a:solidFill>
              <a:srgbClr val="E06666">
                <a:alpha val="9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Charts'!$N$195:$N$206</c:f>
              <c:numCache/>
            </c:numRef>
          </c:val>
        </c:ser>
        <c:ser>
          <c:idx val="48"/>
          <c:order val="48"/>
          <c:tx>
            <c:strRef>
              <c:f>'Area Charts'!$M$194</c:f>
            </c:strRef>
          </c:tx>
          <c:spPr>
            <a:solidFill>
              <a:srgbClr val="E06666">
                <a:alpha val="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Charts'!$M$195:$M$206</c:f>
              <c:numCache/>
            </c:numRef>
          </c:val>
        </c:ser>
        <c:ser>
          <c:idx val="49"/>
          <c:order val="49"/>
          <c:tx>
            <c:strRef>
              <c:f>'Area Charts'!$L$194</c:f>
            </c:strRef>
          </c:tx>
          <c:spPr>
            <a:solidFill>
              <a:srgbClr val="93C47D">
                <a:alpha val="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Charts'!$L$195:$L$206</c:f>
              <c:numCache/>
            </c:numRef>
          </c:val>
        </c:ser>
        <c:ser>
          <c:idx val="50"/>
          <c:order val="50"/>
          <c:tx>
            <c:strRef>
              <c:f>'Area Charts'!$BG$194</c:f>
            </c:strRef>
          </c:tx>
          <c:spPr>
            <a:solidFill>
              <a:srgbClr val="93C47D">
                <a:alpha val="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Charts'!$BG$195:$BG$206</c:f>
              <c:numCache/>
            </c:numRef>
          </c:val>
        </c:ser>
        <c:ser>
          <c:idx val="51"/>
          <c:order val="51"/>
          <c:tx>
            <c:strRef>
              <c:f>'Area Charts'!$BH$194</c:f>
            </c:strRef>
          </c:tx>
          <c:spPr>
            <a:solidFill>
              <a:srgbClr val="93C47D">
                <a:alpha val="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Charts'!$BH$195:$BH$206</c:f>
              <c:numCache/>
            </c:numRef>
          </c:val>
        </c:ser>
        <c:ser>
          <c:idx val="52"/>
          <c:order val="52"/>
          <c:tx>
            <c:strRef>
              <c:f>'Area Charts'!$BI$194</c:f>
            </c:strRef>
          </c:tx>
          <c:spPr>
            <a:solidFill>
              <a:srgbClr val="93C47D">
                <a:alpha val="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Charts'!$BI$195:$BI$206</c:f>
              <c:numCache/>
            </c:numRef>
          </c:val>
        </c:ser>
        <c:ser>
          <c:idx val="53"/>
          <c:order val="53"/>
          <c:tx>
            <c:strRef>
              <c:f>'Area Charts'!$BJ$194</c:f>
            </c:strRef>
          </c:tx>
          <c:spPr>
            <a:solidFill>
              <a:srgbClr val="93C47D">
                <a:alpha val="1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Charts'!$BJ$195:$BJ$206</c:f>
              <c:numCache/>
            </c:numRef>
          </c:val>
        </c:ser>
        <c:ser>
          <c:idx val="54"/>
          <c:order val="54"/>
          <c:tx>
            <c:strRef>
              <c:f>'Area Charts'!$BK$194</c:f>
            </c:strRef>
          </c:tx>
          <c:spPr>
            <a:solidFill>
              <a:srgbClr val="93C47D">
                <a:alpha val="1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Charts'!$BK$195:$BK$206</c:f>
              <c:numCache/>
            </c:numRef>
          </c:val>
        </c:ser>
        <c:ser>
          <c:idx val="55"/>
          <c:order val="55"/>
          <c:tx>
            <c:strRef>
              <c:f>'Area Charts'!$BL$194</c:f>
            </c:strRef>
          </c:tx>
          <c:spPr>
            <a:solidFill>
              <a:srgbClr val="93C47D">
                <a:alpha val="1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Charts'!$BL$195:$BL$206</c:f>
              <c:numCache/>
            </c:numRef>
          </c:val>
        </c:ser>
        <c:ser>
          <c:idx val="56"/>
          <c:order val="56"/>
          <c:tx>
            <c:strRef>
              <c:f>'Area Charts'!$BM$194</c:f>
            </c:strRef>
          </c:tx>
          <c:spPr>
            <a:solidFill>
              <a:srgbClr val="93C47D">
                <a:alpha val="1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Charts'!$BM$195:$BM$206</c:f>
              <c:numCache/>
            </c:numRef>
          </c:val>
        </c:ser>
        <c:ser>
          <c:idx val="57"/>
          <c:order val="57"/>
          <c:tx>
            <c:strRef>
              <c:f>'Area Charts'!$BN$194</c:f>
            </c:strRef>
          </c:tx>
          <c:spPr>
            <a:solidFill>
              <a:srgbClr val="93C47D">
                <a:alpha val="1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Charts'!$BN$195:$BN$206</c:f>
              <c:numCache/>
            </c:numRef>
          </c:val>
        </c:ser>
        <c:ser>
          <c:idx val="58"/>
          <c:order val="58"/>
          <c:tx>
            <c:strRef>
              <c:f>'Area Charts'!$BO$194</c:f>
            </c:strRef>
          </c:tx>
          <c:spPr>
            <a:solidFill>
              <a:srgbClr val="93C47D">
                <a:alpha val="2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Charts'!$BO$195:$BO$206</c:f>
              <c:numCache/>
            </c:numRef>
          </c:val>
        </c:ser>
        <c:ser>
          <c:idx val="59"/>
          <c:order val="59"/>
          <c:tx>
            <c:strRef>
              <c:f>'Area Charts'!$BP$194</c:f>
            </c:strRef>
          </c:tx>
          <c:spPr>
            <a:solidFill>
              <a:srgbClr val="93C47D">
                <a:alpha val="2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Charts'!$BP$195:$BP$206</c:f>
              <c:numCache/>
            </c:numRef>
          </c:val>
        </c:ser>
        <c:ser>
          <c:idx val="60"/>
          <c:order val="60"/>
          <c:tx>
            <c:strRef>
              <c:f>'Area Charts'!$BQ$194</c:f>
            </c:strRef>
          </c:tx>
          <c:spPr>
            <a:solidFill>
              <a:srgbClr val="93C47D">
                <a:alpha val="2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Charts'!$BQ$195:$BQ$206</c:f>
              <c:numCache/>
            </c:numRef>
          </c:val>
        </c:ser>
        <c:ser>
          <c:idx val="61"/>
          <c:order val="61"/>
          <c:tx>
            <c:strRef>
              <c:f>'Area Charts'!$BR$194</c:f>
            </c:strRef>
          </c:tx>
          <c:spPr>
            <a:solidFill>
              <a:srgbClr val="93C47D">
                <a:alpha val="2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Charts'!$BR$195:$BR$206</c:f>
              <c:numCache/>
            </c:numRef>
          </c:val>
        </c:ser>
        <c:ser>
          <c:idx val="62"/>
          <c:order val="62"/>
          <c:tx>
            <c:strRef>
              <c:f>'Area Charts'!$BS$194</c:f>
            </c:strRef>
          </c:tx>
          <c:spPr>
            <a:solidFill>
              <a:srgbClr val="93C47D">
                <a:alpha val="2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Charts'!$BS$195:$BS$206</c:f>
              <c:numCache/>
            </c:numRef>
          </c:val>
        </c:ser>
        <c:ser>
          <c:idx val="63"/>
          <c:order val="63"/>
          <c:tx>
            <c:strRef>
              <c:f>'Area Charts'!$BT$194</c:f>
            </c:strRef>
          </c:tx>
          <c:spPr>
            <a:solidFill>
              <a:srgbClr val="93C47D">
                <a:alpha val="3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Charts'!$BT$195:$BT$206</c:f>
              <c:numCache/>
            </c:numRef>
          </c:val>
        </c:ser>
        <c:ser>
          <c:idx val="64"/>
          <c:order val="64"/>
          <c:tx>
            <c:strRef>
              <c:f>'Area Charts'!$BU$194</c:f>
            </c:strRef>
          </c:tx>
          <c:spPr>
            <a:solidFill>
              <a:srgbClr val="93C47D">
                <a:alpha val="3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Charts'!$BU$195:$BU$206</c:f>
              <c:numCache/>
            </c:numRef>
          </c:val>
        </c:ser>
        <c:ser>
          <c:idx val="65"/>
          <c:order val="65"/>
          <c:tx>
            <c:strRef>
              <c:f>'Area Charts'!$BV$194</c:f>
            </c:strRef>
          </c:tx>
          <c:spPr>
            <a:solidFill>
              <a:srgbClr val="93C47D">
                <a:alpha val="3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Charts'!$BV$195:$BV$206</c:f>
              <c:numCache/>
            </c:numRef>
          </c:val>
        </c:ser>
        <c:ser>
          <c:idx val="66"/>
          <c:order val="66"/>
          <c:tx>
            <c:strRef>
              <c:f>'Area Charts'!$BW$194</c:f>
            </c:strRef>
          </c:tx>
          <c:spPr>
            <a:solidFill>
              <a:srgbClr val="93C47D">
                <a:alpha val="3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Charts'!$BW$195:$BW$206</c:f>
              <c:numCache/>
            </c:numRef>
          </c:val>
        </c:ser>
        <c:ser>
          <c:idx val="67"/>
          <c:order val="67"/>
          <c:tx>
            <c:strRef>
              <c:f>'Area Charts'!$BX$194</c:f>
            </c:strRef>
          </c:tx>
          <c:spPr>
            <a:solidFill>
              <a:srgbClr val="93C47D">
                <a:alpha val="4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Charts'!$BX$195:$BX$206</c:f>
              <c:numCache/>
            </c:numRef>
          </c:val>
        </c:ser>
        <c:ser>
          <c:idx val="68"/>
          <c:order val="68"/>
          <c:tx>
            <c:strRef>
              <c:f>'Area Charts'!$BY$194</c:f>
            </c:strRef>
          </c:tx>
          <c:spPr>
            <a:solidFill>
              <a:srgbClr val="93C47D">
                <a:alpha val="4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Charts'!$BY$195:$BY$206</c:f>
              <c:numCache/>
            </c:numRef>
          </c:val>
        </c:ser>
        <c:ser>
          <c:idx val="69"/>
          <c:order val="69"/>
          <c:tx>
            <c:strRef>
              <c:f>'Area Charts'!$BZ$194</c:f>
            </c:strRef>
          </c:tx>
          <c:spPr>
            <a:solidFill>
              <a:srgbClr val="93C47D">
                <a:alpha val="4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Charts'!$BZ$195:$BZ$206</c:f>
              <c:numCache/>
            </c:numRef>
          </c:val>
        </c:ser>
        <c:ser>
          <c:idx val="70"/>
          <c:order val="70"/>
          <c:tx>
            <c:strRef>
              <c:f>'Area Charts'!$CA$194</c:f>
            </c:strRef>
          </c:tx>
          <c:spPr>
            <a:solidFill>
              <a:srgbClr val="93C47D">
                <a:alpha val="4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Charts'!$CA$195:$CA$206</c:f>
              <c:numCache/>
            </c:numRef>
          </c:val>
        </c:ser>
        <c:ser>
          <c:idx val="71"/>
          <c:order val="71"/>
          <c:tx>
            <c:strRef>
              <c:f>'Area Charts'!$CB$194</c:f>
            </c:strRef>
          </c:tx>
          <c:spPr>
            <a:solidFill>
              <a:srgbClr val="93C47D">
                <a:alpha val="4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Charts'!$CB$195:$CB$206</c:f>
              <c:numCache/>
            </c:numRef>
          </c:val>
        </c:ser>
        <c:ser>
          <c:idx val="72"/>
          <c:order val="72"/>
          <c:tx>
            <c:strRef>
              <c:f>'Area Charts'!$CC$194</c:f>
            </c:strRef>
          </c:tx>
          <c:spPr>
            <a:solidFill>
              <a:srgbClr val="93C47D">
                <a:alpha val="5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Charts'!$CC$195:$CC$206</c:f>
              <c:numCache/>
            </c:numRef>
          </c:val>
        </c:ser>
        <c:ser>
          <c:idx val="73"/>
          <c:order val="73"/>
          <c:tx>
            <c:strRef>
              <c:f>'Area Charts'!$CD$194</c:f>
            </c:strRef>
          </c:tx>
          <c:spPr>
            <a:solidFill>
              <a:srgbClr val="93C47D">
                <a:alpha val="5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Charts'!$CD$195:$CD$206</c:f>
              <c:numCache/>
            </c:numRef>
          </c:val>
        </c:ser>
        <c:ser>
          <c:idx val="74"/>
          <c:order val="74"/>
          <c:tx>
            <c:strRef>
              <c:f>'Area Charts'!$CE$194</c:f>
            </c:strRef>
          </c:tx>
          <c:spPr>
            <a:solidFill>
              <a:srgbClr val="93C47D">
                <a:alpha val="5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Charts'!$CE$195:$CE$206</c:f>
              <c:numCache/>
            </c:numRef>
          </c:val>
        </c:ser>
        <c:ser>
          <c:idx val="75"/>
          <c:order val="75"/>
          <c:tx>
            <c:strRef>
              <c:f>'Area Charts'!$CF$194</c:f>
            </c:strRef>
          </c:tx>
          <c:spPr>
            <a:solidFill>
              <a:srgbClr val="93C47D">
                <a:alpha val="5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Charts'!$CF$195:$CF$206</c:f>
              <c:numCache/>
            </c:numRef>
          </c:val>
        </c:ser>
        <c:ser>
          <c:idx val="76"/>
          <c:order val="76"/>
          <c:tx>
            <c:strRef>
              <c:f>'Area Charts'!$CG$194</c:f>
            </c:strRef>
          </c:tx>
          <c:spPr>
            <a:solidFill>
              <a:srgbClr val="93C47D">
                <a:alpha val="5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Charts'!$CG$195:$CG$206</c:f>
              <c:numCache/>
            </c:numRef>
          </c:val>
        </c:ser>
        <c:ser>
          <c:idx val="77"/>
          <c:order val="77"/>
          <c:tx>
            <c:strRef>
              <c:f>'Area Charts'!$CH$194</c:f>
            </c:strRef>
          </c:tx>
          <c:spPr>
            <a:solidFill>
              <a:srgbClr val="93C47D">
                <a:alpha val="6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Charts'!$CH$195:$CH$206</c:f>
              <c:numCache/>
            </c:numRef>
          </c:val>
        </c:ser>
        <c:ser>
          <c:idx val="78"/>
          <c:order val="78"/>
          <c:tx>
            <c:strRef>
              <c:f>'Area Charts'!$CI$194</c:f>
            </c:strRef>
          </c:tx>
          <c:spPr>
            <a:solidFill>
              <a:srgbClr val="93C47D">
                <a:alpha val="6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Charts'!$CI$195:$CI$206</c:f>
              <c:numCache/>
            </c:numRef>
          </c:val>
        </c:ser>
        <c:ser>
          <c:idx val="79"/>
          <c:order val="79"/>
          <c:tx>
            <c:strRef>
              <c:f>'Area Charts'!$CJ$194</c:f>
            </c:strRef>
          </c:tx>
          <c:spPr>
            <a:solidFill>
              <a:srgbClr val="93C47D">
                <a:alpha val="6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Charts'!$CJ$195:$CJ$206</c:f>
              <c:numCache/>
            </c:numRef>
          </c:val>
        </c:ser>
        <c:ser>
          <c:idx val="80"/>
          <c:order val="80"/>
          <c:tx>
            <c:strRef>
              <c:f>'Area Charts'!$CK$194</c:f>
            </c:strRef>
          </c:tx>
          <c:spPr>
            <a:solidFill>
              <a:srgbClr val="93C47D">
                <a:alpha val="6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Charts'!$CK$195:$CK$206</c:f>
              <c:numCache/>
            </c:numRef>
          </c:val>
        </c:ser>
        <c:ser>
          <c:idx val="81"/>
          <c:order val="81"/>
          <c:tx>
            <c:strRef>
              <c:f>'Area Charts'!$CL$194</c:f>
            </c:strRef>
          </c:tx>
          <c:spPr>
            <a:solidFill>
              <a:srgbClr val="93C47D">
                <a:alpha val="6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Charts'!$CL$195:$CL$206</c:f>
              <c:numCache/>
            </c:numRef>
          </c:val>
        </c:ser>
        <c:ser>
          <c:idx val="82"/>
          <c:order val="82"/>
          <c:tx>
            <c:strRef>
              <c:f>'Area Charts'!$CM$194</c:f>
            </c:strRef>
          </c:tx>
          <c:spPr>
            <a:solidFill>
              <a:srgbClr val="93C47D">
                <a:alpha val="7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Charts'!$CM$195:$CM$206</c:f>
              <c:numCache/>
            </c:numRef>
          </c:val>
        </c:ser>
        <c:ser>
          <c:idx val="83"/>
          <c:order val="83"/>
          <c:tx>
            <c:strRef>
              <c:f>'Area Charts'!$CN$194</c:f>
            </c:strRef>
          </c:tx>
          <c:spPr>
            <a:solidFill>
              <a:srgbClr val="93C47D">
                <a:alpha val="7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Charts'!$CN$195:$CN$206</c:f>
              <c:numCache/>
            </c:numRef>
          </c:val>
        </c:ser>
        <c:ser>
          <c:idx val="84"/>
          <c:order val="84"/>
          <c:tx>
            <c:strRef>
              <c:f>'Area Charts'!$CO$194</c:f>
            </c:strRef>
          </c:tx>
          <c:spPr>
            <a:solidFill>
              <a:srgbClr val="93C47D">
                <a:alpha val="7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Charts'!$CO$195:$CO$206</c:f>
              <c:numCache/>
            </c:numRef>
          </c:val>
        </c:ser>
        <c:ser>
          <c:idx val="85"/>
          <c:order val="85"/>
          <c:tx>
            <c:strRef>
              <c:f>'Area Charts'!$CP$194</c:f>
            </c:strRef>
          </c:tx>
          <c:spPr>
            <a:solidFill>
              <a:srgbClr val="93C47D">
                <a:alpha val="7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Charts'!$CP$195:$CP$206</c:f>
              <c:numCache/>
            </c:numRef>
          </c:val>
        </c:ser>
        <c:ser>
          <c:idx val="86"/>
          <c:order val="86"/>
          <c:tx>
            <c:strRef>
              <c:f>'Area Charts'!$CQ$194</c:f>
            </c:strRef>
          </c:tx>
          <c:spPr>
            <a:solidFill>
              <a:srgbClr val="93C47D">
                <a:alpha val="7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Charts'!$CQ$195:$CQ$206</c:f>
              <c:numCache/>
            </c:numRef>
          </c:val>
        </c:ser>
        <c:ser>
          <c:idx val="87"/>
          <c:order val="87"/>
          <c:tx>
            <c:strRef>
              <c:f>'Area Charts'!$CR$194</c:f>
            </c:strRef>
          </c:tx>
          <c:spPr>
            <a:solidFill>
              <a:srgbClr val="93C47D">
                <a:alpha val="8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Charts'!$CR$195:$CR$206</c:f>
              <c:numCache/>
            </c:numRef>
          </c:val>
        </c:ser>
        <c:ser>
          <c:idx val="88"/>
          <c:order val="88"/>
          <c:tx>
            <c:strRef>
              <c:f>'Area Charts'!$CS$194</c:f>
            </c:strRef>
          </c:tx>
          <c:spPr>
            <a:solidFill>
              <a:srgbClr val="93C47D">
                <a:alpha val="8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Charts'!$CS$195:$CS$206</c:f>
              <c:numCache/>
            </c:numRef>
          </c:val>
        </c:ser>
        <c:ser>
          <c:idx val="89"/>
          <c:order val="89"/>
          <c:tx>
            <c:strRef>
              <c:f>'Area Charts'!$CT$194</c:f>
            </c:strRef>
          </c:tx>
          <c:spPr>
            <a:solidFill>
              <a:srgbClr val="93C47D">
                <a:alpha val="8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Charts'!$CT$195:$CT$206</c:f>
              <c:numCache/>
            </c:numRef>
          </c:val>
        </c:ser>
        <c:ser>
          <c:idx val="90"/>
          <c:order val="90"/>
          <c:tx>
            <c:strRef>
              <c:f>'Area Charts'!$CU$194</c:f>
            </c:strRef>
          </c:tx>
          <c:spPr>
            <a:solidFill>
              <a:srgbClr val="93C47D">
                <a:alpha val="8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Charts'!$CU$195:$CU$206</c:f>
              <c:numCache/>
            </c:numRef>
          </c:val>
        </c:ser>
        <c:ser>
          <c:idx val="91"/>
          <c:order val="91"/>
          <c:tx>
            <c:strRef>
              <c:f>'Area Charts'!$CV$194</c:f>
            </c:strRef>
          </c:tx>
          <c:spPr>
            <a:solidFill>
              <a:srgbClr val="93C47D">
                <a:alpha val="9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Charts'!$CV$195:$CV$206</c:f>
              <c:numCache/>
            </c:numRef>
          </c:val>
        </c:ser>
        <c:ser>
          <c:idx val="92"/>
          <c:order val="92"/>
          <c:tx>
            <c:strRef>
              <c:f>'Area Charts'!$CW$194</c:f>
            </c:strRef>
          </c:tx>
          <c:spPr>
            <a:solidFill>
              <a:srgbClr val="93C47D">
                <a:alpha val="9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Charts'!$CW$195:$CW$206</c:f>
              <c:numCache/>
            </c:numRef>
          </c:val>
        </c:ser>
        <c:ser>
          <c:idx val="93"/>
          <c:order val="93"/>
          <c:tx>
            <c:strRef>
              <c:f>'Area Charts'!$CX$194</c:f>
            </c:strRef>
          </c:tx>
          <c:spPr>
            <a:solidFill>
              <a:srgbClr val="93C47D">
                <a:alpha val="9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Charts'!$CX$195:$CX$206</c:f>
              <c:numCache/>
            </c:numRef>
          </c:val>
        </c:ser>
        <c:ser>
          <c:idx val="94"/>
          <c:order val="94"/>
          <c:tx>
            <c:strRef>
              <c:f>'Area Charts'!$CY$194</c:f>
            </c:strRef>
          </c:tx>
          <c:spPr>
            <a:solidFill>
              <a:srgbClr val="93C47D">
                <a:alpha val="9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Charts'!$CY$195:$CY$206</c:f>
              <c:numCache/>
            </c:numRef>
          </c:val>
        </c:ser>
        <c:ser>
          <c:idx val="95"/>
          <c:order val="95"/>
          <c:tx>
            <c:strRef>
              <c:f>'Area Charts'!$CZ$194</c:f>
            </c:strRef>
          </c:tx>
          <c:spPr>
            <a:solidFill>
              <a:srgbClr val="93C47D">
                <a:alpha val="9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Charts'!$CZ$195:$CZ$206</c:f>
              <c:numCache/>
            </c:numRef>
          </c:val>
        </c:ser>
        <c:axId val="1043029250"/>
        <c:axId val="1580762788"/>
      </c:areaChart>
      <c:catAx>
        <c:axId val="1043029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999999"/>
                </a:solidFill>
                <a:latin typeface="Roboto"/>
              </a:defRPr>
            </a:pPr>
          </a:p>
        </c:txPr>
        <c:crossAx val="1580762788"/>
      </c:catAx>
      <c:valAx>
        <c:axId val="15807627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043029250"/>
      </c:valAx>
      <c:areaChart>
        <c:grouping val="stacked"/>
        <c:ser>
          <c:idx val="0"/>
          <c:order val="0"/>
          <c:tx>
            <c:strRef>
              <c:f>'Area Charts'!$J$194</c:f>
            </c:strRef>
          </c:tx>
          <c:spPr>
            <a:solidFill>
              <a:srgbClr val="274E13">
                <a:alpha val="0"/>
              </a:srgbClr>
            </a:solidFill>
            <a:ln cmpd="sng" w="57150">
              <a:solidFill>
                <a:srgbClr val="274E13">
                  <a:alpha val="10000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Charts'!$J$195:$J$206</c:f>
              <c:numCache/>
            </c:numRef>
          </c:val>
        </c:ser>
        <c:axId val="1447720265"/>
        <c:axId val="127898442"/>
      </c:areaChart>
      <c:catAx>
        <c:axId val="14477202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999999"/>
                </a:solidFill>
                <a:latin typeface="Roboto"/>
              </a:defRPr>
            </a:pPr>
          </a:p>
        </c:txPr>
        <c:crossAx val="127898442"/>
      </c:catAx>
      <c:valAx>
        <c:axId val="1278984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Roboto"/>
              </a:defRPr>
            </a:pPr>
          </a:p>
        </c:txPr>
        <c:crossAx val="1447720265"/>
        <c:crosses val="max"/>
      </c:valAx>
    </c:plotArea>
    <c:plotVisOnly val="1"/>
  </c:chart>
  <c:spPr>
    <a:solidFill>
      <a:schemeClr val="dk1"/>
    </a:solidFill>
  </c:spPr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FFFFFF"/>
                </a:solidFill>
                <a:latin typeface="Roboto"/>
              </a:defRPr>
            </a:pPr>
            <a:r>
              <a:rPr b="1" sz="2000">
                <a:solidFill>
                  <a:srgbClr val="FFFFFF"/>
                </a:solidFill>
                <a:latin typeface="Roboto"/>
              </a:rPr>
              <a:t>Sales to Quota</a:t>
            </a:r>
          </a:p>
        </c:rich>
      </c:tx>
      <c:overlay val="0"/>
    </c:title>
    <c:plotArea>
      <c:layout>
        <c:manualLayout>
          <c:xMode val="edge"/>
          <c:yMode val="edge"/>
          <c:x val="0.024133663366336603"/>
          <c:y val="0.09518348623853211"/>
          <c:w val="0.8178802255225522"/>
          <c:h val="0.8360870732220332"/>
        </c:manualLayout>
      </c:layout>
      <c:areaChart>
        <c:ser>
          <c:idx val="0"/>
          <c:order val="0"/>
          <c:tx>
            <c:strRef>
              <c:f>'Area Charts'!$I$225</c:f>
            </c:strRef>
          </c:tx>
          <c:spPr>
            <a:solidFill>
              <a:schemeClr val="accent1"/>
            </a:solidFill>
            <a:ln cmpd="sng" w="38100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Charts'!$J$225:$U$225</c:f>
              <c:numCache/>
            </c:numRef>
          </c:val>
        </c:ser>
        <c:ser>
          <c:idx val="1"/>
          <c:order val="1"/>
          <c:tx>
            <c:strRef>
              <c:f>'Area Charts'!$I$231</c:f>
            </c:strRef>
          </c:tx>
          <c:spPr>
            <a:solidFill>
              <a:schemeClr val="accent1">
                <a:alpha val="70000"/>
              </a:schemeClr>
            </a:solidFill>
            <a:ln cmpd="sng" w="19050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Charts'!$J$231:$U$231</c:f>
              <c:numCache/>
            </c:numRef>
          </c:val>
        </c:ser>
        <c:ser>
          <c:idx val="2"/>
          <c:order val="2"/>
          <c:tx>
            <c:strRef>
              <c:f>'Area Charts'!$I$226</c:f>
            </c:strRef>
          </c:tx>
          <c:spPr>
            <a:solidFill>
              <a:schemeClr val="accent1">
                <a:alpha val="40000"/>
              </a:schemeClr>
            </a:solidFill>
            <a:ln cmpd="sng" w="9525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Charts'!$J$226:$U$226</c:f>
              <c:numCache/>
            </c:numRef>
          </c:val>
        </c:ser>
        <c:ser>
          <c:idx val="3"/>
          <c:order val="3"/>
          <c:tx>
            <c:strRef>
              <c:f>'Area Charts'!$I$232</c:f>
            </c:strRef>
          </c:tx>
          <c:spPr>
            <a:solidFill>
              <a:schemeClr val="accent1">
                <a:alpha val="20000"/>
              </a:schemeClr>
            </a:solidFill>
            <a:ln cmpd="sng" w="9525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Charts'!$J$232:$U$232</c:f>
              <c:numCache/>
            </c:numRef>
          </c:val>
        </c:ser>
        <c:ser>
          <c:idx val="4"/>
          <c:order val="4"/>
          <c:tx>
            <c:strRef>
              <c:f>'Area Charts'!$I$227</c:f>
            </c:strRef>
          </c:tx>
          <c:spPr>
            <a:solidFill>
              <a:schemeClr val="accent1">
                <a:alpha val="12000"/>
              </a:schemeClr>
            </a:solidFill>
            <a:ln cmpd="sng" w="9525">
              <a:solidFill>
                <a:schemeClr val="accent1"/>
              </a:solidFill>
              <a:prstDash val="solid"/>
            </a:ln>
          </c:spPr>
          <c:cat>
            <c:strRef>
              <c:f>'Area Charts'!$J$215:$U$215</c:f>
            </c:strRef>
          </c:cat>
          <c:val>
            <c:numRef>
              <c:f>'Area Charts'!$J$227:$U$227</c:f>
              <c:numCache/>
            </c:numRef>
          </c:val>
        </c:ser>
        <c:ser>
          <c:idx val="5"/>
          <c:order val="5"/>
          <c:tx>
            <c:strRef>
              <c:f>'Area Charts'!$I$233</c:f>
            </c:strRef>
          </c:tx>
          <c:spPr>
            <a:solidFill>
              <a:schemeClr val="accent1">
                <a:alpha val="3000"/>
              </a:schemeClr>
            </a:solidFill>
            <a:ln cmpd="sng" w="9525">
              <a:solidFill>
                <a:schemeClr val="accent1"/>
              </a:solidFill>
            </a:ln>
          </c:spPr>
          <c:cat>
            <c:strRef>
              <c:f>'Area Charts'!$J$215:$U$215</c:f>
            </c:strRef>
          </c:cat>
          <c:val>
            <c:numRef>
              <c:f>'Area Charts'!$J$233:$U$233</c:f>
              <c:numCache/>
            </c:numRef>
          </c:val>
        </c:ser>
        <c:ser>
          <c:idx val="6"/>
          <c:order val="6"/>
          <c:tx>
            <c:strRef>
              <c:f>'Area Charts'!$I$228</c:f>
            </c:strRef>
          </c:tx>
          <c:spPr>
            <a:solidFill>
              <a:srgbClr val="FFFFFF">
                <a:alpha val="0"/>
              </a:srgbClr>
            </a:solidFill>
            <a:ln cmpd="sng" w="19050">
              <a:solidFill>
                <a:srgbClr val="FFFFFF">
                  <a:alpha val="100000"/>
                </a:srgbClr>
              </a:solidFill>
            </a:ln>
          </c:spPr>
          <c:cat>
            <c:strRef>
              <c:f>'Area Charts'!$J$215:$U$215</c:f>
            </c:strRef>
          </c:cat>
          <c:val>
            <c:numRef>
              <c:f>'Area Charts'!$J$228:$U$228</c:f>
              <c:numCache/>
            </c:numRef>
          </c:val>
        </c:ser>
        <c:axId val="1032338772"/>
        <c:axId val="552935366"/>
      </c:areaChart>
      <c:catAx>
        <c:axId val="1032338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FFFFFF"/>
                </a:solidFill>
                <a:latin typeface="Roboto"/>
              </a:defRPr>
            </a:pPr>
          </a:p>
        </c:txPr>
        <c:crossAx val="552935366"/>
      </c:catAx>
      <c:valAx>
        <c:axId val="5529353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032338772"/>
      </c:valAx>
    </c:plotArea>
    <c:plotVisOnly val="0"/>
  </c:chart>
  <c:spPr>
    <a:solidFill>
      <a:schemeClr val="dk1"/>
    </a:solidFill>
  </c:spPr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A vs Product B Comparative Analysis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'Area Charts'!$L$246</c:f>
            </c:strRef>
          </c:tx>
          <c:spPr>
            <a:solidFill>
              <a:srgbClr val="0000FF">
                <a:alpha val="30000"/>
              </a:srgbClr>
            </a:solidFill>
            <a:ln cmpd="sng">
              <a:solidFill>
                <a:srgbClr val="0000FF">
                  <a:alpha val="100000"/>
                </a:srgbClr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Charts'!$L$247:$L$336</c:f>
              <c:numCache/>
            </c:numRef>
          </c:val>
        </c:ser>
        <c:ser>
          <c:idx val="2"/>
          <c:order val="2"/>
          <c:tx>
            <c:strRef>
              <c:f>'Area Charts'!$M$246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Charts'!$M$247:$M$336</c:f>
              <c:numCache/>
            </c:numRef>
          </c:val>
        </c:ser>
        <c:ser>
          <c:idx val="4"/>
          <c:order val="4"/>
          <c:tx>
            <c:strRef>
              <c:f>'Area Charts'!$N$246</c:f>
            </c:strRef>
          </c:tx>
          <c:spPr>
            <a:solidFill>
              <a:schemeClr val="dk1"/>
            </a:solidFill>
            <a:ln cmpd="sng">
              <a:solidFill>
                <a:schemeClr val="dk1"/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Charts'!$N$247:$N$336</c:f>
              <c:numCache/>
            </c:numRef>
          </c:val>
        </c:ser>
        <c:ser>
          <c:idx val="5"/>
          <c:order val="5"/>
          <c:tx>
            <c:strRef>
              <c:f>'Area Charts'!$O$246</c:f>
            </c:strRef>
          </c:tx>
          <c:spPr>
            <a:solidFill>
              <a:schemeClr val="dk1"/>
            </a:solidFill>
            <a:ln cmpd="sng">
              <a:solidFill>
                <a:schemeClr val="dk1"/>
              </a:solidFill>
            </a:ln>
          </c:spPr>
          <c:cat>
            <c:strRef>
              <c:f>'Area Charts'!$I$247:$I$336</c:f>
            </c:strRef>
          </c:cat>
          <c:val>
            <c:numRef>
              <c:f>'Area Charts'!$O$247:$O$336</c:f>
              <c:numCache/>
            </c:numRef>
          </c:val>
        </c:ser>
        <c:axId val="1586304060"/>
        <c:axId val="73576599"/>
      </c:areaChart>
      <c:lineChart>
        <c:ser>
          <c:idx val="1"/>
          <c:order val="1"/>
          <c:tx>
            <c:strRef>
              <c:f>'Area Charts'!$J$246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'Area Charts'!$I$247:$I$336</c:f>
            </c:strRef>
          </c:cat>
          <c:val>
            <c:numRef>
              <c:f>'Area Charts'!$J$247:$J$336</c:f>
              <c:numCache/>
            </c:numRef>
          </c:val>
          <c:smooth val="0"/>
        </c:ser>
        <c:ser>
          <c:idx val="3"/>
          <c:order val="3"/>
          <c:tx>
            <c:strRef>
              <c:f>'Area Charts'!$K$246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'Area Charts'!$I$247:$I$336</c:f>
            </c:strRef>
          </c:cat>
          <c:val>
            <c:numRef>
              <c:f>'Area Charts'!$K$247:$K$336</c:f>
              <c:numCache/>
            </c:numRef>
          </c:val>
          <c:smooth val="0"/>
        </c:ser>
        <c:axId val="1586304060"/>
        <c:axId val="73576599"/>
      </c:lineChart>
      <c:catAx>
        <c:axId val="1586304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73576599"/>
      </c:catAx>
      <c:valAx>
        <c:axId val="73576599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15863040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0"/>
  </c:chart>
  <c:spPr>
    <a:solidFill>
      <a:schemeClr val="dk1"/>
    </a:solidFill>
  </c:spPr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Gradient Sales Chart with Negatives</a:t>
            </a:r>
          </a:p>
        </c:rich>
      </c:tx>
      <c:overlay val="0"/>
    </c:title>
    <c:plotArea>
      <c:layout>
        <c:manualLayout>
          <c:xMode val="edge"/>
          <c:yMode val="edge"/>
          <c:x val="0.04085603112840467"/>
          <c:y val="0.1383016208597604"/>
          <c:w val="0.912565278744518"/>
          <c:h val="0.7482734319943624"/>
        </c:manualLayout>
      </c:layout>
      <c:areaChart>
        <c:grouping val="stacked"/>
        <c:ser>
          <c:idx val="1"/>
          <c:order val="1"/>
          <c:tx>
            <c:strRef>
              <c:f>'Area Charts'!$DD$194</c:f>
            </c:strRef>
          </c:tx>
          <c:spPr>
            <a:solidFill>
              <a:srgbClr val="E06666">
                <a:alpha val="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Charts'!$DD$195:$DD$206</c:f>
              <c:numCache/>
            </c:numRef>
          </c:val>
        </c:ser>
        <c:ser>
          <c:idx val="2"/>
          <c:order val="2"/>
          <c:tx>
            <c:strRef>
              <c:f>'Area Charts'!$BF$194</c:f>
            </c:strRef>
          </c:tx>
          <c:spPr>
            <a:solidFill>
              <a:srgbClr val="E06666">
                <a:alpha val="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Charts'!$BF$195:$BF$206</c:f>
              <c:numCache/>
            </c:numRef>
          </c:val>
        </c:ser>
        <c:ser>
          <c:idx val="3"/>
          <c:order val="3"/>
          <c:tx>
            <c:strRef>
              <c:f>'Area Charts'!$BE$194</c:f>
            </c:strRef>
          </c:tx>
          <c:spPr>
            <a:solidFill>
              <a:srgbClr val="E06666">
                <a:alpha val="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Charts'!$BE$195:$BE$206</c:f>
              <c:numCache/>
            </c:numRef>
          </c:val>
        </c:ser>
        <c:ser>
          <c:idx val="4"/>
          <c:order val="4"/>
          <c:tx>
            <c:strRef>
              <c:f>'Area Charts'!$BD$194</c:f>
            </c:strRef>
          </c:tx>
          <c:spPr>
            <a:solidFill>
              <a:srgbClr val="E06666">
                <a:alpha val="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Charts'!$BD$195:$BD$206</c:f>
              <c:numCache/>
            </c:numRef>
          </c:val>
        </c:ser>
        <c:ser>
          <c:idx val="5"/>
          <c:order val="5"/>
          <c:tx>
            <c:strRef>
              <c:f>'Area Charts'!$BC$194</c:f>
            </c:strRef>
          </c:tx>
          <c:spPr>
            <a:solidFill>
              <a:srgbClr val="E06666">
                <a:alpha val="1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Charts'!$BC$195:$BC$206</c:f>
              <c:numCache/>
            </c:numRef>
          </c:val>
        </c:ser>
        <c:ser>
          <c:idx val="6"/>
          <c:order val="6"/>
          <c:tx>
            <c:strRef>
              <c:f>'Area Charts'!$BB$194</c:f>
            </c:strRef>
          </c:tx>
          <c:spPr>
            <a:solidFill>
              <a:srgbClr val="E06666">
                <a:alpha val="1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Charts'!$BB$195:$BB$206</c:f>
              <c:numCache/>
            </c:numRef>
          </c:val>
        </c:ser>
        <c:ser>
          <c:idx val="7"/>
          <c:order val="7"/>
          <c:tx>
            <c:strRef>
              <c:f>'Area Charts'!$BA$194</c:f>
            </c:strRef>
          </c:tx>
          <c:spPr>
            <a:solidFill>
              <a:srgbClr val="E06666">
                <a:alpha val="1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Charts'!$BA$195:$BA$206</c:f>
              <c:numCache/>
            </c:numRef>
          </c:val>
        </c:ser>
        <c:ser>
          <c:idx val="8"/>
          <c:order val="8"/>
          <c:tx>
            <c:strRef>
              <c:f>'Area Charts'!$AZ$194</c:f>
            </c:strRef>
          </c:tx>
          <c:spPr>
            <a:solidFill>
              <a:srgbClr val="E06666">
                <a:alpha val="1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Charts'!$AZ$195:$AZ$206</c:f>
              <c:numCache/>
            </c:numRef>
          </c:val>
        </c:ser>
        <c:ser>
          <c:idx val="9"/>
          <c:order val="9"/>
          <c:tx>
            <c:strRef>
              <c:f>'Area Charts'!$AY$194</c:f>
            </c:strRef>
          </c:tx>
          <c:spPr>
            <a:solidFill>
              <a:srgbClr val="E06666">
                <a:alpha val="1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Charts'!$AY$195:$AY$206</c:f>
              <c:numCache/>
            </c:numRef>
          </c:val>
        </c:ser>
        <c:ser>
          <c:idx val="10"/>
          <c:order val="10"/>
          <c:tx>
            <c:strRef>
              <c:f>'Area Charts'!$AX$194</c:f>
            </c:strRef>
          </c:tx>
          <c:spPr>
            <a:solidFill>
              <a:srgbClr val="E06666">
                <a:alpha val="2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Charts'!$AX$195:$AX$206</c:f>
              <c:numCache/>
            </c:numRef>
          </c:val>
        </c:ser>
        <c:ser>
          <c:idx val="11"/>
          <c:order val="11"/>
          <c:tx>
            <c:strRef>
              <c:f>'Area Charts'!$AW$194</c:f>
            </c:strRef>
          </c:tx>
          <c:spPr>
            <a:solidFill>
              <a:srgbClr val="E06666">
                <a:alpha val="2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Charts'!$AW$195:$AW$206</c:f>
              <c:numCache/>
            </c:numRef>
          </c:val>
        </c:ser>
        <c:ser>
          <c:idx val="12"/>
          <c:order val="12"/>
          <c:tx>
            <c:strRef>
              <c:f>'Area Charts'!$AV$194</c:f>
            </c:strRef>
          </c:tx>
          <c:spPr>
            <a:solidFill>
              <a:srgbClr val="E06666">
                <a:alpha val="2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Charts'!$AV$195:$AV$206</c:f>
              <c:numCache/>
            </c:numRef>
          </c:val>
        </c:ser>
        <c:ser>
          <c:idx val="13"/>
          <c:order val="13"/>
          <c:tx>
            <c:strRef>
              <c:f>'Area Charts'!$AU$194</c:f>
            </c:strRef>
          </c:tx>
          <c:spPr>
            <a:solidFill>
              <a:srgbClr val="E06666">
                <a:alpha val="2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Charts'!$AU$195:$AU$206</c:f>
              <c:numCache/>
            </c:numRef>
          </c:val>
        </c:ser>
        <c:ser>
          <c:idx val="14"/>
          <c:order val="14"/>
          <c:tx>
            <c:strRef>
              <c:f>'Area Charts'!$AT$194</c:f>
            </c:strRef>
          </c:tx>
          <c:spPr>
            <a:solidFill>
              <a:srgbClr val="E06666">
                <a:alpha val="2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Charts'!$AT$195:$AT$206</c:f>
              <c:numCache/>
            </c:numRef>
          </c:val>
        </c:ser>
        <c:ser>
          <c:idx val="15"/>
          <c:order val="15"/>
          <c:tx>
            <c:strRef>
              <c:f>'Area Charts'!$AS$194</c:f>
            </c:strRef>
          </c:tx>
          <c:spPr>
            <a:solidFill>
              <a:srgbClr val="E06666">
                <a:alpha val="3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Charts'!$AS$195:$AS$206</c:f>
              <c:numCache/>
            </c:numRef>
          </c:val>
        </c:ser>
        <c:ser>
          <c:idx val="16"/>
          <c:order val="16"/>
          <c:tx>
            <c:strRef>
              <c:f>'Area Charts'!$AR$194</c:f>
            </c:strRef>
          </c:tx>
          <c:spPr>
            <a:solidFill>
              <a:srgbClr val="E06666">
                <a:alpha val="33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Charts'!$AR$195:$AR$206</c:f>
              <c:numCache/>
            </c:numRef>
          </c:val>
        </c:ser>
        <c:ser>
          <c:idx val="17"/>
          <c:order val="17"/>
          <c:tx>
            <c:strRef>
              <c:f>'Area Charts'!$AQ$194</c:f>
            </c:strRef>
          </c:tx>
          <c:spPr>
            <a:solidFill>
              <a:srgbClr val="E06666">
                <a:alpha val="3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Charts'!$AQ$195:$AQ$206</c:f>
              <c:numCache/>
            </c:numRef>
          </c:val>
        </c:ser>
        <c:ser>
          <c:idx val="18"/>
          <c:order val="18"/>
          <c:tx>
            <c:strRef>
              <c:f>'Area Charts'!$AP$194</c:f>
            </c:strRef>
          </c:tx>
          <c:spPr>
            <a:solidFill>
              <a:srgbClr val="E06666">
                <a:alpha val="3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Charts'!$AP$195:$AP$206</c:f>
              <c:numCache/>
            </c:numRef>
          </c:val>
        </c:ser>
        <c:ser>
          <c:idx val="19"/>
          <c:order val="19"/>
          <c:tx>
            <c:strRef>
              <c:f>'Area Charts'!$AO$194</c:f>
            </c:strRef>
          </c:tx>
          <c:spPr>
            <a:solidFill>
              <a:srgbClr val="E06666">
                <a:alpha val="4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Charts'!$AO$195:$AO$206</c:f>
              <c:numCache/>
            </c:numRef>
          </c:val>
        </c:ser>
        <c:ser>
          <c:idx val="20"/>
          <c:order val="20"/>
          <c:tx>
            <c:strRef>
              <c:f>'Area Charts'!$AN$194</c:f>
            </c:strRef>
          </c:tx>
          <c:spPr>
            <a:solidFill>
              <a:srgbClr val="E06666">
                <a:alpha val="4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Charts'!$AN$195:$AN$206</c:f>
              <c:numCache/>
            </c:numRef>
          </c:val>
        </c:ser>
        <c:ser>
          <c:idx val="21"/>
          <c:order val="21"/>
          <c:tx>
            <c:strRef>
              <c:f>'Area Charts'!$AM$194</c:f>
            </c:strRef>
          </c:tx>
          <c:spPr>
            <a:solidFill>
              <a:srgbClr val="E06666">
                <a:alpha val="4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Charts'!$AM$195:$AM$206</c:f>
              <c:numCache/>
            </c:numRef>
          </c:val>
        </c:ser>
        <c:ser>
          <c:idx val="22"/>
          <c:order val="22"/>
          <c:tx>
            <c:strRef>
              <c:f>'Area Charts'!$AL$194</c:f>
            </c:strRef>
          </c:tx>
          <c:spPr>
            <a:solidFill>
              <a:srgbClr val="E06666">
                <a:alpha val="4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Charts'!$AL$195:$AL$206</c:f>
              <c:numCache/>
            </c:numRef>
          </c:val>
        </c:ser>
        <c:ser>
          <c:idx val="23"/>
          <c:order val="23"/>
          <c:tx>
            <c:strRef>
              <c:f>'Area Charts'!$AK$194</c:f>
            </c:strRef>
          </c:tx>
          <c:spPr>
            <a:solidFill>
              <a:srgbClr val="E06666">
                <a:alpha val="4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Charts'!$AK$195:$AK$206</c:f>
              <c:numCache/>
            </c:numRef>
          </c:val>
        </c:ser>
        <c:ser>
          <c:idx val="24"/>
          <c:order val="24"/>
          <c:tx>
            <c:strRef>
              <c:f>'Area Charts'!$AJ$194</c:f>
            </c:strRef>
          </c:tx>
          <c:spPr>
            <a:solidFill>
              <a:srgbClr val="E06666">
                <a:alpha val="5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Charts'!$AJ$195:$AJ$206</c:f>
              <c:numCache/>
            </c:numRef>
          </c:val>
        </c:ser>
        <c:ser>
          <c:idx val="25"/>
          <c:order val="25"/>
          <c:tx>
            <c:strRef>
              <c:f>'Area Charts'!$AI$194</c:f>
            </c:strRef>
          </c:tx>
          <c:spPr>
            <a:solidFill>
              <a:srgbClr val="E06666">
                <a:alpha val="5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Charts'!$AI$195:$AI$206</c:f>
              <c:numCache/>
            </c:numRef>
          </c:val>
        </c:ser>
        <c:ser>
          <c:idx val="26"/>
          <c:order val="26"/>
          <c:tx>
            <c:strRef>
              <c:f>'Area Charts'!$AI$194</c:f>
            </c:strRef>
          </c:tx>
          <c:spPr>
            <a:solidFill>
              <a:srgbClr val="E06666">
                <a:alpha val="5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Charts'!$AI$195:$AI$206</c:f>
              <c:numCache/>
            </c:numRef>
          </c:val>
        </c:ser>
        <c:ser>
          <c:idx val="27"/>
          <c:order val="27"/>
          <c:tx>
            <c:strRef>
              <c:f>'Area Charts'!$AH$194</c:f>
            </c:strRef>
          </c:tx>
          <c:spPr>
            <a:solidFill>
              <a:srgbClr val="E06666">
                <a:alpha val="5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Charts'!$AH$195:$AH$206</c:f>
              <c:numCache/>
            </c:numRef>
          </c:val>
        </c:ser>
        <c:ser>
          <c:idx val="28"/>
          <c:order val="28"/>
          <c:tx>
            <c:strRef>
              <c:f>'Area Charts'!$AG$194</c:f>
            </c:strRef>
          </c:tx>
          <c:spPr>
            <a:solidFill>
              <a:srgbClr val="E06666">
                <a:alpha val="5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Charts'!$AG$195:$AG$206</c:f>
              <c:numCache/>
            </c:numRef>
          </c:val>
        </c:ser>
        <c:ser>
          <c:idx val="29"/>
          <c:order val="29"/>
          <c:tx>
            <c:strRef>
              <c:f>'Area Charts'!$AF$194</c:f>
            </c:strRef>
          </c:tx>
          <c:spPr>
            <a:solidFill>
              <a:srgbClr val="E06666">
                <a:alpha val="6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Charts'!$AF$195:$AF$206</c:f>
              <c:numCache/>
            </c:numRef>
          </c:val>
        </c:ser>
        <c:ser>
          <c:idx val="30"/>
          <c:order val="30"/>
          <c:tx>
            <c:strRef>
              <c:f>'Area Charts'!$AE$194</c:f>
            </c:strRef>
          </c:tx>
          <c:spPr>
            <a:solidFill>
              <a:srgbClr val="E06666">
                <a:alpha val="6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Charts'!$AE$195:$AE$206</c:f>
              <c:numCache/>
            </c:numRef>
          </c:val>
        </c:ser>
        <c:ser>
          <c:idx val="31"/>
          <c:order val="31"/>
          <c:tx>
            <c:strRef>
              <c:f>'Area Charts'!$AD$194</c:f>
            </c:strRef>
          </c:tx>
          <c:spPr>
            <a:solidFill>
              <a:srgbClr val="E06666">
                <a:alpha val="6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Charts'!$AD$195:$AD$206</c:f>
              <c:numCache/>
            </c:numRef>
          </c:val>
        </c:ser>
        <c:ser>
          <c:idx val="32"/>
          <c:order val="32"/>
          <c:tx>
            <c:strRef>
              <c:f>'Area Charts'!$AC$194</c:f>
            </c:strRef>
          </c:tx>
          <c:spPr>
            <a:solidFill>
              <a:srgbClr val="E06666">
                <a:alpha val="6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Charts'!$AC$195:$AC$206</c:f>
              <c:numCache/>
            </c:numRef>
          </c:val>
        </c:ser>
        <c:ser>
          <c:idx val="33"/>
          <c:order val="33"/>
          <c:tx>
            <c:strRef>
              <c:f>'Area Charts'!$AB$194</c:f>
            </c:strRef>
          </c:tx>
          <c:spPr>
            <a:solidFill>
              <a:srgbClr val="E06666">
                <a:alpha val="6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Charts'!$AB$195:$AB$206</c:f>
              <c:numCache/>
            </c:numRef>
          </c:val>
        </c:ser>
        <c:ser>
          <c:idx val="34"/>
          <c:order val="34"/>
          <c:tx>
            <c:strRef>
              <c:f>'Area Charts'!$AA$194</c:f>
            </c:strRef>
          </c:tx>
          <c:spPr>
            <a:solidFill>
              <a:srgbClr val="E06666">
                <a:alpha val="7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Charts'!$AA$195:$AA$206</c:f>
              <c:numCache/>
            </c:numRef>
          </c:val>
        </c:ser>
        <c:ser>
          <c:idx val="35"/>
          <c:order val="35"/>
          <c:tx>
            <c:strRef>
              <c:f>'Area Charts'!$Z$194</c:f>
            </c:strRef>
          </c:tx>
          <c:spPr>
            <a:solidFill>
              <a:srgbClr val="E06666">
                <a:alpha val="73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Charts'!$Z$195:$Z$206</c:f>
              <c:numCache/>
            </c:numRef>
          </c:val>
        </c:ser>
        <c:ser>
          <c:idx val="36"/>
          <c:order val="36"/>
          <c:tx>
            <c:strRef>
              <c:f>'Area Charts'!$Y$194</c:f>
            </c:strRef>
          </c:tx>
          <c:spPr>
            <a:solidFill>
              <a:srgbClr val="E06666">
                <a:alpha val="7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Charts'!$Y$195:$Y$206</c:f>
              <c:numCache/>
            </c:numRef>
          </c:val>
        </c:ser>
        <c:ser>
          <c:idx val="37"/>
          <c:order val="37"/>
          <c:tx>
            <c:strRef>
              <c:f>'Area Charts'!$X$194</c:f>
            </c:strRef>
          </c:tx>
          <c:spPr>
            <a:solidFill>
              <a:srgbClr val="E06666">
                <a:alpha val="7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Charts'!$X$195:$X$206</c:f>
              <c:numCache/>
            </c:numRef>
          </c:val>
        </c:ser>
        <c:ser>
          <c:idx val="38"/>
          <c:order val="38"/>
          <c:tx>
            <c:strRef>
              <c:f>'Area Charts'!$W$194</c:f>
            </c:strRef>
          </c:tx>
          <c:spPr>
            <a:solidFill>
              <a:srgbClr val="E06666">
                <a:alpha val="79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Charts'!$W$195:$W$206</c:f>
              <c:numCache/>
            </c:numRef>
          </c:val>
        </c:ser>
        <c:ser>
          <c:idx val="39"/>
          <c:order val="39"/>
          <c:tx>
            <c:strRef>
              <c:f>'Area Charts'!$V$194</c:f>
            </c:strRef>
          </c:tx>
          <c:spPr>
            <a:solidFill>
              <a:srgbClr val="E06666">
                <a:alpha val="81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Charts'!$V$195:$V$206</c:f>
              <c:numCache/>
            </c:numRef>
          </c:val>
        </c:ser>
        <c:ser>
          <c:idx val="40"/>
          <c:order val="40"/>
          <c:tx>
            <c:strRef>
              <c:f>'Area Charts'!$U$194</c:f>
            </c:strRef>
          </c:tx>
          <c:spPr>
            <a:solidFill>
              <a:srgbClr val="E06666">
                <a:alpha val="83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Charts'!$U$195:$U$206</c:f>
              <c:numCache/>
            </c:numRef>
          </c:val>
        </c:ser>
        <c:ser>
          <c:idx val="41"/>
          <c:order val="41"/>
          <c:tx>
            <c:strRef>
              <c:f>'Area Charts'!$T$194</c:f>
            </c:strRef>
          </c:tx>
          <c:spPr>
            <a:solidFill>
              <a:srgbClr val="E06666">
                <a:alpha val="85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Charts'!$T$195:$T$206</c:f>
              <c:numCache/>
            </c:numRef>
          </c:val>
        </c:ser>
        <c:ser>
          <c:idx val="42"/>
          <c:order val="42"/>
          <c:tx>
            <c:strRef>
              <c:f>'Area Charts'!$S$194</c:f>
            </c:strRef>
          </c:tx>
          <c:spPr>
            <a:solidFill>
              <a:srgbClr val="E06666">
                <a:alpha val="87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Charts'!$S$195:$S$206</c:f>
              <c:numCache/>
            </c:numRef>
          </c:val>
        </c:ser>
        <c:ser>
          <c:idx val="43"/>
          <c:order val="43"/>
          <c:tx>
            <c:strRef>
              <c:f>'Area Charts'!$R$194</c:f>
            </c:strRef>
          </c:tx>
          <c:spPr>
            <a:solidFill>
              <a:srgbClr val="E06666">
                <a:alpha val="90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Charts'!$R$195:$R$206</c:f>
              <c:numCache/>
            </c:numRef>
          </c:val>
        </c:ser>
        <c:ser>
          <c:idx val="44"/>
          <c:order val="44"/>
          <c:tx>
            <c:strRef>
              <c:f>'Area Charts'!$Q$194</c:f>
            </c:strRef>
          </c:tx>
          <c:spPr>
            <a:solidFill>
              <a:srgbClr val="E06666">
                <a:alpha val="92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Charts'!$Q$195:$Q$206</c:f>
              <c:numCache/>
            </c:numRef>
          </c:val>
        </c:ser>
        <c:ser>
          <c:idx val="45"/>
          <c:order val="45"/>
          <c:tx>
            <c:strRef>
              <c:f>'Area Charts'!$P$194</c:f>
            </c:strRef>
          </c:tx>
          <c:spPr>
            <a:solidFill>
              <a:srgbClr val="E06666">
                <a:alpha val="94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Charts'!$P$195:$P$206</c:f>
              <c:numCache/>
            </c:numRef>
          </c:val>
        </c:ser>
        <c:ser>
          <c:idx val="46"/>
          <c:order val="46"/>
          <c:tx>
            <c:strRef>
              <c:f>'Area Charts'!$O$194</c:f>
            </c:strRef>
          </c:tx>
          <c:spPr>
            <a:solidFill>
              <a:srgbClr val="E06666">
                <a:alpha val="96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Charts'!$O$195:$O$206</c:f>
              <c:numCache/>
            </c:numRef>
          </c:val>
        </c:ser>
        <c:ser>
          <c:idx val="47"/>
          <c:order val="47"/>
          <c:tx>
            <c:strRef>
              <c:f>'Area Charts'!$N$194</c:f>
            </c:strRef>
          </c:tx>
          <c:spPr>
            <a:solidFill>
              <a:srgbClr val="E06666">
                <a:alpha val="9800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Charts'!$N$195:$N$206</c:f>
              <c:numCache/>
            </c:numRef>
          </c:val>
        </c:ser>
        <c:ser>
          <c:idx val="48"/>
          <c:order val="48"/>
          <c:tx>
            <c:strRef>
              <c:f>'Area Charts'!$M$194</c:f>
            </c:strRef>
          </c:tx>
          <c:spPr>
            <a:solidFill>
              <a:srgbClr val="E06666">
                <a:alpha val="0"/>
              </a:srgbClr>
            </a:solidFill>
            <a:ln cmpd="sng">
              <a:solidFill>
                <a:srgbClr val="E06666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Charts'!$M$195:$M$206</c:f>
              <c:numCache/>
            </c:numRef>
          </c:val>
        </c:ser>
        <c:ser>
          <c:idx val="49"/>
          <c:order val="49"/>
          <c:tx>
            <c:strRef>
              <c:f>'Area Charts'!$L$194</c:f>
            </c:strRef>
          </c:tx>
          <c:spPr>
            <a:solidFill>
              <a:srgbClr val="93C47D">
                <a:alpha val="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Charts'!$L$195:$L$206</c:f>
              <c:numCache/>
            </c:numRef>
          </c:val>
        </c:ser>
        <c:ser>
          <c:idx val="50"/>
          <c:order val="50"/>
          <c:tx>
            <c:strRef>
              <c:f>'Area Charts'!$BG$194</c:f>
            </c:strRef>
          </c:tx>
          <c:spPr>
            <a:solidFill>
              <a:srgbClr val="93C47D">
                <a:alpha val="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Charts'!$BG$195:$BG$206</c:f>
              <c:numCache/>
            </c:numRef>
          </c:val>
        </c:ser>
        <c:ser>
          <c:idx val="51"/>
          <c:order val="51"/>
          <c:tx>
            <c:strRef>
              <c:f>'Area Charts'!$BH$194</c:f>
            </c:strRef>
          </c:tx>
          <c:spPr>
            <a:solidFill>
              <a:srgbClr val="93C47D">
                <a:alpha val="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Charts'!$BH$195:$BH$206</c:f>
              <c:numCache/>
            </c:numRef>
          </c:val>
        </c:ser>
        <c:ser>
          <c:idx val="52"/>
          <c:order val="52"/>
          <c:tx>
            <c:strRef>
              <c:f>'Area Charts'!$BI$194</c:f>
            </c:strRef>
          </c:tx>
          <c:spPr>
            <a:solidFill>
              <a:srgbClr val="93C47D">
                <a:alpha val="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Charts'!$BI$195:$BI$206</c:f>
              <c:numCache/>
            </c:numRef>
          </c:val>
        </c:ser>
        <c:ser>
          <c:idx val="53"/>
          <c:order val="53"/>
          <c:tx>
            <c:strRef>
              <c:f>'Area Charts'!$BJ$194</c:f>
            </c:strRef>
          </c:tx>
          <c:spPr>
            <a:solidFill>
              <a:srgbClr val="93C47D">
                <a:alpha val="1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Charts'!$BJ$195:$BJ$206</c:f>
              <c:numCache/>
            </c:numRef>
          </c:val>
        </c:ser>
        <c:ser>
          <c:idx val="54"/>
          <c:order val="54"/>
          <c:tx>
            <c:strRef>
              <c:f>'Area Charts'!$BK$194</c:f>
            </c:strRef>
          </c:tx>
          <c:spPr>
            <a:solidFill>
              <a:srgbClr val="93C47D">
                <a:alpha val="1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Charts'!$BK$195:$BK$206</c:f>
              <c:numCache/>
            </c:numRef>
          </c:val>
        </c:ser>
        <c:ser>
          <c:idx val="55"/>
          <c:order val="55"/>
          <c:tx>
            <c:strRef>
              <c:f>'Area Charts'!$BL$194</c:f>
            </c:strRef>
          </c:tx>
          <c:spPr>
            <a:solidFill>
              <a:srgbClr val="93C47D">
                <a:alpha val="1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Charts'!$BL$195:$BL$206</c:f>
              <c:numCache/>
            </c:numRef>
          </c:val>
        </c:ser>
        <c:ser>
          <c:idx val="56"/>
          <c:order val="56"/>
          <c:tx>
            <c:strRef>
              <c:f>'Area Charts'!$BM$194</c:f>
            </c:strRef>
          </c:tx>
          <c:spPr>
            <a:solidFill>
              <a:srgbClr val="93C47D">
                <a:alpha val="1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Charts'!$BM$195:$BM$206</c:f>
              <c:numCache/>
            </c:numRef>
          </c:val>
        </c:ser>
        <c:ser>
          <c:idx val="57"/>
          <c:order val="57"/>
          <c:tx>
            <c:strRef>
              <c:f>'Area Charts'!$BN$194</c:f>
            </c:strRef>
          </c:tx>
          <c:spPr>
            <a:solidFill>
              <a:srgbClr val="93C47D">
                <a:alpha val="1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Charts'!$BN$195:$BN$206</c:f>
              <c:numCache/>
            </c:numRef>
          </c:val>
        </c:ser>
        <c:ser>
          <c:idx val="58"/>
          <c:order val="58"/>
          <c:tx>
            <c:strRef>
              <c:f>'Area Charts'!$BO$194</c:f>
            </c:strRef>
          </c:tx>
          <c:spPr>
            <a:solidFill>
              <a:srgbClr val="93C47D">
                <a:alpha val="2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Charts'!$BO$195:$BO$206</c:f>
              <c:numCache/>
            </c:numRef>
          </c:val>
        </c:ser>
        <c:ser>
          <c:idx val="59"/>
          <c:order val="59"/>
          <c:tx>
            <c:strRef>
              <c:f>'Area Charts'!$BP$194</c:f>
            </c:strRef>
          </c:tx>
          <c:spPr>
            <a:solidFill>
              <a:srgbClr val="93C47D">
                <a:alpha val="2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Charts'!$BP$195:$BP$206</c:f>
              <c:numCache/>
            </c:numRef>
          </c:val>
        </c:ser>
        <c:ser>
          <c:idx val="60"/>
          <c:order val="60"/>
          <c:tx>
            <c:strRef>
              <c:f>'Area Charts'!$BQ$194</c:f>
            </c:strRef>
          </c:tx>
          <c:spPr>
            <a:solidFill>
              <a:srgbClr val="93C47D">
                <a:alpha val="2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Charts'!$BQ$195:$BQ$206</c:f>
              <c:numCache/>
            </c:numRef>
          </c:val>
        </c:ser>
        <c:ser>
          <c:idx val="61"/>
          <c:order val="61"/>
          <c:tx>
            <c:strRef>
              <c:f>'Area Charts'!$BR$194</c:f>
            </c:strRef>
          </c:tx>
          <c:spPr>
            <a:solidFill>
              <a:srgbClr val="93C47D">
                <a:alpha val="2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Charts'!$BR$195:$BR$206</c:f>
              <c:numCache/>
            </c:numRef>
          </c:val>
        </c:ser>
        <c:ser>
          <c:idx val="62"/>
          <c:order val="62"/>
          <c:tx>
            <c:strRef>
              <c:f>'Area Charts'!$BS$194</c:f>
            </c:strRef>
          </c:tx>
          <c:spPr>
            <a:solidFill>
              <a:srgbClr val="93C47D">
                <a:alpha val="2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Charts'!$BS$195:$BS$206</c:f>
              <c:numCache/>
            </c:numRef>
          </c:val>
        </c:ser>
        <c:ser>
          <c:idx val="63"/>
          <c:order val="63"/>
          <c:tx>
            <c:strRef>
              <c:f>'Area Charts'!$BT$194</c:f>
            </c:strRef>
          </c:tx>
          <c:spPr>
            <a:solidFill>
              <a:srgbClr val="93C47D">
                <a:alpha val="3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Charts'!$BT$195:$BT$206</c:f>
              <c:numCache/>
            </c:numRef>
          </c:val>
        </c:ser>
        <c:ser>
          <c:idx val="64"/>
          <c:order val="64"/>
          <c:tx>
            <c:strRef>
              <c:f>'Area Charts'!$BU$194</c:f>
            </c:strRef>
          </c:tx>
          <c:spPr>
            <a:solidFill>
              <a:srgbClr val="93C47D">
                <a:alpha val="3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Charts'!$BU$195:$BU$206</c:f>
              <c:numCache/>
            </c:numRef>
          </c:val>
        </c:ser>
        <c:ser>
          <c:idx val="65"/>
          <c:order val="65"/>
          <c:tx>
            <c:strRef>
              <c:f>'Area Charts'!$BV$194</c:f>
            </c:strRef>
          </c:tx>
          <c:spPr>
            <a:solidFill>
              <a:srgbClr val="93C47D">
                <a:alpha val="3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Charts'!$BV$195:$BV$206</c:f>
              <c:numCache/>
            </c:numRef>
          </c:val>
        </c:ser>
        <c:ser>
          <c:idx val="66"/>
          <c:order val="66"/>
          <c:tx>
            <c:strRef>
              <c:f>'Area Charts'!$BW$194</c:f>
            </c:strRef>
          </c:tx>
          <c:spPr>
            <a:solidFill>
              <a:srgbClr val="93C47D">
                <a:alpha val="3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Charts'!$BW$195:$BW$206</c:f>
              <c:numCache/>
            </c:numRef>
          </c:val>
        </c:ser>
        <c:ser>
          <c:idx val="67"/>
          <c:order val="67"/>
          <c:tx>
            <c:strRef>
              <c:f>'Area Charts'!$BX$194</c:f>
            </c:strRef>
          </c:tx>
          <c:spPr>
            <a:solidFill>
              <a:srgbClr val="93C47D">
                <a:alpha val="4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Charts'!$BX$195:$BX$206</c:f>
              <c:numCache/>
            </c:numRef>
          </c:val>
        </c:ser>
        <c:ser>
          <c:idx val="68"/>
          <c:order val="68"/>
          <c:tx>
            <c:strRef>
              <c:f>'Area Charts'!$BY$194</c:f>
            </c:strRef>
          </c:tx>
          <c:spPr>
            <a:solidFill>
              <a:srgbClr val="93C47D">
                <a:alpha val="4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Charts'!$BY$195:$BY$206</c:f>
              <c:numCache/>
            </c:numRef>
          </c:val>
        </c:ser>
        <c:ser>
          <c:idx val="69"/>
          <c:order val="69"/>
          <c:tx>
            <c:strRef>
              <c:f>'Area Charts'!$BZ$194</c:f>
            </c:strRef>
          </c:tx>
          <c:spPr>
            <a:solidFill>
              <a:srgbClr val="93C47D">
                <a:alpha val="4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Charts'!$BZ$195:$BZ$206</c:f>
              <c:numCache/>
            </c:numRef>
          </c:val>
        </c:ser>
        <c:ser>
          <c:idx val="70"/>
          <c:order val="70"/>
          <c:tx>
            <c:strRef>
              <c:f>'Area Charts'!$CA$194</c:f>
            </c:strRef>
          </c:tx>
          <c:spPr>
            <a:solidFill>
              <a:srgbClr val="93C47D">
                <a:alpha val="4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Charts'!$CA$195:$CA$206</c:f>
              <c:numCache/>
            </c:numRef>
          </c:val>
        </c:ser>
        <c:ser>
          <c:idx val="71"/>
          <c:order val="71"/>
          <c:tx>
            <c:strRef>
              <c:f>'Area Charts'!$CB$194</c:f>
            </c:strRef>
          </c:tx>
          <c:spPr>
            <a:solidFill>
              <a:srgbClr val="93C47D">
                <a:alpha val="4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Charts'!$CB$195:$CB$206</c:f>
              <c:numCache/>
            </c:numRef>
          </c:val>
        </c:ser>
        <c:ser>
          <c:idx val="72"/>
          <c:order val="72"/>
          <c:tx>
            <c:strRef>
              <c:f>'Area Charts'!$CC$194</c:f>
            </c:strRef>
          </c:tx>
          <c:spPr>
            <a:solidFill>
              <a:srgbClr val="93C47D">
                <a:alpha val="5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Charts'!$CC$195:$CC$206</c:f>
              <c:numCache/>
            </c:numRef>
          </c:val>
        </c:ser>
        <c:ser>
          <c:idx val="73"/>
          <c:order val="73"/>
          <c:tx>
            <c:strRef>
              <c:f>'Area Charts'!$CD$194</c:f>
            </c:strRef>
          </c:tx>
          <c:spPr>
            <a:solidFill>
              <a:srgbClr val="93C47D">
                <a:alpha val="5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Charts'!$CD$195:$CD$206</c:f>
              <c:numCache/>
            </c:numRef>
          </c:val>
        </c:ser>
        <c:ser>
          <c:idx val="74"/>
          <c:order val="74"/>
          <c:tx>
            <c:strRef>
              <c:f>'Area Charts'!$CE$194</c:f>
            </c:strRef>
          </c:tx>
          <c:spPr>
            <a:solidFill>
              <a:srgbClr val="93C47D">
                <a:alpha val="5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Charts'!$CE$195:$CE$206</c:f>
              <c:numCache/>
            </c:numRef>
          </c:val>
        </c:ser>
        <c:ser>
          <c:idx val="75"/>
          <c:order val="75"/>
          <c:tx>
            <c:strRef>
              <c:f>'Area Charts'!$CF$194</c:f>
            </c:strRef>
          </c:tx>
          <c:spPr>
            <a:solidFill>
              <a:srgbClr val="93C47D">
                <a:alpha val="5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Charts'!$CF$195:$CF$206</c:f>
              <c:numCache/>
            </c:numRef>
          </c:val>
        </c:ser>
        <c:ser>
          <c:idx val="76"/>
          <c:order val="76"/>
          <c:tx>
            <c:strRef>
              <c:f>'Area Charts'!$CG$194</c:f>
            </c:strRef>
          </c:tx>
          <c:spPr>
            <a:solidFill>
              <a:srgbClr val="93C47D">
                <a:alpha val="5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Charts'!$CG$195:$CG$206</c:f>
              <c:numCache/>
            </c:numRef>
          </c:val>
        </c:ser>
        <c:ser>
          <c:idx val="77"/>
          <c:order val="77"/>
          <c:tx>
            <c:strRef>
              <c:f>'Area Charts'!$CH$194</c:f>
            </c:strRef>
          </c:tx>
          <c:spPr>
            <a:solidFill>
              <a:srgbClr val="93C47D">
                <a:alpha val="6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Charts'!$CH$195:$CH$206</c:f>
              <c:numCache/>
            </c:numRef>
          </c:val>
        </c:ser>
        <c:ser>
          <c:idx val="78"/>
          <c:order val="78"/>
          <c:tx>
            <c:strRef>
              <c:f>'Area Charts'!$CI$194</c:f>
            </c:strRef>
          </c:tx>
          <c:spPr>
            <a:solidFill>
              <a:srgbClr val="93C47D">
                <a:alpha val="6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Charts'!$CI$195:$CI$206</c:f>
              <c:numCache/>
            </c:numRef>
          </c:val>
        </c:ser>
        <c:ser>
          <c:idx val="79"/>
          <c:order val="79"/>
          <c:tx>
            <c:strRef>
              <c:f>'Area Charts'!$CJ$194</c:f>
            </c:strRef>
          </c:tx>
          <c:spPr>
            <a:solidFill>
              <a:srgbClr val="93C47D">
                <a:alpha val="6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Charts'!$CJ$195:$CJ$206</c:f>
              <c:numCache/>
            </c:numRef>
          </c:val>
        </c:ser>
        <c:ser>
          <c:idx val="80"/>
          <c:order val="80"/>
          <c:tx>
            <c:strRef>
              <c:f>'Area Charts'!$CK$194</c:f>
            </c:strRef>
          </c:tx>
          <c:spPr>
            <a:solidFill>
              <a:srgbClr val="93C47D">
                <a:alpha val="6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Charts'!$CK$195:$CK$206</c:f>
              <c:numCache/>
            </c:numRef>
          </c:val>
        </c:ser>
        <c:ser>
          <c:idx val="81"/>
          <c:order val="81"/>
          <c:tx>
            <c:strRef>
              <c:f>'Area Charts'!$CL$194</c:f>
            </c:strRef>
          </c:tx>
          <c:spPr>
            <a:solidFill>
              <a:srgbClr val="93C47D">
                <a:alpha val="6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Charts'!$CL$195:$CL$206</c:f>
              <c:numCache/>
            </c:numRef>
          </c:val>
        </c:ser>
        <c:ser>
          <c:idx val="82"/>
          <c:order val="82"/>
          <c:tx>
            <c:strRef>
              <c:f>'Area Charts'!$CM$194</c:f>
            </c:strRef>
          </c:tx>
          <c:spPr>
            <a:solidFill>
              <a:srgbClr val="93C47D">
                <a:alpha val="7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Charts'!$CM$195:$CM$206</c:f>
              <c:numCache/>
            </c:numRef>
          </c:val>
        </c:ser>
        <c:ser>
          <c:idx val="83"/>
          <c:order val="83"/>
          <c:tx>
            <c:strRef>
              <c:f>'Area Charts'!$CN$194</c:f>
            </c:strRef>
          </c:tx>
          <c:spPr>
            <a:solidFill>
              <a:srgbClr val="93C47D">
                <a:alpha val="7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Charts'!$CN$195:$CN$206</c:f>
              <c:numCache/>
            </c:numRef>
          </c:val>
        </c:ser>
        <c:ser>
          <c:idx val="84"/>
          <c:order val="84"/>
          <c:tx>
            <c:strRef>
              <c:f>'Area Charts'!$CO$194</c:f>
            </c:strRef>
          </c:tx>
          <c:spPr>
            <a:solidFill>
              <a:srgbClr val="93C47D">
                <a:alpha val="7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Charts'!$CO$195:$CO$206</c:f>
              <c:numCache/>
            </c:numRef>
          </c:val>
        </c:ser>
        <c:ser>
          <c:idx val="85"/>
          <c:order val="85"/>
          <c:tx>
            <c:strRef>
              <c:f>'Area Charts'!$CP$194</c:f>
            </c:strRef>
          </c:tx>
          <c:spPr>
            <a:solidFill>
              <a:srgbClr val="93C47D">
                <a:alpha val="77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Charts'!$CP$195:$CP$206</c:f>
              <c:numCache/>
            </c:numRef>
          </c:val>
        </c:ser>
        <c:ser>
          <c:idx val="86"/>
          <c:order val="86"/>
          <c:tx>
            <c:strRef>
              <c:f>'Area Charts'!$CQ$194</c:f>
            </c:strRef>
          </c:tx>
          <c:spPr>
            <a:solidFill>
              <a:srgbClr val="93C47D">
                <a:alpha val="79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Charts'!$CQ$195:$CQ$206</c:f>
              <c:numCache/>
            </c:numRef>
          </c:val>
        </c:ser>
        <c:ser>
          <c:idx val="87"/>
          <c:order val="87"/>
          <c:tx>
            <c:strRef>
              <c:f>'Area Charts'!$CR$194</c:f>
            </c:strRef>
          </c:tx>
          <c:spPr>
            <a:solidFill>
              <a:srgbClr val="93C47D">
                <a:alpha val="81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Charts'!$CR$195:$CR$206</c:f>
              <c:numCache/>
            </c:numRef>
          </c:val>
        </c:ser>
        <c:ser>
          <c:idx val="88"/>
          <c:order val="88"/>
          <c:tx>
            <c:strRef>
              <c:f>'Area Charts'!$CS$194</c:f>
            </c:strRef>
          </c:tx>
          <c:spPr>
            <a:solidFill>
              <a:srgbClr val="93C47D">
                <a:alpha val="83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Charts'!$CS$195:$CS$206</c:f>
              <c:numCache/>
            </c:numRef>
          </c:val>
        </c:ser>
        <c:ser>
          <c:idx val="89"/>
          <c:order val="89"/>
          <c:tx>
            <c:strRef>
              <c:f>'Area Charts'!$CT$194</c:f>
            </c:strRef>
          </c:tx>
          <c:spPr>
            <a:solidFill>
              <a:srgbClr val="93C47D">
                <a:alpha val="85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Charts'!$CT$195:$CT$206</c:f>
              <c:numCache/>
            </c:numRef>
          </c:val>
        </c:ser>
        <c:ser>
          <c:idx val="90"/>
          <c:order val="90"/>
          <c:tx>
            <c:strRef>
              <c:f>'Area Charts'!$CU$194</c:f>
            </c:strRef>
          </c:tx>
          <c:spPr>
            <a:solidFill>
              <a:srgbClr val="93C47D">
                <a:alpha val="8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Charts'!$CU$195:$CU$206</c:f>
              <c:numCache/>
            </c:numRef>
          </c:val>
        </c:ser>
        <c:ser>
          <c:idx val="91"/>
          <c:order val="91"/>
          <c:tx>
            <c:strRef>
              <c:f>'Area Charts'!$CV$194</c:f>
            </c:strRef>
          </c:tx>
          <c:spPr>
            <a:solidFill>
              <a:srgbClr val="93C47D">
                <a:alpha val="90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Charts'!$CV$195:$CV$206</c:f>
              <c:numCache/>
            </c:numRef>
          </c:val>
        </c:ser>
        <c:ser>
          <c:idx val="92"/>
          <c:order val="92"/>
          <c:tx>
            <c:strRef>
              <c:f>'Area Charts'!$CW$194</c:f>
            </c:strRef>
          </c:tx>
          <c:spPr>
            <a:solidFill>
              <a:srgbClr val="93C47D">
                <a:alpha val="92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Charts'!$CW$195:$CW$206</c:f>
              <c:numCache/>
            </c:numRef>
          </c:val>
        </c:ser>
        <c:ser>
          <c:idx val="93"/>
          <c:order val="93"/>
          <c:tx>
            <c:strRef>
              <c:f>'Area Charts'!$CX$194</c:f>
            </c:strRef>
          </c:tx>
          <c:spPr>
            <a:solidFill>
              <a:srgbClr val="93C47D">
                <a:alpha val="94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Charts'!$CX$195:$CX$206</c:f>
              <c:numCache/>
            </c:numRef>
          </c:val>
        </c:ser>
        <c:ser>
          <c:idx val="94"/>
          <c:order val="94"/>
          <c:tx>
            <c:strRef>
              <c:f>'Area Charts'!$CY$194</c:f>
            </c:strRef>
          </c:tx>
          <c:spPr>
            <a:solidFill>
              <a:srgbClr val="93C47D">
                <a:alpha val="96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Charts'!$CY$195:$CY$206</c:f>
              <c:numCache/>
            </c:numRef>
          </c:val>
        </c:ser>
        <c:ser>
          <c:idx val="95"/>
          <c:order val="95"/>
          <c:tx>
            <c:strRef>
              <c:f>'Area Charts'!$CZ$194</c:f>
            </c:strRef>
          </c:tx>
          <c:spPr>
            <a:solidFill>
              <a:srgbClr val="93C47D">
                <a:alpha val="98000"/>
              </a:srgbClr>
            </a:solidFill>
            <a:ln cmpd="sng">
              <a:solidFill>
                <a:srgbClr val="93C47D">
                  <a:alpha val="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Charts'!$CZ$195:$CZ$206</c:f>
              <c:numCache/>
            </c:numRef>
          </c:val>
        </c:ser>
        <c:axId val="683777817"/>
        <c:axId val="104163792"/>
      </c:areaChart>
      <c:catAx>
        <c:axId val="683777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262E32"/>
                </a:solidFill>
                <a:latin typeface="Roboto"/>
              </a:defRPr>
            </a:pPr>
          </a:p>
        </c:txPr>
        <c:crossAx val="104163792"/>
      </c:catAx>
      <c:valAx>
        <c:axId val="1041637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3777817"/>
      </c:valAx>
      <c:areaChart>
        <c:grouping val="stacked"/>
        <c:ser>
          <c:idx val="0"/>
          <c:order val="0"/>
          <c:tx>
            <c:strRef>
              <c:f>'Area Charts'!$J$194</c:f>
            </c:strRef>
          </c:tx>
          <c:spPr>
            <a:solidFill>
              <a:srgbClr val="274E13">
                <a:alpha val="0"/>
              </a:srgbClr>
            </a:solidFill>
            <a:ln cmpd="sng" w="57150">
              <a:solidFill>
                <a:srgbClr val="274E13">
                  <a:alpha val="100000"/>
                </a:srgbClr>
              </a:solidFill>
            </a:ln>
          </c:spPr>
          <c:cat>
            <c:strRef>
              <c:f>'Area Charts'!$I$195:$I$206</c:f>
            </c:strRef>
          </c:cat>
          <c:val>
            <c:numRef>
              <c:f>'Area Charts'!$J$195:$J$206</c:f>
              <c:numCache/>
            </c:numRef>
          </c:val>
        </c:ser>
        <c:axId val="1448431325"/>
        <c:axId val="1004087358"/>
      </c:areaChart>
      <c:catAx>
        <c:axId val="14484313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262E32"/>
                </a:solidFill>
                <a:latin typeface="Roboto"/>
              </a:defRPr>
            </a:pPr>
          </a:p>
        </c:txPr>
        <c:crossAx val="1004087358"/>
      </c:catAx>
      <c:valAx>
        <c:axId val="10040873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Roboto"/>
              </a:defRPr>
            </a:pPr>
          </a:p>
        </c:txPr>
        <c:crossAx val="1448431325"/>
        <c:crosses val="max"/>
      </c:valAx>
    </c:plotArea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062767475035663"/>
          <c:y val="0.08405430671992069"/>
          <c:w val="0.9073172571717985"/>
          <c:h val="0.7373032792061032"/>
        </c:manualLayout>
      </c:layout>
      <c:areaChart>
        <c:ser>
          <c:idx val="0"/>
          <c:order val="0"/>
          <c:tx>
            <c:strRef>
              <c:f>'Area Charts'!$O$342</c:f>
            </c:strRef>
          </c:tx>
          <c:spPr>
            <a:solidFill>
              <a:schemeClr val="accent1">
                <a:alpha val="3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Charts'!$O$343:$O$366</c:f>
              <c:numCache/>
            </c:numRef>
          </c:val>
        </c:ser>
        <c:ser>
          <c:idx val="1"/>
          <c:order val="1"/>
          <c:tx>
            <c:strRef>
              <c:f>'Area Charts'!$P$342</c:f>
            </c:strRef>
          </c:tx>
          <c:spPr>
            <a:solidFill>
              <a:schemeClr val="dk1"/>
            </a:solidFill>
            <a:ln cmpd="sng">
              <a:solidFill>
                <a:schemeClr val="dk1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Charts'!$P$343:$P$366</c:f>
              <c:numCache/>
            </c:numRef>
          </c:val>
        </c:ser>
        <c:ser>
          <c:idx val="2"/>
          <c:order val="2"/>
          <c:tx>
            <c:strRef>
              <c:f>'Area Charts'!$Q$342</c:f>
            </c:strRef>
          </c:tx>
          <c:spPr>
            <a:solidFill>
              <a:schemeClr val="accent2">
                <a:alpha val="30000"/>
              </a:schemeClr>
            </a:solidFill>
            <a:ln cmpd="sng">
              <a:solidFill>
                <a:schemeClr val="accent2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Charts'!$Q$343:$Q$366</c:f>
              <c:numCache/>
            </c:numRef>
          </c:val>
        </c:ser>
        <c:ser>
          <c:idx val="3"/>
          <c:order val="3"/>
          <c:tx>
            <c:strRef>
              <c:f>'Area Charts'!$R$342</c:f>
            </c:strRef>
          </c:tx>
          <c:spPr>
            <a:solidFill>
              <a:schemeClr val="dk1"/>
            </a:solidFill>
            <a:ln cmpd="sng">
              <a:solidFill>
                <a:schemeClr val="dk1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Charts'!$R$343:$R$366</c:f>
              <c:numCache/>
            </c:numRef>
          </c:val>
        </c:ser>
        <c:ser>
          <c:idx val="4"/>
          <c:order val="4"/>
          <c:tx>
            <c:strRef>
              <c:f>'Area Charts'!$S$342</c:f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Charts'!$S$343:$S$366</c:f>
              <c:numCache/>
            </c:numRef>
          </c:val>
        </c:ser>
        <c:ser>
          <c:idx val="5"/>
          <c:order val="5"/>
          <c:tx>
            <c:strRef>
              <c:f>'Area Charts'!$T$342</c:f>
            </c:strRef>
          </c:tx>
          <c:spPr>
            <a:solidFill>
              <a:schemeClr val="dk1"/>
            </a:solidFill>
            <a:ln cmpd="sng">
              <a:solidFill>
                <a:schemeClr val="dk1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Charts'!$T$343:$T$366</c:f>
              <c:numCache/>
            </c:numRef>
          </c:val>
        </c:ser>
        <c:ser>
          <c:idx val="6"/>
          <c:order val="6"/>
          <c:tx>
            <c:strRef>
              <c:f>'Area Charts'!$U$342</c:f>
            </c:strRef>
          </c:tx>
          <c:spPr>
            <a:solidFill>
              <a:schemeClr val="accent4">
                <a:alpha val="30000"/>
              </a:schemeClr>
            </a:solidFill>
            <a:ln cmpd="sng">
              <a:solidFill>
                <a:schemeClr val="accent4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Charts'!$U$343:$U$366</c:f>
              <c:numCache/>
            </c:numRef>
          </c:val>
        </c:ser>
        <c:ser>
          <c:idx val="7"/>
          <c:order val="7"/>
          <c:tx>
            <c:strRef>
              <c:f>'Area Charts'!$V$342</c:f>
            </c:strRef>
          </c:tx>
          <c:spPr>
            <a:solidFill>
              <a:schemeClr val="dk1"/>
            </a:solidFill>
            <a:ln cmpd="sng">
              <a:solidFill>
                <a:schemeClr val="dk1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Charts'!$V$343:$V$366</c:f>
              <c:numCache/>
            </c:numRef>
          </c:val>
        </c:ser>
        <c:ser>
          <c:idx val="8"/>
          <c:order val="8"/>
          <c:tx>
            <c:strRef>
              <c:f>'Area Charts'!$W$342</c:f>
            </c:strRef>
          </c:tx>
          <c:spPr>
            <a:solidFill>
              <a:schemeClr val="accent5">
                <a:alpha val="30000"/>
              </a:schemeClr>
            </a:solidFill>
            <a:ln cmpd="sng">
              <a:solidFill>
                <a:schemeClr val="accent5"/>
              </a:solidFill>
            </a:ln>
          </c:spPr>
          <c:cat>
            <c:strRef>
              <c:f>'Area Charts'!$I$343:$I$366</c:f>
            </c:strRef>
          </c:cat>
          <c:val>
            <c:numRef>
              <c:f>'Area Charts'!$W$343:$W$366</c:f>
              <c:numCache/>
            </c:numRef>
          </c:val>
        </c:ser>
        <c:axId val="624220242"/>
        <c:axId val="2113155400"/>
      </c:areaChart>
      <c:catAx>
        <c:axId val="624220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113155400"/>
      </c:catAx>
      <c:valAx>
        <c:axId val="211315540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624220242"/>
      </c:valAx>
    </c:plotArea>
    <c:plotVisOnly val="1"/>
  </c:chart>
  <c:spPr>
    <a:solidFill>
      <a:schemeClr val="dk1"/>
    </a:solidFill>
  </c:spPr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Market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'Pie Charts'!$J$8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Charts'!$I$9:$I$11</c:f>
            </c:strRef>
          </c:cat>
          <c:val>
            <c:numRef>
              <c:f>'Pie Charts'!$J$9:$J$11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Revenue Distribution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'Pie Charts'!$L$27</c:f>
            </c:strRef>
          </c:tx>
          <c:dPt>
            <c:idx val="0"/>
            <c:explosion val="1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CCCCCC"/>
              </a:solidFill>
            </c:spPr>
          </c:dPt>
          <c:dPt>
            <c:idx val="2"/>
            <c:spPr>
              <a:solidFill>
                <a:srgbClr val="CCCCCC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Charts'!$K$28:$K$31</c:f>
            </c:strRef>
          </c:cat>
          <c:val>
            <c:numRef>
              <c:f>'Pie Charts'!$L$28:$L$31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Product Category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'Pie Charts'!$J$47</c:f>
            </c:strRef>
          </c:tx>
          <c:dPt>
            <c:idx val="0"/>
            <c:explosion val="0"/>
            <c:spPr>
              <a:solidFill>
                <a:schemeClr val="accent1"/>
              </a:solidFill>
            </c:spPr>
          </c:dPt>
          <c:dPt>
            <c:idx val="1"/>
            <c:explosion val="0"/>
            <c:spPr>
              <a:solidFill>
                <a:schemeClr val="accent2"/>
              </a:solidFill>
            </c:spPr>
          </c:dPt>
          <c:dPt>
            <c:idx val="2"/>
            <c:explosion val="0"/>
            <c:spPr>
              <a:solidFill>
                <a:schemeClr val="accent3"/>
              </a:solidFill>
            </c:spPr>
          </c:dPt>
          <c:dPt>
            <c:idx val="3"/>
            <c:explosion val="0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Charts'!$I$48:$I$51</c:f>
            </c:strRef>
          </c:cat>
          <c:val>
            <c:numRef>
              <c:f>'Pie Charts'!$J$48:$J$51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layout>
        <c:manualLayout>
          <c:xMode val="edge"/>
          <c:yMode val="edge"/>
          <c:x val="0.22764333951271176"/>
          <c:y val="0.21296296296296297"/>
        </c:manualLayout>
      </c:layout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Efficiency Gauge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'Pie Charts'!$L$68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219A3B"/>
              </a:solidFill>
            </c:spPr>
          </c:dPt>
          <c:dPt>
            <c:idx val="2"/>
            <c:spPr>
              <a:solidFill>
                <a:srgbClr val="000000"/>
              </a:solidFill>
            </c:spPr>
          </c:dPt>
          <c:dPt>
            <c:idx val="3"/>
            <c:spPr>
              <a:solidFill>
                <a:srgbClr val="FF8A00"/>
              </a:solidFill>
            </c:spPr>
          </c:dPt>
          <c:dPt>
            <c:idx val="4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'Pie Charts'!$K$69:$K$73</c:f>
            </c:strRef>
          </c:cat>
          <c:val>
            <c:numRef>
              <c:f>'Pie Charts'!$L$69:$L$73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4583333333333334"/>
          <c:y val="0.29092827004219407"/>
          <c:w val="0.9341666666666667"/>
          <c:h val="0.8160337552742617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0000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Pt>
            <c:idx val="2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Charts'!$M$69:$M$71</c:f>
            </c:strRef>
          </c:cat>
          <c:val>
            <c:numRef>
              <c:f>'Pie Charts'!$M$69:$M$71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Expenses Categories ( Exploded Pie)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21428571428571414"/>
          <c:w val="0.9381666666666668"/>
          <c:h val="0.587601078167116"/>
        </c:manualLayout>
      </c:layout>
      <c:pieChart>
        <c:varyColors val="1"/>
        <c:ser>
          <c:idx val="0"/>
          <c:order val="0"/>
          <c:tx>
            <c:strRef>
              <c:f>'Pie Charts'!$J$110</c:f>
            </c:strRef>
          </c:tx>
          <c:dPt>
            <c:idx val="0"/>
            <c:explosion val="10"/>
            <c:spPr>
              <a:solidFill>
                <a:schemeClr val="accent1"/>
              </a:solidFill>
            </c:spPr>
          </c:dPt>
          <c:dPt>
            <c:idx val="1"/>
            <c:explosion val="8"/>
            <c:spPr>
              <a:solidFill>
                <a:schemeClr val="accent2"/>
              </a:solidFill>
            </c:spPr>
          </c:dPt>
          <c:dPt>
            <c:idx val="2"/>
            <c:explosion val="9"/>
            <c:spPr>
              <a:solidFill>
                <a:schemeClr val="accent3"/>
              </a:solidFill>
            </c:spPr>
          </c:dPt>
          <c:dPt>
            <c:idx val="3"/>
            <c:explosion val="7"/>
            <c:spPr>
              <a:solidFill>
                <a:schemeClr val="accent4"/>
              </a:solidFill>
            </c:spPr>
          </c:dPt>
          <c:dPt>
            <c:idx val="4"/>
            <c:explosion val="13"/>
            <c:spPr>
              <a:solidFill>
                <a:schemeClr val="accent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Charts'!$I$111:$I$115</c:f>
            </c:strRef>
          </c:cat>
          <c:val>
            <c:numRef>
              <c:f>'Pie Charts'!$J$111:$J$115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Revenue Distribution by Product line </a:t>
            </a:r>
          </a:p>
        </c:rich>
      </c:tx>
      <c:overlay val="0"/>
    </c:title>
    <c:plotArea>
      <c:layout>
        <c:manualLayout>
          <c:xMode val="edge"/>
          <c:yMode val="edge"/>
          <c:x val="0.02452380952380953"/>
          <c:y val="0.14502999143101972"/>
          <c:w val="0.9382539682539681"/>
          <c:h val="0.8152527849185947"/>
        </c:manualLayout>
      </c:layout>
      <c:doughnutChart>
        <c:varyColors val="1"/>
        <c:ser>
          <c:idx val="0"/>
          <c:order val="0"/>
          <c:tx>
            <c:strRef>
              <c:f>'Pie Charts'!$M$131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'Pie Charts'!$L$132:$L$135</c:f>
            </c:strRef>
          </c:cat>
          <c:val>
            <c:numRef>
              <c:f>'Pie Charts'!$M$132:$M$135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3F3F3"/>
    </a:solidFill>
  </c:spPr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272727272727275"/>
          <c:y val="0.05000000000000002"/>
          <c:w val="0.4681655844155843"/>
          <c:h val="0.7100481479455054"/>
        </c:manualLayout>
      </c:layout>
      <c:doughnutChart>
        <c:varyColors val="1"/>
        <c:ser>
          <c:idx val="0"/>
          <c:order val="0"/>
          <c:tx>
            <c:strRef>
              <c:f>'Pie Charts'!$K$131</c:f>
            </c:strRef>
          </c:tx>
          <c:dPt>
            <c:idx val="0"/>
            <c:spPr>
              <a:solidFill>
                <a:srgbClr val="788FFF"/>
              </a:solidFill>
            </c:spPr>
          </c:dPt>
          <c:dPt>
            <c:idx val="1"/>
            <c:spPr>
              <a:solidFill>
                <a:srgbClr val="A7B6FF"/>
              </a:solidFill>
            </c:spPr>
          </c:dPt>
          <c:dPt>
            <c:idx val="2"/>
            <c:spPr>
              <a:solidFill>
                <a:srgbClr val="D1D9FF"/>
              </a:solidFill>
            </c:spPr>
          </c:dPt>
          <c:dPt>
            <c:idx val="3"/>
            <c:spPr>
              <a:solidFill>
                <a:srgbClr val="65DAEB"/>
              </a:solidFill>
            </c:spPr>
          </c:dPt>
          <c:dPt>
            <c:idx val="4"/>
            <c:spPr>
              <a:solidFill>
                <a:srgbClr val="B2EBF4"/>
              </a:solidFill>
            </c:spPr>
          </c:dPt>
          <c:dPt>
            <c:idx val="5"/>
            <c:spPr>
              <a:solidFill>
                <a:srgbClr val="D2F7FC"/>
              </a:solidFill>
            </c:spPr>
          </c:dPt>
          <c:dPt>
            <c:idx val="6"/>
            <c:spPr>
              <a:solidFill>
                <a:srgbClr val="43E698"/>
              </a:solidFill>
            </c:spPr>
          </c:dPt>
          <c:dPt>
            <c:idx val="7"/>
            <c:spPr>
              <a:solidFill>
                <a:srgbClr val="78EBB4"/>
              </a:solidFill>
            </c:spPr>
          </c:dPt>
          <c:dPt>
            <c:idx val="8"/>
            <c:spPr>
              <a:solidFill>
                <a:srgbClr val="B8F4D7"/>
              </a:solidFill>
            </c:spPr>
          </c:dPt>
          <c:dPt>
            <c:idx val="9"/>
            <c:spPr>
              <a:solidFill>
                <a:srgbClr val="EF8AD7"/>
              </a:solidFill>
            </c:spPr>
          </c:dPt>
          <c:dPt>
            <c:idx val="10"/>
            <c:spPr>
              <a:solidFill>
                <a:srgbClr val="FEBEEF"/>
              </a:solidFill>
            </c:spPr>
          </c:dPt>
          <c:dPt>
            <c:idx val="11"/>
            <c:spPr>
              <a:solidFill>
                <a:srgbClr val="FFDD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Charts'!$J$132:$J$143</c:f>
            </c:strRef>
          </c:cat>
          <c:val>
            <c:numRef>
              <c:f>'Pie Charts'!$K$132:$K$143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Distribution Across Four Product Categories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'Pie Charts'!$J$154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Charts'!$I$155:$I$158</c:f>
            </c:strRef>
          </c:cat>
          <c:val>
            <c:numRef>
              <c:f>'Pie Charts'!$J$155:$J$158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7F7F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Charts'!$I$159</c:f>
            </c:strRef>
          </c:cat>
          <c:val>
            <c:numRef>
              <c:f>'Pie Charts'!$J$159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Team 1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Charts'!$K$176:$K$177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FFFFF">
        <a:alpha val="0"/>
      </a:srgbClr>
    </a:solidFill>
  </c:spPr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FFF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3053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FFF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3BCEE4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Team 2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Charts'!$I$178:$I$181</c:f>
            </c:strRef>
          </c:cat>
          <c:val>
            <c:numRef>
              <c:f>'Pie Charts'!$K$178:$K$179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FFFFF">
        <a:alpha val="0"/>
      </a:srgbClr>
    </a:solidFill>
  </c:spPr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FFF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06C167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Team 3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Charts'!$I$178:$I$181</c:f>
            </c:strRef>
          </c:cat>
          <c:val>
            <c:numRef>
              <c:f>'Pie Charts'!$K$180:$K$181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FFFFF">
        <a:alpha val="0"/>
      </a:srgbClr>
    </a:solidFill>
  </c:spPr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Pt>
            <c:idx val="2"/>
            <c:spPr>
              <a:solidFill>
                <a:srgbClr val="B7B7B7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Pt>
            <c:idx val="4"/>
            <c:spPr>
              <a:solidFill>
                <a:srgbClr val="D9D9D9"/>
              </a:solidFill>
            </c:spPr>
          </c:dPt>
          <c:dPt>
            <c:idx val="5"/>
          </c:dPt>
          <c:dLbls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262E32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262E32"/>
                        </a:solidFill>
                        <a:latin typeface="+mn-lt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Charts'!$K$92:$K$97</c:f>
            </c:strRef>
          </c:cat>
          <c:val>
            <c:numRef>
              <c:f>'Pie Charts'!$L$92:$L$97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Market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'Pie Charts'!$J$8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Charts'!$I$9:$I$11</c:f>
            </c:strRef>
          </c:cat>
          <c:val>
            <c:numRef>
              <c:f>'Pie Charts'!$J$9:$J$11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Revenue Distribution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'Pie Charts'!$L$27</c:f>
            </c:strRef>
          </c:tx>
          <c:dPt>
            <c:idx val="0"/>
            <c:explosion val="1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666666"/>
              </a:solidFill>
            </c:spPr>
          </c:dPt>
          <c:dPt>
            <c:idx val="2"/>
            <c:spPr>
              <a:solidFill>
                <a:srgbClr val="666666"/>
              </a:solidFill>
            </c:spPr>
          </c:dPt>
          <c:dPt>
            <c:idx val="3"/>
            <c:spPr>
              <a:solidFill>
                <a:srgbClr val="666666"/>
              </a:solidFill>
            </c:spPr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FFFFFF"/>
                        </a:solidFill>
                        <a:latin typeface="Roboto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Charts'!$K$28:$K$31</c:f>
            </c:strRef>
          </c:cat>
          <c:val>
            <c:numRef>
              <c:f>'Pie Charts'!$L$28:$L$31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legendEntry>
        <c:idx val="1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layout>
        <c:manualLayout>
          <c:xMode val="edge"/>
          <c:yMode val="edge"/>
          <c:x val="0.29849708686440674"/>
          <c:y val="0.9138554216867469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Product Category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'Pie Charts'!$J$47</c:f>
            </c:strRef>
          </c:tx>
          <c:dPt>
            <c:idx val="0"/>
            <c:explosion val="0"/>
            <c:spPr>
              <a:solidFill>
                <a:schemeClr val="accent1"/>
              </a:solidFill>
            </c:spPr>
          </c:dPt>
          <c:dPt>
            <c:idx val="1"/>
            <c:explosion val="0"/>
            <c:spPr>
              <a:solidFill>
                <a:schemeClr val="accent2"/>
              </a:solidFill>
            </c:spPr>
          </c:dPt>
          <c:dPt>
            <c:idx val="2"/>
            <c:explosion val="0"/>
            <c:spPr>
              <a:solidFill>
                <a:schemeClr val="accent3"/>
              </a:solidFill>
            </c:spPr>
          </c:dPt>
          <c:dPt>
            <c:idx val="3"/>
            <c:explosion val="0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Charts'!$I$48:$I$51</c:f>
            </c:strRef>
          </c:cat>
          <c:val>
            <c:numRef>
              <c:f>'Pie Charts'!$J$48:$J$51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layout>
        <c:manualLayout>
          <c:xMode val="edge"/>
          <c:yMode val="edge"/>
          <c:x val="0.22764333951271176"/>
          <c:y val="0.21296296296296297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Pt>
            <c:idx val="2"/>
            <c:spPr>
              <a:solidFill>
                <a:srgbClr val="B7B7B7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Pt>
            <c:idx val="4"/>
            <c:spPr>
              <a:solidFill>
                <a:srgbClr val="D9D9D9"/>
              </a:solidFill>
            </c:spPr>
          </c:dPt>
          <c:dPt>
            <c:idx val="5"/>
          </c:dPt>
          <c:dLbls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262E32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262E32"/>
                        </a:solidFill>
                        <a:latin typeface="+mn-lt"/>
                      </a:rPr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Charts'!$K$92:$K$97</c:f>
            </c:strRef>
          </c:cat>
          <c:val>
            <c:numRef>
              <c:f>'Pie Charts'!$L$92:$L$97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Expenses Categories ( Exploded Pie)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21428571428571414"/>
          <c:w val="0.9381666666666668"/>
          <c:h val="0.587601078167116"/>
        </c:manualLayout>
      </c:layout>
      <c:pieChart>
        <c:varyColors val="1"/>
        <c:ser>
          <c:idx val="0"/>
          <c:order val="0"/>
          <c:tx>
            <c:strRef>
              <c:f>'Pie Charts'!$J$110</c:f>
            </c:strRef>
          </c:tx>
          <c:dPt>
            <c:idx val="0"/>
            <c:explosion val="10"/>
            <c:spPr>
              <a:solidFill>
                <a:schemeClr val="accent1"/>
              </a:solidFill>
            </c:spPr>
          </c:dPt>
          <c:dPt>
            <c:idx val="1"/>
            <c:explosion val="8"/>
            <c:spPr>
              <a:solidFill>
                <a:schemeClr val="accent2"/>
              </a:solidFill>
            </c:spPr>
          </c:dPt>
          <c:dPt>
            <c:idx val="2"/>
            <c:explosion val="9"/>
            <c:spPr>
              <a:solidFill>
                <a:schemeClr val="accent3"/>
              </a:solidFill>
            </c:spPr>
          </c:dPt>
          <c:dPt>
            <c:idx val="3"/>
            <c:explosion val="7"/>
            <c:spPr>
              <a:solidFill>
                <a:schemeClr val="accent4"/>
              </a:solidFill>
            </c:spPr>
          </c:dPt>
          <c:dPt>
            <c:idx val="4"/>
            <c:explosion val="13"/>
            <c:spPr>
              <a:solidFill>
                <a:schemeClr val="accent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Charts'!$I$111:$I$115</c:f>
            </c:strRef>
          </c:cat>
          <c:val>
            <c:numRef>
              <c:f>'Pie Charts'!$J$111:$J$115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Revenue Distribution by Product line </a:t>
            </a:r>
          </a:p>
        </c:rich>
      </c:tx>
      <c:overlay val="0"/>
    </c:title>
    <c:plotArea>
      <c:layout>
        <c:manualLayout>
          <c:xMode val="edge"/>
          <c:yMode val="edge"/>
          <c:x val="0.02452380952380953"/>
          <c:y val="0.14502999143101972"/>
          <c:w val="0.9382539682539681"/>
          <c:h val="0.8152527849185947"/>
        </c:manualLayout>
      </c:layout>
      <c:doughnutChart>
        <c:varyColors val="1"/>
        <c:ser>
          <c:idx val="0"/>
          <c:order val="0"/>
          <c:tx>
            <c:strRef>
              <c:f>'Pie Charts'!$M$131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'Pie Charts'!$L$132:$L$135</c:f>
            </c:strRef>
          </c:cat>
          <c:val>
            <c:numRef>
              <c:f>'Pie Charts'!$M$132:$M$135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chemeClr val="dk1"/>
    </a:solidFill>
  </c:spPr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272727272727275"/>
          <c:y val="0.05000000000000002"/>
          <c:w val="0.4681655844155843"/>
          <c:h val="0.7100481479455054"/>
        </c:manualLayout>
      </c:layout>
      <c:doughnutChart>
        <c:varyColors val="1"/>
        <c:ser>
          <c:idx val="0"/>
          <c:order val="0"/>
          <c:tx>
            <c:strRef>
              <c:f>'Pie Charts'!$K$131</c:f>
            </c:strRef>
          </c:tx>
          <c:dPt>
            <c:idx val="0"/>
            <c:spPr>
              <a:solidFill>
                <a:srgbClr val="788FFF"/>
              </a:solidFill>
            </c:spPr>
          </c:dPt>
          <c:dPt>
            <c:idx val="1"/>
            <c:spPr>
              <a:solidFill>
                <a:srgbClr val="A7B6FF"/>
              </a:solidFill>
            </c:spPr>
          </c:dPt>
          <c:dPt>
            <c:idx val="2"/>
            <c:spPr>
              <a:solidFill>
                <a:srgbClr val="D1D9FF"/>
              </a:solidFill>
            </c:spPr>
          </c:dPt>
          <c:dPt>
            <c:idx val="3"/>
            <c:spPr>
              <a:solidFill>
                <a:srgbClr val="65DAEB"/>
              </a:solidFill>
            </c:spPr>
          </c:dPt>
          <c:dPt>
            <c:idx val="4"/>
            <c:spPr>
              <a:solidFill>
                <a:srgbClr val="B2EBF4"/>
              </a:solidFill>
            </c:spPr>
          </c:dPt>
          <c:dPt>
            <c:idx val="5"/>
            <c:spPr>
              <a:solidFill>
                <a:srgbClr val="D2F7FC"/>
              </a:solidFill>
            </c:spPr>
          </c:dPt>
          <c:dPt>
            <c:idx val="6"/>
            <c:spPr>
              <a:solidFill>
                <a:srgbClr val="43E698"/>
              </a:solidFill>
            </c:spPr>
          </c:dPt>
          <c:dPt>
            <c:idx val="7"/>
            <c:spPr>
              <a:solidFill>
                <a:srgbClr val="78EBB4"/>
              </a:solidFill>
            </c:spPr>
          </c:dPt>
          <c:dPt>
            <c:idx val="8"/>
            <c:spPr>
              <a:solidFill>
                <a:srgbClr val="B8F4D7"/>
              </a:solidFill>
            </c:spPr>
          </c:dPt>
          <c:dPt>
            <c:idx val="9"/>
            <c:spPr>
              <a:solidFill>
                <a:srgbClr val="EF8AD7"/>
              </a:solidFill>
            </c:spPr>
          </c:dPt>
          <c:dPt>
            <c:idx val="10"/>
            <c:spPr>
              <a:solidFill>
                <a:srgbClr val="FEBEEF"/>
              </a:solidFill>
            </c:spPr>
          </c:dPt>
          <c:dPt>
            <c:idx val="11"/>
            <c:spPr>
              <a:solidFill>
                <a:srgbClr val="FFDD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Charts'!$J$132:$J$143</c:f>
            </c:strRef>
          </c:cat>
          <c:val>
            <c:numRef>
              <c:f>'Pie Charts'!$K$132:$K$143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Distribution Across Four Product Categories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'Pie Charts'!$J$154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Charts'!$I$155:$I$158</c:f>
            </c:strRef>
          </c:cat>
          <c:val>
            <c:numRef>
              <c:f>'Pie Charts'!$J$155:$J$158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dk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3053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dk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3BCEE4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Efficiency Gauge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'Pie Charts'!$L$68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219A3B"/>
              </a:solidFill>
            </c:spPr>
          </c:dPt>
          <c:dPt>
            <c:idx val="2"/>
            <c:spPr>
              <a:solidFill>
                <a:srgbClr val="000000"/>
              </a:solidFill>
            </c:spPr>
          </c:dPt>
          <c:dPt>
            <c:idx val="3"/>
            <c:spPr>
              <a:solidFill>
                <a:srgbClr val="FF8A00"/>
              </a:solidFill>
            </c:spPr>
          </c:dPt>
          <c:dPt>
            <c:idx val="4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'Pie Charts'!$K$69:$K$73</c:f>
            </c:strRef>
          </c:cat>
          <c:val>
            <c:numRef>
              <c:f>'Pie Charts'!$L$69:$L$73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4583333333333334"/>
          <c:y val="0.29092827004219407"/>
          <c:w val="0.9341666666666667"/>
          <c:h val="0.8160337552742617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0000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Pt>
            <c:idx val="2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Charts'!$M$69:$M$71</c:f>
            </c:strRef>
          </c:cat>
          <c:val>
            <c:numRef>
              <c:f>'Pie Charts'!$M$69:$M$71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591549295774644"/>
          <c:y val="0.05000000000000002"/>
          <c:w val="0.9271126760563381"/>
          <c:h val="0.898975720789074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chemeClr val="dk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06C167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Team 3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Charts'!$I$178:$I$181</c:f>
            </c:strRef>
          </c:cat>
          <c:val>
            <c:numRef>
              <c:f>'Pie Charts'!$K$180:$K$181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FFFFF">
        <a:alpha val="0"/>
      </a:srgbClr>
    </a:solidFill>
  </c:spPr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Team 1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Charts'!$I$176:$I$177</c:f>
            </c:strRef>
          </c:cat>
          <c:val>
            <c:numRef>
              <c:f>'Pie Charts'!$K$176:$K$177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FFFFF">
        <a:alpha val="0"/>
      </a:srgbClr>
    </a:solidFill>
  </c:spPr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Sales Team 2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Charts'!$I$178:$I$181</c:f>
            </c:strRef>
          </c:cat>
          <c:val>
            <c:numRef>
              <c:f>'Pie Charts'!$K$178:$K$179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plotVisOnly val="1"/>
  </c:chart>
  <c:spPr>
    <a:solidFill>
      <a:srgbClr val="FFFFFF">
        <a:alpha val="0"/>
      </a:srgbClr>
    </a:solidFill>
  </c:spPr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Company Size (Employees) and ACV (Annual Contract Value)</a:t>
            </a:r>
          </a:p>
        </c:rich>
      </c:tx>
      <c:overlay val="0"/>
    </c:title>
    <c:plotArea>
      <c:layout>
        <c:manualLayout>
          <c:xMode val="edge"/>
          <c:yMode val="edge"/>
          <c:x val="0.12390029325513197"/>
          <c:y val="0.14553429027113238"/>
          <c:w val="0.7758025299246601"/>
          <c:h val="0.7808222988761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'Scatter+Bubble Charts '!$K$6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'Scatter+Bubble Charts '!$J$7:$J$18</c:f>
            </c:numRef>
          </c:xVal>
          <c:yVal>
            <c:numRef>
              <c:f>'Scatter+Bubble Charts '!$K$7:$K$18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953480"/>
        <c:axId val="2010741144"/>
      </c:scatterChart>
      <c:valAx>
        <c:axId val="18329534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2010741144"/>
      </c:valAx>
      <c:valAx>
        <c:axId val="2010741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832953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Company Size (Employees), ACV and CLV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'Scatter+Bubble Charts '!$I$28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'!$J$28</c:f>
            </c:strRef>
          </c:xVal>
          <c:yVal>
            <c:numRef>
              <c:f>'Scatter+Bubble Charts '!$K$28</c:f>
              <c:numCache/>
            </c:numRef>
          </c:yVal>
          <c:bubbleSize>
            <c:numRef>
              <c:f>'Scatter+Bubble Charts '!$L$28</c:f>
            </c:numRef>
          </c:bubbleSize>
        </c:ser>
        <c:ser>
          <c:idx val="1"/>
          <c:order val="1"/>
          <c:tx>
            <c:strRef>
              <c:f>'Scatter+Bubble Charts '!$I$29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'!$J$29</c:f>
            </c:strRef>
          </c:xVal>
          <c:yVal>
            <c:numRef>
              <c:f>'Scatter+Bubble Charts '!$K$29</c:f>
              <c:numCache/>
            </c:numRef>
          </c:yVal>
          <c:bubbleSize>
            <c:numRef>
              <c:f>'Scatter+Bubble Charts '!$L$29</c:f>
            </c:numRef>
          </c:bubbleSize>
        </c:ser>
        <c:ser>
          <c:idx val="2"/>
          <c:order val="2"/>
          <c:tx>
            <c:strRef>
              <c:f>'Scatter+Bubble Charts '!$I$30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'!$J$30</c:f>
            </c:strRef>
          </c:xVal>
          <c:yVal>
            <c:numRef>
              <c:f>'Scatter+Bubble Charts '!$K$30</c:f>
              <c:numCache/>
            </c:numRef>
          </c:yVal>
          <c:bubbleSize>
            <c:numRef>
              <c:f>'Scatter+Bubble Charts '!$L$30</c:f>
            </c:numRef>
          </c:bubbleSize>
        </c:ser>
        <c:ser>
          <c:idx val="3"/>
          <c:order val="3"/>
          <c:tx>
            <c:strRef>
              <c:f>'Scatter+Bubble Charts '!$I$31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'!$J$31</c:f>
            </c:strRef>
          </c:xVal>
          <c:yVal>
            <c:numRef>
              <c:f>'Scatter+Bubble Charts '!$K$31</c:f>
              <c:numCache/>
            </c:numRef>
          </c:yVal>
          <c:bubbleSize>
            <c:numRef>
              <c:f>'Scatter+Bubble Charts '!$L$31</c:f>
            </c:numRef>
          </c:bubbleSize>
        </c:ser>
        <c:ser>
          <c:idx val="4"/>
          <c:order val="4"/>
          <c:tx>
            <c:strRef>
              <c:f>'Scatter+Bubble Charts '!$I$32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'!$J$32</c:f>
            </c:strRef>
          </c:xVal>
          <c:yVal>
            <c:numRef>
              <c:f>'Scatter+Bubble Charts '!$K$32</c:f>
              <c:numCache/>
            </c:numRef>
          </c:yVal>
          <c:bubbleSize>
            <c:numRef>
              <c:f>'Scatter+Bubble Charts '!$L$32</c:f>
            </c:numRef>
          </c:bubbleSize>
        </c:ser>
        <c:ser>
          <c:idx val="5"/>
          <c:order val="5"/>
          <c:tx>
            <c:strRef>
              <c:f>'Scatter+Bubble Charts '!$I$33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'!$J$33</c:f>
            </c:strRef>
          </c:xVal>
          <c:yVal>
            <c:numRef>
              <c:f>'Scatter+Bubble Charts '!$K$33</c:f>
              <c:numCache/>
            </c:numRef>
          </c:yVal>
          <c:bubbleSize>
            <c:numRef>
              <c:f>'Scatter+Bubble Charts '!$L$33</c:f>
            </c:numRef>
          </c:bubbleSize>
        </c:ser>
        <c:ser>
          <c:idx val="6"/>
          <c:order val="6"/>
          <c:tx>
            <c:strRef>
              <c:f>'Scatter+Bubble Charts '!$I$34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'!$J$34</c:f>
            </c:strRef>
          </c:xVal>
          <c:yVal>
            <c:numRef>
              <c:f>'Scatter+Bubble Charts '!$K$34</c:f>
              <c:numCache/>
            </c:numRef>
          </c:yVal>
          <c:bubbleSize>
            <c:numRef>
              <c:f>'Scatter+Bubble Charts '!$L$34</c:f>
            </c:numRef>
          </c:bubbleSize>
        </c:ser>
        <c:ser>
          <c:idx val="7"/>
          <c:order val="7"/>
          <c:tx>
            <c:strRef>
              <c:f>'Scatter+Bubble Charts '!$I$35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'!$J$35</c:f>
            </c:strRef>
          </c:xVal>
          <c:yVal>
            <c:numRef>
              <c:f>'Scatter+Bubble Charts '!$K$35</c:f>
              <c:numCache/>
            </c:numRef>
          </c:yVal>
          <c:bubbleSize>
            <c:numRef>
              <c:f>'Scatter+Bubble Charts '!$L$35</c:f>
            </c:numRef>
          </c:bubbleSize>
        </c:ser>
        <c:ser>
          <c:idx val="8"/>
          <c:order val="8"/>
          <c:tx>
            <c:strRef>
              <c:f>'Scatter+Bubble Charts '!$I$36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'!$J$36</c:f>
            </c:strRef>
          </c:xVal>
          <c:yVal>
            <c:numRef>
              <c:f>'Scatter+Bubble Charts '!$K$36</c:f>
              <c:numCache/>
            </c:numRef>
          </c:yVal>
          <c:bubbleSize>
            <c:numRef>
              <c:f>'Scatter+Bubble Charts '!$L$36</c:f>
            </c:numRef>
          </c:bubbleSize>
        </c:ser>
        <c:ser>
          <c:idx val="9"/>
          <c:order val="9"/>
          <c:tx>
            <c:strRef>
              <c:f>'Scatter+Bubble Charts '!$I$37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'!$J$37</c:f>
            </c:strRef>
          </c:xVal>
          <c:yVal>
            <c:numRef>
              <c:f>'Scatter+Bubble Charts '!$K$37</c:f>
              <c:numCache/>
            </c:numRef>
          </c:yVal>
          <c:bubbleSize>
            <c:numRef>
              <c:f>'Scatter+Bubble Charts '!$L$37</c:f>
            </c:numRef>
          </c:bubbleSize>
        </c:ser>
        <c:axId val="129048205"/>
        <c:axId val="1504704664"/>
      </c:bubbleChart>
      <c:valAx>
        <c:axId val="1290482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504704664"/>
      </c:valAx>
      <c:valAx>
        <c:axId val="1504704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29048205"/>
      </c:valAx>
    </c:plotArea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Sales Performance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'Scatter+Bubble Charts '!$J$48</c:f>
            </c:strRef>
          </c:tx>
          <c:spPr>
            <a:ln>
              <a:noFill/>
            </a:ln>
          </c:spPr>
          <c:marker>
            <c:symbol val="x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Trendline for Sales Revenue ($)</c:name>
            <c:spPr>
              <a:ln w="28575">
                <a:solidFill>
                  <a:srgbClr val="3BCEE4"/>
                </a:solidFill>
              </a:ln>
            </c:spPr>
            <c:trendlineType val="linear"/>
            <c:dispRSqr val="0"/>
            <c:dispEq val="0"/>
          </c:trendline>
          <c:xVal>
            <c:numRef>
              <c:f>'Scatter+Bubble Charts '!$I$49:$I$60</c:f>
            </c:numRef>
          </c:xVal>
          <c:yVal>
            <c:numRef>
              <c:f>'Scatter+Bubble Charts '!$J$49:$J$60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221487"/>
        <c:axId val="472957871"/>
      </c:scatterChart>
      <c:valAx>
        <c:axId val="17632214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472957871"/>
      </c:valAx>
      <c:valAx>
        <c:axId val="472957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76322148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 performance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'Scatter+Bubble Charts '!$K$69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'Scatter+Bubble Charts '!$I$70:$I$79</c:f>
            </c:numRef>
          </c:xVal>
          <c:yVal>
            <c:numRef>
              <c:f>'Scatter+Bubble Charts '!$K$70:$K$79</c:f>
              <c:numCache/>
            </c:numRef>
          </c:yVal>
        </c:ser>
        <c:ser>
          <c:idx val="1"/>
          <c:order val="1"/>
          <c:tx>
            <c:strRef>
              <c:f>'Scatter+Bubble Charts '!$L$69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'Scatter+Bubble Charts '!$I$70:$I$79</c:f>
            </c:numRef>
          </c:xVal>
          <c:yVal>
            <c:numRef>
              <c:f>'Scatter+Bubble Charts '!$L$70:$L$79</c:f>
              <c:numCache/>
            </c:numRef>
          </c:yVal>
        </c:ser>
        <c:ser>
          <c:idx val="2"/>
          <c:order val="2"/>
          <c:tx>
            <c:strRef>
              <c:f>'Scatter+Bubble Charts '!$M$69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'Scatter+Bubble Charts '!$I$70:$I$79</c:f>
            </c:numRef>
          </c:xVal>
          <c:yVal>
            <c:numRef>
              <c:f>'Scatter+Bubble Charts '!$M$70:$M$79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3706"/>
        <c:axId val="661868248"/>
      </c:scatterChart>
      <c:valAx>
        <c:axId val="30513706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661868248"/>
      </c:valAx>
      <c:valAx>
        <c:axId val="661868248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0513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Marketing campaign effectiveness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'Scatter+Bubble Charts '!$I$90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'!$J$90</c:f>
            </c:strRef>
          </c:xVal>
          <c:yVal>
            <c:numRef>
              <c:f>'Scatter+Bubble Charts '!$K$90</c:f>
              <c:numCache/>
            </c:numRef>
          </c:yVal>
          <c:bubbleSize>
            <c:numRef>
              <c:f>'Scatter+Bubble Charts '!$L$90</c:f>
            </c:numRef>
          </c:bubbleSize>
        </c:ser>
        <c:ser>
          <c:idx val="1"/>
          <c:order val="1"/>
          <c:tx>
            <c:strRef>
              <c:f>'Scatter+Bubble Charts '!$I$91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'!$J$91</c:f>
            </c:strRef>
          </c:xVal>
          <c:yVal>
            <c:numRef>
              <c:f>'Scatter+Bubble Charts '!$K$91</c:f>
              <c:numCache/>
            </c:numRef>
          </c:yVal>
          <c:bubbleSize>
            <c:numRef>
              <c:f>'Scatter+Bubble Charts '!$L$91</c:f>
            </c:numRef>
          </c:bubbleSize>
        </c:ser>
        <c:ser>
          <c:idx val="2"/>
          <c:order val="2"/>
          <c:tx>
            <c:strRef>
              <c:f>'Scatter+Bubble Charts '!$I$92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'!$J$92</c:f>
            </c:strRef>
          </c:xVal>
          <c:yVal>
            <c:numRef>
              <c:f>'Scatter+Bubble Charts '!$K$92</c:f>
              <c:numCache/>
            </c:numRef>
          </c:yVal>
          <c:bubbleSize>
            <c:numRef>
              <c:f>'Scatter+Bubble Charts '!$L$92</c:f>
            </c:numRef>
          </c:bubbleSize>
        </c:ser>
        <c:ser>
          <c:idx val="3"/>
          <c:order val="3"/>
          <c:tx>
            <c:strRef>
              <c:f>'Scatter+Bubble Charts '!$I$93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'!$J$93</c:f>
            </c:strRef>
          </c:xVal>
          <c:yVal>
            <c:numRef>
              <c:f>'Scatter+Bubble Charts '!$K$93</c:f>
              <c:numCache/>
            </c:numRef>
          </c:yVal>
          <c:bubbleSize>
            <c:numRef>
              <c:f>'Scatter+Bubble Charts '!$L$93</c:f>
            </c:numRef>
          </c:bubbleSize>
        </c:ser>
        <c:ser>
          <c:idx val="4"/>
          <c:order val="4"/>
          <c:tx>
            <c:strRef>
              <c:f>'Scatter+Bubble Charts '!$I$94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'!$J$94</c:f>
            </c:strRef>
          </c:xVal>
          <c:yVal>
            <c:numRef>
              <c:f>'Scatter+Bubble Charts '!$K$94</c:f>
              <c:numCache/>
            </c:numRef>
          </c:yVal>
          <c:bubbleSize>
            <c:numRef>
              <c:f>'Scatter+Bubble Charts '!$L$94</c:f>
            </c:numRef>
          </c:bubbleSize>
        </c:ser>
        <c:ser>
          <c:idx val="5"/>
          <c:order val="5"/>
          <c:tx>
            <c:strRef>
              <c:f>'Scatter+Bubble Charts '!$I$95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'!$J$95</c:f>
            </c:strRef>
          </c:xVal>
          <c:yVal>
            <c:numRef>
              <c:f>'Scatter+Bubble Charts '!$K$95</c:f>
              <c:numCache/>
            </c:numRef>
          </c:yVal>
          <c:bubbleSize>
            <c:numRef>
              <c:f>'Scatter+Bubble Charts '!$L$95</c:f>
            </c:numRef>
          </c:bubbleSize>
        </c:ser>
        <c:ser>
          <c:idx val="6"/>
          <c:order val="6"/>
          <c:tx>
            <c:strRef>
              <c:f>'Scatter+Bubble Charts '!$I$96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'!$J$96</c:f>
            </c:strRef>
          </c:xVal>
          <c:yVal>
            <c:numRef>
              <c:f>'Scatter+Bubble Charts '!$K$96</c:f>
              <c:numCache/>
            </c:numRef>
          </c:yVal>
          <c:bubbleSize>
            <c:numRef>
              <c:f>'Scatter+Bubble Charts '!$L$96</c:f>
            </c:numRef>
          </c:bubbleSize>
        </c:ser>
        <c:ser>
          <c:idx val="7"/>
          <c:order val="7"/>
          <c:tx>
            <c:strRef>
              <c:f>'Scatter+Bubble Charts '!$I$97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'!$J$97</c:f>
            </c:strRef>
          </c:xVal>
          <c:yVal>
            <c:numRef>
              <c:f>'Scatter+Bubble Charts '!$K$97</c:f>
              <c:numCache/>
            </c:numRef>
          </c:yVal>
          <c:bubbleSize>
            <c:numRef>
              <c:f>'Scatter+Bubble Charts '!$L$97</c:f>
            </c:numRef>
          </c:bubbleSize>
        </c:ser>
        <c:axId val="653856809"/>
        <c:axId val="2007370113"/>
      </c:bubbleChart>
      <c:valAx>
        <c:axId val="653856809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007370113"/>
      </c:valAx>
      <c:valAx>
        <c:axId val="200737011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65385680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Customer Satisfaction Survey Results</a:t>
            </a:r>
          </a:p>
        </c:rich>
      </c:tx>
      <c:layout>
        <c:manualLayout>
          <c:xMode val="edge"/>
          <c:yMode val="edge"/>
          <c:x val="0.02719941348973607"/>
          <c:y val="0.04730458221024259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'Scatter+Bubble Charts '!$J$110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xVal>
            <c:numRef>
              <c:f>'Scatter+Bubble Charts '!$I$111:$I$118</c:f>
            </c:numRef>
          </c:xVal>
          <c:yVal>
            <c:numRef>
              <c:f>'Scatter+Bubble Charts '!$J$111:$J$118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57668"/>
        <c:axId val="356747191"/>
      </c:scatterChart>
      <c:valAx>
        <c:axId val="1370457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56747191"/>
      </c:valAx>
      <c:valAx>
        <c:axId val="356747191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370457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Employee Performance Review</a:t>
            </a:r>
          </a:p>
        </c:rich>
      </c:tx>
      <c:overlay val="0"/>
    </c:title>
    <c:plotArea>
      <c:layout>
        <c:manualLayout>
          <c:xMode val="edge"/>
          <c:yMode val="edge"/>
          <c:x val="0.14839181286549707"/>
          <c:y val="0.1765498652291105"/>
          <c:w val="0.7339181286549707"/>
          <c:h val="0.74403837006500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'Scatter+Bubble Charts '!$J$129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4"/>
            <c:marker>
              <c:symbol val="none"/>
            </c:marker>
          </c:dPt>
          <c:xVal>
            <c:numRef>
              <c:f>'Scatter+Bubble Charts '!$I$130:$I$134</c:f>
            </c:numRef>
          </c:xVal>
          <c:yVal>
            <c:numRef>
              <c:f>'Scatter+Bubble Charts '!$J$130:$J$134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27689"/>
        <c:axId val="1692271942"/>
      </c:scatterChart>
      <c:valAx>
        <c:axId val="44772768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692271942"/>
      </c:valAx>
      <c:valAx>
        <c:axId val="1692271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447727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Project timelines</a:t>
            </a:r>
          </a:p>
        </c:rich>
      </c:tx>
      <c:overlay val="0"/>
    </c:title>
    <c:plotArea>
      <c:layout>
        <c:manualLayout>
          <c:xMode val="edge"/>
          <c:yMode val="edge"/>
          <c:x val="0.10704381396198832"/>
          <c:y val="0.20350404312668463"/>
          <c:w val="0.8658363029970761"/>
          <c:h val="0.6818059299191375"/>
        </c:manualLayout>
      </c:layout>
      <c:scatterChart>
        <c:scatterStyle val="lineMarker"/>
        <c:ser>
          <c:idx val="0"/>
          <c:order val="0"/>
          <c:tx>
            <c:strRef>
              <c:f>'Scatter+Bubble Charts '!$M$155:$M$157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4"/>
            <c:marker>
              <c:symbol val="none"/>
            </c:marker>
          </c:dPt>
          <c:xVal>
            <c:numRef>
              <c:f>'Scatter+Bubble Charts '!$K$158:$K$163</c:f>
            </c:numRef>
          </c:xVal>
          <c:yVal>
            <c:numRef>
              <c:f>'Scatter+Bubble Charts '!$M$158:$M$163</c:f>
              <c:numCache/>
            </c:numRef>
          </c:yVal>
        </c:ser>
        <c:ser>
          <c:idx val="1"/>
          <c:order val="1"/>
          <c:tx>
            <c:strRef>
              <c:f>'Scatter+Bubble Charts '!$N$155:$N$157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83446"/>
              </a:solidFill>
              <a:ln cmpd="sng">
                <a:solidFill>
                  <a:srgbClr val="F83446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xVal>
            <c:numRef>
              <c:f>'Scatter+Bubble Charts '!$K$158:$K$163</c:f>
            </c:numRef>
          </c:xVal>
          <c:yVal>
            <c:numRef>
              <c:f>'Scatter+Bubble Charts '!$N$158:$N$163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927629"/>
        <c:axId val="1132312553"/>
      </c:scatterChart>
      <c:valAx>
        <c:axId val="1943927629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132312553"/>
      </c:valAx>
      <c:valAx>
        <c:axId val="113231255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1943927629"/>
      </c:valAx>
    </c:plotArea>
    <c:legend>
      <c:legendPos val="r"/>
      <c:layout>
        <c:manualLayout>
          <c:xMode val="edge"/>
          <c:yMode val="edge"/>
          <c:x val="0.3159079746893276"/>
          <c:y val="0.12547169811320755"/>
        </c:manualLayout>
      </c:layout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Company Size (Employees) and ACV (Annual Contract Value)</a:t>
            </a:r>
          </a:p>
        </c:rich>
      </c:tx>
      <c:overlay val="0"/>
    </c:title>
    <c:plotArea>
      <c:layout>
        <c:manualLayout>
          <c:xMode val="edge"/>
          <c:yMode val="edge"/>
          <c:x val="0.12390029325513197"/>
          <c:y val="0.14553429027113238"/>
          <c:w val="0.7758025299246601"/>
          <c:h val="0.7808222988761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'Scatter+Bubble Charts '!$K$6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'Scatter+Bubble Charts '!$J$7:$J$18</c:f>
            </c:numRef>
          </c:xVal>
          <c:yVal>
            <c:numRef>
              <c:f>'Scatter+Bubble Charts '!$K$7:$K$18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200911"/>
        <c:axId val="1555799239"/>
      </c:scatterChart>
      <c:valAx>
        <c:axId val="1958200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555799239"/>
      </c:valAx>
      <c:valAx>
        <c:axId val="1555799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958200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Company Size (Employees), ACV and CLV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'Scatter+Bubble Charts '!$I$28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'!$J$28</c:f>
            </c:strRef>
          </c:xVal>
          <c:yVal>
            <c:numRef>
              <c:f>'Scatter+Bubble Charts '!$K$28</c:f>
              <c:numCache/>
            </c:numRef>
          </c:yVal>
          <c:bubbleSize>
            <c:numRef>
              <c:f>'Scatter+Bubble Charts '!$L$28</c:f>
            </c:numRef>
          </c:bubbleSize>
        </c:ser>
        <c:ser>
          <c:idx val="1"/>
          <c:order val="1"/>
          <c:tx>
            <c:strRef>
              <c:f>'Scatter+Bubble Charts '!$I$29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'!$J$29</c:f>
            </c:strRef>
          </c:xVal>
          <c:yVal>
            <c:numRef>
              <c:f>'Scatter+Bubble Charts '!$K$29</c:f>
              <c:numCache/>
            </c:numRef>
          </c:yVal>
          <c:bubbleSize>
            <c:numRef>
              <c:f>'Scatter+Bubble Charts '!$L$29</c:f>
            </c:numRef>
          </c:bubbleSize>
        </c:ser>
        <c:ser>
          <c:idx val="2"/>
          <c:order val="2"/>
          <c:tx>
            <c:strRef>
              <c:f>'Scatter+Bubble Charts '!$I$30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'!$J$30</c:f>
            </c:strRef>
          </c:xVal>
          <c:yVal>
            <c:numRef>
              <c:f>'Scatter+Bubble Charts '!$K$30</c:f>
              <c:numCache/>
            </c:numRef>
          </c:yVal>
          <c:bubbleSize>
            <c:numRef>
              <c:f>'Scatter+Bubble Charts '!$L$30</c:f>
            </c:numRef>
          </c:bubbleSize>
        </c:ser>
        <c:ser>
          <c:idx val="3"/>
          <c:order val="3"/>
          <c:tx>
            <c:strRef>
              <c:f>'Scatter+Bubble Charts '!$I$31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'!$J$31</c:f>
            </c:strRef>
          </c:xVal>
          <c:yVal>
            <c:numRef>
              <c:f>'Scatter+Bubble Charts '!$K$31</c:f>
              <c:numCache/>
            </c:numRef>
          </c:yVal>
          <c:bubbleSize>
            <c:numRef>
              <c:f>'Scatter+Bubble Charts '!$L$31</c:f>
            </c:numRef>
          </c:bubbleSize>
        </c:ser>
        <c:ser>
          <c:idx val="4"/>
          <c:order val="4"/>
          <c:tx>
            <c:strRef>
              <c:f>'Scatter+Bubble Charts '!$I$32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'!$J$32</c:f>
            </c:strRef>
          </c:xVal>
          <c:yVal>
            <c:numRef>
              <c:f>'Scatter+Bubble Charts '!$K$32</c:f>
              <c:numCache/>
            </c:numRef>
          </c:yVal>
          <c:bubbleSize>
            <c:numRef>
              <c:f>'Scatter+Bubble Charts '!$L$32</c:f>
            </c:numRef>
          </c:bubbleSize>
        </c:ser>
        <c:ser>
          <c:idx val="5"/>
          <c:order val="5"/>
          <c:tx>
            <c:strRef>
              <c:f>'Scatter+Bubble Charts '!$I$33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'!$J$33</c:f>
            </c:strRef>
          </c:xVal>
          <c:yVal>
            <c:numRef>
              <c:f>'Scatter+Bubble Charts '!$K$33</c:f>
              <c:numCache/>
            </c:numRef>
          </c:yVal>
          <c:bubbleSize>
            <c:numRef>
              <c:f>'Scatter+Bubble Charts '!$L$33</c:f>
            </c:numRef>
          </c:bubbleSize>
        </c:ser>
        <c:ser>
          <c:idx val="6"/>
          <c:order val="6"/>
          <c:tx>
            <c:strRef>
              <c:f>'Scatter+Bubble Charts '!$I$34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'!$J$34</c:f>
            </c:strRef>
          </c:xVal>
          <c:yVal>
            <c:numRef>
              <c:f>'Scatter+Bubble Charts '!$K$34</c:f>
              <c:numCache/>
            </c:numRef>
          </c:yVal>
          <c:bubbleSize>
            <c:numRef>
              <c:f>'Scatter+Bubble Charts '!$L$34</c:f>
            </c:numRef>
          </c:bubbleSize>
        </c:ser>
        <c:ser>
          <c:idx val="7"/>
          <c:order val="7"/>
          <c:tx>
            <c:strRef>
              <c:f>'Scatter+Bubble Charts '!$I$35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'!$J$35</c:f>
            </c:strRef>
          </c:xVal>
          <c:yVal>
            <c:numRef>
              <c:f>'Scatter+Bubble Charts '!$K$35</c:f>
              <c:numCache/>
            </c:numRef>
          </c:yVal>
          <c:bubbleSize>
            <c:numRef>
              <c:f>'Scatter+Bubble Charts '!$L$35</c:f>
            </c:numRef>
          </c:bubbleSize>
        </c:ser>
        <c:ser>
          <c:idx val="8"/>
          <c:order val="8"/>
          <c:tx>
            <c:strRef>
              <c:f>'Scatter+Bubble Charts '!$I$36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'!$J$36</c:f>
            </c:strRef>
          </c:xVal>
          <c:yVal>
            <c:numRef>
              <c:f>'Scatter+Bubble Charts '!$K$36</c:f>
              <c:numCache/>
            </c:numRef>
          </c:yVal>
          <c:bubbleSize>
            <c:numRef>
              <c:f>'Scatter+Bubble Charts '!$L$36</c:f>
            </c:numRef>
          </c:bubbleSize>
        </c:ser>
        <c:ser>
          <c:idx val="9"/>
          <c:order val="9"/>
          <c:tx>
            <c:strRef>
              <c:f>'Scatter+Bubble Charts '!$I$37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'!$J$37</c:f>
            </c:strRef>
          </c:xVal>
          <c:yVal>
            <c:numRef>
              <c:f>'Scatter+Bubble Charts '!$K$37</c:f>
              <c:numCache/>
            </c:numRef>
          </c:yVal>
          <c:bubbleSize>
            <c:numRef>
              <c:f>'Scatter+Bubble Charts '!$L$37</c:f>
            </c:numRef>
          </c:bubbleSize>
        </c:ser>
        <c:axId val="1404922050"/>
        <c:axId val="698669219"/>
      </c:bubbleChart>
      <c:valAx>
        <c:axId val="14049220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698669219"/>
      </c:valAx>
      <c:valAx>
        <c:axId val="698669219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404922050"/>
      </c:valAx>
    </c:plotArea>
    <c:plotVisOnly val="1"/>
  </c:chart>
  <c:spPr>
    <a:solidFill>
      <a:schemeClr val="dk1"/>
    </a:solidFill>
  </c:spPr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Sales Performance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'Scatter+Bubble Charts '!$J$48</c:f>
            </c:strRef>
          </c:tx>
          <c:spPr>
            <a:ln>
              <a:noFill/>
            </a:ln>
          </c:spPr>
          <c:marker>
            <c:symbol val="x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Trendline for Sales Revenue ($)</c:name>
            <c:spPr>
              <a:ln w="28575">
                <a:solidFill>
                  <a:srgbClr val="3BCEE4"/>
                </a:solidFill>
              </a:ln>
            </c:spPr>
            <c:trendlineType val="linear"/>
            <c:dispRSqr val="0"/>
            <c:dispEq val="0"/>
          </c:trendline>
          <c:xVal>
            <c:numRef>
              <c:f>'Scatter+Bubble Charts '!$I$49:$I$60</c:f>
            </c:numRef>
          </c:xVal>
          <c:yVal>
            <c:numRef>
              <c:f>'Scatter+Bubble Charts '!$J$49:$J$60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417026"/>
        <c:axId val="1463765595"/>
      </c:scatterChart>
      <c:valAx>
        <c:axId val="1727417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463765595"/>
      </c:valAx>
      <c:valAx>
        <c:axId val="1463765595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7274170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performance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'Scatter+Bubble Charts '!$K$69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'Scatter+Bubble Charts '!$I$70:$I$79</c:f>
            </c:numRef>
          </c:xVal>
          <c:yVal>
            <c:numRef>
              <c:f>'Scatter+Bubble Charts '!$K$70:$K$79</c:f>
              <c:numCache/>
            </c:numRef>
          </c:yVal>
        </c:ser>
        <c:ser>
          <c:idx val="1"/>
          <c:order val="1"/>
          <c:tx>
            <c:strRef>
              <c:f>'Scatter+Bubble Charts '!$L$69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'Scatter+Bubble Charts '!$I$70:$I$79</c:f>
            </c:numRef>
          </c:xVal>
          <c:yVal>
            <c:numRef>
              <c:f>'Scatter+Bubble Charts '!$L$70:$L$79</c:f>
              <c:numCache/>
            </c:numRef>
          </c:yVal>
        </c:ser>
        <c:ser>
          <c:idx val="2"/>
          <c:order val="2"/>
          <c:tx>
            <c:strRef>
              <c:f>'Scatter+Bubble Charts '!$M$69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'Scatter+Bubble Charts '!$I$70:$I$79</c:f>
            </c:numRef>
          </c:xVal>
          <c:yVal>
            <c:numRef>
              <c:f>'Scatter+Bubble Charts '!$M$70:$M$79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442541"/>
        <c:axId val="1084519340"/>
      </c:scatterChart>
      <c:valAx>
        <c:axId val="1257442541"/>
        <c:scaling>
          <c:orientation val="minMax"/>
        </c:scaling>
        <c:delete val="0"/>
        <c:axPos val="b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084519340"/>
      </c:valAx>
      <c:valAx>
        <c:axId val="1084519340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257442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Marketing campaign effectiveness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'Scatter+Bubble Charts '!$I$90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'!$J$90</c:f>
            </c:strRef>
          </c:xVal>
          <c:yVal>
            <c:numRef>
              <c:f>'Scatter+Bubble Charts '!$K$90</c:f>
              <c:numCache/>
            </c:numRef>
          </c:yVal>
          <c:bubbleSize>
            <c:numRef>
              <c:f>'Scatter+Bubble Charts '!$L$90</c:f>
            </c:numRef>
          </c:bubbleSize>
        </c:ser>
        <c:ser>
          <c:idx val="1"/>
          <c:order val="1"/>
          <c:tx>
            <c:strRef>
              <c:f>'Scatter+Bubble Charts '!$I$91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'!$J$91</c:f>
            </c:strRef>
          </c:xVal>
          <c:yVal>
            <c:numRef>
              <c:f>'Scatter+Bubble Charts '!$K$91</c:f>
              <c:numCache/>
            </c:numRef>
          </c:yVal>
          <c:bubbleSize>
            <c:numRef>
              <c:f>'Scatter+Bubble Charts '!$L$91</c:f>
            </c:numRef>
          </c:bubbleSize>
        </c:ser>
        <c:ser>
          <c:idx val="2"/>
          <c:order val="2"/>
          <c:tx>
            <c:strRef>
              <c:f>'Scatter+Bubble Charts '!$I$92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'!$J$92</c:f>
            </c:strRef>
          </c:xVal>
          <c:yVal>
            <c:numRef>
              <c:f>'Scatter+Bubble Charts '!$K$92</c:f>
              <c:numCache/>
            </c:numRef>
          </c:yVal>
          <c:bubbleSize>
            <c:numRef>
              <c:f>'Scatter+Bubble Charts '!$L$92</c:f>
            </c:numRef>
          </c:bubbleSize>
        </c:ser>
        <c:ser>
          <c:idx val="3"/>
          <c:order val="3"/>
          <c:tx>
            <c:strRef>
              <c:f>'Scatter+Bubble Charts '!$I$93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'!$J$93</c:f>
            </c:strRef>
          </c:xVal>
          <c:yVal>
            <c:numRef>
              <c:f>'Scatter+Bubble Charts '!$K$93</c:f>
              <c:numCache/>
            </c:numRef>
          </c:yVal>
          <c:bubbleSize>
            <c:numRef>
              <c:f>'Scatter+Bubble Charts '!$L$93</c:f>
            </c:numRef>
          </c:bubbleSize>
        </c:ser>
        <c:ser>
          <c:idx val="4"/>
          <c:order val="4"/>
          <c:tx>
            <c:strRef>
              <c:f>'Scatter+Bubble Charts '!$I$94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'!$J$94</c:f>
            </c:strRef>
          </c:xVal>
          <c:yVal>
            <c:numRef>
              <c:f>'Scatter+Bubble Charts '!$K$94</c:f>
              <c:numCache/>
            </c:numRef>
          </c:yVal>
          <c:bubbleSize>
            <c:numRef>
              <c:f>'Scatter+Bubble Charts '!$L$94</c:f>
            </c:numRef>
          </c:bubbleSize>
        </c:ser>
        <c:ser>
          <c:idx val="5"/>
          <c:order val="5"/>
          <c:tx>
            <c:strRef>
              <c:f>'Scatter+Bubble Charts '!$I$95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'!$J$95</c:f>
            </c:strRef>
          </c:xVal>
          <c:yVal>
            <c:numRef>
              <c:f>'Scatter+Bubble Charts '!$K$95</c:f>
              <c:numCache/>
            </c:numRef>
          </c:yVal>
          <c:bubbleSize>
            <c:numRef>
              <c:f>'Scatter+Bubble Charts '!$L$95</c:f>
            </c:numRef>
          </c:bubbleSize>
        </c:ser>
        <c:ser>
          <c:idx val="6"/>
          <c:order val="6"/>
          <c:tx>
            <c:strRef>
              <c:f>'Scatter+Bubble Charts '!$I$96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'!$J$96</c:f>
            </c:strRef>
          </c:xVal>
          <c:yVal>
            <c:numRef>
              <c:f>'Scatter+Bubble Charts '!$K$96</c:f>
              <c:numCache/>
            </c:numRef>
          </c:yVal>
          <c:bubbleSize>
            <c:numRef>
              <c:f>'Scatter+Bubble Charts '!$L$96</c:f>
            </c:numRef>
          </c:bubbleSize>
        </c:ser>
        <c:ser>
          <c:idx val="7"/>
          <c:order val="7"/>
          <c:tx>
            <c:strRef>
              <c:f>'Scatter+Bubble Charts '!$I$97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'Scatter+Bubble Charts '!$J$97</c:f>
            </c:strRef>
          </c:xVal>
          <c:yVal>
            <c:numRef>
              <c:f>'Scatter+Bubble Charts '!$K$97</c:f>
              <c:numCache/>
            </c:numRef>
          </c:yVal>
          <c:bubbleSize>
            <c:numRef>
              <c:f>'Scatter+Bubble Charts '!$L$97</c:f>
            </c:numRef>
          </c:bubbleSize>
        </c:ser>
        <c:axId val="2050190786"/>
        <c:axId val="245567691"/>
      </c:bubbleChart>
      <c:valAx>
        <c:axId val="2050190786"/>
        <c:scaling>
          <c:orientation val="minMax"/>
        </c:scaling>
        <c:delete val="0"/>
        <c:axPos val="b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245567691"/>
      </c:valAx>
      <c:valAx>
        <c:axId val="245567691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+mn-lt"/>
              </a:defRPr>
            </a:pPr>
          </a:p>
        </c:txPr>
        <c:crossAx val="205019078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Customer Satisfaction Survey Results</a:t>
            </a:r>
          </a:p>
        </c:rich>
      </c:tx>
      <c:layout>
        <c:manualLayout>
          <c:xMode val="edge"/>
          <c:yMode val="edge"/>
          <c:x val="0.02719941348973607"/>
          <c:y val="0.04730458221024259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'Scatter+Bubble Charts '!$J$110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xVal>
            <c:numRef>
              <c:f>'Scatter+Bubble Charts '!$I$111:$I$118</c:f>
            </c:numRef>
          </c:xVal>
          <c:yVal>
            <c:numRef>
              <c:f>'Scatter+Bubble Charts '!$J$111:$J$118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596635"/>
        <c:axId val="387430795"/>
      </c:scatterChart>
      <c:valAx>
        <c:axId val="2012596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387430795"/>
      </c:valAx>
      <c:valAx>
        <c:axId val="387430795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2012596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Employee Performance Review</a:t>
            </a:r>
          </a:p>
        </c:rich>
      </c:tx>
      <c:overlay val="0"/>
    </c:title>
    <c:plotArea>
      <c:layout>
        <c:manualLayout>
          <c:xMode val="edge"/>
          <c:yMode val="edge"/>
          <c:x val="0.14839181286549707"/>
          <c:y val="0.1765498652291105"/>
          <c:w val="0.7339181286549707"/>
          <c:h val="0.74403837006500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'Scatter+Bubble Charts '!$J$129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4"/>
            <c:marker>
              <c:symbol val="none"/>
            </c:marker>
          </c:dPt>
          <c:xVal>
            <c:numRef>
              <c:f>'Scatter+Bubble Charts '!$I$130:$I$134</c:f>
            </c:numRef>
          </c:xVal>
          <c:yVal>
            <c:numRef>
              <c:f>'Scatter+Bubble Charts '!$J$130:$J$134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596089"/>
        <c:axId val="1988713806"/>
      </c:scatterChart>
      <c:valAx>
        <c:axId val="23059608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988713806"/>
      </c:valAx>
      <c:valAx>
        <c:axId val="1988713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230596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Project timelines</a:t>
            </a:r>
          </a:p>
        </c:rich>
      </c:tx>
      <c:overlay val="0"/>
    </c:title>
    <c:plotArea>
      <c:layout>
        <c:manualLayout>
          <c:xMode val="edge"/>
          <c:yMode val="edge"/>
          <c:x val="0.10704381396198832"/>
          <c:y val="0.20350404312668463"/>
          <c:w val="0.8658363029970761"/>
          <c:h val="0.6818059299191375"/>
        </c:manualLayout>
      </c:layout>
      <c:scatterChart>
        <c:scatterStyle val="lineMarker"/>
        <c:ser>
          <c:idx val="0"/>
          <c:order val="0"/>
          <c:tx>
            <c:strRef>
              <c:f>'Scatter+Bubble Charts '!$M$155:$M$157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4"/>
            <c:marker>
              <c:symbol val="none"/>
            </c:marker>
          </c:dPt>
          <c:xVal>
            <c:numRef>
              <c:f>'Scatter+Bubble Charts '!$K$158:$K$163</c:f>
            </c:numRef>
          </c:xVal>
          <c:yVal>
            <c:numRef>
              <c:f>'Scatter+Bubble Charts '!$M$158:$M$163</c:f>
              <c:numCache/>
            </c:numRef>
          </c:yVal>
        </c:ser>
        <c:ser>
          <c:idx val="1"/>
          <c:order val="1"/>
          <c:tx>
            <c:strRef>
              <c:f>'Scatter+Bubble Charts '!$N$155:$N$157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83446"/>
              </a:solidFill>
              <a:ln cmpd="sng">
                <a:solidFill>
                  <a:srgbClr val="F83446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xVal>
            <c:numRef>
              <c:f>'Scatter+Bubble Charts '!$K$158:$K$163</c:f>
            </c:numRef>
          </c:xVal>
          <c:yVal>
            <c:numRef>
              <c:f>'Scatter+Bubble Charts '!$N$158:$N$163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657167"/>
        <c:axId val="723292135"/>
      </c:scatterChart>
      <c:valAx>
        <c:axId val="478657167"/>
        <c:scaling>
          <c:orientation val="minMax"/>
        </c:scaling>
        <c:delete val="0"/>
        <c:axPos val="b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666666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723292135"/>
      </c:valAx>
      <c:valAx>
        <c:axId val="723292135"/>
        <c:scaling>
          <c:orientation val="minMax"/>
        </c:scaling>
        <c:delete val="0"/>
        <c:axPos val="l"/>
        <c:majorGridlines>
          <c:spPr>
            <a:ln>
              <a:solidFill>
                <a:srgbClr val="666666"/>
              </a:solidFill>
            </a:ln>
          </c:spPr>
        </c:majorGridlines>
        <c:minorGridlines>
          <c:spPr>
            <a:ln>
              <a:solidFill>
                <a:srgbClr val="666666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478657167"/>
      </c:valAx>
    </c:plotArea>
    <c:legend>
      <c:legendPos val="r"/>
      <c:layout>
        <c:manualLayout>
          <c:xMode val="edge"/>
          <c:yMode val="edge"/>
          <c:x val="0.3159079746893276"/>
          <c:y val="0.12547169811320755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Product Features</a:t>
            </a:r>
          </a:p>
        </c:rich>
      </c:tx>
      <c:overlay val="0"/>
    </c:title>
    <c:plotArea>
      <c:layout>
        <c:manualLayout>
          <c:xMode val="edge"/>
          <c:yMode val="edge"/>
          <c:x val="0.0284414106939704"/>
          <c:y val="0.12100000000000004"/>
          <c:w val="0.6530820901164023"/>
          <c:h val="0.8393658536585364"/>
        </c:manualLayout>
      </c:layout>
      <c:radarChart>
        <c:radarStyle val="marker"/>
        <c:ser>
          <c:idx val="0"/>
          <c:order val="0"/>
          <c:tx>
            <c:strRef>
              <c:f>'Misc Charts'!$J$27</c:f>
            </c:strRef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'Misc Charts'!$I$28:$I$31</c:f>
            </c:strRef>
          </c:cat>
          <c:val>
            <c:numRef>
              <c:f>'Misc Charts'!$J$28:$J$31</c:f>
              <c:numCache/>
            </c:numRef>
          </c:val>
          <c:smooth val="1"/>
        </c:ser>
        <c:ser>
          <c:idx val="1"/>
          <c:order val="1"/>
          <c:tx>
            <c:strRef>
              <c:f>'Misc Charts'!$K$27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4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'Misc Charts'!$I$28:$I$31</c:f>
            </c:strRef>
          </c:cat>
          <c:val>
            <c:numRef>
              <c:f>'Misc Charts'!$K$28:$K$31</c:f>
              <c:numCache/>
            </c:numRef>
          </c:val>
          <c:smooth val="1"/>
        </c:ser>
        <c:ser>
          <c:idx val="2"/>
          <c:order val="2"/>
          <c:tx>
            <c:strRef>
              <c:f>'Misc Charts'!$L$27</c:f>
            </c:strRef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4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'Misc Charts'!$I$28:$I$31</c:f>
            </c:strRef>
          </c:cat>
          <c:val>
            <c:numRef>
              <c:f>'Misc Charts'!$L$28:$L$31</c:f>
              <c:numCache/>
            </c:numRef>
          </c:val>
          <c:smooth val="1"/>
        </c:ser>
        <c:axId val="391511175"/>
        <c:axId val="117969350"/>
      </c:radarChart>
      <c:catAx>
        <c:axId val="391511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17969350"/>
      </c:catAx>
      <c:valAx>
        <c:axId val="117969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391511175"/>
      </c:valAx>
    </c:plotArea>
    <c:legend>
      <c:legendPos val="r"/>
      <c:layout>
        <c:manualLayout>
          <c:xMode val="edge"/>
          <c:yMode val="edge"/>
          <c:x val="0.8050479481443495"/>
          <c:y val="0.4349497487437186"/>
        </c:manualLayout>
      </c:layout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Product Features</a:t>
            </a:r>
          </a:p>
        </c:rich>
      </c:tx>
      <c:overlay val="0"/>
    </c:title>
    <c:plotArea>
      <c:layout>
        <c:manualLayout>
          <c:xMode val="edge"/>
          <c:yMode val="edge"/>
          <c:x val="0.0284414106939704"/>
          <c:y val="0.12100000000000004"/>
          <c:w val="0.6530820901164023"/>
          <c:h val="0.8393658536585364"/>
        </c:manualLayout>
      </c:layout>
      <c:radarChart>
        <c:radarStyle val="marker"/>
        <c:ser>
          <c:idx val="0"/>
          <c:order val="0"/>
          <c:tx>
            <c:strRef>
              <c:f>'Misc Charts'!$J$27</c:f>
            </c:strRef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'Misc Charts'!$I$28:$I$31</c:f>
            </c:strRef>
          </c:cat>
          <c:val>
            <c:numRef>
              <c:f>'Misc Charts'!$J$28:$J$31</c:f>
              <c:numCache/>
            </c:numRef>
          </c:val>
          <c:smooth val="1"/>
        </c:ser>
        <c:ser>
          <c:idx val="1"/>
          <c:order val="1"/>
          <c:tx>
            <c:strRef>
              <c:f>'Misc Charts'!$K$27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4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'Misc Charts'!$I$28:$I$31</c:f>
            </c:strRef>
          </c:cat>
          <c:val>
            <c:numRef>
              <c:f>'Misc Charts'!$K$28:$K$31</c:f>
              <c:numCache/>
            </c:numRef>
          </c:val>
          <c:smooth val="1"/>
        </c:ser>
        <c:ser>
          <c:idx val="2"/>
          <c:order val="2"/>
          <c:tx>
            <c:strRef>
              <c:f>'Misc Charts'!$L$27</c:f>
            </c:strRef>
          </c:tx>
          <c:spPr>
            <a:ln cmpd="sng" w="19050">
              <a:solidFill>
                <a:srgbClr val="27AE60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27AE60">
                  <a:alpha val="100000"/>
                </a:srgbClr>
              </a:solidFill>
              <a:ln cmpd="sng">
                <a:solidFill>
                  <a:srgbClr val="27AE60">
                    <a:alpha val="100000"/>
                  </a:srgbClr>
                </a:solidFill>
              </a:ln>
            </c:spPr>
          </c:marker>
          <c:cat>
            <c:strRef>
              <c:f>'Misc Charts'!$I$28:$I$31</c:f>
            </c:strRef>
          </c:cat>
          <c:val>
            <c:numRef>
              <c:f>'Misc Charts'!$L$28:$L$31</c:f>
              <c:numCache/>
            </c:numRef>
          </c:val>
          <c:smooth val="1"/>
        </c:ser>
        <c:axId val="289493206"/>
        <c:axId val="1905488717"/>
      </c:radarChart>
      <c:catAx>
        <c:axId val="289493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905488717"/>
      </c:catAx>
      <c:valAx>
        <c:axId val="1905488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289493206"/>
      </c:valAx>
    </c:plotArea>
    <c:legend>
      <c:legendPos val="r"/>
      <c:layout>
        <c:manualLayout>
          <c:xMode val="edge"/>
          <c:yMode val="edge"/>
          <c:x val="0.8050479481443495"/>
          <c:y val="0.4349497487437186"/>
        </c:manualLayout>
      </c:layout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Daily Stock Price Movements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'Misc Charts'!$J$74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Charts'!$J$75:$J$104</c:f>
              <c:numCache/>
            </c:numRef>
          </c:val>
          <c:smooth val="0"/>
        </c:ser>
        <c:ser>
          <c:idx val="1"/>
          <c:order val="1"/>
          <c:tx>
            <c:strRef>
              <c:f>'Misc Charts'!$K$74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Charts'!$K$75:$K$104</c:f>
              <c:numCache/>
            </c:numRef>
          </c:val>
          <c:smooth val="0"/>
        </c:ser>
        <c:ser>
          <c:idx val="2"/>
          <c:order val="2"/>
          <c:tx>
            <c:strRef>
              <c:f>'Misc Charts'!$L$74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Charts'!$L$75:$L$104</c:f>
              <c:numCache/>
            </c:numRef>
          </c:val>
          <c:smooth val="0"/>
        </c:ser>
        <c:ser>
          <c:idx val="3"/>
          <c:order val="3"/>
          <c:tx>
            <c:strRef>
              <c:f>'Misc Charts'!$M$74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Charts'!$M$75:$M$104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311243535"/>
        <c:axId val="679959335"/>
      </c:stockChart>
      <c:dateAx>
        <c:axId val="311243535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Roboto"/>
              </a:defRPr>
            </a:pPr>
          </a:p>
        </c:txPr>
        <c:crossAx val="679959335"/>
      </c:dateAx>
      <c:valAx>
        <c:axId val="679959335"/>
        <c:scaling>
          <c:orientation val="minMax"/>
          <c:min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11243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Daily Stock Price Movements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'Misc Charts'!$J$74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Charts'!$J$75:$J$104</c:f>
              <c:numCache/>
            </c:numRef>
          </c:val>
          <c:smooth val="0"/>
        </c:ser>
        <c:ser>
          <c:idx val="1"/>
          <c:order val="1"/>
          <c:tx>
            <c:strRef>
              <c:f>'Misc Charts'!$K$74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Charts'!$K$75:$K$104</c:f>
              <c:numCache/>
            </c:numRef>
          </c:val>
          <c:smooth val="0"/>
        </c:ser>
        <c:ser>
          <c:idx val="2"/>
          <c:order val="2"/>
          <c:tx>
            <c:strRef>
              <c:f>'Misc Charts'!$L$74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Charts'!$L$75:$L$104</c:f>
              <c:numCache/>
            </c:numRef>
          </c:val>
          <c:smooth val="0"/>
        </c:ser>
        <c:ser>
          <c:idx val="3"/>
          <c:order val="3"/>
          <c:tx>
            <c:strRef>
              <c:f>'Misc Charts'!$M$74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'Misc Charts'!$N$75:$N$104</c:f>
            </c:strRef>
          </c:cat>
          <c:val>
            <c:numRef>
              <c:f>'Misc Charts'!$M$75:$M$104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647518455"/>
        <c:axId val="1912821677"/>
      </c:stockChart>
      <c:dateAx>
        <c:axId val="1647518455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912821677"/>
      </c:dateAx>
      <c:valAx>
        <c:axId val="1912821677"/>
        <c:scaling>
          <c:orientation val="minMax"/>
          <c:min val="150.0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647518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Charts'!$I$6</c:f>
            </c:strRef>
          </c:tx>
          <c:spPr>
            <a:ln cmpd="sng" w="19050">
              <a:solidFill>
                <a:srgbClr val="3053F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3053FF">
                  <a:alpha val="100000"/>
                </a:srgbClr>
              </a:solidFill>
              <a:ln cmpd="sng">
                <a:solidFill>
                  <a:srgbClr val="3053FF">
                    <a:alpha val="100000"/>
                  </a:srgbClr>
                </a:solidFill>
              </a:ln>
            </c:spPr>
          </c:marker>
          <c:dPt>
            <c:idx val="5"/>
            <c:marker>
              <c:symbol val="none"/>
            </c:marker>
          </c:dPt>
          <c:cat>
            <c:strRef>
              <c:f>'Line Charts'!$H$7:$H$18</c:f>
            </c:strRef>
          </c:cat>
          <c:val>
            <c:numRef>
              <c:f>'Line Charts'!$I$7:$I$18</c:f>
              <c:numCache/>
            </c:numRef>
          </c:val>
          <c:smooth val="0"/>
        </c:ser>
        <c:axId val="246530807"/>
        <c:axId val="319548681"/>
      </c:lineChart>
      <c:catAx>
        <c:axId val="24653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19548681"/>
      </c:catAx>
      <c:valAx>
        <c:axId val="319548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>Monthly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246530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Year-over-Year Sales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Charts'!$I$88</c:f>
            </c:strRef>
          </c:tx>
          <c:spPr>
            <a:ln cmpd="sng" w="19050">
              <a:solidFill>
                <a:srgbClr val="3BCEE4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Charts'!$I$89:$I$100</c:f>
              <c:numCache/>
            </c:numRef>
          </c:val>
          <c:smooth val="0"/>
        </c:ser>
        <c:ser>
          <c:idx val="1"/>
          <c:order val="1"/>
          <c:tx>
            <c:strRef>
              <c:f>'Line Charts'!$J$88</c:f>
            </c:strRef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Charts'!$J$89:$J$100</c:f>
              <c:numCache/>
            </c:numRef>
          </c:val>
          <c:smooth val="0"/>
        </c:ser>
        <c:axId val="1955149406"/>
        <c:axId val="531423792"/>
      </c:lineChart>
      <c:catAx>
        <c:axId val="1955149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531423792"/>
      </c:catAx>
      <c:valAx>
        <c:axId val="531423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955149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b="1">
                <a:solidFill>
                  <a:schemeClr val="dk1"/>
                </a:solidFill>
                <a:latin typeface="Roboto"/>
              </a:rPr>
              <a:t>Product Sales Comparison by Quarter</a:t>
            </a:r>
          </a:p>
        </c:rich>
      </c:tx>
      <c:overlay val="0"/>
    </c:title>
    <c:plotArea>
      <c:layout>
        <c:manualLayout>
          <c:xMode val="edge"/>
          <c:yMode val="edge"/>
          <c:x val="0.017108167770419427"/>
          <c:y val="0.15336826347305396"/>
          <c:w val="0.9647958057395145"/>
          <c:h val="0.6821856287425151"/>
        </c:manualLayout>
      </c:layout>
      <c:barChart>
        <c:barDir val="col"/>
        <c:ser>
          <c:idx val="0"/>
          <c:order val="0"/>
          <c:tx>
            <c:strRef>
              <c:f>'Bar and Column Charts'!$J$61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Charts'!$J$62:$J$66</c:f>
              <c:numCache/>
            </c:numRef>
          </c:val>
        </c:ser>
        <c:ser>
          <c:idx val="1"/>
          <c:order val="1"/>
          <c:tx>
            <c:strRef>
              <c:f>'Bar and Column Charts'!$K$61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Charts'!$K$62:$K$66</c:f>
              <c:numCache/>
            </c:numRef>
          </c:val>
        </c:ser>
        <c:ser>
          <c:idx val="2"/>
          <c:order val="2"/>
          <c:tx>
            <c:strRef>
              <c:f>'Bar and Column Charts'!$L$61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Charts'!$L$62:$L$66</c:f>
              <c:numCache/>
            </c:numRef>
          </c:val>
        </c:ser>
        <c:ser>
          <c:idx val="3"/>
          <c:order val="3"/>
          <c:tx>
            <c:strRef>
              <c:f>'Bar and Column Charts'!$M$61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Charts'!$M$62:$M$66</c:f>
              <c:numCache/>
            </c:numRef>
          </c:val>
        </c:ser>
        <c:axId val="206508743"/>
        <c:axId val="650360244"/>
      </c:barChart>
      <c:catAx>
        <c:axId val="206508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650360244"/>
      </c:catAx>
      <c:valAx>
        <c:axId val="650360244"/>
        <c:scaling>
          <c:orientation val="minMax"/>
        </c:scaling>
        <c:delete val="0"/>
        <c:axPos val="l"/>
        <c:majorGridlines>
          <c:spPr>
            <a:ln>
              <a:solidFill>
                <a:srgbClr val="CCCCCC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2065087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'Line Charts'!$I$6</c:f>
            </c:strRef>
          </c:tx>
          <c:spPr>
            <a:ln cmpd="sng" w="19050">
              <a:solidFill>
                <a:srgbClr val="3053F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3053FF">
                  <a:alpha val="100000"/>
                </a:srgbClr>
              </a:solidFill>
              <a:ln cmpd="sng">
                <a:solidFill>
                  <a:srgbClr val="3053FF">
                    <a:alpha val="100000"/>
                  </a:srgbClr>
                </a:solidFill>
              </a:ln>
            </c:spPr>
          </c:marker>
          <c:dPt>
            <c:idx val="5"/>
            <c:marker>
              <c:symbol val="none"/>
            </c:marker>
          </c:dPt>
          <c:cat>
            <c:strRef>
              <c:f>'Line Charts'!$H$7:$H$18</c:f>
            </c:strRef>
          </c:cat>
          <c:val>
            <c:numRef>
              <c:f>'Line Charts'!$I$7:$I$18</c:f>
              <c:numCache/>
            </c:numRef>
          </c:val>
          <c:smooth val="0"/>
        </c:ser>
        <c:axId val="952584700"/>
        <c:axId val="378135886"/>
      </c:lineChart>
      <c:catAx>
        <c:axId val="952584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78135886"/>
      </c:catAx>
      <c:valAx>
        <c:axId val="378135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Roboto"/>
                  </a:defRPr>
                </a:pPr>
                <a:r>
                  <a:rPr b="0">
                    <a:solidFill>
                      <a:srgbClr val="262E32"/>
                    </a:solidFill>
                    <a:latin typeface="Roboto"/>
                  </a:rPr>
                  <a:t>Monthly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952584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347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Year-over-Year Sales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'Line Charts'!$I$88</c:f>
            </c:strRef>
          </c:tx>
          <c:spPr>
            <a:ln cmpd="sng" w="19050">
              <a:solidFill>
                <a:srgbClr val="3BCEE4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Charts'!$I$89:$I$100</c:f>
              <c:numCache/>
            </c:numRef>
          </c:val>
          <c:smooth val="0"/>
        </c:ser>
        <c:ser>
          <c:idx val="1"/>
          <c:order val="1"/>
          <c:tx>
            <c:strRef>
              <c:f>'Line Charts'!$J$88</c:f>
            </c:strRef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'Line Charts'!$H$89:$H$100</c:f>
            </c:strRef>
          </c:cat>
          <c:val>
            <c:numRef>
              <c:f>'Line Charts'!$J$89:$J$100</c:f>
              <c:numCache/>
            </c:numRef>
          </c:val>
          <c:smooth val="0"/>
        </c:ser>
        <c:axId val="1803988294"/>
        <c:axId val="618347971"/>
      </c:lineChart>
      <c:catAx>
        <c:axId val="1803988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618347971"/>
      </c:catAx>
      <c:valAx>
        <c:axId val="618347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+mn-lt"/>
              </a:defRPr>
            </a:pPr>
          </a:p>
        </c:txPr>
        <c:crossAx val="1803988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Roboto"/>
              </a:defRPr>
            </a:pPr>
            <a:r>
              <a:rPr b="1">
                <a:solidFill>
                  <a:srgbClr val="FFFFFF"/>
                </a:solidFill>
                <a:latin typeface="Roboto"/>
              </a:rPr>
              <a:t>Product Sales Comparison by Quarter</a:t>
            </a:r>
          </a:p>
        </c:rich>
      </c:tx>
      <c:overlay val="0"/>
    </c:title>
    <c:plotArea>
      <c:layout>
        <c:manualLayout>
          <c:xMode val="edge"/>
          <c:yMode val="edge"/>
          <c:x val="0.017108167770419427"/>
          <c:y val="0.15336826347305396"/>
          <c:w val="0.9647958057395145"/>
          <c:h val="0.6821856287425151"/>
        </c:manualLayout>
      </c:layout>
      <c:barChart>
        <c:barDir val="col"/>
        <c:ser>
          <c:idx val="0"/>
          <c:order val="0"/>
          <c:tx>
            <c:strRef>
              <c:f>'Bar and Column Charts'!$J$61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Charts'!$J$62:$J$66</c:f>
              <c:numCache/>
            </c:numRef>
          </c:val>
        </c:ser>
        <c:ser>
          <c:idx val="1"/>
          <c:order val="1"/>
          <c:tx>
            <c:strRef>
              <c:f>'Bar and Column Charts'!$K$61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Charts'!$K$62:$K$66</c:f>
              <c:numCache/>
            </c:numRef>
          </c:val>
        </c:ser>
        <c:ser>
          <c:idx val="2"/>
          <c:order val="2"/>
          <c:tx>
            <c:strRef>
              <c:f>'Bar and Column Charts'!$L$61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Charts'!$L$62:$L$66</c:f>
              <c:numCache/>
            </c:numRef>
          </c:val>
        </c:ser>
        <c:ser>
          <c:idx val="3"/>
          <c:order val="3"/>
          <c:tx>
            <c:strRef>
              <c:f>'Bar and Column Charts'!$M$61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'Bar and Column Charts'!$I$62:$I$66</c:f>
            </c:strRef>
          </c:cat>
          <c:val>
            <c:numRef>
              <c:f>'Bar and Column Charts'!$M$62:$M$66</c:f>
              <c:numCache/>
            </c:numRef>
          </c:val>
        </c:ser>
        <c:axId val="1314824804"/>
        <c:axId val="320146264"/>
      </c:barChart>
      <c:catAx>
        <c:axId val="1314824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62E32"/>
                </a:solidFill>
                <a:latin typeface="Roboto"/>
              </a:defRPr>
            </a:pPr>
          </a:p>
        </c:txPr>
        <c:crossAx val="320146264"/>
      </c:catAx>
      <c:valAx>
        <c:axId val="320146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2E32"/>
                    </a:solidFill>
                    <a:latin typeface="+mn-lt"/>
                  </a:defRPr>
                </a:pPr>
                <a:r>
                  <a:rPr b="0">
                    <a:solidFill>
                      <a:srgbClr val="262E3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Roboto"/>
              </a:defRPr>
            </a:pPr>
          </a:p>
        </c:txPr>
        <c:crossAx val="13148248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chemeClr val="dk1"/>
    </a:solidFill>
  </c:spPr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'Bar and Column Charts'!$J$187:$J$205</cx:f>
      </cx:numDim>
      <cx:strDim type="cat">
        <cx:f>'Bar and Column Charts'!$I$187:$I$205</cx:f>
      </cx:strDim>
    </cx:data>
  </cx:chartData>
  <cx:chart>
    <cx:title overlay="0">
      <cx:txPr>
        <a:bodyPr/>
        <a:lstStyle/>
        <a:p>
          <a:pPr lvl="0">
            <a:defRPr b="1">
              <a:solidFill>
                <a:schemeClr val="dk1"/>
              </a:solidFill>
              <a:latin typeface="Roboto"/>
            </a:defRPr>
          </a:pPr>
          <a:r>
            <a:rPr b="1">
              <a:solidFill>
                <a:schemeClr val="dk1"/>
              </a:solidFill>
              <a:latin typeface="Roboto"/>
            </a:rPr>
            <a:t>Revenue Waterfall Chart</a:t>
          </a:r>
        </a:p>
      </cx:txPr>
    </cx:title>
    <cx:plotArea>
      <cx:plotAreaRegion>
        <cx:series layoutId="waterfall" uniqueId="{12DF0A0B-8F25-47AC-9C3D-51F45239676E}">
          <cx:tx>
            <cx:txData>
              <cx:f>'Bar and Column Charts'!$J$186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262E32"/>
                  </a:solidFill>
                  <a:latin typeface="+mn-lt"/>
                </a:defRPr>
              </a:pPr>
              <a:r>
                <a:rPr b="0">
                  <a:solidFill>
                    <a:srgbClr val="262E32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262E32"/>
                  </a:solidFill>
                  <a:latin typeface="+mn-lt"/>
                </a:defRPr>
              </a:pPr>
              <a:r>
                <a:rPr b="0">
                  <a:solidFill>
                    <a:srgbClr val="262E32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3C4347"/>
              </a:solidFill>
              <a:latin typeface="Roboto"/>
            </a:defRPr>
          </a:pPr>
          <a:endParaRPr b="0">
            <a:solidFill>
              <a:srgbClr val="3C4347"/>
            </a:solidFill>
            <a:latin typeface="Roboto"/>
          </a:endParaRPr>
        </a:p>
      </cx:txPr>
    </cx:legend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'Bar and Column Charts'!$J$187:$J$205</cx:f>
      </cx:numDim>
      <cx:strDim type="cat">
        <cx:f>'Bar and Column Charts'!$I$187:$I$205</cx:f>
      </cx:strDim>
    </cx:data>
  </cx:chartData>
  <cx:chart>
    <cx:title overlay="0">
      <cx:txPr>
        <a:bodyPr/>
        <a:lstStyle/>
        <a:p>
          <a:pPr lvl="0">
            <a:defRPr b="1">
              <a:solidFill>
                <a:srgbClr val="FFFFFF"/>
              </a:solidFill>
              <a:latin typeface="Roboto"/>
            </a:defRPr>
          </a:pPr>
          <a:r>
            <a:rPr b="1">
              <a:solidFill>
                <a:srgbClr val="FFFFFF"/>
              </a:solidFill>
              <a:latin typeface="Roboto"/>
            </a:rPr>
            <a:t>Revenue Waterfall Chart</a:t>
          </a:r>
        </a:p>
      </cx:txPr>
    </cx:title>
    <cx:plotArea>
      <cx:plotAreaRegion>
        <cx:series layoutId="waterfall" uniqueId="{EE543179-9CC0-4245-A517-AF5A27037FA6}">
          <cx:tx>
            <cx:txData>
              <cx:f>'Bar and Column Charts'!$J$186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262E32"/>
                  </a:solidFill>
                  <a:latin typeface="+mn-lt"/>
                </a:defRPr>
              </a:pPr>
              <a:r>
                <a:rPr b="0">
                  <a:solidFill>
                    <a:srgbClr val="262E32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262E32"/>
                  </a:solidFill>
                  <a:latin typeface="+mn-lt"/>
                </a:defRPr>
              </a:pPr>
              <a:r>
                <a:rPr b="0">
                  <a:solidFill>
                    <a:srgbClr val="262E32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666666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  <a:endParaRPr b="0">
            <a:solidFill>
              <a:srgbClr val="FFFFFF"/>
            </a:solidFill>
            <a:latin typeface="Roboto"/>
          </a:endParaRPr>
        </a:p>
      </cx:txPr>
    </cx:legend>
  </cx:chart>
  <cx:spPr>
    <a:solidFill>
      <a:schemeClr val="dk1"/>
    </a:solidFill>
  </cx:spPr>
</cx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3"/>
  <a:srgbClr val="DB4437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3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3F3F3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chemeClr val="dk1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10" Type="http://schemas.openxmlformats.org/officeDocument/2006/relationships/image" Target="../media/image7.png"/><Relationship Id="rId9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8.xml"/><Relationship Id="rId22" Type="http://schemas.openxmlformats.org/officeDocument/2006/relationships/chart" Target="../charts/chart20.xml"/><Relationship Id="rId21" Type="http://schemas.openxmlformats.org/officeDocument/2006/relationships/chart" Target="../charts/chart19.xml"/><Relationship Id="rId24" Type="http://schemas.microsoft.com/office/2014/relationships/chartEx" Target="../charts/chartEx2.xml"/><Relationship Id="rId23" Type="http://schemas.openxmlformats.org/officeDocument/2006/relationships/chart" Target="../charts/chart21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microsoft.com/office/2014/relationships/chartEx" Target="../charts/chartEx1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26" Type="http://schemas.openxmlformats.org/officeDocument/2006/relationships/chart" Target="../charts/chart23.xml"/><Relationship Id="rId25" Type="http://schemas.openxmlformats.org/officeDocument/2006/relationships/chart" Target="../charts/chart22.xml"/><Relationship Id="rId28" Type="http://schemas.openxmlformats.org/officeDocument/2006/relationships/chart" Target="../charts/chart25.xml"/><Relationship Id="rId27" Type="http://schemas.openxmlformats.org/officeDocument/2006/relationships/chart" Target="../charts/chart24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29" Type="http://schemas.openxmlformats.org/officeDocument/2006/relationships/image" Target="../media/Chart122.png"/><Relationship Id="rId7" Type="http://schemas.openxmlformats.org/officeDocument/2006/relationships/chart" Target="../charts/chart6.xml"/><Relationship Id="rId8" Type="http://schemas.openxmlformats.org/officeDocument/2006/relationships/chart" Target="../charts/chart7.xml"/><Relationship Id="rId31" Type="http://schemas.openxmlformats.org/officeDocument/2006/relationships/chart" Target="../charts/chart27.xml"/><Relationship Id="rId30" Type="http://schemas.openxmlformats.org/officeDocument/2006/relationships/chart" Target="../charts/chart26.xml"/><Relationship Id="rId11" Type="http://schemas.openxmlformats.org/officeDocument/2006/relationships/chart" Target="../charts/chart10.xml"/><Relationship Id="rId33" Type="http://schemas.openxmlformats.org/officeDocument/2006/relationships/image" Target="../media/image9.png"/><Relationship Id="rId10" Type="http://schemas.openxmlformats.org/officeDocument/2006/relationships/chart" Target="../charts/chart9.xml"/><Relationship Id="rId32" Type="http://schemas.openxmlformats.org/officeDocument/2006/relationships/chart" Target="../charts/chart28.xml"/><Relationship Id="rId13" Type="http://schemas.openxmlformats.org/officeDocument/2006/relationships/chart" Target="../charts/chart12.xml"/><Relationship Id="rId12" Type="http://schemas.openxmlformats.org/officeDocument/2006/relationships/chart" Target="../charts/chart11.xml"/><Relationship Id="rId34" Type="http://schemas.openxmlformats.org/officeDocument/2006/relationships/image" Target="../media/image8.png"/><Relationship Id="rId15" Type="http://schemas.openxmlformats.org/officeDocument/2006/relationships/chart" Target="../charts/chart13.xml"/><Relationship Id="rId14" Type="http://schemas.openxmlformats.org/officeDocument/2006/relationships/image" Target="../media/Chart64.png"/><Relationship Id="rId17" Type="http://schemas.openxmlformats.org/officeDocument/2006/relationships/chart" Target="../charts/chart15.xml"/><Relationship Id="rId16" Type="http://schemas.openxmlformats.org/officeDocument/2006/relationships/chart" Target="../charts/chart14.xml"/><Relationship Id="rId19" Type="http://schemas.openxmlformats.org/officeDocument/2006/relationships/chart" Target="../charts/chart17.xml"/><Relationship Id="rId18" Type="http://schemas.openxmlformats.org/officeDocument/2006/relationships/chart" Target="../charts/chart16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45.xml"/><Relationship Id="rId22" Type="http://schemas.openxmlformats.org/officeDocument/2006/relationships/chart" Target="../charts/chart47.xml"/><Relationship Id="rId21" Type="http://schemas.openxmlformats.org/officeDocument/2006/relationships/chart" Target="../charts/chart46.xml"/><Relationship Id="rId24" Type="http://schemas.openxmlformats.org/officeDocument/2006/relationships/chart" Target="../charts/chart48.xml"/><Relationship Id="rId23" Type="http://schemas.openxmlformats.org/officeDocument/2006/relationships/image" Target="../media/Chart146.png"/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9" Type="http://schemas.openxmlformats.org/officeDocument/2006/relationships/chart" Target="../charts/chart36.xml"/><Relationship Id="rId26" Type="http://schemas.openxmlformats.org/officeDocument/2006/relationships/image" Target="../media/image9.png"/><Relationship Id="rId25" Type="http://schemas.openxmlformats.org/officeDocument/2006/relationships/chart" Target="../charts/chart49.xml"/><Relationship Id="rId27" Type="http://schemas.openxmlformats.org/officeDocument/2006/relationships/image" Target="../media/image8.png"/><Relationship Id="rId5" Type="http://schemas.openxmlformats.org/officeDocument/2006/relationships/chart" Target="../charts/chart33.xml"/><Relationship Id="rId6" Type="http://schemas.openxmlformats.org/officeDocument/2006/relationships/image" Target="../media/Chart17.png"/><Relationship Id="rId7" Type="http://schemas.openxmlformats.org/officeDocument/2006/relationships/chart" Target="../charts/chart34.xml"/><Relationship Id="rId8" Type="http://schemas.openxmlformats.org/officeDocument/2006/relationships/chart" Target="../charts/chart35.xml"/><Relationship Id="rId11" Type="http://schemas.openxmlformats.org/officeDocument/2006/relationships/chart" Target="../charts/chart37.xml"/><Relationship Id="rId10" Type="http://schemas.openxmlformats.org/officeDocument/2006/relationships/image" Target="../media/Chart88.png"/><Relationship Id="rId13" Type="http://schemas.openxmlformats.org/officeDocument/2006/relationships/chart" Target="../charts/chart39.xml"/><Relationship Id="rId12" Type="http://schemas.openxmlformats.org/officeDocument/2006/relationships/chart" Target="../charts/chart38.xml"/><Relationship Id="rId15" Type="http://schemas.openxmlformats.org/officeDocument/2006/relationships/chart" Target="../charts/chart40.xml"/><Relationship Id="rId14" Type="http://schemas.openxmlformats.org/officeDocument/2006/relationships/image" Target="../media/Chart130.png"/><Relationship Id="rId17" Type="http://schemas.openxmlformats.org/officeDocument/2006/relationships/chart" Target="../charts/chart42.xml"/><Relationship Id="rId16" Type="http://schemas.openxmlformats.org/officeDocument/2006/relationships/chart" Target="../charts/chart41.xml"/><Relationship Id="rId19" Type="http://schemas.openxmlformats.org/officeDocument/2006/relationships/chart" Target="../charts/chart44.xml"/><Relationship Id="rId18" Type="http://schemas.openxmlformats.org/officeDocument/2006/relationships/chart" Target="../charts/chart43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chart" Target="../charts/chart69.xml"/><Relationship Id="rId22" Type="http://schemas.openxmlformats.org/officeDocument/2006/relationships/chart" Target="../charts/chart71.xml"/><Relationship Id="rId21" Type="http://schemas.openxmlformats.org/officeDocument/2006/relationships/chart" Target="../charts/chart70.xml"/><Relationship Id="rId24" Type="http://schemas.openxmlformats.org/officeDocument/2006/relationships/chart" Target="../charts/chart73.xml"/><Relationship Id="rId23" Type="http://schemas.openxmlformats.org/officeDocument/2006/relationships/chart" Target="../charts/chart72.xml"/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chart" Target="../charts/chart53.xml"/><Relationship Id="rId9" Type="http://schemas.openxmlformats.org/officeDocument/2006/relationships/chart" Target="../charts/chart58.xml"/><Relationship Id="rId26" Type="http://schemas.openxmlformats.org/officeDocument/2006/relationships/chart" Target="../charts/chart75.xml"/><Relationship Id="rId25" Type="http://schemas.openxmlformats.org/officeDocument/2006/relationships/chart" Target="../charts/chart74.xml"/><Relationship Id="rId28" Type="http://schemas.openxmlformats.org/officeDocument/2006/relationships/image" Target="../media/image8.png"/><Relationship Id="rId27" Type="http://schemas.openxmlformats.org/officeDocument/2006/relationships/image" Target="../media/image9.png"/><Relationship Id="rId5" Type="http://schemas.openxmlformats.org/officeDocument/2006/relationships/chart" Target="../charts/chart54.xml"/><Relationship Id="rId6" Type="http://schemas.openxmlformats.org/officeDocument/2006/relationships/chart" Target="../charts/chart55.xml"/><Relationship Id="rId7" Type="http://schemas.openxmlformats.org/officeDocument/2006/relationships/chart" Target="../charts/chart56.xml"/><Relationship Id="rId8" Type="http://schemas.openxmlformats.org/officeDocument/2006/relationships/chart" Target="../charts/chart57.xml"/><Relationship Id="rId11" Type="http://schemas.openxmlformats.org/officeDocument/2006/relationships/chart" Target="../charts/chart60.xml"/><Relationship Id="rId10" Type="http://schemas.openxmlformats.org/officeDocument/2006/relationships/chart" Target="../charts/chart59.xml"/><Relationship Id="rId13" Type="http://schemas.openxmlformats.org/officeDocument/2006/relationships/chart" Target="../charts/chart62.xml"/><Relationship Id="rId12" Type="http://schemas.openxmlformats.org/officeDocument/2006/relationships/chart" Target="../charts/chart61.xml"/><Relationship Id="rId15" Type="http://schemas.openxmlformats.org/officeDocument/2006/relationships/chart" Target="../charts/chart64.xml"/><Relationship Id="rId14" Type="http://schemas.openxmlformats.org/officeDocument/2006/relationships/chart" Target="../charts/chart63.xml"/><Relationship Id="rId17" Type="http://schemas.openxmlformats.org/officeDocument/2006/relationships/chart" Target="../charts/chart66.xml"/><Relationship Id="rId16" Type="http://schemas.openxmlformats.org/officeDocument/2006/relationships/chart" Target="../charts/chart65.xml"/><Relationship Id="rId19" Type="http://schemas.openxmlformats.org/officeDocument/2006/relationships/chart" Target="../charts/chart68.xml"/><Relationship Id="rId18" Type="http://schemas.openxmlformats.org/officeDocument/2006/relationships/chart" Target="../charts/chart67.xml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9.png"/><Relationship Id="rId20" Type="http://schemas.openxmlformats.org/officeDocument/2006/relationships/chart" Target="../charts/chart95.xml"/><Relationship Id="rId41" Type="http://schemas.openxmlformats.org/officeDocument/2006/relationships/image" Target="../media/image8.png"/><Relationship Id="rId22" Type="http://schemas.openxmlformats.org/officeDocument/2006/relationships/chart" Target="../charts/chart97.xml"/><Relationship Id="rId21" Type="http://schemas.openxmlformats.org/officeDocument/2006/relationships/chart" Target="../charts/chart96.xml"/><Relationship Id="rId24" Type="http://schemas.openxmlformats.org/officeDocument/2006/relationships/chart" Target="../charts/chart99.xml"/><Relationship Id="rId23" Type="http://schemas.openxmlformats.org/officeDocument/2006/relationships/chart" Target="../charts/chart98.xml"/><Relationship Id="rId1" Type="http://schemas.openxmlformats.org/officeDocument/2006/relationships/chart" Target="../charts/chart76.xml"/><Relationship Id="rId2" Type="http://schemas.openxmlformats.org/officeDocument/2006/relationships/chart" Target="../charts/chart77.xml"/><Relationship Id="rId3" Type="http://schemas.openxmlformats.org/officeDocument/2006/relationships/chart" Target="../charts/chart78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26" Type="http://schemas.openxmlformats.org/officeDocument/2006/relationships/chart" Target="../charts/chart101.xml"/><Relationship Id="rId25" Type="http://schemas.openxmlformats.org/officeDocument/2006/relationships/chart" Target="../charts/chart100.xml"/><Relationship Id="rId28" Type="http://schemas.openxmlformats.org/officeDocument/2006/relationships/chart" Target="../charts/chart103.xml"/><Relationship Id="rId27" Type="http://schemas.openxmlformats.org/officeDocument/2006/relationships/chart" Target="../charts/chart102.xml"/><Relationship Id="rId5" Type="http://schemas.openxmlformats.org/officeDocument/2006/relationships/chart" Target="../charts/chart80.xml"/><Relationship Id="rId6" Type="http://schemas.openxmlformats.org/officeDocument/2006/relationships/chart" Target="../charts/chart81.xml"/><Relationship Id="rId29" Type="http://schemas.openxmlformats.org/officeDocument/2006/relationships/chart" Target="../charts/chart104.xml"/><Relationship Id="rId7" Type="http://schemas.openxmlformats.org/officeDocument/2006/relationships/chart" Target="../charts/chart82.xml"/><Relationship Id="rId8" Type="http://schemas.openxmlformats.org/officeDocument/2006/relationships/chart" Target="../charts/chart83.xml"/><Relationship Id="rId31" Type="http://schemas.openxmlformats.org/officeDocument/2006/relationships/chart" Target="../charts/chart106.xml"/><Relationship Id="rId30" Type="http://schemas.openxmlformats.org/officeDocument/2006/relationships/chart" Target="../charts/chart105.xml"/><Relationship Id="rId11" Type="http://schemas.openxmlformats.org/officeDocument/2006/relationships/chart" Target="../charts/chart86.xml"/><Relationship Id="rId33" Type="http://schemas.openxmlformats.org/officeDocument/2006/relationships/chart" Target="../charts/chart108.xml"/><Relationship Id="rId10" Type="http://schemas.openxmlformats.org/officeDocument/2006/relationships/chart" Target="../charts/chart85.xml"/><Relationship Id="rId32" Type="http://schemas.openxmlformats.org/officeDocument/2006/relationships/chart" Target="../charts/chart107.xml"/><Relationship Id="rId13" Type="http://schemas.openxmlformats.org/officeDocument/2006/relationships/chart" Target="../charts/chart88.xml"/><Relationship Id="rId35" Type="http://schemas.openxmlformats.org/officeDocument/2006/relationships/chart" Target="../charts/chart110.xml"/><Relationship Id="rId12" Type="http://schemas.openxmlformats.org/officeDocument/2006/relationships/chart" Target="../charts/chart87.xml"/><Relationship Id="rId34" Type="http://schemas.openxmlformats.org/officeDocument/2006/relationships/chart" Target="../charts/chart109.xml"/><Relationship Id="rId15" Type="http://schemas.openxmlformats.org/officeDocument/2006/relationships/chart" Target="../charts/chart90.xml"/><Relationship Id="rId37" Type="http://schemas.openxmlformats.org/officeDocument/2006/relationships/chart" Target="../charts/chart112.xml"/><Relationship Id="rId14" Type="http://schemas.openxmlformats.org/officeDocument/2006/relationships/chart" Target="../charts/chart89.xml"/><Relationship Id="rId36" Type="http://schemas.openxmlformats.org/officeDocument/2006/relationships/chart" Target="../charts/chart111.xml"/><Relationship Id="rId17" Type="http://schemas.openxmlformats.org/officeDocument/2006/relationships/chart" Target="../charts/chart92.xml"/><Relationship Id="rId39" Type="http://schemas.openxmlformats.org/officeDocument/2006/relationships/chart" Target="../charts/chart114.xml"/><Relationship Id="rId16" Type="http://schemas.openxmlformats.org/officeDocument/2006/relationships/chart" Target="../charts/chart91.xml"/><Relationship Id="rId38" Type="http://schemas.openxmlformats.org/officeDocument/2006/relationships/chart" Target="../charts/chart113.xml"/><Relationship Id="rId19" Type="http://schemas.openxmlformats.org/officeDocument/2006/relationships/chart" Target="../charts/chart94.xml"/><Relationship Id="rId18" Type="http://schemas.openxmlformats.org/officeDocument/2006/relationships/chart" Target="../charts/chart9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5.xml"/><Relationship Id="rId2" Type="http://schemas.openxmlformats.org/officeDocument/2006/relationships/chart" Target="../charts/chart116.xml"/><Relationship Id="rId3" Type="http://schemas.openxmlformats.org/officeDocument/2006/relationships/chart" Target="../charts/chart117.xml"/><Relationship Id="rId4" Type="http://schemas.openxmlformats.org/officeDocument/2006/relationships/chart" Target="../charts/chart118.xml"/><Relationship Id="rId9" Type="http://schemas.openxmlformats.org/officeDocument/2006/relationships/chart" Target="../charts/chart123.xml"/><Relationship Id="rId5" Type="http://schemas.openxmlformats.org/officeDocument/2006/relationships/chart" Target="../charts/chart119.xml"/><Relationship Id="rId6" Type="http://schemas.openxmlformats.org/officeDocument/2006/relationships/chart" Target="../charts/chart120.xml"/><Relationship Id="rId7" Type="http://schemas.openxmlformats.org/officeDocument/2006/relationships/chart" Target="../charts/chart121.xml"/><Relationship Id="rId8" Type="http://schemas.openxmlformats.org/officeDocument/2006/relationships/chart" Target="../charts/chart122.xml"/><Relationship Id="rId11" Type="http://schemas.openxmlformats.org/officeDocument/2006/relationships/chart" Target="../charts/chart125.xml"/><Relationship Id="rId10" Type="http://schemas.openxmlformats.org/officeDocument/2006/relationships/chart" Target="../charts/chart124.xml"/><Relationship Id="rId13" Type="http://schemas.openxmlformats.org/officeDocument/2006/relationships/chart" Target="../charts/chart127.xml"/><Relationship Id="rId12" Type="http://schemas.openxmlformats.org/officeDocument/2006/relationships/chart" Target="../charts/chart126.xml"/><Relationship Id="rId15" Type="http://schemas.openxmlformats.org/officeDocument/2006/relationships/chart" Target="../charts/chart129.xml"/><Relationship Id="rId14" Type="http://schemas.openxmlformats.org/officeDocument/2006/relationships/chart" Target="../charts/chart128.xml"/><Relationship Id="rId17" Type="http://schemas.openxmlformats.org/officeDocument/2006/relationships/image" Target="../media/image9.png"/><Relationship Id="rId16" Type="http://schemas.openxmlformats.org/officeDocument/2006/relationships/chart" Target="../charts/chart130.xml"/><Relationship Id="rId18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20" Type="http://schemas.openxmlformats.org/officeDocument/2006/relationships/image" Target="../media/image8.png"/><Relationship Id="rId1" Type="http://schemas.openxmlformats.org/officeDocument/2006/relationships/image" Target="../media/Chart149.png"/><Relationship Id="rId2" Type="http://schemas.openxmlformats.org/officeDocument/2006/relationships/image" Target="../media/Chart150.png"/><Relationship Id="rId3" Type="http://schemas.openxmlformats.org/officeDocument/2006/relationships/image" Target="../media/Chart151.png"/><Relationship Id="rId4" Type="http://schemas.openxmlformats.org/officeDocument/2006/relationships/chart" Target="../charts/chart131.xml"/><Relationship Id="rId9" Type="http://schemas.openxmlformats.org/officeDocument/2006/relationships/chart" Target="../charts/chart134.xml"/><Relationship Id="rId5" Type="http://schemas.openxmlformats.org/officeDocument/2006/relationships/chart" Target="../charts/chart132.xml"/><Relationship Id="rId6" Type="http://schemas.openxmlformats.org/officeDocument/2006/relationships/image" Target="../media/Chart154.png"/><Relationship Id="rId7" Type="http://schemas.openxmlformats.org/officeDocument/2006/relationships/image" Target="../media/Chart155.png"/><Relationship Id="rId8" Type="http://schemas.openxmlformats.org/officeDocument/2006/relationships/chart" Target="../charts/chart133.xml"/><Relationship Id="rId11" Type="http://schemas.openxmlformats.org/officeDocument/2006/relationships/image" Target="../media/Chart169.png"/><Relationship Id="rId10" Type="http://schemas.openxmlformats.org/officeDocument/2006/relationships/image" Target="../media/Chart158.png"/><Relationship Id="rId13" Type="http://schemas.openxmlformats.org/officeDocument/2006/relationships/image" Target="../media/Chart175.png"/><Relationship Id="rId12" Type="http://schemas.openxmlformats.org/officeDocument/2006/relationships/image" Target="../media/Chart174.png"/><Relationship Id="rId15" Type="http://schemas.openxmlformats.org/officeDocument/2006/relationships/image" Target="../media/Chart177.png"/><Relationship Id="rId14" Type="http://schemas.openxmlformats.org/officeDocument/2006/relationships/image" Target="../media/Chart176.png"/><Relationship Id="rId17" Type="http://schemas.openxmlformats.org/officeDocument/2006/relationships/image" Target="../media/Chart179.png"/><Relationship Id="rId16" Type="http://schemas.openxmlformats.org/officeDocument/2006/relationships/image" Target="../media/Chart178.png"/><Relationship Id="rId19" Type="http://schemas.openxmlformats.org/officeDocument/2006/relationships/image" Target="../media/image9.png"/><Relationship Id="rId18" Type="http://schemas.openxmlformats.org/officeDocument/2006/relationships/image" Target="../media/Chart18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159.png"/><Relationship Id="rId2" Type="http://schemas.openxmlformats.org/officeDocument/2006/relationships/image" Target="../media/Chart160.png"/><Relationship Id="rId3" Type="http://schemas.openxmlformats.org/officeDocument/2006/relationships/image" Target="../media/Chart162.png"/><Relationship Id="rId4" Type="http://schemas.openxmlformats.org/officeDocument/2006/relationships/chart" Target="../charts/chart135.xml"/><Relationship Id="rId5" Type="http://schemas.openxmlformats.org/officeDocument/2006/relationships/chart" Target="../charts/chart136.xml"/><Relationship Id="rId6" Type="http://schemas.openxmlformats.org/officeDocument/2006/relationships/chart" Target="../charts/chart13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61.png"/><Relationship Id="rId2" Type="http://schemas.openxmlformats.org/officeDocument/2006/relationships/image" Target="../media/Chart164.png"/><Relationship Id="rId3" Type="http://schemas.openxmlformats.org/officeDocument/2006/relationships/image" Target="../media/Chart168.png"/><Relationship Id="rId4" Type="http://schemas.openxmlformats.org/officeDocument/2006/relationships/chart" Target="../charts/chart138.xml"/><Relationship Id="rId5" Type="http://schemas.openxmlformats.org/officeDocument/2006/relationships/chart" Target="../charts/chart139.xml"/><Relationship Id="rId6" Type="http://schemas.openxmlformats.org/officeDocument/2006/relationships/chart" Target="../charts/chart14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790575</xdr:colOff>
      <xdr:row>0</xdr:row>
      <xdr:rowOff>371475</xdr:rowOff>
    </xdr:from>
    <xdr:ext cx="1647825" cy="4095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286000" cy="18478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286000" cy="18478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286000" cy="18478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286000" cy="18478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286000" cy="18478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286000" cy="184785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286000" cy="18478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286000" cy="184785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286000" cy="184785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0025" cy="1524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1524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152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1524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1524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00025" cy="1524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1524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0025" cy="1524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1524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23</xdr:row>
      <xdr:rowOff>38100</xdr:rowOff>
    </xdr:from>
    <xdr:ext cx="5619750" cy="3162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38100</xdr:colOff>
      <xdr:row>3</xdr:row>
      <xdr:rowOff>57150</xdr:rowOff>
    </xdr:from>
    <xdr:ext cx="5619750" cy="31623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47625</xdr:colOff>
      <xdr:row>184</xdr:row>
      <xdr:rowOff>19050</xdr:rowOff>
    </xdr:from>
    <xdr:ext cx="7924800" cy="3162300"/>
    <mc:AlternateContent>
      <mc:Choice Requires="cx1">
        <xdr:graphicFrame>
          <xdr:nvGraphicFramePr>
            <xdr:cNvPr id="11" name="Chart 11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12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4</xdr:col>
      <xdr:colOff>38100</xdr:colOff>
      <xdr:row>204</xdr:row>
      <xdr:rowOff>180975</xdr:rowOff>
    </xdr:from>
    <xdr:ext cx="7800975" cy="31623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38100</xdr:colOff>
      <xdr:row>225</xdr:row>
      <xdr:rowOff>38100</xdr:rowOff>
    </xdr:from>
    <xdr:ext cx="7562850" cy="316230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38100</xdr:colOff>
      <xdr:row>245</xdr:row>
      <xdr:rowOff>104775</xdr:rowOff>
    </xdr:from>
    <xdr:ext cx="7562850" cy="316230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57150</xdr:colOff>
      <xdr:row>58</xdr:row>
      <xdr:rowOff>133350</xdr:rowOff>
    </xdr:from>
    <xdr:ext cx="8162925" cy="316230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38100</xdr:colOff>
      <xdr:row>79</xdr:row>
      <xdr:rowOff>171450</xdr:rowOff>
    </xdr:from>
    <xdr:ext cx="5619750" cy="31623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38100</xdr:colOff>
      <xdr:row>121</xdr:row>
      <xdr:rowOff>152400</xdr:rowOff>
    </xdr:from>
    <xdr:ext cx="5619750" cy="316230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57150</xdr:colOff>
      <xdr:row>162</xdr:row>
      <xdr:rowOff>95250</xdr:rowOff>
    </xdr:from>
    <xdr:ext cx="5619750" cy="316230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38100</xdr:colOff>
      <xdr:row>286</xdr:row>
      <xdr:rowOff>28575</xdr:rowOff>
    </xdr:from>
    <xdr:ext cx="5619750" cy="316230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38100</xdr:colOff>
      <xdr:row>100</xdr:row>
      <xdr:rowOff>114300</xdr:rowOff>
    </xdr:from>
    <xdr:ext cx="7639050" cy="3162300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57150</xdr:colOff>
      <xdr:row>142</xdr:row>
      <xdr:rowOff>76200</xdr:rowOff>
    </xdr:from>
    <xdr:ext cx="7915275" cy="3162300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4</xdr:col>
      <xdr:colOff>38100</xdr:colOff>
      <xdr:row>306</xdr:row>
      <xdr:rowOff>57150</xdr:rowOff>
    </xdr:from>
    <xdr:ext cx="5619750" cy="3162300"/>
    <xdr:pic>
      <xdr:nvPicPr>
        <xdr:cNvPr id="1533995778" name="Chart6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265</xdr:row>
      <xdr:rowOff>38100</xdr:rowOff>
    </xdr:from>
    <xdr:ext cx="5619750" cy="3162300"/>
    <xdr:graphicFrame>
      <xdr:nvGraphicFramePr>
        <xdr:cNvPr id="103" name="Chart 1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47625</xdr:colOff>
      <xdr:row>3</xdr:row>
      <xdr:rowOff>57150</xdr:rowOff>
    </xdr:from>
    <xdr:ext cx="5619750" cy="3162300"/>
    <xdr:graphicFrame>
      <xdr:nvGraphicFramePr>
        <xdr:cNvPr id="106" name="Chart 1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47625</xdr:colOff>
      <xdr:row>23</xdr:row>
      <xdr:rowOff>38100</xdr:rowOff>
    </xdr:from>
    <xdr:ext cx="5619750" cy="3162300"/>
    <xdr:graphicFrame>
      <xdr:nvGraphicFramePr>
        <xdr:cNvPr id="107" name="Chart 1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</xdr:col>
      <xdr:colOff>47625</xdr:colOff>
      <xdr:row>58</xdr:row>
      <xdr:rowOff>133350</xdr:rowOff>
    </xdr:from>
    <xdr:ext cx="8162925" cy="3162300"/>
    <xdr:graphicFrame>
      <xdr:nvGraphicFramePr>
        <xdr:cNvPr id="108" name="Chart 1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47625</xdr:colOff>
      <xdr:row>79</xdr:row>
      <xdr:rowOff>171450</xdr:rowOff>
    </xdr:from>
    <xdr:ext cx="5619750" cy="3162300"/>
    <xdr:graphicFrame>
      <xdr:nvGraphicFramePr>
        <xdr:cNvPr id="109" name="Chart 1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5</xdr:col>
      <xdr:colOff>38100</xdr:colOff>
      <xdr:row>100</xdr:row>
      <xdr:rowOff>114300</xdr:rowOff>
    </xdr:from>
    <xdr:ext cx="7639050" cy="3162300"/>
    <xdr:graphicFrame>
      <xdr:nvGraphicFramePr>
        <xdr:cNvPr id="110" name="Chart 1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5</xdr:col>
      <xdr:colOff>47625</xdr:colOff>
      <xdr:row>121</xdr:row>
      <xdr:rowOff>152400</xdr:rowOff>
    </xdr:from>
    <xdr:ext cx="5619750" cy="3162300"/>
    <xdr:graphicFrame>
      <xdr:nvGraphicFramePr>
        <xdr:cNvPr id="111" name="Chart 1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57150</xdr:colOff>
      <xdr:row>142</xdr:row>
      <xdr:rowOff>76200</xdr:rowOff>
    </xdr:from>
    <xdr:ext cx="7915275" cy="3162300"/>
    <xdr:graphicFrame>
      <xdr:nvGraphicFramePr>
        <xdr:cNvPr id="112" name="Chart 1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47625</xdr:colOff>
      <xdr:row>162</xdr:row>
      <xdr:rowOff>95250</xdr:rowOff>
    </xdr:from>
    <xdr:ext cx="5619750" cy="3162300"/>
    <xdr:graphicFrame>
      <xdr:nvGraphicFramePr>
        <xdr:cNvPr id="113" name="Chart 1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5</xdr:col>
      <xdr:colOff>47625</xdr:colOff>
      <xdr:row>184</xdr:row>
      <xdr:rowOff>19050</xdr:rowOff>
    </xdr:from>
    <xdr:ext cx="7924800" cy="3162300"/>
    <mc:AlternateContent>
      <mc:Choice Requires="cx1">
        <xdr:graphicFrame>
          <xdr:nvGraphicFramePr>
            <xdr:cNvPr id="114" name="Chart 114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24"/>
            </a:graphicData>
          </a:graphic>
        </xdr:graphicFrame>
      </mc:Choice>
      <mc:Fallback>
        <xdr:sp>
          <xdr:nvSpPr>
            <xdr:cNvPr id="115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</xdr:col>
      <xdr:colOff>38100</xdr:colOff>
      <xdr:row>204</xdr:row>
      <xdr:rowOff>180975</xdr:rowOff>
    </xdr:from>
    <xdr:ext cx="7800975" cy="3162300"/>
    <xdr:graphicFrame>
      <xdr:nvGraphicFramePr>
        <xdr:cNvPr id="117" name="Chart 1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5</xdr:col>
      <xdr:colOff>38100</xdr:colOff>
      <xdr:row>225</xdr:row>
      <xdr:rowOff>38100</xdr:rowOff>
    </xdr:from>
    <xdr:ext cx="7562850" cy="3162300"/>
    <xdr:graphicFrame>
      <xdr:nvGraphicFramePr>
        <xdr:cNvPr id="119" name="Chart 1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5</xdr:col>
      <xdr:colOff>38100</xdr:colOff>
      <xdr:row>245</xdr:row>
      <xdr:rowOff>104775</xdr:rowOff>
    </xdr:from>
    <xdr:ext cx="7562850" cy="3162300"/>
    <xdr:graphicFrame>
      <xdr:nvGraphicFramePr>
        <xdr:cNvPr id="120" name="Chart 1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5</xdr:col>
      <xdr:colOff>38100</xdr:colOff>
      <xdr:row>265</xdr:row>
      <xdr:rowOff>38100</xdr:rowOff>
    </xdr:from>
    <xdr:ext cx="5619750" cy="3162300"/>
    <xdr:graphicFrame>
      <xdr:nvGraphicFramePr>
        <xdr:cNvPr id="121" name="Chart 1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5</xdr:col>
      <xdr:colOff>38100</xdr:colOff>
      <xdr:row>306</xdr:row>
      <xdr:rowOff>57150</xdr:rowOff>
    </xdr:from>
    <xdr:ext cx="5619750" cy="3162300"/>
    <xdr:pic>
      <xdr:nvPicPr>
        <xdr:cNvPr id="1604733939" name="Chart1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39</xdr:row>
      <xdr:rowOff>38100</xdr:rowOff>
    </xdr:from>
    <xdr:ext cx="7562850" cy="3162300"/>
    <xdr:graphicFrame>
      <xdr:nvGraphicFramePr>
        <xdr:cNvPr id="135" name="Chart 1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5</xdr:col>
      <xdr:colOff>47625</xdr:colOff>
      <xdr:row>39</xdr:row>
      <xdr:rowOff>38100</xdr:rowOff>
    </xdr:from>
    <xdr:ext cx="7562850" cy="3162300"/>
    <xdr:graphicFrame>
      <xdr:nvGraphicFramePr>
        <xdr:cNvPr id="136" name="Chart 1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5</xdr:col>
      <xdr:colOff>38100</xdr:colOff>
      <xdr:row>286</xdr:row>
      <xdr:rowOff>28575</xdr:rowOff>
    </xdr:from>
    <xdr:ext cx="5619750" cy="3162300"/>
    <xdr:graphicFrame>
      <xdr:nvGraphicFramePr>
        <xdr:cNvPr id="137" name="Chart 1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1</xdr:col>
      <xdr:colOff>28575</xdr:colOff>
      <xdr:row>21</xdr:row>
      <xdr:rowOff>161925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24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126</xdr:row>
      <xdr:rowOff>66675</xdr:rowOff>
    </xdr:from>
    <xdr:ext cx="5619750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3</xdr:row>
      <xdr:rowOff>190500</xdr:rowOff>
    </xdr:from>
    <xdr:ext cx="5619750" cy="3162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95250</xdr:colOff>
      <xdr:row>43</xdr:row>
      <xdr:rowOff>66675</xdr:rowOff>
    </xdr:from>
    <xdr:ext cx="5619750" cy="28575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</xdr:colOff>
      <xdr:row>82</xdr:row>
      <xdr:rowOff>95250</xdr:rowOff>
    </xdr:from>
    <xdr:ext cx="5705475" cy="34575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95250</xdr:colOff>
      <xdr:row>62</xdr:row>
      <xdr:rowOff>28575</xdr:rowOff>
    </xdr:from>
    <xdr:ext cx="5619750" cy="31623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95250</xdr:colOff>
      <xdr:row>23</xdr:row>
      <xdr:rowOff>9525</xdr:rowOff>
    </xdr:from>
    <xdr:ext cx="5619750" cy="3162300"/>
    <xdr:pic>
      <xdr:nvPicPr>
        <xdr:cNvPr id="1897600849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105</xdr:row>
      <xdr:rowOff>38100</xdr:rowOff>
    </xdr:from>
    <xdr:ext cx="5705475" cy="3457575"/>
    <xdr:graphicFrame>
      <xdr:nvGraphicFramePr>
        <xdr:cNvPr id="81" name="Chart 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76200</xdr:colOff>
      <xdr:row>148</xdr:row>
      <xdr:rowOff>38100</xdr:rowOff>
    </xdr:from>
    <xdr:ext cx="5619750" cy="3162300"/>
    <xdr:graphicFrame>
      <xdr:nvGraphicFramePr>
        <xdr:cNvPr id="83" name="Chart 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76200</xdr:colOff>
      <xdr:row>168</xdr:row>
      <xdr:rowOff>9525</xdr:rowOff>
    </xdr:from>
    <xdr:ext cx="5619750" cy="3143250"/>
    <xdr:graphicFrame>
      <xdr:nvGraphicFramePr>
        <xdr:cNvPr id="85" name="Chart 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76200</xdr:colOff>
      <xdr:row>188</xdr:row>
      <xdr:rowOff>19050</xdr:rowOff>
    </xdr:from>
    <xdr:ext cx="5619750" cy="3162300"/>
    <xdr:pic>
      <xdr:nvPicPr>
        <xdr:cNvPr id="2058251195" name="Chart8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208</xdr:row>
      <xdr:rowOff>47625</xdr:rowOff>
    </xdr:from>
    <xdr:ext cx="5600700" cy="3209925"/>
    <xdr:graphicFrame>
      <xdr:nvGraphicFramePr>
        <xdr:cNvPr id="125" name="Chart 1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95250</xdr:colOff>
      <xdr:row>232</xdr:row>
      <xdr:rowOff>76200</xdr:rowOff>
    </xdr:from>
    <xdr:ext cx="5600700" cy="3533775"/>
    <xdr:graphicFrame>
      <xdr:nvGraphicFramePr>
        <xdr:cNvPr id="127" name="Chart 1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76200</xdr:colOff>
      <xdr:row>3</xdr:row>
      <xdr:rowOff>171450</xdr:rowOff>
    </xdr:from>
    <xdr:ext cx="5619750" cy="3162300"/>
    <xdr:graphicFrame>
      <xdr:nvGraphicFramePr>
        <xdr:cNvPr id="129" name="Chart 1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123825</xdr:colOff>
      <xdr:row>23</xdr:row>
      <xdr:rowOff>9525</xdr:rowOff>
    </xdr:from>
    <xdr:ext cx="5619750" cy="3162300"/>
    <xdr:pic>
      <xdr:nvPicPr>
        <xdr:cNvPr id="1169795474" name="Chart1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291</xdr:row>
      <xdr:rowOff>95250</xdr:rowOff>
    </xdr:from>
    <xdr:ext cx="8991600" cy="4400550"/>
    <xdr:graphicFrame>
      <xdr:nvGraphicFramePr>
        <xdr:cNvPr id="138" name="Chart 1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123825</xdr:colOff>
      <xdr:row>43</xdr:row>
      <xdr:rowOff>66675</xdr:rowOff>
    </xdr:from>
    <xdr:ext cx="5619750" cy="2857500"/>
    <xdr:graphicFrame>
      <xdr:nvGraphicFramePr>
        <xdr:cNvPr id="139" name="Chart 1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123825</xdr:colOff>
      <xdr:row>62</xdr:row>
      <xdr:rowOff>28575</xdr:rowOff>
    </xdr:from>
    <xdr:ext cx="5619750" cy="3162300"/>
    <xdr:graphicFrame>
      <xdr:nvGraphicFramePr>
        <xdr:cNvPr id="140" name="Chart 1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</xdr:col>
      <xdr:colOff>123825</xdr:colOff>
      <xdr:row>82</xdr:row>
      <xdr:rowOff>95250</xdr:rowOff>
    </xdr:from>
    <xdr:ext cx="5705475" cy="3457575"/>
    <xdr:graphicFrame>
      <xdr:nvGraphicFramePr>
        <xdr:cNvPr id="141" name="Chart 1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38100</xdr:colOff>
      <xdr:row>105</xdr:row>
      <xdr:rowOff>38100</xdr:rowOff>
    </xdr:from>
    <xdr:ext cx="5705475" cy="3457575"/>
    <xdr:graphicFrame>
      <xdr:nvGraphicFramePr>
        <xdr:cNvPr id="142" name="Chart 1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5</xdr:col>
      <xdr:colOff>95250</xdr:colOff>
      <xdr:row>126</xdr:row>
      <xdr:rowOff>66675</xdr:rowOff>
    </xdr:from>
    <xdr:ext cx="5619750" cy="3162300"/>
    <xdr:graphicFrame>
      <xdr:nvGraphicFramePr>
        <xdr:cNvPr id="143" name="Chart 1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5</xdr:col>
      <xdr:colOff>76200</xdr:colOff>
      <xdr:row>148</xdr:row>
      <xdr:rowOff>38100</xdr:rowOff>
    </xdr:from>
    <xdr:ext cx="5619750" cy="3162300"/>
    <xdr:graphicFrame>
      <xdr:nvGraphicFramePr>
        <xdr:cNvPr id="144" name="Chart 1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76200</xdr:colOff>
      <xdr:row>168</xdr:row>
      <xdr:rowOff>9525</xdr:rowOff>
    </xdr:from>
    <xdr:ext cx="5619750" cy="3143250"/>
    <xdr:graphicFrame>
      <xdr:nvGraphicFramePr>
        <xdr:cNvPr id="145" name="Chart 1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76200</xdr:colOff>
      <xdr:row>188</xdr:row>
      <xdr:rowOff>19050</xdr:rowOff>
    </xdr:from>
    <xdr:ext cx="5619750" cy="3162300"/>
    <xdr:pic>
      <xdr:nvPicPr>
        <xdr:cNvPr id="1511805980" name="Chart14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208</xdr:row>
      <xdr:rowOff>47625</xdr:rowOff>
    </xdr:from>
    <xdr:ext cx="5600700" cy="3209925"/>
    <xdr:graphicFrame>
      <xdr:nvGraphicFramePr>
        <xdr:cNvPr id="147" name="Chart 1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5</xdr:col>
      <xdr:colOff>95250</xdr:colOff>
      <xdr:row>232</xdr:row>
      <xdr:rowOff>76200</xdr:rowOff>
    </xdr:from>
    <xdr:ext cx="5600700" cy="3533775"/>
    <xdr:graphicFrame>
      <xdr:nvGraphicFramePr>
        <xdr:cNvPr id="148" name="Chart 1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</xdr:col>
      <xdr:colOff>219075</xdr:colOff>
      <xdr:row>18</xdr:row>
      <xdr:rowOff>85725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21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3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44</xdr:row>
      <xdr:rowOff>285750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</xdr:colOff>
      <xdr:row>87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76200</xdr:colOff>
      <xdr:row>108</xdr:row>
      <xdr:rowOff>133350</xdr:rowOff>
    </xdr:from>
    <xdr:ext cx="7077075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76200</xdr:colOff>
      <xdr:row>129</xdr:row>
      <xdr:rowOff>57150</xdr:rowOff>
    </xdr:from>
    <xdr:ext cx="65913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85725</xdr:colOff>
      <xdr:row>149</xdr:row>
      <xdr:rowOff>57150</xdr:rowOff>
    </xdr:from>
    <xdr:ext cx="6829425" cy="36671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76200</xdr:colOff>
      <xdr:row>23</xdr:row>
      <xdr:rowOff>0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76200</xdr:colOff>
      <xdr:row>66</xdr:row>
      <xdr:rowOff>19050</xdr:rowOff>
    </xdr:from>
    <xdr:ext cx="7077075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95250</xdr:colOff>
      <xdr:row>170</xdr:row>
      <xdr:rowOff>114300</xdr:rowOff>
    </xdr:from>
    <xdr:ext cx="7286625" cy="3667125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76200</xdr:colOff>
      <xdr:row>212</xdr:row>
      <xdr:rowOff>123825</xdr:rowOff>
    </xdr:from>
    <xdr:ext cx="7286625" cy="5534025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76200</xdr:colOff>
      <xdr:row>244</xdr:row>
      <xdr:rowOff>171450</xdr:rowOff>
    </xdr:from>
    <xdr:ext cx="7353300" cy="5067300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104775</xdr:colOff>
      <xdr:row>341</xdr:row>
      <xdr:rowOff>85725</xdr:rowOff>
    </xdr:from>
    <xdr:ext cx="9744075" cy="4810125"/>
    <xdr:graphicFrame>
      <xdr:nvGraphicFramePr>
        <xdr:cNvPr id="72" name="Chart 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76200</xdr:colOff>
      <xdr:row>3</xdr:row>
      <xdr:rowOff>38100</xdr:rowOff>
    </xdr:from>
    <xdr:ext cx="5715000" cy="3533775"/>
    <xdr:graphicFrame>
      <xdr:nvGraphicFramePr>
        <xdr:cNvPr id="73" name="Chart 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76200</xdr:colOff>
      <xdr:row>23</xdr:row>
      <xdr:rowOff>0</xdr:rowOff>
    </xdr:from>
    <xdr:ext cx="5715000" cy="3533775"/>
    <xdr:graphicFrame>
      <xdr:nvGraphicFramePr>
        <xdr:cNvPr id="74" name="Chart 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76200</xdr:colOff>
      <xdr:row>44</xdr:row>
      <xdr:rowOff>285750</xdr:rowOff>
    </xdr:from>
    <xdr:ext cx="5715000" cy="3533775"/>
    <xdr:graphicFrame>
      <xdr:nvGraphicFramePr>
        <xdr:cNvPr id="75" name="Chart 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76200</xdr:colOff>
      <xdr:row>66</xdr:row>
      <xdr:rowOff>19050</xdr:rowOff>
    </xdr:from>
    <xdr:ext cx="7077075" cy="3533775"/>
    <xdr:graphicFrame>
      <xdr:nvGraphicFramePr>
        <xdr:cNvPr id="76" name="Chart 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76200</xdr:colOff>
      <xdr:row>87</xdr:row>
      <xdr:rowOff>95250</xdr:rowOff>
    </xdr:from>
    <xdr:ext cx="5715000" cy="3533775"/>
    <xdr:graphicFrame>
      <xdr:nvGraphicFramePr>
        <xdr:cNvPr id="77" name="Chart 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</xdr:col>
      <xdr:colOff>76200</xdr:colOff>
      <xdr:row>108</xdr:row>
      <xdr:rowOff>133350</xdr:rowOff>
    </xdr:from>
    <xdr:ext cx="7077075" cy="3533775"/>
    <xdr:graphicFrame>
      <xdr:nvGraphicFramePr>
        <xdr:cNvPr id="78" name="Chart 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76200</xdr:colOff>
      <xdr:row>129</xdr:row>
      <xdr:rowOff>57150</xdr:rowOff>
    </xdr:from>
    <xdr:ext cx="6591300" cy="3533775"/>
    <xdr:graphicFrame>
      <xdr:nvGraphicFramePr>
        <xdr:cNvPr id="79" name="Chart 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5</xdr:col>
      <xdr:colOff>85725</xdr:colOff>
      <xdr:row>149</xdr:row>
      <xdr:rowOff>57150</xdr:rowOff>
    </xdr:from>
    <xdr:ext cx="6829425" cy="3667125"/>
    <xdr:graphicFrame>
      <xdr:nvGraphicFramePr>
        <xdr:cNvPr id="80" name="Chart 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5</xdr:col>
      <xdr:colOff>95250</xdr:colOff>
      <xdr:row>170</xdr:row>
      <xdr:rowOff>114300</xdr:rowOff>
    </xdr:from>
    <xdr:ext cx="7286625" cy="3667125"/>
    <xdr:graphicFrame>
      <xdr:nvGraphicFramePr>
        <xdr:cNvPr id="86" name="Chart 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85725</xdr:colOff>
      <xdr:row>191</xdr:row>
      <xdr:rowOff>95250</xdr:rowOff>
    </xdr:from>
    <xdr:ext cx="7343775" cy="3667125"/>
    <xdr:graphicFrame>
      <xdr:nvGraphicFramePr>
        <xdr:cNvPr id="98" name="Chart 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76200</xdr:colOff>
      <xdr:row>212</xdr:row>
      <xdr:rowOff>123825</xdr:rowOff>
    </xdr:from>
    <xdr:ext cx="7667625" cy="5534025"/>
    <xdr:graphicFrame>
      <xdr:nvGraphicFramePr>
        <xdr:cNvPr id="101" name="Chart 1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5</xdr:col>
      <xdr:colOff>76200</xdr:colOff>
      <xdr:row>244</xdr:row>
      <xdr:rowOff>171450</xdr:rowOff>
    </xdr:from>
    <xdr:ext cx="7353300" cy="5067300"/>
    <xdr:graphicFrame>
      <xdr:nvGraphicFramePr>
        <xdr:cNvPr id="104" name="Chart 1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4</xdr:col>
      <xdr:colOff>85725</xdr:colOff>
      <xdr:row>191</xdr:row>
      <xdr:rowOff>95250</xdr:rowOff>
    </xdr:from>
    <xdr:ext cx="7343775" cy="3667125"/>
    <xdr:graphicFrame>
      <xdr:nvGraphicFramePr>
        <xdr:cNvPr id="116" name="Chart 1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4</xdr:col>
      <xdr:colOff>104775</xdr:colOff>
      <xdr:row>366</xdr:row>
      <xdr:rowOff>142875</xdr:rowOff>
    </xdr:from>
    <xdr:ext cx="9744075" cy="4810125"/>
    <xdr:graphicFrame>
      <xdr:nvGraphicFramePr>
        <xdr:cNvPr id="118" name="Chart 1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</xdr:col>
      <xdr:colOff>28575</xdr:colOff>
      <xdr:row>19</xdr:row>
      <xdr:rowOff>85725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21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3</xdr:row>
      <xdr:rowOff>95250</xdr:rowOff>
    </xdr:from>
    <xdr:ext cx="5619750" cy="3162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85725</xdr:colOff>
      <xdr:row>23</xdr:row>
      <xdr:rowOff>190500</xdr:rowOff>
    </xdr:from>
    <xdr:ext cx="5619750" cy="3162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85725</xdr:colOff>
      <xdr:row>45</xdr:row>
      <xdr:rowOff>57150</xdr:rowOff>
    </xdr:from>
    <xdr:ext cx="5619750" cy="30861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161925</xdr:colOff>
      <xdr:row>65</xdr:row>
      <xdr:rowOff>285750</xdr:rowOff>
    </xdr:from>
    <xdr:ext cx="5715000" cy="37623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85725</xdr:colOff>
      <xdr:row>65</xdr:row>
      <xdr:rowOff>200025</xdr:rowOff>
    </xdr:from>
    <xdr:ext cx="5467350" cy="28575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152400</xdr:colOff>
      <xdr:row>108</xdr:row>
      <xdr:rowOff>76200</xdr:rowOff>
    </xdr:from>
    <xdr:ext cx="600075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85725</xdr:colOff>
      <xdr:row>129</xdr:row>
      <xdr:rowOff>57150</xdr:rowOff>
    </xdr:from>
    <xdr:ext cx="6000750" cy="37052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1647825</xdr:colOff>
      <xdr:row>133</xdr:row>
      <xdr:rowOff>190500</xdr:rowOff>
    </xdr:from>
    <xdr:ext cx="5257800" cy="27146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85725</xdr:colOff>
      <xdr:row>152</xdr:row>
      <xdr:rowOff>114300</xdr:rowOff>
    </xdr:from>
    <xdr:ext cx="5715000" cy="35337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1743075</xdr:colOff>
      <xdr:row>158</xdr:row>
      <xdr:rowOff>19050</xdr:rowOff>
    </xdr:from>
    <xdr:ext cx="2400300" cy="15335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438150</xdr:colOff>
      <xdr:row>174</xdr:row>
      <xdr:rowOff>190500</xdr:rowOff>
    </xdr:from>
    <xdr:ext cx="2247900" cy="13811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171450</xdr:colOff>
      <xdr:row>173</xdr:row>
      <xdr:rowOff>114300</xdr:rowOff>
    </xdr:from>
    <xdr:ext cx="2781300" cy="175260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2676525</xdr:colOff>
      <xdr:row>174</xdr:row>
      <xdr:rowOff>171450</xdr:rowOff>
    </xdr:from>
    <xdr:ext cx="2247900" cy="138112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4</xdr:col>
      <xdr:colOff>457200</xdr:colOff>
      <xdr:row>184</xdr:row>
      <xdr:rowOff>57150</xdr:rowOff>
    </xdr:from>
    <xdr:ext cx="2209800" cy="138112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4</xdr:col>
      <xdr:colOff>952500</xdr:colOff>
      <xdr:row>176</xdr:row>
      <xdr:rowOff>66675</xdr:rowOff>
    </xdr:from>
    <xdr:ext cx="1209675" cy="771525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4</xdr:col>
      <xdr:colOff>3190875</xdr:colOff>
      <xdr:row>176</xdr:row>
      <xdr:rowOff>66675</xdr:rowOff>
    </xdr:from>
    <xdr:ext cx="1209675" cy="77152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4</xdr:col>
      <xdr:colOff>2457450</xdr:colOff>
      <xdr:row>173</xdr:row>
      <xdr:rowOff>85725</xdr:rowOff>
    </xdr:from>
    <xdr:ext cx="2781300" cy="175260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4</xdr:col>
      <xdr:colOff>857250</xdr:colOff>
      <xdr:row>185</xdr:row>
      <xdr:rowOff>123825</xdr:rowOff>
    </xdr:from>
    <xdr:ext cx="1400175" cy="83820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4</xdr:col>
      <xdr:colOff>171450</xdr:colOff>
      <xdr:row>182</xdr:row>
      <xdr:rowOff>142875</xdr:rowOff>
    </xdr:from>
    <xdr:ext cx="2781300" cy="175260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4</xdr:col>
      <xdr:colOff>142875</xdr:colOff>
      <xdr:row>87</xdr:row>
      <xdr:rowOff>38100</xdr:rowOff>
    </xdr:from>
    <xdr:ext cx="6000750" cy="3705225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5</xdr:col>
      <xdr:colOff>76200</xdr:colOff>
      <xdr:row>3</xdr:row>
      <xdr:rowOff>95250</xdr:rowOff>
    </xdr:from>
    <xdr:ext cx="5619750" cy="316230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85725</xdr:colOff>
      <xdr:row>23</xdr:row>
      <xdr:rowOff>190500</xdr:rowOff>
    </xdr:from>
    <xdr:ext cx="5619750" cy="316230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5</xdr:col>
      <xdr:colOff>85725</xdr:colOff>
      <xdr:row>45</xdr:row>
      <xdr:rowOff>57150</xdr:rowOff>
    </xdr:from>
    <xdr:ext cx="5619750" cy="308610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5</xdr:col>
      <xdr:colOff>142875</xdr:colOff>
      <xdr:row>87</xdr:row>
      <xdr:rowOff>38100</xdr:rowOff>
    </xdr:from>
    <xdr:ext cx="6000750" cy="3705225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5</xdr:col>
      <xdr:colOff>152400</xdr:colOff>
      <xdr:row>108</xdr:row>
      <xdr:rowOff>76200</xdr:rowOff>
    </xdr:from>
    <xdr:ext cx="6000750" cy="3533775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5</xdr:col>
      <xdr:colOff>85725</xdr:colOff>
      <xdr:row>129</xdr:row>
      <xdr:rowOff>57150</xdr:rowOff>
    </xdr:from>
    <xdr:ext cx="6000750" cy="3705225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5</xdr:col>
      <xdr:colOff>1647825</xdr:colOff>
      <xdr:row>133</xdr:row>
      <xdr:rowOff>190500</xdr:rowOff>
    </xdr:from>
    <xdr:ext cx="5257800" cy="2714625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5</xdr:col>
      <xdr:colOff>85725</xdr:colOff>
      <xdr:row>152</xdr:row>
      <xdr:rowOff>114300</xdr:rowOff>
    </xdr:from>
    <xdr:ext cx="5715000" cy="3533775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5</xdr:col>
      <xdr:colOff>76200</xdr:colOff>
      <xdr:row>172</xdr:row>
      <xdr:rowOff>180975</xdr:rowOff>
    </xdr:from>
    <xdr:ext cx="2943225" cy="203835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5</xdr:col>
      <xdr:colOff>3324225</xdr:colOff>
      <xdr:row>172</xdr:row>
      <xdr:rowOff>247650</xdr:rowOff>
    </xdr:from>
    <xdr:ext cx="2743200" cy="1971675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5</xdr:col>
      <xdr:colOff>28575</xdr:colOff>
      <xdr:row>64</xdr:row>
      <xdr:rowOff>38100</xdr:rowOff>
    </xdr:from>
    <xdr:ext cx="5715000" cy="3762375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5</xdr:col>
      <xdr:colOff>28575</xdr:colOff>
      <xdr:row>64</xdr:row>
      <xdr:rowOff>38100</xdr:rowOff>
    </xdr:from>
    <xdr:ext cx="5467350" cy="285750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5</xdr:col>
      <xdr:colOff>3343275</xdr:colOff>
      <xdr:row>184</xdr:row>
      <xdr:rowOff>47625</xdr:rowOff>
    </xdr:from>
    <xdr:ext cx="2705100" cy="194310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5</xdr:col>
      <xdr:colOff>3552825</xdr:colOff>
      <xdr:row>185</xdr:row>
      <xdr:rowOff>133350</xdr:rowOff>
    </xdr:from>
    <xdr:ext cx="2209800" cy="1381125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5</xdr:col>
      <xdr:colOff>3305175</xdr:colOff>
      <xdr:row>184</xdr:row>
      <xdr:rowOff>0</xdr:rowOff>
    </xdr:from>
    <xdr:ext cx="2781300" cy="175260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5</xdr:col>
      <xdr:colOff>3533775</xdr:colOff>
      <xdr:row>173</xdr:row>
      <xdr:rowOff>209550</xdr:rowOff>
    </xdr:from>
    <xdr:ext cx="2247900" cy="1381125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5</xdr:col>
      <xdr:colOff>371475</xdr:colOff>
      <xdr:row>173</xdr:row>
      <xdr:rowOff>209550</xdr:rowOff>
    </xdr:from>
    <xdr:ext cx="2247900" cy="1381125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5</xdr:col>
      <xdr:colOff>104775</xdr:colOff>
      <xdr:row>172</xdr:row>
      <xdr:rowOff>200025</xdr:rowOff>
    </xdr:from>
    <xdr:ext cx="2781300" cy="1752600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5</xdr:col>
      <xdr:colOff>3295650</xdr:colOff>
      <xdr:row>172</xdr:row>
      <xdr:rowOff>200025</xdr:rowOff>
    </xdr:from>
    <xdr:ext cx="2809875" cy="1752600"/>
    <xdr:graphicFrame>
      <xdr:nvGraphicFramePr>
        <xdr:cNvPr id="71" name="Chart 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5</xdr:col>
      <xdr:colOff>95250</xdr:colOff>
      <xdr:row>64</xdr:row>
      <xdr:rowOff>76200</xdr:rowOff>
    </xdr:from>
    <xdr:ext cx="4429125" cy="2609850"/>
    <xdr:sp>
      <xdr:nvSpPr>
        <xdr:cNvPr id="3" name="Shape 3"/>
        <xdr:cNvSpPr/>
      </xdr:nvSpPr>
      <xdr:spPr>
        <a:xfrm>
          <a:off x="1136900" y="1197825"/>
          <a:ext cx="4405500" cy="2588400"/>
        </a:xfrm>
        <a:prstGeom prst="rect">
          <a:avLst/>
        </a:prstGeom>
        <a:solidFill>
          <a:srgbClr val="262E32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190500</xdr:colOff>
      <xdr:row>16</xdr:row>
      <xdr:rowOff>180975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20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6496050" cy="3686175"/>
    <xdr:graphicFrame>
      <xdr:nvGraphicFramePr>
        <xdr:cNvPr id="82" name="Chart 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23</xdr:row>
      <xdr:rowOff>19050</xdr:rowOff>
    </xdr:from>
    <xdr:ext cx="7458075" cy="3933825"/>
    <xdr:graphicFrame>
      <xdr:nvGraphicFramePr>
        <xdr:cNvPr id="84" name="Chart 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45</xdr:row>
      <xdr:rowOff>19050</xdr:rowOff>
    </xdr:from>
    <xdr:ext cx="6496050" cy="3857625"/>
    <xdr:graphicFrame>
      <xdr:nvGraphicFramePr>
        <xdr:cNvPr id="87" name="Chart 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66</xdr:row>
      <xdr:rowOff>0</xdr:rowOff>
    </xdr:from>
    <xdr:ext cx="6496050" cy="3533775"/>
    <xdr:graphicFrame>
      <xdr:nvGraphicFramePr>
        <xdr:cNvPr id="89" name="Chart 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0</xdr:colOff>
      <xdr:row>87</xdr:row>
      <xdr:rowOff>76200</xdr:rowOff>
    </xdr:from>
    <xdr:ext cx="6496050" cy="3533775"/>
    <xdr:graphicFrame>
      <xdr:nvGraphicFramePr>
        <xdr:cNvPr id="90" name="Chart 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0</xdr:colOff>
      <xdr:row>107</xdr:row>
      <xdr:rowOff>285750</xdr:rowOff>
    </xdr:from>
    <xdr:ext cx="6496050" cy="3533775"/>
    <xdr:graphicFrame>
      <xdr:nvGraphicFramePr>
        <xdr:cNvPr id="91" name="Chart 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0</xdr:colOff>
      <xdr:row>129</xdr:row>
      <xdr:rowOff>9525</xdr:rowOff>
    </xdr:from>
    <xdr:ext cx="7458075" cy="3533775"/>
    <xdr:graphicFrame>
      <xdr:nvGraphicFramePr>
        <xdr:cNvPr id="92" name="Chart 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</xdr:col>
      <xdr:colOff>200025</xdr:colOff>
      <xdr:row>152</xdr:row>
      <xdr:rowOff>0</xdr:rowOff>
    </xdr:from>
    <xdr:ext cx="6515100" cy="3533775"/>
    <xdr:graphicFrame>
      <xdr:nvGraphicFramePr>
        <xdr:cNvPr id="93" name="Chart 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0</xdr:colOff>
      <xdr:row>3</xdr:row>
      <xdr:rowOff>0</xdr:rowOff>
    </xdr:from>
    <xdr:ext cx="6496050" cy="3686175"/>
    <xdr:graphicFrame>
      <xdr:nvGraphicFramePr>
        <xdr:cNvPr id="94" name="Chart 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19050</xdr:rowOff>
    </xdr:from>
    <xdr:ext cx="7458075" cy="3933825"/>
    <xdr:graphicFrame>
      <xdr:nvGraphicFramePr>
        <xdr:cNvPr id="95" name="Chart 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0</xdr:colOff>
      <xdr:row>45</xdr:row>
      <xdr:rowOff>19050</xdr:rowOff>
    </xdr:from>
    <xdr:ext cx="6496050" cy="3857625"/>
    <xdr:graphicFrame>
      <xdr:nvGraphicFramePr>
        <xdr:cNvPr id="96" name="Chart 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0</xdr:colOff>
      <xdr:row>66</xdr:row>
      <xdr:rowOff>0</xdr:rowOff>
    </xdr:from>
    <xdr:ext cx="6496050" cy="3533775"/>
    <xdr:graphicFrame>
      <xdr:nvGraphicFramePr>
        <xdr:cNvPr id="97" name="Chart 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0</xdr:colOff>
      <xdr:row>87</xdr:row>
      <xdr:rowOff>76200</xdr:rowOff>
    </xdr:from>
    <xdr:ext cx="6496050" cy="3533775"/>
    <xdr:graphicFrame>
      <xdr:nvGraphicFramePr>
        <xdr:cNvPr id="99" name="Chart 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0</xdr:colOff>
      <xdr:row>107</xdr:row>
      <xdr:rowOff>285750</xdr:rowOff>
    </xdr:from>
    <xdr:ext cx="6496050" cy="3533775"/>
    <xdr:graphicFrame>
      <xdr:nvGraphicFramePr>
        <xdr:cNvPr id="100" name="Chart 1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0</xdr:colOff>
      <xdr:row>129</xdr:row>
      <xdr:rowOff>9525</xdr:rowOff>
    </xdr:from>
    <xdr:ext cx="7458075" cy="3533775"/>
    <xdr:graphicFrame>
      <xdr:nvGraphicFramePr>
        <xdr:cNvPr id="102" name="Chart 1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200025</xdr:colOff>
      <xdr:row>152</xdr:row>
      <xdr:rowOff>0</xdr:rowOff>
    </xdr:from>
    <xdr:ext cx="6515100" cy="3533775"/>
    <xdr:graphicFrame>
      <xdr:nvGraphicFramePr>
        <xdr:cNvPr id="105" name="Chart 1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</xdr:col>
      <xdr:colOff>9525</xdr:colOff>
      <xdr:row>17</xdr:row>
      <xdr:rowOff>171450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21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3</xdr:row>
      <xdr:rowOff>19050</xdr:rowOff>
    </xdr:from>
    <xdr:ext cx="6915150" cy="4067175"/>
    <xdr:pic>
      <xdr:nvPicPr>
        <xdr:cNvPr id="361952171" name="Chart1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82</xdr:row>
      <xdr:rowOff>495300</xdr:rowOff>
    </xdr:from>
    <xdr:ext cx="6915150" cy="4067175"/>
    <xdr:pic>
      <xdr:nvPicPr>
        <xdr:cNvPr id="374068595" name="Chart1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106</xdr:row>
      <xdr:rowOff>152400</xdr:rowOff>
    </xdr:from>
    <xdr:ext cx="6915150" cy="4067175"/>
    <xdr:pic>
      <xdr:nvPicPr>
        <xdr:cNvPr id="1861795405" name="Chart1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26</xdr:row>
      <xdr:rowOff>57150</xdr:rowOff>
    </xdr:from>
    <xdr:ext cx="6915150" cy="4238625"/>
    <xdr:pic>
      <xdr:nvPicPr>
        <xdr:cNvPr id="739148088" name="Chart1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19050</xdr:rowOff>
    </xdr:from>
    <xdr:ext cx="6915150" cy="4067175"/>
    <xdr:pic>
      <xdr:nvPicPr>
        <xdr:cNvPr id="365391223" name="Chart1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26</xdr:row>
      <xdr:rowOff>57150</xdr:rowOff>
    </xdr:from>
    <xdr:ext cx="6915150" cy="4238625"/>
    <xdr:pic>
      <xdr:nvPicPr>
        <xdr:cNvPr id="1840051700" name="Chart1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82</xdr:row>
      <xdr:rowOff>495300</xdr:rowOff>
    </xdr:from>
    <xdr:ext cx="6915150" cy="4067175"/>
    <xdr:pic>
      <xdr:nvPicPr>
        <xdr:cNvPr id="1191531509" name="Chart1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106</xdr:row>
      <xdr:rowOff>152400</xdr:rowOff>
    </xdr:from>
    <xdr:ext cx="6915150" cy="4067175"/>
    <xdr:pic>
      <xdr:nvPicPr>
        <xdr:cNvPr id="635910391" name="Chart1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</xdr:row>
      <xdr:rowOff>171450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21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13</xdr:row>
      <xdr:rowOff>171450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17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12</xdr:row>
      <xdr:rowOff>180975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16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2</xdr:row>
      <xdr:rowOff>190500</xdr:rowOff>
    </xdr:from>
    <xdr:ext cx="2057400" cy="923925"/>
    <xdr:pic>
      <xdr:nvPicPr>
        <xdr:cNvPr id="1954350187" name="Chart14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8</xdr:row>
      <xdr:rowOff>95250</xdr:rowOff>
    </xdr:from>
    <xdr:ext cx="2057400" cy="828675"/>
    <xdr:pic>
      <xdr:nvPicPr>
        <xdr:cNvPr id="1446448538" name="Chart15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13</xdr:row>
      <xdr:rowOff>133350</xdr:rowOff>
    </xdr:from>
    <xdr:ext cx="2057400" cy="828675"/>
    <xdr:pic>
      <xdr:nvPicPr>
        <xdr:cNvPr id="1872682363" name="Chart15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25</xdr:row>
      <xdr:rowOff>190500</xdr:rowOff>
    </xdr:from>
    <xdr:ext cx="5657850" cy="3790950"/>
    <xdr:graphicFrame>
      <xdr:nvGraphicFramePr>
        <xdr:cNvPr id="152" name="Chart 1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209550</xdr:colOff>
      <xdr:row>25</xdr:row>
      <xdr:rowOff>190500</xdr:rowOff>
    </xdr:from>
    <xdr:ext cx="5657850" cy="3790950"/>
    <xdr:graphicFrame>
      <xdr:nvGraphicFramePr>
        <xdr:cNvPr id="153" name="Chart 1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190500</xdr:colOff>
      <xdr:row>49</xdr:row>
      <xdr:rowOff>190500</xdr:rowOff>
    </xdr:from>
    <xdr:ext cx="4200525" cy="2790825"/>
    <xdr:pic>
      <xdr:nvPicPr>
        <xdr:cNvPr id="1922022245" name="Chart15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49</xdr:row>
      <xdr:rowOff>190500</xdr:rowOff>
    </xdr:from>
    <xdr:ext cx="4200525" cy="2790825"/>
    <xdr:pic>
      <xdr:nvPicPr>
        <xdr:cNvPr id="1391586156" name="Chart15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73</xdr:row>
      <xdr:rowOff>57150</xdr:rowOff>
    </xdr:from>
    <xdr:ext cx="6848475" cy="4276725"/>
    <xdr:graphicFrame>
      <xdr:nvGraphicFramePr>
        <xdr:cNvPr id="156" name="Chart 1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200025</xdr:colOff>
      <xdr:row>73</xdr:row>
      <xdr:rowOff>57150</xdr:rowOff>
    </xdr:from>
    <xdr:ext cx="6848475" cy="4276725"/>
    <xdr:graphicFrame>
      <xdr:nvGraphicFramePr>
        <xdr:cNvPr id="157" name="Chart 1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</xdr:col>
      <xdr:colOff>190500</xdr:colOff>
      <xdr:row>112</xdr:row>
      <xdr:rowOff>76200</xdr:rowOff>
    </xdr:from>
    <xdr:ext cx="6848475" cy="2047875"/>
    <xdr:pic>
      <xdr:nvPicPr>
        <xdr:cNvPr id="626876827" name="Chart15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112</xdr:row>
      <xdr:rowOff>76200</xdr:rowOff>
    </xdr:from>
    <xdr:ext cx="6848475" cy="2047875"/>
    <xdr:pic>
      <xdr:nvPicPr>
        <xdr:cNvPr id="1292993160" name="Chart16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130</xdr:row>
      <xdr:rowOff>66675</xdr:rowOff>
    </xdr:from>
    <xdr:ext cx="6848475" cy="3533775"/>
    <xdr:pic>
      <xdr:nvPicPr>
        <xdr:cNvPr id="550892990" name="Chart17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130</xdr:row>
      <xdr:rowOff>66675</xdr:rowOff>
    </xdr:from>
    <xdr:ext cx="6848475" cy="3533775"/>
    <xdr:pic>
      <xdr:nvPicPr>
        <xdr:cNvPr id="1021860224" name="Chart17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152</xdr:row>
      <xdr:rowOff>38100</xdr:rowOff>
    </xdr:from>
    <xdr:ext cx="6848475" cy="3533775"/>
    <xdr:pic>
      <xdr:nvPicPr>
        <xdr:cNvPr id="1876996410" name="Chart17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152</xdr:row>
      <xdr:rowOff>47625</xdr:rowOff>
    </xdr:from>
    <xdr:ext cx="6848475" cy="3533775"/>
    <xdr:pic>
      <xdr:nvPicPr>
        <xdr:cNvPr id="1540973110" name="Chart17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3667125</xdr:colOff>
      <xdr:row>2</xdr:row>
      <xdr:rowOff>190500</xdr:rowOff>
    </xdr:from>
    <xdr:ext cx="2057400" cy="923925"/>
    <xdr:pic>
      <xdr:nvPicPr>
        <xdr:cNvPr id="1661028674" name="Chart17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3667125</xdr:colOff>
      <xdr:row>8</xdr:row>
      <xdr:rowOff>95250</xdr:rowOff>
    </xdr:from>
    <xdr:ext cx="2057400" cy="828675"/>
    <xdr:pic>
      <xdr:nvPicPr>
        <xdr:cNvPr id="1317022772" name="Chart17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3667125</xdr:colOff>
      <xdr:row>13</xdr:row>
      <xdr:rowOff>133350</xdr:rowOff>
    </xdr:from>
    <xdr:ext cx="2057400" cy="828675"/>
    <xdr:pic>
      <xdr:nvPicPr>
        <xdr:cNvPr id="1679461819" name="Chart18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1600200</xdr:colOff>
      <xdr:row>42</xdr:row>
      <xdr:rowOff>95250</xdr:rowOff>
    </xdr:from>
    <xdr:ext cx="1257300" cy="361950"/>
    <xdr:sp>
      <xdr:nvSpPr>
        <xdr:cNvPr id="4" name="Shape 4"/>
        <xdr:cNvSpPr txBox="1"/>
      </xdr:nvSpPr>
      <xdr:spPr>
        <a:xfrm>
          <a:off x="1015100" y="700425"/>
          <a:ext cx="1238400" cy="33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CFE2F3"/>
              </a:solidFill>
              <a:latin typeface="Roboto"/>
              <a:ea typeface="Roboto"/>
              <a:cs typeface="Roboto"/>
              <a:sym typeface="Roboto"/>
            </a:rPr>
            <a:t>Durability</a:t>
          </a:r>
          <a:endParaRPr sz="1000">
            <a:solidFill>
              <a:srgbClr val="CFE2F3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5</xdr:col>
      <xdr:colOff>3514725</xdr:colOff>
      <xdr:row>35</xdr:row>
      <xdr:rowOff>38100</xdr:rowOff>
    </xdr:from>
    <xdr:ext cx="914400" cy="361950"/>
    <xdr:sp>
      <xdr:nvSpPr>
        <xdr:cNvPr id="5" name="Shape 5"/>
        <xdr:cNvSpPr txBox="1"/>
      </xdr:nvSpPr>
      <xdr:spPr>
        <a:xfrm>
          <a:off x="456800" y="345125"/>
          <a:ext cx="893400" cy="33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C9DAF8"/>
              </a:solidFill>
              <a:latin typeface="Roboto"/>
              <a:ea typeface="Roboto"/>
              <a:cs typeface="Roboto"/>
              <a:sym typeface="Roboto"/>
            </a:rPr>
            <a:t>Price</a:t>
          </a:r>
          <a:endParaRPr sz="1000">
            <a:solidFill>
              <a:srgbClr val="C9DAF8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5</xdr:col>
      <xdr:colOff>1847850</xdr:colOff>
      <xdr:row>28</xdr:row>
      <xdr:rowOff>28575</xdr:rowOff>
    </xdr:from>
    <xdr:ext cx="771525" cy="361950"/>
    <xdr:sp>
      <xdr:nvSpPr>
        <xdr:cNvPr id="6" name="Shape 6"/>
        <xdr:cNvSpPr txBox="1"/>
      </xdr:nvSpPr>
      <xdr:spPr>
        <a:xfrm>
          <a:off x="1989600" y="466950"/>
          <a:ext cx="751200" cy="33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CFE2F3"/>
              </a:solidFill>
              <a:latin typeface="Roboto"/>
              <a:ea typeface="Roboto"/>
              <a:cs typeface="Roboto"/>
              <a:sym typeface="Roboto"/>
            </a:rPr>
            <a:t>Quality</a:t>
          </a:r>
          <a:endParaRPr sz="1000">
            <a:solidFill>
              <a:srgbClr val="CFE2F3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4</xdr:col>
      <xdr:colOff>6838950</xdr:colOff>
      <xdr:row>35</xdr:row>
      <xdr:rowOff>38100</xdr:rowOff>
    </xdr:from>
    <xdr:ext cx="1733550" cy="361950"/>
    <xdr:sp>
      <xdr:nvSpPr>
        <xdr:cNvPr id="7" name="Shape 7"/>
        <xdr:cNvSpPr txBox="1"/>
      </xdr:nvSpPr>
      <xdr:spPr>
        <a:xfrm>
          <a:off x="1035400" y="781625"/>
          <a:ext cx="1715400" cy="33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CFE2F3"/>
              </a:solidFill>
              <a:latin typeface="Roboto"/>
              <a:ea typeface="Roboto"/>
              <a:cs typeface="Roboto"/>
              <a:sym typeface="Roboto"/>
            </a:rPr>
            <a:t>Satisfaction</a:t>
          </a:r>
          <a:endParaRPr sz="1000">
            <a:solidFill>
              <a:srgbClr val="CFE2F3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1</xdr:col>
      <xdr:colOff>9525</xdr:colOff>
      <xdr:row>16</xdr:row>
      <xdr:rowOff>161925</xdr:rowOff>
    </xdr:from>
    <xdr:ext cx="1285875" cy="323850"/>
    <xdr:pic>
      <xdr:nvPicPr>
        <xdr:cNvPr id="0" name="image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20</xdr:row>
      <xdr:rowOff>133350</xdr:rowOff>
    </xdr:from>
    <xdr:ext cx="2257425" cy="457200"/>
    <xdr:pic>
      <xdr:nvPicPr>
        <xdr:cNvPr id="0" name="image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7</xdr:row>
      <xdr:rowOff>123825</xdr:rowOff>
    </xdr:from>
    <xdr:ext cx="2752725" cy="5524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7</xdr:row>
      <xdr:rowOff>542925</xdr:rowOff>
    </xdr:from>
    <xdr:ext cx="4248150" cy="2552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573125" cy="35814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2</xdr:row>
      <xdr:rowOff>38100</xdr:rowOff>
    </xdr:from>
    <xdr:ext cx="2714625" cy="923925"/>
    <xdr:pic>
      <xdr:nvPicPr>
        <xdr:cNvPr id="1729330752" name="Chart15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</xdr:row>
      <xdr:rowOff>38100</xdr:rowOff>
    </xdr:from>
    <xdr:ext cx="2714625" cy="923925"/>
    <xdr:pic>
      <xdr:nvPicPr>
        <xdr:cNvPr id="362190809" name="Chart16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</xdr:row>
      <xdr:rowOff>38100</xdr:rowOff>
    </xdr:from>
    <xdr:ext cx="2714625" cy="923925"/>
    <xdr:pic>
      <xdr:nvPicPr>
        <xdr:cNvPr id="1708317479" name="Chart16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7</xdr:row>
      <xdr:rowOff>123825</xdr:rowOff>
    </xdr:from>
    <xdr:ext cx="5619750" cy="3457575"/>
    <xdr:graphicFrame>
      <xdr:nvGraphicFramePr>
        <xdr:cNvPr id="163" name="Chart 1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47625</xdr:colOff>
      <xdr:row>7</xdr:row>
      <xdr:rowOff>123825</xdr:rowOff>
    </xdr:from>
    <xdr:ext cx="5705475" cy="3457575"/>
    <xdr:graphicFrame>
      <xdr:nvGraphicFramePr>
        <xdr:cNvPr id="165" name="Chart 1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276225</xdr:colOff>
      <xdr:row>25</xdr:row>
      <xdr:rowOff>142875</xdr:rowOff>
    </xdr:from>
    <xdr:ext cx="11544300" cy="3390900"/>
    <xdr:graphicFrame>
      <xdr:nvGraphicFramePr>
        <xdr:cNvPr id="166" name="Chart 1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152400</xdr:colOff>
      <xdr:row>2</xdr:row>
      <xdr:rowOff>38100</xdr:rowOff>
    </xdr:from>
    <xdr:ext cx="2714625" cy="923925"/>
    <xdr:pic>
      <xdr:nvPicPr>
        <xdr:cNvPr id="1568588649" name="Chart16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2</xdr:row>
      <xdr:rowOff>38100</xdr:rowOff>
    </xdr:from>
    <xdr:ext cx="2714625" cy="923925"/>
    <xdr:pic>
      <xdr:nvPicPr>
        <xdr:cNvPr id="547374294" name="Chart16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</xdr:row>
      <xdr:rowOff>38100</xdr:rowOff>
    </xdr:from>
    <xdr:ext cx="2714625" cy="923925"/>
    <xdr:pic>
      <xdr:nvPicPr>
        <xdr:cNvPr id="563580003" name="Chart16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</xdr:row>
      <xdr:rowOff>38100</xdr:rowOff>
    </xdr:from>
    <xdr:ext cx="2714625" cy="923925"/>
    <xdr:pic>
      <xdr:nvPicPr>
        <xdr:cNvPr id="1838819245" name="Chart16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7</xdr:row>
      <xdr:rowOff>123825</xdr:rowOff>
    </xdr:from>
    <xdr:ext cx="5619750" cy="3457575"/>
    <xdr:graphicFrame>
      <xdr:nvGraphicFramePr>
        <xdr:cNvPr id="170" name="Chart 1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47625</xdr:colOff>
      <xdr:row>7</xdr:row>
      <xdr:rowOff>123825</xdr:rowOff>
    </xdr:from>
    <xdr:ext cx="5705475" cy="3457575"/>
    <xdr:graphicFrame>
      <xdr:nvGraphicFramePr>
        <xdr:cNvPr id="171" name="Chart 1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276225</xdr:colOff>
      <xdr:row>25</xdr:row>
      <xdr:rowOff>142875</xdr:rowOff>
    </xdr:from>
    <xdr:ext cx="11544300" cy="3390900"/>
    <xdr:graphicFrame>
      <xdr:nvGraphicFramePr>
        <xdr:cNvPr id="172" name="Chart 1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152400</xdr:colOff>
      <xdr:row>2</xdr:row>
      <xdr:rowOff>38100</xdr:rowOff>
    </xdr:from>
    <xdr:ext cx="2714625" cy="923925"/>
    <xdr:pic>
      <xdr:nvPicPr>
        <xdr:cNvPr id="1454494536" name="Chart17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096:I2091" sheet="Spark lines"/>
  </cacheSource>
  <cacheFields>
    <cacheField name="Date Rated" numFmtId="164">
      <sharedItems containsSemiMixedTypes="0" containsDate="1" containsString="0">
        <d v="2024-01-01T00:00:00Z"/>
        <d v="2024-01-02T00:00:00Z"/>
        <d v="2024-01-06T00:00:00Z"/>
        <d v="2024-01-08T00:00:00Z"/>
        <d v="2024-01-11T00:00:00Z"/>
        <d v="2024-01-13T00:00:00Z"/>
        <d v="2024-01-14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5T00:00:00Z"/>
        <d v="2024-01-26T00:00:00Z"/>
        <d v="2024-01-28T00:00:00Z"/>
        <d v="2024-01-31T00:00:00Z"/>
        <d v="2024-02-04T00:00:00Z"/>
        <d v="2024-02-06T00:00:00Z"/>
        <d v="2024-02-11T00:00:00Z"/>
        <d v="2024-02-14T00:00:00Z"/>
        <d v="2024-02-15T00:00:00Z"/>
        <d v="2024-02-16T00:00:00Z"/>
        <d v="2024-02-17T00:00:00Z"/>
        <d v="2024-02-20T00:00:00Z"/>
        <d v="2024-02-23T00:00:00Z"/>
        <d v="2024-02-24T00:00:00Z"/>
        <d v="2024-02-26T00:00:00Z"/>
        <d v="2024-02-27T00:00:00Z"/>
        <d v="2024-03-01T00:00:00Z"/>
        <d v="2024-03-02T00:00:00Z"/>
        <d v="2024-03-04T00:00:00Z"/>
        <d v="2024-03-05T00:00:00Z"/>
        <d v="2024-03-06T00:00:00Z"/>
        <d v="2024-03-07T00:00:00Z"/>
        <d v="2024-03-08T00:00:00Z"/>
        <d v="2024-03-09T00:00:00Z"/>
        <d v="2024-03-11T00:00:00Z"/>
        <d v="2024-03-15T00:00:00Z"/>
        <d v="2024-03-16T00:00:00Z"/>
        <d v="2024-03-18T00:00:00Z"/>
        <d v="2024-03-19T00:00:00Z"/>
        <d v="2024-03-22T00:00:00Z"/>
        <d v="2024-03-23T00:00:00Z"/>
        <d v="2024-03-24T00:00:00Z"/>
        <d v="2024-03-25T00:00:00Z"/>
        <d v="2024-03-28T00:00:00Z"/>
        <d v="2024-04-01T00:00:00Z"/>
        <d v="2024-04-02T00:00:00Z"/>
        <d v="2024-04-04T00:00:00Z"/>
        <d v="2024-04-10T00:00:00Z"/>
        <d v="2024-04-11T00:00:00Z"/>
        <d v="2024-04-14T00:00:00Z"/>
        <d v="2024-04-16T00:00:00Z"/>
        <d v="2024-04-17T00:00:00Z"/>
        <d v="2024-04-19T00:00:00Z"/>
        <d v="2024-04-21T00:00:00Z"/>
        <d v="2024-04-22T00:00:00Z"/>
        <d v="2024-04-25T00:00:00Z"/>
        <d v="2024-04-26T00:00:00Z"/>
        <d v="2024-04-29T00:00:00Z"/>
        <d v="2024-04-30T00:00:00Z"/>
        <d v="2024-05-01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6T00:00:00Z"/>
        <d v="2024-05-18T00:00:00Z"/>
        <d v="2024-05-22T00:00:00Z"/>
        <d v="2024-05-23T00:00:00Z"/>
        <d v="2024-05-24T00:00:00Z"/>
        <d v="2024-05-25T00:00:00Z"/>
        <d v="2024-05-27T00:00:00Z"/>
        <d v="2024-05-28T00:00:00Z"/>
        <d v="2024-05-29T00:00:00Z"/>
        <d v="2024-06-01T00:00:00Z"/>
        <d v="2024-06-08T00:00:00Z"/>
        <d v="2024-06-09T00:00:00Z"/>
        <d v="2024-06-14T00:00:00Z"/>
        <d v="2024-06-19T00:00:00Z"/>
        <d v="2024-06-20T00:00:00Z"/>
        <d v="2024-06-21T00:00:00Z"/>
        <d v="2024-06-23T00:00:00Z"/>
        <d v="2024-06-24T00:00:00Z"/>
        <d v="2024-06-28T00:00:00Z"/>
        <d v="2024-06-29T00:00:00Z"/>
        <d v="2024-07-04T00:00:00Z"/>
        <d v="2024-07-06T00:00:00Z"/>
        <d v="2024-07-07T00:00:00Z"/>
        <d v="2024-07-08T00:00:00Z"/>
        <d v="2024-07-10T00:00:00Z"/>
        <d v="2024-07-14T00:00:00Z"/>
        <d v="2024-07-15T00:00:00Z"/>
        <d v="2024-07-17T00:00:00Z"/>
        <d v="2024-07-18T00:00:00Z"/>
        <d v="2024-07-20T00:00:00Z"/>
        <d v="2024-07-26T00:00:00Z"/>
        <d v="2024-07-29T00:00:00Z"/>
        <d v="2024-08-01T00:00:00Z"/>
        <d v="2024-08-03T00:00:00Z"/>
        <d v="2024-08-04T00:00:00Z"/>
        <d v="2024-08-05T00:00:00Z"/>
        <d v="2024-08-06T00:00:00Z"/>
        <d v="2024-08-07T00:00:00Z"/>
        <d v="2024-08-08T00:00:00Z"/>
        <d v="2024-08-11T00:00:00Z"/>
        <d v="2024-08-17T00:00:00Z"/>
        <d v="2024-08-21T00:00:00Z"/>
        <d v="2024-08-23T00:00:00Z"/>
        <d v="2024-08-24T00:00:00Z"/>
        <d v="2024-08-25T00:00:00Z"/>
        <d v="2024-08-27T00:00:00Z"/>
        <d v="2024-08-31T00:00:00Z"/>
        <d v="2024-09-03T00:00:00Z"/>
        <d v="2024-09-04T00:00:00Z"/>
        <d v="2024-09-05T00:00:00Z"/>
        <d v="2024-09-14T00:00:00Z"/>
        <d v="2024-09-16T00:00:00Z"/>
        <d v="2024-09-17T00:00:00Z"/>
        <d v="2024-09-18T00:00:00Z"/>
        <d v="2024-09-19T00:00:00Z"/>
        <d v="2024-09-20T00:00:00Z"/>
        <d v="2024-09-22T00:00:00Z"/>
        <d v="2024-09-23T00:00:00Z"/>
        <d v="2024-09-24T00:00:00Z"/>
        <d v="2024-09-25T00:00:00Z"/>
        <d v="2024-09-27T00:00:00Z"/>
        <d v="2024-09-28T00:00:00Z"/>
        <d v="2024-09-30T00:00:00Z"/>
        <d v="2024-10-04T00:00:00Z"/>
        <d v="2024-10-06T00:00:00Z"/>
        <d v="2024-10-08T00:00:00Z"/>
        <d v="2024-10-09T00:00:00Z"/>
      </sharedItems>
    </cacheField>
    <cacheField name="Product" numFmtId="0">
      <sharedItems>
        <s v="A"/>
        <s v="B"/>
        <s v="C"/>
        <s v="D"/>
      </sharedItems>
    </cacheField>
    <cacheField name="Group" numFmtId="0">
      <sharedItems>
        <s v="Tech"/>
        <s v="Lead"/>
        <s v="Data"/>
        <s v="Plan"/>
        <s v="Ops"/>
      </sharedItems>
    </cacheField>
    <cacheField name="Rating" numFmtId="3">
      <sharedItems containsSemiMixedTypes="0" containsString="0" containsNumber="1" containsInteger="1">
        <n v="1.0"/>
        <n v="5.0"/>
        <n v="2.0"/>
        <n v="4.0"/>
        <n v="3.0"/>
      </sharedItems>
    </cacheField>
    <cacheField name="Average Rating" formula="rept(&quot;⭐️&quot;,round(average(Rating))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park lines 3" cacheId="0" dataCaption="" rowGrandTotals="0" compact="0" compactData="0">
  <location ref="N1096:Q1120" firstHeaderRow="0" firstDataRow="3" firstDataCol="0"/>
  <pivotFields>
    <pivotField name="Date R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Product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Group" axis="axisRow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Rating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  <field x="2"/>
  </rowFields>
  <colFields>
    <field x="-2"/>
  </colFields>
  <dataFields>
    <dataField name="Average" fld="3" subtotal="average" baseField="0"/>
    <dataField name="SUM of Average Rating" fld="4" baseField="0"/>
  </dataFields>
</pivotTableDefinition>
</file>

<file path=xl/pivotTables/pivotTable2.xml><?xml version="1.0" encoding="utf-8"?>
<pivotTableDefinition xmlns="http://schemas.openxmlformats.org/spreadsheetml/2006/main" name="Spark lines 4" cacheId="0" dataCaption="" rowGrandTotals="0" compact="0" compactData="0">
  <location ref="T1096:W1105" firstHeaderRow="0" firstDataRow="3" firstDataCol="0"/>
  <pivotFields>
    <pivotField name="Date R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Product" axis="axisRow" compact="0" outline="0" multipleItemSelectionAllowed="1" showAll="0" sortType="ascending">
      <items>
        <item x="0"/>
        <item sd="0" x="1"/>
        <item sd="0" x="2"/>
        <item sd="0" x="3"/>
        <item t="default"/>
      </items>
    </pivotField>
    <pivotField name="Group" axis="axisRow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Rating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  <field x="2"/>
  </rowFields>
  <colFields>
    <field x="-2"/>
  </colFields>
  <dataFields>
    <dataField name="Average" fld="3" subtotal="average" baseField="0"/>
    <dataField name="SUM of Average Rating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2E32"/>
      </a:dk1>
      <a:lt1>
        <a:srgbClr val="F3F3F3"/>
      </a:lt1>
      <a:dk2>
        <a:srgbClr val="262E32"/>
      </a:dk2>
      <a:lt2>
        <a:srgbClr val="F3F3F3"/>
      </a:lt2>
      <a:accent1>
        <a:srgbClr val="3053FF"/>
      </a:accent1>
      <a:accent2>
        <a:srgbClr val="3BCEE4"/>
      </a:accent2>
      <a:accent3>
        <a:srgbClr val="06C167"/>
      </a:accent3>
      <a:accent4>
        <a:srgbClr val="E142BC"/>
      </a:accent4>
      <a:accent5>
        <a:srgbClr val="7C3EC3"/>
      </a:accent5>
      <a:accent6>
        <a:srgbClr val="F6BC2F"/>
      </a:accent6>
      <a:hlink>
        <a:srgbClr val="3053FF"/>
      </a:hlink>
      <a:folHlink>
        <a:srgbClr val="3053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?utm_medium=referral&amp;utm_source=ultimate-chart-gallery&amp;utm_campaign=chart-gallery" TargetMode="External"/><Relationship Id="rId2" Type="http://schemas.openxmlformats.org/officeDocument/2006/relationships/hyperlink" Target="https://coefficient.io/google-sheets-templates?utm_medium=referral&amp;utm_source=ultimate-chart-gallery&amp;utm_campaign=chart-galler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hyperlink" Target="https://www.benlcollins.com/si1-visual-vocab?utm_source=coefficient-ultimate-chart-gallery&amp;utm_medium=referral&amp;utm_campaign=coefficient-ultimate-chart-gallery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hyperlink" Target="https://www.benlcollins.com/si1-visual-vocab?utm_source=coefficient-ultimate-chart-gallery&amp;utm_medium=referral&amp;utm_campaign=coefficient-ultimate-chart-gallery" TargetMode="External"/><Relationship Id="rId3" Type="http://schemas.openxmlformats.org/officeDocument/2006/relationships/hyperlink" Target="https://www.benlcollins.com/si1-visual-vocab?utm_source=coefficient-ultimate-chart-gallery&amp;utm_medium=referral&amp;utm_campaign=coefficient-ultimate-chart-gallery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hyperlink" Target="https://coefficient.io/google-sheets-templates?utm_medium=referral&amp;utm_source=ultimate-chart-gallery&amp;utm_campaign=chart-gallery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google-sheets-templates?utm_medium=referral&amp;utm_source=ultimate-chart-gallery&amp;utm_campaign=chart-gallery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product?utm_medium=referral&amp;utm_source=ultimate-chart-gallery&amp;utm_campaign=chart-gallery" TargetMode="External"/><Relationship Id="rId2" Type="http://schemas.openxmlformats.org/officeDocument/2006/relationships/hyperlink" Target="https://coefficient.io/i-am-unable-to-install-the-coefficient-google-sheets-extension?utm_medium=referral&amp;utm_source=ultimate-chart-gallery&amp;utm_campaign=chart-gallery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77F1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  <col customWidth="1" min="2" max="2" width="30.13"/>
    <col customWidth="1" min="3" max="3" width="2.63"/>
    <col customWidth="1" min="4" max="4" width="30.13"/>
    <col customWidth="1" min="5" max="5" width="2.63"/>
    <col customWidth="1" min="6" max="6" width="30.13"/>
    <col customWidth="1" min="7" max="7" width="2.63"/>
  </cols>
  <sheetData>
    <row r="1" ht="51.75" customHeight="1">
      <c r="A1" s="1"/>
      <c r="B1" s="2" t="s">
        <v>0</v>
      </c>
      <c r="F1" s="3"/>
      <c r="G1" s="3"/>
      <c r="H1" s="3"/>
    </row>
    <row r="2" ht="29.25" customHeight="1">
      <c r="A2" s="4"/>
      <c r="B2" s="5" t="s">
        <v>1</v>
      </c>
      <c r="F2" s="6"/>
      <c r="G2" s="6"/>
      <c r="H2" s="6"/>
    </row>
    <row r="3">
      <c r="A3" s="7"/>
      <c r="B3" s="8"/>
      <c r="C3" s="9"/>
      <c r="D3" s="10"/>
      <c r="E3" s="10"/>
      <c r="F3" s="10"/>
      <c r="G3" s="10"/>
      <c r="H3" s="10"/>
    </row>
    <row r="4" ht="145.5" customHeight="1">
      <c r="A4" s="7"/>
      <c r="B4" s="11"/>
      <c r="C4" s="12"/>
      <c r="D4" s="13"/>
      <c r="E4" s="14"/>
      <c r="F4" s="13"/>
      <c r="G4" s="14"/>
      <c r="H4" s="14"/>
    </row>
    <row r="5" ht="15.0" customHeight="1">
      <c r="A5" s="7"/>
      <c r="B5" s="15"/>
      <c r="C5" s="12"/>
      <c r="D5" s="14"/>
      <c r="E5" s="14"/>
      <c r="F5" s="14"/>
      <c r="G5" s="14"/>
      <c r="H5" s="14"/>
    </row>
    <row r="6" ht="145.5" customHeight="1">
      <c r="A6" s="7"/>
      <c r="B6" s="16"/>
      <c r="C6" s="12"/>
      <c r="D6" s="13"/>
      <c r="E6" s="14"/>
      <c r="F6" s="13"/>
      <c r="G6" s="14"/>
      <c r="H6" s="14"/>
    </row>
    <row r="7" ht="15.0" customHeight="1">
      <c r="A7" s="7"/>
      <c r="B7" s="15"/>
      <c r="C7" s="12"/>
      <c r="D7" s="14"/>
      <c r="E7" s="14"/>
      <c r="F7" s="14"/>
      <c r="G7" s="14"/>
      <c r="H7" s="14"/>
    </row>
    <row r="8" ht="145.5" customHeight="1">
      <c r="A8" s="7"/>
      <c r="B8" s="16"/>
      <c r="C8" s="12"/>
      <c r="D8" s="13"/>
      <c r="E8" s="14"/>
      <c r="F8" s="13"/>
      <c r="G8" s="14"/>
      <c r="H8" s="14"/>
    </row>
    <row r="9" ht="20.25" customHeight="1">
      <c r="A9" s="7"/>
      <c r="B9" s="15"/>
      <c r="C9" s="12"/>
      <c r="D9" s="14"/>
      <c r="E9" s="14"/>
      <c r="F9" s="14"/>
      <c r="G9" s="14"/>
      <c r="H9" s="14"/>
    </row>
    <row r="10" ht="30.0" customHeight="1">
      <c r="A10" s="7"/>
      <c r="B10" s="17" t="s">
        <v>2</v>
      </c>
      <c r="C10" s="18"/>
      <c r="D10" s="19" t="s">
        <v>3</v>
      </c>
      <c r="G10" s="14"/>
      <c r="H10" s="14"/>
    </row>
    <row r="11" ht="20.25" customHeight="1">
      <c r="A11" s="7"/>
      <c r="B11" s="15"/>
      <c r="C11" s="12"/>
      <c r="D11" s="14"/>
      <c r="E11" s="14"/>
      <c r="F11" s="14"/>
      <c r="G11" s="14"/>
      <c r="H11" s="14"/>
    </row>
    <row r="12" ht="20.25" customHeight="1">
      <c r="A12" s="7"/>
      <c r="B12" s="15"/>
      <c r="C12" s="12"/>
      <c r="D12" s="14"/>
      <c r="E12" s="14"/>
      <c r="F12" s="14"/>
      <c r="G12" s="14"/>
      <c r="H12" s="14"/>
    </row>
    <row r="13" ht="20.25" customHeight="1">
      <c r="A13" s="7"/>
      <c r="B13" s="15"/>
      <c r="C13" s="12"/>
      <c r="D13" s="14"/>
      <c r="E13" s="14"/>
      <c r="F13" s="14"/>
      <c r="G13" s="14"/>
      <c r="H13" s="14"/>
    </row>
    <row r="14" ht="20.25" hidden="1" customHeight="1">
      <c r="A14" s="7"/>
      <c r="B14" s="15"/>
      <c r="C14" s="12"/>
      <c r="D14" s="14"/>
      <c r="E14" s="14"/>
      <c r="F14" s="14"/>
      <c r="G14" s="14"/>
      <c r="H14" s="14"/>
    </row>
    <row r="15" ht="20.25" hidden="1" customHeight="1">
      <c r="A15" s="7"/>
      <c r="C15" s="12"/>
      <c r="D15" s="14"/>
      <c r="E15" s="14"/>
      <c r="F15" s="14"/>
      <c r="G15" s="14"/>
      <c r="H15" s="14"/>
    </row>
    <row r="16" ht="20.25" hidden="1" customHeight="1">
      <c r="A16" s="7"/>
      <c r="B16" s="15"/>
      <c r="C16" s="12"/>
      <c r="D16" s="14"/>
      <c r="E16" s="14"/>
      <c r="F16" s="14"/>
      <c r="G16" s="14"/>
      <c r="H16" s="14"/>
    </row>
    <row r="17" ht="20.25" hidden="1" customHeight="1">
      <c r="A17" s="7"/>
      <c r="B17" s="15"/>
      <c r="C17" s="12"/>
      <c r="D17" s="14"/>
      <c r="E17" s="14"/>
      <c r="F17" s="14"/>
      <c r="G17" s="14"/>
      <c r="H17" s="14"/>
    </row>
    <row r="18" ht="20.25" hidden="1" customHeight="1">
      <c r="A18" s="7"/>
      <c r="B18" s="15"/>
      <c r="C18" s="12"/>
      <c r="D18" s="14"/>
      <c r="E18" s="14"/>
      <c r="F18" s="14"/>
      <c r="G18" s="14"/>
      <c r="H18" s="14"/>
    </row>
    <row r="19" ht="20.25" hidden="1" customHeight="1">
      <c r="A19" s="7"/>
      <c r="B19" s="15"/>
      <c r="C19" s="12"/>
      <c r="D19" s="14"/>
      <c r="E19" s="14"/>
      <c r="F19" s="14"/>
      <c r="G19" s="14"/>
      <c r="H19" s="14"/>
    </row>
    <row r="20" ht="20.25" hidden="1" customHeight="1">
      <c r="A20" s="20"/>
      <c r="B20" s="15"/>
      <c r="C20" s="21" t="s">
        <v>4</v>
      </c>
      <c r="D20" s="22" t="s">
        <v>5</v>
      </c>
      <c r="E20" s="20"/>
      <c r="F20" s="20"/>
      <c r="G20" s="20"/>
      <c r="H20" s="20"/>
    </row>
    <row r="21" ht="20.25" hidden="1" customHeight="1">
      <c r="A21" s="20"/>
      <c r="B21" s="23"/>
      <c r="C21" s="24"/>
      <c r="D21" s="22" t="s">
        <v>6</v>
      </c>
      <c r="E21" s="20"/>
      <c r="F21" s="20"/>
      <c r="G21" s="20"/>
      <c r="H21" s="20"/>
    </row>
    <row r="22" ht="20.25" hidden="1" customHeight="1">
      <c r="A22" s="20"/>
      <c r="B22" s="23"/>
      <c r="C22" s="20"/>
      <c r="D22" s="22" t="s">
        <v>7</v>
      </c>
      <c r="E22" s="20"/>
      <c r="F22" s="20"/>
      <c r="G22" s="20"/>
      <c r="H22" s="20"/>
    </row>
    <row r="23" ht="20.25" hidden="1" customHeight="1">
      <c r="A23" s="20"/>
      <c r="B23" s="23"/>
      <c r="C23" s="20"/>
      <c r="D23" s="22" t="s">
        <v>8</v>
      </c>
      <c r="E23" s="20"/>
      <c r="F23" s="20"/>
      <c r="G23" s="20"/>
      <c r="H23" s="20"/>
    </row>
    <row r="24" ht="20.25" hidden="1" customHeight="1">
      <c r="A24" s="20"/>
      <c r="B24" s="23"/>
      <c r="C24" s="15"/>
      <c r="D24" s="22" t="s">
        <v>9</v>
      </c>
      <c r="E24" s="20"/>
      <c r="F24" s="20"/>
      <c r="G24" s="20"/>
      <c r="H24" s="20"/>
    </row>
    <row r="25" ht="20.25" hidden="1" customHeight="1">
      <c r="A25" s="20"/>
      <c r="B25" s="23"/>
      <c r="C25" s="20"/>
      <c r="D25" s="22" t="s">
        <v>10</v>
      </c>
      <c r="E25" s="20"/>
      <c r="F25" s="20"/>
      <c r="G25" s="20"/>
      <c r="H25" s="20"/>
    </row>
    <row r="26" ht="20.25" hidden="1" customHeight="1">
      <c r="A26" s="20"/>
      <c r="B26" s="23"/>
      <c r="C26" s="20"/>
      <c r="D26" s="22" t="s">
        <v>11</v>
      </c>
      <c r="E26" s="20"/>
      <c r="F26" s="20"/>
      <c r="G26" s="20"/>
      <c r="H26" s="20"/>
    </row>
    <row r="27" ht="20.25" hidden="1" customHeight="1">
      <c r="A27" s="20"/>
      <c r="B27" s="23"/>
      <c r="C27" s="15"/>
      <c r="D27" s="22" t="s">
        <v>12</v>
      </c>
      <c r="E27" s="20"/>
      <c r="F27" s="20"/>
      <c r="G27" s="20"/>
      <c r="H27" s="20"/>
    </row>
    <row r="28" ht="20.25" hidden="1" customHeight="1">
      <c r="A28" s="20"/>
      <c r="B28" s="23"/>
      <c r="C28" s="20"/>
      <c r="D28" s="22" t="s">
        <v>13</v>
      </c>
      <c r="E28" s="20"/>
      <c r="F28" s="20"/>
      <c r="G28" s="20"/>
      <c r="H28" s="20"/>
    </row>
    <row r="29" ht="20.25" hidden="1" customHeight="1">
      <c r="A29" s="20"/>
      <c r="B29" s="23"/>
      <c r="C29" s="20"/>
      <c r="D29" s="22" t="s">
        <v>14</v>
      </c>
      <c r="E29" s="20"/>
      <c r="F29" s="20"/>
      <c r="G29" s="20"/>
      <c r="H29" s="20"/>
    </row>
    <row r="30" ht="20.25" hidden="1" customHeight="1">
      <c r="A30" s="20"/>
      <c r="B30" s="15"/>
      <c r="C30" s="12"/>
      <c r="D30" s="20"/>
      <c r="E30" s="20"/>
      <c r="F30" s="20"/>
      <c r="G30" s="20"/>
      <c r="H30" s="20"/>
    </row>
  </sheetData>
  <mergeCells count="3">
    <mergeCell ref="B1:E1"/>
    <mergeCell ref="B2:E2"/>
    <mergeCell ref="D10:F10"/>
  </mergeCells>
  <hyperlinks>
    <hyperlink r:id="rId1" ref="B2"/>
    <hyperlink display="" location="'Bar and Column Charts'!A1" ref="B4"/>
    <hyperlink display="" location="'Line Charts'!A1" ref="D4"/>
    <hyperlink display="" location="'Area Charts'!A1" ref="F4"/>
    <hyperlink display="" location="'Pie Charts'!A1" ref="B6"/>
    <hyperlink display="" location="'Scatter+Bubble Charts '!A1" ref="D6"/>
    <hyperlink display="" location="'Geo Charts'!A1" ref="F6"/>
    <hyperlink display="" location="'Spark lines'!A1" ref="B8"/>
    <hyperlink display="" location="'Grid Charts'!A1" ref="D8"/>
    <hyperlink display="" location="'Misc Charts'!A1" ref="F8"/>
    <hyperlink r:id="rId2" ref="D1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111.13"/>
    <col customWidth="1" min="6" max="6" width="109.75"/>
    <col customWidth="1" min="7" max="7" width="3.75"/>
    <col customWidth="1" min="8" max="8" width="2.88"/>
    <col customWidth="1" min="9" max="9" width="23.13"/>
    <col customWidth="1" min="10" max="23" width="13.88"/>
  </cols>
  <sheetData>
    <row r="1">
      <c r="A1" s="25"/>
      <c r="B1" s="26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>
      <c r="A2" s="25"/>
      <c r="B2" s="28" t="s">
        <v>328</v>
      </c>
      <c r="C2" s="28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>
      <c r="A3" s="25"/>
      <c r="B3" s="31"/>
      <c r="C3" s="31"/>
      <c r="D3" s="27"/>
      <c r="E3" s="32" t="s">
        <v>333</v>
      </c>
      <c r="F3" s="33"/>
      <c r="G3" s="33"/>
      <c r="H3" s="34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>
      <c r="A4" s="25"/>
      <c r="B4" s="35" t="s">
        <v>16</v>
      </c>
      <c r="C4" s="36"/>
      <c r="D4" s="27"/>
      <c r="E4" s="27"/>
      <c r="F4" s="27"/>
      <c r="G4" s="27"/>
      <c r="H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>
      <c r="A5" s="25"/>
      <c r="B5" s="37" t="s">
        <v>336</v>
      </c>
      <c r="C5" s="38"/>
      <c r="D5" s="27"/>
      <c r="E5" s="27"/>
      <c r="F5" s="27"/>
      <c r="G5" s="27"/>
      <c r="H5" s="27"/>
      <c r="I5" s="41" t="s">
        <v>339</v>
      </c>
      <c r="J5" s="33"/>
      <c r="K5" s="33"/>
      <c r="L5" s="34"/>
      <c r="M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>
      <c r="A6" s="25"/>
      <c r="B6" s="37" t="s">
        <v>346</v>
      </c>
      <c r="C6" s="38"/>
      <c r="D6" s="27"/>
      <c r="E6" s="27"/>
      <c r="F6" s="27"/>
      <c r="G6" s="27"/>
      <c r="H6" s="27"/>
      <c r="I6" s="142" t="s">
        <v>350</v>
      </c>
      <c r="J6" s="143" t="s">
        <v>354</v>
      </c>
      <c r="K6" s="144"/>
      <c r="L6" s="27"/>
      <c r="M6" s="27"/>
      <c r="N6" s="27"/>
      <c r="O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>
      <c r="A7" s="39"/>
      <c r="B7" s="42" t="s">
        <v>362</v>
      </c>
      <c r="C7" s="40"/>
      <c r="D7" s="27"/>
      <c r="E7" s="27"/>
      <c r="F7" s="27"/>
      <c r="G7" s="27"/>
      <c r="H7" s="27"/>
      <c r="I7" s="149" t="s">
        <v>363</v>
      </c>
      <c r="J7" s="150">
        <v>389.0</v>
      </c>
      <c r="K7" s="144"/>
      <c r="L7" s="27"/>
      <c r="M7" s="27"/>
      <c r="N7" s="27"/>
      <c r="O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>
      <c r="A8" s="25"/>
      <c r="B8" s="37" t="s">
        <v>243</v>
      </c>
      <c r="C8" s="43"/>
      <c r="D8" s="27"/>
      <c r="E8" s="27"/>
      <c r="F8" s="27"/>
      <c r="G8" s="27"/>
      <c r="H8" s="27"/>
      <c r="I8" s="149" t="s">
        <v>364</v>
      </c>
      <c r="J8" s="150">
        <v>378.0</v>
      </c>
      <c r="K8" s="144"/>
      <c r="L8" s="27"/>
      <c r="M8" s="27"/>
      <c r="N8" s="27"/>
      <c r="O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>
      <c r="A9" s="25"/>
      <c r="B9" s="37" t="s">
        <v>313</v>
      </c>
      <c r="C9" s="43"/>
      <c r="D9" s="27"/>
      <c r="E9" s="27"/>
      <c r="F9" s="27"/>
      <c r="G9" s="27"/>
      <c r="H9" s="27"/>
      <c r="I9" s="149" t="s">
        <v>367</v>
      </c>
      <c r="J9" s="150">
        <v>372.0</v>
      </c>
      <c r="K9" s="144"/>
      <c r="L9" s="27"/>
      <c r="M9" s="27"/>
      <c r="N9" s="27"/>
      <c r="O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>
      <c r="A10" s="25"/>
      <c r="B10" s="37" t="s">
        <v>368</v>
      </c>
      <c r="C10" s="43"/>
      <c r="D10" s="27"/>
      <c r="E10" s="27"/>
      <c r="F10" s="27"/>
      <c r="G10" s="27"/>
      <c r="H10" s="27"/>
      <c r="I10" s="149" t="s">
        <v>369</v>
      </c>
      <c r="J10" s="150">
        <v>202.0</v>
      </c>
      <c r="K10" s="144"/>
      <c r="L10" s="27"/>
      <c r="M10" s="27"/>
      <c r="N10" s="27"/>
      <c r="O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>
      <c r="A11" s="25"/>
      <c r="B11" s="37" t="s">
        <v>370</v>
      </c>
      <c r="C11" s="43"/>
      <c r="D11" s="27"/>
      <c r="E11" s="27"/>
      <c r="F11" s="27"/>
      <c r="G11" s="27"/>
      <c r="H11" s="27"/>
      <c r="I11" s="108" t="s">
        <v>371</v>
      </c>
      <c r="J11" s="150">
        <v>167.0</v>
      </c>
      <c r="K11" s="144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>
      <c r="A12" s="25"/>
      <c r="B12" s="37" t="s">
        <v>372</v>
      </c>
      <c r="C12" s="48"/>
      <c r="D12" s="27"/>
      <c r="E12" s="27"/>
      <c r="F12" s="27"/>
      <c r="G12" s="27"/>
      <c r="H12" s="27"/>
      <c r="I12" s="108" t="s">
        <v>373</v>
      </c>
      <c r="J12" s="150">
        <v>107.0</v>
      </c>
      <c r="K12" s="14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>
      <c r="A13" s="25"/>
      <c r="B13" s="48" t="s">
        <v>374</v>
      </c>
      <c r="C13" s="48"/>
      <c r="D13" s="27"/>
      <c r="E13" s="27"/>
      <c r="F13" s="27"/>
      <c r="G13" s="27"/>
      <c r="H13" s="27"/>
      <c r="I13" s="149" t="s">
        <v>375</v>
      </c>
      <c r="J13" s="150">
        <v>89.0</v>
      </c>
      <c r="K13" s="144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>
      <c r="A14" s="25"/>
      <c r="B14" s="48" t="s">
        <v>376</v>
      </c>
      <c r="C14" s="48"/>
      <c r="D14" s="27"/>
      <c r="E14" s="27"/>
      <c r="F14" s="27"/>
      <c r="G14" s="27"/>
      <c r="H14" s="27"/>
      <c r="I14" s="149" t="s">
        <v>377</v>
      </c>
      <c r="J14" s="150">
        <v>82.0</v>
      </c>
      <c r="K14" s="144"/>
      <c r="L14" s="27"/>
      <c r="M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>
      <c r="A15" s="25"/>
      <c r="B15" s="48" t="s">
        <v>378</v>
      </c>
      <c r="C15" s="48"/>
      <c r="D15" s="27"/>
      <c r="E15" s="27"/>
      <c r="F15" s="27"/>
      <c r="G15" s="27"/>
      <c r="H15" s="27"/>
      <c r="I15" s="149" t="s">
        <v>379</v>
      </c>
      <c r="J15" s="150">
        <v>79.0</v>
      </c>
      <c r="K15" s="144"/>
      <c r="L15" s="27"/>
      <c r="M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>
      <c r="A16" s="25"/>
      <c r="B16" s="48" t="s">
        <v>378</v>
      </c>
      <c r="C16" s="48"/>
      <c r="D16" s="27"/>
      <c r="E16" s="27"/>
      <c r="F16" s="27"/>
      <c r="G16" s="27"/>
      <c r="H16" s="27"/>
      <c r="I16" s="27"/>
      <c r="J16" s="27"/>
      <c r="K16" s="27"/>
      <c r="L16" s="27"/>
      <c r="M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>
      <c r="A17" s="25"/>
      <c r="B17" s="48" t="s">
        <v>382</v>
      </c>
      <c r="C17" s="48"/>
      <c r="D17" s="27"/>
      <c r="E17" s="27"/>
      <c r="F17" s="27"/>
      <c r="G17" s="27"/>
      <c r="H17" s="27"/>
      <c r="I17" s="27"/>
      <c r="J17" s="27"/>
      <c r="K17" s="27"/>
      <c r="L17" s="27"/>
      <c r="M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>
      <c r="A18" s="25"/>
      <c r="B18" s="48" t="s">
        <v>383</v>
      </c>
      <c r="C18" s="48"/>
      <c r="D18" s="27"/>
      <c r="E18" s="27"/>
      <c r="F18" s="27"/>
      <c r="G18" s="27"/>
      <c r="H18" s="27"/>
      <c r="I18" s="27"/>
      <c r="J18" s="27"/>
      <c r="K18" s="27"/>
      <c r="L18" s="27"/>
      <c r="M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>
      <c r="A19" s="25"/>
      <c r="B19" s="48" t="s">
        <v>384</v>
      </c>
      <c r="C19" s="50"/>
      <c r="D19" s="27"/>
      <c r="E19" s="27"/>
      <c r="F19" s="27"/>
      <c r="G19" s="27"/>
      <c r="H19" s="27"/>
      <c r="I19" s="27"/>
      <c r="J19" s="27"/>
      <c r="K19" s="27"/>
      <c r="L19" s="27"/>
      <c r="M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>
      <c r="A20" s="25"/>
      <c r="B20" s="48" t="s">
        <v>385</v>
      </c>
      <c r="C20" s="52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>
      <c r="A21" s="25"/>
      <c r="B21" s="48"/>
      <c r="C21" s="5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>
      <c r="A22" s="25"/>
      <c r="B22" s="50"/>
      <c r="C22" s="5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ht="30.0" customHeight="1">
      <c r="A23" s="25"/>
      <c r="B23" s="52"/>
      <c r="C23" s="53"/>
      <c r="D23" s="27"/>
      <c r="E23" s="32" t="s">
        <v>388</v>
      </c>
      <c r="F23" s="33"/>
      <c r="G23" s="33"/>
      <c r="H23" s="34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>
      <c r="A24" s="25"/>
      <c r="B24" s="51" t="s">
        <v>32</v>
      </c>
      <c r="C24" s="54"/>
      <c r="D24" s="27"/>
      <c r="E24" s="27"/>
      <c r="F24" s="27"/>
      <c r="G24" s="27"/>
      <c r="H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>
      <c r="A25" s="25"/>
      <c r="B25" s="53"/>
      <c r="C25" s="53"/>
      <c r="D25" s="27"/>
      <c r="E25" s="27"/>
      <c r="F25" s="27"/>
      <c r="G25" s="27"/>
      <c r="H25" s="27"/>
      <c r="I25" s="41" t="s">
        <v>389</v>
      </c>
      <c r="J25" s="33"/>
      <c r="K25" s="33"/>
      <c r="L25" s="34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ht="30.0" customHeight="1">
      <c r="A26" s="25"/>
      <c r="B26" s="53"/>
      <c r="C26" s="53"/>
      <c r="D26" s="27"/>
      <c r="E26" s="27"/>
      <c r="F26" s="27"/>
      <c r="G26" s="27"/>
      <c r="H26" s="27"/>
      <c r="I26" s="105" t="s">
        <v>390</v>
      </c>
      <c r="J26" s="105" t="s">
        <v>391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>
      <c r="A27" s="25"/>
      <c r="B27" s="54"/>
      <c r="C27" s="53"/>
      <c r="D27" s="27"/>
      <c r="E27" s="27"/>
      <c r="F27" s="27"/>
      <c r="G27" s="27"/>
      <c r="H27" s="27"/>
      <c r="I27" s="108" t="s">
        <v>393</v>
      </c>
      <c r="J27" s="109">
        <v>60000.0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>
      <c r="A28" s="25"/>
      <c r="B28" s="54"/>
      <c r="C28" s="53"/>
      <c r="D28" s="27"/>
      <c r="E28" s="27"/>
      <c r="F28" s="27"/>
      <c r="G28" s="27"/>
      <c r="H28" s="27"/>
      <c r="I28" s="108" t="s">
        <v>394</v>
      </c>
      <c r="J28" s="109">
        <v>140000.0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</row>
    <row r="29">
      <c r="A29" s="25"/>
      <c r="B29" s="157"/>
      <c r="C29" s="56"/>
      <c r="D29" s="27"/>
      <c r="E29" s="27"/>
      <c r="F29" s="27"/>
      <c r="G29" s="27"/>
      <c r="H29" s="27"/>
      <c r="I29" s="108" t="s">
        <v>381</v>
      </c>
      <c r="J29" s="109">
        <v>95000.0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>
      <c r="A30" s="25"/>
      <c r="B30" s="56"/>
      <c r="C30" s="26"/>
      <c r="D30" s="27"/>
      <c r="E30" s="27"/>
      <c r="F30" s="27"/>
      <c r="G30" s="27"/>
      <c r="H30" s="27"/>
      <c r="I30" s="108" t="s">
        <v>78</v>
      </c>
      <c r="J30" s="109">
        <v>120000.0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</row>
    <row r="31">
      <c r="A31" s="25"/>
      <c r="B31" s="26"/>
      <c r="C31" s="26"/>
      <c r="D31" s="27"/>
      <c r="E31" s="27"/>
      <c r="F31" s="27"/>
      <c r="G31" s="27"/>
      <c r="H31" s="27"/>
      <c r="I31" s="108" t="s">
        <v>395</v>
      </c>
      <c r="J31" s="109">
        <v>210000.0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</row>
    <row r="32">
      <c r="A32" s="25"/>
      <c r="B32" s="54"/>
      <c r="C32" s="26"/>
      <c r="D32" s="27"/>
      <c r="E32" s="27"/>
      <c r="F32" s="27"/>
      <c r="G32" s="27"/>
      <c r="H32" s="27"/>
      <c r="I32" s="108" t="s">
        <v>396</v>
      </c>
      <c r="J32" s="109">
        <v>180000.0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>
      <c r="A33" s="25"/>
      <c r="B33" s="157"/>
      <c r="C33" s="26"/>
      <c r="D33" s="27"/>
      <c r="E33" s="27"/>
      <c r="F33" s="27"/>
      <c r="G33" s="27"/>
      <c r="H33" s="27"/>
      <c r="I33" s="108" t="s">
        <v>69</v>
      </c>
      <c r="J33" s="109">
        <v>250000.0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>
      <c r="A34" s="25"/>
      <c r="B34" s="26"/>
      <c r="C34" s="26"/>
      <c r="D34" s="27"/>
      <c r="E34" s="27"/>
      <c r="F34" s="27"/>
      <c r="G34" s="27"/>
      <c r="H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>
      <c r="A35" s="25"/>
      <c r="B35" s="26"/>
      <c r="C35" s="26"/>
      <c r="D35" s="27"/>
      <c r="E35" s="27"/>
      <c r="F35" s="27"/>
      <c r="G35" s="27"/>
      <c r="H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>
      <c r="A36" s="25"/>
      <c r="B36" s="158" t="s">
        <v>33</v>
      </c>
      <c r="C36" s="26"/>
      <c r="D36" s="27"/>
      <c r="E36" s="27"/>
      <c r="F36" s="27"/>
      <c r="G36" s="27"/>
      <c r="H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>
      <c r="A37" s="25"/>
      <c r="B37" s="159" t="s">
        <v>397</v>
      </c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>
      <c r="A38" s="25"/>
      <c r="B38" s="26"/>
      <c r="C38" s="26"/>
      <c r="D38" s="27"/>
      <c r="E38" s="32" t="s">
        <v>362</v>
      </c>
      <c r="F38" s="33"/>
      <c r="G38" s="33"/>
      <c r="H38" s="34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>
      <c r="A39" s="25"/>
      <c r="B39" s="26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>
      <c r="A40" s="25"/>
      <c r="B40" s="26"/>
      <c r="C40" s="26"/>
      <c r="D40" s="27"/>
      <c r="E40" s="27"/>
      <c r="F40" s="27"/>
      <c r="G40" s="27"/>
      <c r="H40" s="27"/>
      <c r="I40" s="41" t="s">
        <v>403</v>
      </c>
      <c r="J40" s="33"/>
      <c r="K40" s="33"/>
      <c r="L40" s="34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>
      <c r="A41" s="25"/>
      <c r="B41" s="26"/>
      <c r="C41" s="26"/>
      <c r="D41" s="27"/>
      <c r="E41" s="27"/>
      <c r="F41" s="27"/>
      <c r="G41" s="27"/>
      <c r="H41" s="27"/>
      <c r="I41" s="105" t="s">
        <v>47</v>
      </c>
      <c r="J41" s="105" t="s">
        <v>400</v>
      </c>
      <c r="K41" s="105" t="s">
        <v>401</v>
      </c>
      <c r="L41" s="105" t="s">
        <v>402</v>
      </c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>
      <c r="A42" s="25"/>
      <c r="B42" s="26"/>
      <c r="C42" s="26"/>
      <c r="D42" s="27"/>
      <c r="E42" s="27"/>
      <c r="F42" s="27"/>
      <c r="G42" s="27"/>
      <c r="H42" s="27"/>
      <c r="I42" s="108" t="s">
        <v>50</v>
      </c>
      <c r="J42" s="109">
        <v>199.74606432322983</v>
      </c>
      <c r="K42" s="109">
        <v>27.759400731152795</v>
      </c>
      <c r="L42" s="109">
        <v>334.7378624152234</v>
      </c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>
      <c r="A43" s="25"/>
      <c r="B43" s="26"/>
      <c r="C43" s="26"/>
      <c r="D43" s="27"/>
      <c r="E43" s="27"/>
      <c r="F43" s="27"/>
      <c r="G43" s="27"/>
      <c r="H43" s="27"/>
      <c r="I43" s="108" t="s">
        <v>52</v>
      </c>
      <c r="J43" s="109">
        <v>957.0388807203225</v>
      </c>
      <c r="K43" s="109">
        <v>667.5833766100404</v>
      </c>
      <c r="L43" s="109">
        <v>510.14511102043826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>
      <c r="A44" s="25"/>
      <c r="B44" s="26"/>
      <c r="C44" s="26"/>
      <c r="D44" s="27"/>
      <c r="E44" s="27"/>
      <c r="F44" s="27"/>
      <c r="G44" s="27"/>
      <c r="H44" s="27"/>
      <c r="I44" s="108" t="s">
        <v>54</v>
      </c>
      <c r="J44" s="109">
        <v>492.9000578148046</v>
      </c>
      <c r="K44" s="109">
        <v>131.37001172844398</v>
      </c>
      <c r="L44" s="109">
        <v>62.44135129481199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>
      <c r="A45" s="25"/>
      <c r="B45" s="26"/>
      <c r="C45" s="26"/>
      <c r="D45" s="27"/>
      <c r="E45" s="27"/>
      <c r="F45" s="27"/>
      <c r="G45" s="27"/>
      <c r="H45" s="27"/>
      <c r="I45" s="108" t="s">
        <v>55</v>
      </c>
      <c r="J45" s="109">
        <v>318.7547271872282</v>
      </c>
      <c r="K45" s="109">
        <v>846.0637498629673</v>
      </c>
      <c r="L45" s="109">
        <v>811.726639926512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>
      <c r="A46" s="25"/>
      <c r="B46" s="26"/>
      <c r="C46" s="26"/>
      <c r="D46" s="27"/>
      <c r="E46" s="27"/>
      <c r="F46" s="27"/>
      <c r="G46" s="27"/>
      <c r="H46" s="27"/>
      <c r="I46" s="108" t="s">
        <v>57</v>
      </c>
      <c r="J46" s="109">
        <v>421.72089220411567</v>
      </c>
      <c r="K46" s="109">
        <v>75.44207569943595</v>
      </c>
      <c r="L46" s="109">
        <v>109.06180593216497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>
      <c r="A47" s="25"/>
      <c r="B47" s="26"/>
      <c r="C47" s="26"/>
      <c r="D47" s="27"/>
      <c r="E47" s="27"/>
      <c r="F47" s="27"/>
      <c r="G47" s="27"/>
      <c r="H47" s="27"/>
      <c r="I47" s="108" t="s">
        <v>59</v>
      </c>
      <c r="J47" s="109">
        <v>732.9859700606054</v>
      </c>
      <c r="K47" s="109">
        <v>40.19527575067472</v>
      </c>
      <c r="L47" s="109">
        <v>425.24560602062854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>
      <c r="A48" s="25"/>
      <c r="B48" s="26"/>
      <c r="C48" s="26"/>
      <c r="D48" s="27"/>
      <c r="E48" s="27"/>
      <c r="F48" s="27"/>
      <c r="G48" s="27"/>
      <c r="H48" s="27"/>
      <c r="I48" s="108" t="s">
        <v>60</v>
      </c>
      <c r="J48" s="109">
        <v>243.21416528663053</v>
      </c>
      <c r="K48" s="109">
        <v>191.999851951418</v>
      </c>
      <c r="L48" s="109">
        <v>902.0444459085741</v>
      </c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>
      <c r="A49" s="25"/>
      <c r="B49" s="26"/>
      <c r="C49" s="26"/>
      <c r="D49" s="27"/>
      <c r="E49" s="27"/>
      <c r="F49" s="27"/>
      <c r="G49" s="27"/>
      <c r="H49" s="27"/>
      <c r="I49" s="108" t="s">
        <v>61</v>
      </c>
      <c r="J49" s="109">
        <v>820.1962951860158</v>
      </c>
      <c r="K49" s="109">
        <v>635.3640103356273</v>
      </c>
      <c r="L49" s="109">
        <v>313.8114768341741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>
      <c r="A50" s="25"/>
      <c r="B50" s="26"/>
      <c r="C50" s="26"/>
      <c r="D50" s="27"/>
      <c r="E50" s="27"/>
      <c r="F50" s="27"/>
      <c r="G50" s="27"/>
      <c r="H50" s="27"/>
      <c r="I50" s="108" t="s">
        <v>62</v>
      </c>
      <c r="J50" s="109">
        <v>550.4897143567061</v>
      </c>
      <c r="K50" s="109">
        <v>426.5910559339937</v>
      </c>
      <c r="L50" s="109">
        <v>249.77347066624233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>
      <c r="A51" s="25"/>
      <c r="B51" s="26"/>
      <c r="C51" s="26"/>
      <c r="D51" s="27"/>
      <c r="E51" s="27"/>
      <c r="F51" s="27"/>
      <c r="G51" s="27"/>
      <c r="H51" s="27"/>
      <c r="I51" s="108" t="s">
        <v>63</v>
      </c>
      <c r="J51" s="109">
        <v>340.925782805929</v>
      </c>
      <c r="K51" s="109">
        <v>858.0277061792009</v>
      </c>
      <c r="L51" s="109">
        <v>60.89505200408307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>
      <c r="A52" s="25"/>
      <c r="B52" s="26"/>
      <c r="C52" s="26"/>
      <c r="D52" s="27"/>
      <c r="E52" s="27"/>
      <c r="F52" s="27"/>
      <c r="G52" s="27"/>
      <c r="H52" s="27"/>
      <c r="I52" s="108" t="s">
        <v>64</v>
      </c>
      <c r="J52" s="109">
        <v>513.1682900584078</v>
      </c>
      <c r="K52" s="109">
        <v>238.83049381133137</v>
      </c>
      <c r="L52" s="109">
        <v>86.30923466679674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>
      <c r="A53" s="25"/>
      <c r="B53" s="26"/>
      <c r="C53" s="26"/>
      <c r="D53" s="27"/>
      <c r="E53" s="27"/>
      <c r="F53" s="27"/>
      <c r="G53" s="27"/>
      <c r="H53" s="27"/>
      <c r="I53" s="108" t="s">
        <v>65</v>
      </c>
      <c r="J53" s="109">
        <v>541.6179098125419</v>
      </c>
      <c r="K53" s="109">
        <v>449.22111388202615</v>
      </c>
      <c r="L53" s="109">
        <v>195.19506464553416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>
      <c r="A54" s="25"/>
      <c r="B54" s="26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5">
      <c r="A55" s="25"/>
      <c r="B55" s="26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>
      <c r="A56" s="25"/>
      <c r="B56" s="26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</row>
    <row r="57">
      <c r="A57" s="25"/>
      <c r="B57" s="26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</row>
    <row r="58">
      <c r="A58" s="25"/>
      <c r="B58" s="26"/>
      <c r="C58" s="26"/>
      <c r="D58" s="27"/>
      <c r="E58" s="32" t="s">
        <v>243</v>
      </c>
      <c r="F58" s="33"/>
      <c r="G58" s="33"/>
      <c r="H58" s="34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>
      <c r="A59" s="25"/>
      <c r="B59" s="26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</row>
    <row r="60">
      <c r="A60" s="25"/>
      <c r="B60" s="26"/>
      <c r="C60" s="26"/>
      <c r="D60" s="27"/>
      <c r="E60" s="27"/>
      <c r="F60" s="27"/>
      <c r="G60" s="27"/>
      <c r="H60" s="27"/>
      <c r="I60" s="41" t="s">
        <v>412</v>
      </c>
      <c r="J60" s="33"/>
      <c r="K60" s="33"/>
      <c r="L60" s="34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</row>
    <row r="61">
      <c r="A61" s="25"/>
      <c r="B61" s="26"/>
      <c r="C61" s="26"/>
      <c r="D61" s="27"/>
      <c r="E61" s="27"/>
      <c r="F61" s="27"/>
      <c r="G61" s="27"/>
      <c r="H61" s="27"/>
      <c r="I61" s="105" t="s">
        <v>413</v>
      </c>
      <c r="J61" s="105" t="s">
        <v>405</v>
      </c>
      <c r="K61" s="105" t="s">
        <v>406</v>
      </c>
      <c r="L61" s="105" t="s">
        <v>408</v>
      </c>
      <c r="M61" s="105" t="s">
        <v>409</v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>
      <c r="A62" s="25"/>
      <c r="B62" s="26"/>
      <c r="C62" s="26"/>
      <c r="D62" s="27"/>
      <c r="E62" s="27"/>
      <c r="F62" s="27"/>
      <c r="G62" s="27"/>
      <c r="H62" s="27"/>
      <c r="I62" s="108" t="s">
        <v>414</v>
      </c>
      <c r="J62" s="108">
        <v>173.0</v>
      </c>
      <c r="K62" s="108">
        <v>218.0</v>
      </c>
      <c r="L62" s="108">
        <v>196.0</v>
      </c>
      <c r="M62" s="108">
        <v>199.0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</row>
    <row r="63">
      <c r="A63" s="25"/>
      <c r="B63" s="26"/>
      <c r="C63" s="26"/>
      <c r="D63" s="27"/>
      <c r="E63" s="27"/>
      <c r="F63" s="27"/>
      <c r="G63" s="27"/>
      <c r="H63" s="27"/>
      <c r="I63" s="108" t="s">
        <v>416</v>
      </c>
      <c r="J63" s="108">
        <v>166.0</v>
      </c>
      <c r="K63" s="108">
        <v>184.0</v>
      </c>
      <c r="L63" s="108">
        <v>192.0</v>
      </c>
      <c r="M63" s="108">
        <v>216.0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</row>
    <row r="64">
      <c r="A64" s="25"/>
      <c r="B64" s="26"/>
      <c r="C64" s="26"/>
      <c r="D64" s="27"/>
      <c r="E64" s="27"/>
      <c r="F64" s="27"/>
      <c r="G64" s="27"/>
      <c r="H64" s="27"/>
      <c r="I64" s="108" t="s">
        <v>417</v>
      </c>
      <c r="J64" s="108">
        <v>120.0</v>
      </c>
      <c r="K64" s="108">
        <v>108.0</v>
      </c>
      <c r="L64" s="108">
        <v>124.0</v>
      </c>
      <c r="M64" s="108">
        <v>122.0</v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>
      <c r="A65" s="25"/>
      <c r="B65" s="60"/>
      <c r="C65" s="60"/>
      <c r="D65" s="27"/>
      <c r="E65" s="27"/>
      <c r="F65" s="27"/>
      <c r="G65" s="27"/>
      <c r="H65" s="27"/>
      <c r="I65" s="108" t="s">
        <v>418</v>
      </c>
      <c r="J65" s="108">
        <v>36.0</v>
      </c>
      <c r="K65" s="108">
        <v>81.0</v>
      </c>
      <c r="L65" s="108">
        <v>125.0</v>
      </c>
      <c r="M65" s="108">
        <v>109.0</v>
      </c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</row>
    <row r="66">
      <c r="A66" s="25"/>
      <c r="B66" s="31"/>
      <c r="C66" s="31"/>
      <c r="D66" s="27"/>
      <c r="E66" s="27"/>
      <c r="F66" s="27"/>
      <c r="G66" s="27"/>
      <c r="H66" s="27"/>
      <c r="I66" s="108" t="s">
        <v>419</v>
      </c>
      <c r="J66" s="108">
        <v>77.0</v>
      </c>
      <c r="K66" s="108">
        <v>85.0</v>
      </c>
      <c r="L66" s="108">
        <v>89.0</v>
      </c>
      <c r="M66" s="108">
        <v>76.0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</row>
    <row r="67">
      <c r="A67" s="25"/>
      <c r="B67" s="31"/>
      <c r="C67" s="31"/>
      <c r="D67" s="27"/>
      <c r="E67" s="27"/>
      <c r="F67" s="27"/>
      <c r="G67" s="27"/>
      <c r="H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>
      <c r="A68" s="25"/>
      <c r="B68" s="61"/>
      <c r="C68" s="61"/>
      <c r="D68" s="27"/>
      <c r="E68" s="27"/>
      <c r="F68" s="27"/>
      <c r="G68" s="27"/>
      <c r="H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</row>
    <row r="69">
      <c r="A69" s="25"/>
      <c r="B69" s="26"/>
      <c r="C69" s="26"/>
      <c r="D69" s="27"/>
      <c r="E69" s="27"/>
      <c r="F69" s="27"/>
      <c r="G69" s="27"/>
      <c r="H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</row>
    <row r="70">
      <c r="A70" s="25"/>
      <c r="B70" s="26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>
      <c r="A71" s="25"/>
      <c r="B71" s="26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</row>
    <row r="72">
      <c r="A72" s="25"/>
      <c r="B72" s="26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>
      <c r="A73" s="25"/>
      <c r="B73" s="26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>
      <c r="A74" s="25"/>
      <c r="B74" s="26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>
      <c r="A75" s="25"/>
      <c r="B75" s="26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>
      <c r="A76" s="25"/>
      <c r="B76" s="26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>
      <c r="A77" s="25"/>
      <c r="B77" s="26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>
      <c r="A78" s="25"/>
      <c r="B78" s="26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>
      <c r="A79" s="25"/>
      <c r="B79" s="26"/>
      <c r="C79" s="26"/>
      <c r="D79" s="27"/>
      <c r="E79" s="32" t="s">
        <v>313</v>
      </c>
      <c r="F79" s="33"/>
      <c r="G79" s="33"/>
      <c r="H79" s="34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>
      <c r="A80" s="25"/>
      <c r="B80" s="26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>
      <c r="A81" s="25"/>
      <c r="B81" s="26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>
      <c r="A82" s="25"/>
      <c r="B82" s="26"/>
      <c r="C82" s="26"/>
      <c r="D82" s="27"/>
      <c r="E82" s="27"/>
      <c r="F82" s="27"/>
      <c r="G82" s="27"/>
      <c r="H82" s="27"/>
      <c r="I82" s="41" t="s">
        <v>423</v>
      </c>
      <c r="J82" s="33"/>
      <c r="K82" s="33"/>
      <c r="L82" s="34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>
      <c r="A83" s="25"/>
      <c r="B83" s="26"/>
      <c r="C83" s="26"/>
      <c r="D83" s="27"/>
      <c r="E83" s="27"/>
      <c r="F83" s="27"/>
      <c r="G83" s="27"/>
      <c r="H83" s="27"/>
      <c r="I83" s="105" t="s">
        <v>424</v>
      </c>
      <c r="J83" s="105" t="s">
        <v>425</v>
      </c>
      <c r="K83" s="106" t="s">
        <v>426</v>
      </c>
      <c r="L83" s="106" t="s">
        <v>427</v>
      </c>
      <c r="M83" s="106" t="s">
        <v>428</v>
      </c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>
      <c r="A84" s="25"/>
      <c r="B84" s="26"/>
      <c r="C84" s="26"/>
      <c r="D84" s="27"/>
      <c r="E84" s="27"/>
      <c r="F84" s="27"/>
      <c r="G84" s="27"/>
      <c r="H84" s="27"/>
      <c r="I84" s="108" t="s">
        <v>430</v>
      </c>
      <c r="J84" s="108">
        <v>611.0</v>
      </c>
      <c r="K84" s="59">
        <v>1.0</v>
      </c>
      <c r="L84" s="59">
        <f t="shared" ref="L84:L89" si="1">(1-K84)/2</f>
        <v>0</v>
      </c>
      <c r="M84" s="127">
        <f>J84</f>
        <v>611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>
      <c r="A85" s="25"/>
      <c r="B85" s="26"/>
      <c r="C85" s="26"/>
      <c r="D85" s="27"/>
      <c r="E85" s="27"/>
      <c r="F85" s="27"/>
      <c r="G85" s="27"/>
      <c r="H85" s="27"/>
      <c r="I85" s="108" t="s">
        <v>431</v>
      </c>
      <c r="J85" s="108">
        <v>547.0</v>
      </c>
      <c r="K85" s="59">
        <f t="shared" ref="K85:K89" si="2">J85/$J$84</f>
        <v>0.8952536825</v>
      </c>
      <c r="L85" s="59">
        <f t="shared" si="1"/>
        <v>0.05237315876</v>
      </c>
      <c r="M85" s="59" t="str">
        <f t="shared" ref="M85:M89" si="3">J85&amp;" ("&amp;TEXT(K85,"0.0%")&amp;")"</f>
        <v>547 (89.5%)</v>
      </c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>
      <c r="A86" s="25"/>
      <c r="B86" s="26"/>
      <c r="C86" s="26"/>
      <c r="D86" s="27"/>
      <c r="E86" s="27"/>
      <c r="F86" s="27"/>
      <c r="G86" s="27"/>
      <c r="H86" s="27"/>
      <c r="I86" s="108" t="s">
        <v>432</v>
      </c>
      <c r="J86" s="108">
        <v>348.0</v>
      </c>
      <c r="K86" s="59">
        <f t="shared" si="2"/>
        <v>0.5695581015</v>
      </c>
      <c r="L86" s="59">
        <f t="shared" si="1"/>
        <v>0.2152209493</v>
      </c>
      <c r="M86" s="59" t="str">
        <f t="shared" si="3"/>
        <v>348 (57.0%)</v>
      </c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>
      <c r="A87" s="25"/>
      <c r="B87" s="26"/>
      <c r="C87" s="26"/>
      <c r="D87" s="27"/>
      <c r="E87" s="27"/>
      <c r="F87" s="27"/>
      <c r="G87" s="27"/>
      <c r="H87" s="27"/>
      <c r="I87" s="108" t="s">
        <v>435</v>
      </c>
      <c r="J87" s="108">
        <v>117.0</v>
      </c>
      <c r="K87" s="59">
        <f t="shared" si="2"/>
        <v>0.1914893617</v>
      </c>
      <c r="L87" s="59">
        <f t="shared" si="1"/>
        <v>0.4042553191</v>
      </c>
      <c r="M87" s="59" t="str">
        <f t="shared" si="3"/>
        <v>117 (19.1%)</v>
      </c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>
      <c r="A88" s="25"/>
      <c r="B88" s="26"/>
      <c r="C88" s="26"/>
      <c r="D88" s="27"/>
      <c r="E88" s="27"/>
      <c r="F88" s="27"/>
      <c r="G88" s="27"/>
      <c r="H88" s="27"/>
      <c r="I88" s="108" t="s">
        <v>436</v>
      </c>
      <c r="J88" s="108">
        <v>29.0</v>
      </c>
      <c r="K88" s="59">
        <f t="shared" si="2"/>
        <v>0.04746317512</v>
      </c>
      <c r="L88" s="59">
        <f t="shared" si="1"/>
        <v>0.4762684124</v>
      </c>
      <c r="M88" s="59" t="str">
        <f t="shared" si="3"/>
        <v>29 (4.7%)</v>
      </c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>
      <c r="A89" s="25"/>
      <c r="B89" s="26"/>
      <c r="C89" s="26"/>
      <c r="D89" s="27"/>
      <c r="E89" s="27"/>
      <c r="F89" s="27"/>
      <c r="G89" s="27"/>
      <c r="H89" s="27"/>
      <c r="I89" s="108" t="s">
        <v>437</v>
      </c>
      <c r="J89" s="108">
        <v>18.0</v>
      </c>
      <c r="K89" s="59">
        <f t="shared" si="2"/>
        <v>0.0294599018</v>
      </c>
      <c r="L89" s="59">
        <f t="shared" si="1"/>
        <v>0.4852700491</v>
      </c>
      <c r="M89" s="59" t="str">
        <f t="shared" si="3"/>
        <v>18 (2.9%)</v>
      </c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>
      <c r="A90" s="25"/>
      <c r="B90" s="26"/>
      <c r="C90" s="26"/>
      <c r="D90" s="27"/>
      <c r="E90" s="27"/>
      <c r="F90" s="27"/>
      <c r="G90" s="27"/>
      <c r="H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>
      <c r="A91" s="25"/>
      <c r="B91" s="26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</row>
    <row r="92">
      <c r="A92" s="25"/>
      <c r="B92" s="26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</row>
    <row r="93">
      <c r="A93" s="25"/>
      <c r="B93" s="26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</row>
    <row r="94">
      <c r="A94" s="25"/>
      <c r="B94" s="26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</row>
    <row r="95">
      <c r="A95" s="25"/>
      <c r="B95" s="26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</row>
    <row r="96">
      <c r="A96" s="25"/>
      <c r="B96" s="26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</row>
    <row r="97">
      <c r="A97" s="25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</row>
    <row r="98">
      <c r="A98" s="25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</row>
    <row r="99">
      <c r="A99" s="25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>
      <c r="A100" s="25"/>
      <c r="B100" s="26"/>
      <c r="C100" s="26"/>
      <c r="D100" s="27"/>
      <c r="E100" s="32" t="s">
        <v>368</v>
      </c>
      <c r="F100" s="33"/>
      <c r="G100" s="33"/>
      <c r="H100" s="34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>
      <c r="A101" s="25"/>
      <c r="B101" s="26"/>
      <c r="C101" s="26"/>
      <c r="D101" s="27"/>
      <c r="E101" s="27"/>
      <c r="F101" s="27"/>
      <c r="G101" s="27"/>
      <c r="H101" s="27"/>
      <c r="I101" s="41" t="s">
        <v>441</v>
      </c>
      <c r="J101" s="33"/>
      <c r="K101" s="33"/>
      <c r="L101" s="34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>
      <c r="A102" s="25"/>
      <c r="B102" s="26"/>
      <c r="C102" s="26"/>
      <c r="D102" s="27"/>
      <c r="E102" s="27"/>
      <c r="F102" s="27"/>
      <c r="G102" s="27"/>
      <c r="H102" s="27"/>
      <c r="I102" s="105" t="s">
        <v>443</v>
      </c>
      <c r="J102" s="105" t="s">
        <v>444</v>
      </c>
      <c r="K102" s="106" t="s">
        <v>445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>
      <c r="A103" s="25"/>
      <c r="B103" s="26"/>
      <c r="C103" s="26"/>
      <c r="D103" s="27"/>
      <c r="E103" s="27"/>
      <c r="F103" s="27"/>
      <c r="G103" s="27"/>
      <c r="H103" s="27"/>
      <c r="I103" s="108" t="s">
        <v>446</v>
      </c>
      <c r="J103" s="108">
        <v>50.0</v>
      </c>
      <c r="K103" s="180">
        <f t="shared" ref="K103:K112" si="4">SUM($J$103:J103)/SUM($J$103:$J$112)</f>
        <v>0.3225806452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</row>
    <row r="104">
      <c r="A104" s="25"/>
      <c r="B104" s="26"/>
      <c r="C104" s="26"/>
      <c r="D104" s="27"/>
      <c r="E104" s="27"/>
      <c r="F104" s="27"/>
      <c r="G104" s="27"/>
      <c r="H104" s="27"/>
      <c r="I104" s="108" t="s">
        <v>448</v>
      </c>
      <c r="J104" s="108">
        <v>35.0</v>
      </c>
      <c r="K104" s="180">
        <f t="shared" si="4"/>
        <v>0.5483870968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>
      <c r="A105" s="25"/>
      <c r="B105" s="26"/>
      <c r="C105" s="26"/>
      <c r="D105" s="27"/>
      <c r="E105" s="27"/>
      <c r="F105" s="27"/>
      <c r="G105" s="27"/>
      <c r="H105" s="27"/>
      <c r="I105" s="108" t="s">
        <v>450</v>
      </c>
      <c r="J105" s="108">
        <v>20.0</v>
      </c>
      <c r="K105" s="180">
        <f t="shared" si="4"/>
        <v>0.6774193548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>
      <c r="A106" s="25"/>
      <c r="B106" s="26"/>
      <c r="C106" s="26"/>
      <c r="D106" s="27"/>
      <c r="E106" s="27"/>
      <c r="F106" s="27"/>
      <c r="G106" s="27"/>
      <c r="H106" s="27"/>
      <c r="I106" s="108" t="s">
        <v>451</v>
      </c>
      <c r="J106" s="108">
        <v>15.0</v>
      </c>
      <c r="K106" s="180">
        <f t="shared" si="4"/>
        <v>0.7741935484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>
      <c r="A107" s="25"/>
      <c r="B107" s="26"/>
      <c r="C107" s="26"/>
      <c r="D107" s="27"/>
      <c r="E107" s="27"/>
      <c r="F107" s="27"/>
      <c r="G107" s="27"/>
      <c r="H107" s="27"/>
      <c r="I107" s="108" t="s">
        <v>452</v>
      </c>
      <c r="J107" s="108">
        <v>10.0</v>
      </c>
      <c r="K107" s="180">
        <f t="shared" si="4"/>
        <v>0.8387096774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</row>
    <row r="108">
      <c r="A108" s="25"/>
      <c r="B108" s="26"/>
      <c r="C108" s="26"/>
      <c r="D108" s="27"/>
      <c r="E108" s="27"/>
      <c r="F108" s="27"/>
      <c r="G108" s="27"/>
      <c r="H108" s="27"/>
      <c r="I108" s="108" t="s">
        <v>453</v>
      </c>
      <c r="J108" s="108">
        <v>8.0</v>
      </c>
      <c r="K108" s="180">
        <f t="shared" si="4"/>
        <v>0.8903225806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>
      <c r="A109" s="25"/>
      <c r="B109" s="26"/>
      <c r="C109" s="26"/>
      <c r="D109" s="27"/>
      <c r="E109" s="27"/>
      <c r="F109" s="27"/>
      <c r="G109" s="27"/>
      <c r="H109" s="27"/>
      <c r="I109" s="108" t="s">
        <v>454</v>
      </c>
      <c r="J109" s="108">
        <v>7.0</v>
      </c>
      <c r="K109" s="180">
        <f t="shared" si="4"/>
        <v>0.935483871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</row>
    <row r="110">
      <c r="A110" s="25"/>
      <c r="B110" s="26"/>
      <c r="C110" s="26"/>
      <c r="D110" s="27"/>
      <c r="E110" s="27"/>
      <c r="F110" s="27"/>
      <c r="G110" s="27"/>
      <c r="H110" s="27"/>
      <c r="I110" s="108" t="s">
        <v>455</v>
      </c>
      <c r="J110" s="108">
        <v>5.0</v>
      </c>
      <c r="K110" s="180">
        <f t="shared" si="4"/>
        <v>0.9677419355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</row>
    <row r="111">
      <c r="A111" s="25"/>
      <c r="B111" s="26"/>
      <c r="C111" s="26"/>
      <c r="D111" s="27"/>
      <c r="E111" s="27"/>
      <c r="F111" s="27"/>
      <c r="G111" s="27"/>
      <c r="H111" s="27"/>
      <c r="I111" s="108" t="s">
        <v>456</v>
      </c>
      <c r="J111" s="108">
        <v>3.0</v>
      </c>
      <c r="K111" s="180">
        <f t="shared" si="4"/>
        <v>0.9870967742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</row>
    <row r="112">
      <c r="A112" s="25"/>
      <c r="B112" s="26"/>
      <c r="C112" s="26"/>
      <c r="D112" s="27"/>
      <c r="E112" s="27"/>
      <c r="F112" s="27"/>
      <c r="G112" s="27"/>
      <c r="H112" s="27"/>
      <c r="I112" s="108" t="s">
        <v>457</v>
      </c>
      <c r="J112" s="108">
        <v>2.0</v>
      </c>
      <c r="K112" s="180">
        <f t="shared" si="4"/>
        <v>1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</row>
    <row r="113">
      <c r="A113" s="25"/>
      <c r="B113" s="26"/>
      <c r="C113" s="26"/>
      <c r="D113" s="27"/>
      <c r="E113" s="27"/>
      <c r="F113" s="27"/>
      <c r="G113" s="27"/>
      <c r="H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>
      <c r="A114" s="25"/>
      <c r="B114" s="26"/>
      <c r="C114" s="26"/>
      <c r="D114" s="27"/>
      <c r="E114" s="27"/>
      <c r="F114" s="27"/>
      <c r="G114" s="27"/>
      <c r="H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>
      <c r="A115" s="25"/>
      <c r="B115" s="26"/>
      <c r="C115" s="26"/>
      <c r="D115" s="27"/>
      <c r="E115" s="27"/>
      <c r="F115" s="27"/>
      <c r="G115" s="27"/>
      <c r="H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>
      <c r="A116" s="25"/>
      <c r="B116" s="26"/>
      <c r="C116" s="26"/>
      <c r="D116" s="27"/>
      <c r="E116" s="27"/>
      <c r="F116" s="27"/>
      <c r="G116" s="27"/>
      <c r="H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>
      <c r="A117" s="25"/>
      <c r="B117" s="26"/>
      <c r="C117" s="26"/>
      <c r="D117" s="27"/>
      <c r="E117" s="27"/>
      <c r="F117" s="27"/>
      <c r="G117" s="27"/>
      <c r="H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>
      <c r="A118" s="25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>
      <c r="A119" s="25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>
      <c r="A120" s="25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>
      <c r="A121" s="25"/>
      <c r="B121" s="26"/>
      <c r="C121" s="26"/>
      <c r="D121" s="27"/>
      <c r="E121" s="32" t="s">
        <v>370</v>
      </c>
      <c r="F121" s="33"/>
      <c r="G121" s="33"/>
      <c r="H121" s="34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</row>
    <row r="122">
      <c r="A122" s="25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</row>
    <row r="123">
      <c r="A123" s="25"/>
      <c r="B123" s="26"/>
      <c r="C123" s="26"/>
      <c r="D123" s="27"/>
      <c r="E123" s="27"/>
      <c r="F123" s="27"/>
      <c r="G123" s="27"/>
      <c r="H123" s="27"/>
      <c r="I123" s="41" t="s">
        <v>460</v>
      </c>
      <c r="J123" s="33"/>
      <c r="K123" s="33"/>
      <c r="L123" s="34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>
      <c r="A124" s="25"/>
      <c r="B124" s="26"/>
      <c r="C124" s="26"/>
      <c r="D124" s="27"/>
      <c r="E124" s="27"/>
      <c r="F124" s="27"/>
      <c r="G124" s="27"/>
      <c r="H124" s="27"/>
      <c r="I124" s="187" t="s">
        <v>461</v>
      </c>
      <c r="J124" s="188" t="s">
        <v>462</v>
      </c>
      <c r="K124" s="34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>
      <c r="A125" s="25"/>
      <c r="B125" s="26"/>
      <c r="C125" s="26"/>
      <c r="D125" s="27"/>
      <c r="E125" s="27"/>
      <c r="F125" s="27"/>
      <c r="G125" s="27"/>
      <c r="H125" s="27"/>
      <c r="K125" s="144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>
      <c r="A126" s="25"/>
      <c r="B126" s="26"/>
      <c r="C126" s="26"/>
      <c r="D126" s="27"/>
      <c r="E126" s="27"/>
      <c r="F126" s="27"/>
      <c r="G126" s="27"/>
      <c r="H126" s="27"/>
      <c r="I126" s="105" t="s">
        <v>464</v>
      </c>
      <c r="J126" s="105" t="s">
        <v>69</v>
      </c>
      <c r="K126" s="106" t="s">
        <v>465</v>
      </c>
      <c r="L126" s="106" t="s">
        <v>466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>
      <c r="A127" s="25"/>
      <c r="B127" s="26"/>
      <c r="C127" s="26"/>
      <c r="D127" s="27"/>
      <c r="E127" s="27"/>
      <c r="F127" s="27"/>
      <c r="G127" s="27"/>
      <c r="H127" s="27"/>
      <c r="I127" s="108" t="s">
        <v>467</v>
      </c>
      <c r="J127" s="109">
        <v>45000.0</v>
      </c>
      <c r="K127" s="82">
        <f t="shared" ref="K127:K135" si="5">IF(I127&lt;&gt;$J$124,J127,)</f>
        <v>45000</v>
      </c>
      <c r="L127" s="82" t="str">
        <f t="shared" ref="L127:L135" si="6">IF(I127=$J$124,J127,)</f>
        <v/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>
      <c r="A128" s="25"/>
      <c r="B128" s="26"/>
      <c r="C128" s="26"/>
      <c r="D128" s="27"/>
      <c r="E128" s="27"/>
      <c r="F128" s="27"/>
      <c r="G128" s="27"/>
      <c r="H128" s="27"/>
      <c r="I128" s="108" t="s">
        <v>468</v>
      </c>
      <c r="J128" s="109">
        <v>52500.0</v>
      </c>
      <c r="K128" s="82">
        <f t="shared" si="5"/>
        <v>52500</v>
      </c>
      <c r="L128" s="82" t="str">
        <f t="shared" si="6"/>
        <v/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</row>
    <row r="129">
      <c r="A129" s="25"/>
      <c r="B129" s="26"/>
      <c r="C129" s="26"/>
      <c r="D129" s="27"/>
      <c r="E129" s="27"/>
      <c r="F129" s="27"/>
      <c r="G129" s="27"/>
      <c r="H129" s="27"/>
      <c r="I129" s="108" t="s">
        <v>462</v>
      </c>
      <c r="J129" s="109">
        <v>48000.0</v>
      </c>
      <c r="K129" s="82" t="str">
        <f t="shared" si="5"/>
        <v/>
      </c>
      <c r="L129" s="82">
        <f t="shared" si="6"/>
        <v>48000</v>
      </c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</row>
    <row r="130">
      <c r="A130" s="25"/>
      <c r="B130" s="26"/>
      <c r="C130" s="26"/>
      <c r="D130" s="27"/>
      <c r="E130" s="27"/>
      <c r="F130" s="27"/>
      <c r="G130" s="27"/>
      <c r="H130" s="27"/>
      <c r="I130" s="108" t="s">
        <v>470</v>
      </c>
      <c r="J130" s="109">
        <v>39500.0</v>
      </c>
      <c r="K130" s="82">
        <f t="shared" si="5"/>
        <v>39500</v>
      </c>
      <c r="L130" s="82" t="str">
        <f t="shared" si="6"/>
        <v/>
      </c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</row>
    <row r="131">
      <c r="A131" s="25"/>
      <c r="B131" s="26"/>
      <c r="C131" s="26"/>
      <c r="D131" s="27"/>
      <c r="E131" s="27"/>
      <c r="F131" s="27"/>
      <c r="G131" s="27"/>
      <c r="H131" s="27"/>
      <c r="I131" s="108" t="s">
        <v>471</v>
      </c>
      <c r="J131" s="109">
        <v>60000.0</v>
      </c>
      <c r="K131" s="82">
        <f t="shared" si="5"/>
        <v>60000</v>
      </c>
      <c r="L131" s="82" t="str">
        <f t="shared" si="6"/>
        <v/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</row>
    <row r="132">
      <c r="A132" s="25"/>
      <c r="B132" s="26"/>
      <c r="C132" s="26"/>
      <c r="D132" s="27"/>
      <c r="E132" s="27"/>
      <c r="F132" s="27"/>
      <c r="G132" s="27"/>
      <c r="H132" s="27"/>
      <c r="I132" s="108" t="s">
        <v>472</v>
      </c>
      <c r="J132" s="109">
        <v>55000.0</v>
      </c>
      <c r="K132" s="82">
        <f t="shared" si="5"/>
        <v>55000</v>
      </c>
      <c r="L132" s="82" t="str">
        <f t="shared" si="6"/>
        <v/>
      </c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>
      <c r="A133" s="25"/>
      <c r="B133" s="26"/>
      <c r="C133" s="26"/>
      <c r="D133" s="27"/>
      <c r="E133" s="27"/>
      <c r="F133" s="27"/>
      <c r="G133" s="27"/>
      <c r="H133" s="27"/>
      <c r="I133" s="108" t="s">
        <v>473</v>
      </c>
      <c r="J133" s="109">
        <v>43000.0</v>
      </c>
      <c r="K133" s="82">
        <f t="shared" si="5"/>
        <v>43000</v>
      </c>
      <c r="L133" s="82" t="str">
        <f t="shared" si="6"/>
        <v/>
      </c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</row>
    <row r="134">
      <c r="A134" s="25"/>
      <c r="B134" s="26"/>
      <c r="C134" s="26"/>
      <c r="D134" s="27"/>
      <c r="E134" s="27"/>
      <c r="F134" s="27"/>
      <c r="G134" s="27"/>
      <c r="H134" s="27"/>
      <c r="I134" s="108" t="s">
        <v>474</v>
      </c>
      <c r="J134" s="109">
        <v>50500.0</v>
      </c>
      <c r="K134" s="82">
        <f t="shared" si="5"/>
        <v>50500</v>
      </c>
      <c r="L134" s="82" t="str">
        <f t="shared" si="6"/>
        <v/>
      </c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</row>
    <row r="135">
      <c r="A135" s="25"/>
      <c r="B135" s="26"/>
      <c r="C135" s="26"/>
      <c r="D135" s="27"/>
      <c r="E135" s="27"/>
      <c r="F135" s="27"/>
      <c r="G135" s="27"/>
      <c r="H135" s="27"/>
      <c r="I135" s="108" t="s">
        <v>476</v>
      </c>
      <c r="J135" s="109">
        <v>47000.0</v>
      </c>
      <c r="K135" s="82">
        <f t="shared" si="5"/>
        <v>47000</v>
      </c>
      <c r="L135" s="82" t="str">
        <f t="shared" si="6"/>
        <v/>
      </c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>
      <c r="A136" s="25"/>
      <c r="B136" s="26"/>
      <c r="C136" s="26"/>
      <c r="D136" s="27"/>
      <c r="E136" s="27"/>
      <c r="F136" s="27"/>
      <c r="G136" s="27"/>
      <c r="H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>
      <c r="A137" s="25"/>
      <c r="B137" s="26"/>
      <c r="C137" s="26"/>
      <c r="D137" s="27"/>
      <c r="E137" s="27"/>
      <c r="F137" s="27"/>
      <c r="G137" s="27"/>
      <c r="H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>
      <c r="A138" s="25"/>
      <c r="B138" s="26"/>
      <c r="C138" s="26"/>
      <c r="D138" s="27"/>
      <c r="E138" s="27"/>
      <c r="F138" s="27"/>
      <c r="G138" s="27"/>
      <c r="H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>
      <c r="A139" s="25"/>
      <c r="B139" s="26"/>
      <c r="C139" s="26"/>
      <c r="D139" s="27"/>
      <c r="E139" s="27"/>
      <c r="F139" s="27"/>
      <c r="G139" s="27"/>
      <c r="H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>
      <c r="A140" s="25"/>
      <c r="B140" s="26"/>
      <c r="C140" s="26"/>
      <c r="D140" s="27"/>
      <c r="E140" s="27"/>
      <c r="F140" s="27"/>
      <c r="G140" s="27"/>
      <c r="H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</row>
    <row r="141">
      <c r="A141" s="25"/>
      <c r="B141" s="26"/>
      <c r="C141" s="26"/>
      <c r="D141" s="27"/>
      <c r="E141" s="27"/>
      <c r="F141" s="27"/>
      <c r="G141" s="27"/>
      <c r="H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>
      <c r="A142" s="25"/>
      <c r="B142" s="26"/>
      <c r="C142" s="26"/>
      <c r="D142" s="27"/>
      <c r="E142" s="32" t="s">
        <v>372</v>
      </c>
      <c r="F142" s="33"/>
      <c r="G142" s="33"/>
      <c r="H142" s="34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>
      <c r="A143" s="25"/>
      <c r="B143" s="26"/>
      <c r="C143" s="26"/>
      <c r="D143" s="27"/>
      <c r="E143" s="27"/>
      <c r="F143" s="27"/>
      <c r="G143" s="27"/>
      <c r="H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>
      <c r="A144" s="25"/>
      <c r="B144" s="26"/>
      <c r="C144" s="26"/>
      <c r="D144" s="27"/>
      <c r="E144" s="27"/>
      <c r="F144" s="27"/>
      <c r="G144" s="27"/>
      <c r="H144" s="27"/>
      <c r="I144" s="41" t="s">
        <v>478</v>
      </c>
      <c r="J144" s="33"/>
      <c r="K144" s="33"/>
      <c r="L144" s="34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>
      <c r="A145" s="25"/>
      <c r="B145" s="26"/>
      <c r="C145" s="26"/>
      <c r="D145" s="27"/>
      <c r="E145" s="27"/>
      <c r="F145" s="27"/>
      <c r="G145" s="27"/>
      <c r="H145" s="27"/>
      <c r="I145" s="187" t="s">
        <v>461</v>
      </c>
      <c r="J145" s="189" t="s">
        <v>470</v>
      </c>
      <c r="K145" s="34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>
      <c r="A146" s="25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>
      <c r="A147" s="25"/>
      <c r="B147" s="26"/>
      <c r="C147" s="26"/>
      <c r="D147" s="27"/>
      <c r="E147" s="27"/>
      <c r="F147" s="27"/>
      <c r="G147" s="27"/>
      <c r="H147" s="27"/>
      <c r="I147" s="190" t="s">
        <v>480</v>
      </c>
      <c r="J147" s="105" t="s">
        <v>405</v>
      </c>
      <c r="K147" s="105" t="s">
        <v>406</v>
      </c>
      <c r="L147" s="105" t="s">
        <v>408</v>
      </c>
      <c r="M147" s="105" t="s">
        <v>409</v>
      </c>
      <c r="N147" s="191" t="s">
        <v>480</v>
      </c>
      <c r="O147" s="191" t="s">
        <v>405</v>
      </c>
      <c r="P147" s="191" t="s">
        <v>406</v>
      </c>
      <c r="Q147" s="191" t="s">
        <v>408</v>
      </c>
      <c r="R147" s="191" t="s">
        <v>409</v>
      </c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>
      <c r="A148" s="25"/>
      <c r="B148" s="26"/>
      <c r="C148" s="26"/>
      <c r="D148" s="27"/>
      <c r="E148" s="27"/>
      <c r="F148" s="27"/>
      <c r="G148" s="27"/>
      <c r="H148" s="27"/>
      <c r="I148" s="108" t="s">
        <v>467</v>
      </c>
      <c r="J148" s="108">
        <v>1259.0</v>
      </c>
      <c r="K148" s="108">
        <v>1657.0</v>
      </c>
      <c r="L148" s="108">
        <v>853.0</v>
      </c>
      <c r="M148" s="108">
        <v>1143.0</v>
      </c>
      <c r="N148" s="192" t="str">
        <f>IFERROR(__xludf.DUMMYFUNCTION("{FILTER(I148:M156,I148:I156=J145);FILTER(I148:M156,I148:I156&lt;&gt;J145)}"),"David Brown")</f>
        <v>David Brown</v>
      </c>
      <c r="O148" s="193">
        <f>IFERROR(__xludf.DUMMYFUNCTION("""COMPUTED_VALUE"""),1864.0)</f>
        <v>1864</v>
      </c>
      <c r="P148" s="193">
        <f>IFERROR(__xludf.DUMMYFUNCTION("""COMPUTED_VALUE"""),556.0)</f>
        <v>556</v>
      </c>
      <c r="Q148" s="193">
        <f>IFERROR(__xludf.DUMMYFUNCTION("""COMPUTED_VALUE"""),814.0)</f>
        <v>814</v>
      </c>
      <c r="R148" s="193">
        <f>IFERROR(__xludf.DUMMYFUNCTION("""COMPUTED_VALUE"""),614.0)</f>
        <v>614</v>
      </c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</row>
    <row r="149">
      <c r="A149" s="25"/>
      <c r="B149" s="26"/>
      <c r="C149" s="26"/>
      <c r="D149" s="27"/>
      <c r="E149" s="27"/>
      <c r="F149" s="27"/>
      <c r="G149" s="27"/>
      <c r="H149" s="27"/>
      <c r="I149" s="108" t="s">
        <v>468</v>
      </c>
      <c r="J149" s="108">
        <v>1193.0</v>
      </c>
      <c r="K149" s="108">
        <v>1244.0</v>
      </c>
      <c r="L149" s="108">
        <v>1360.0</v>
      </c>
      <c r="M149" s="108">
        <v>1116.0</v>
      </c>
      <c r="N149" s="192" t="str">
        <f>IFERROR(__xludf.DUMMYFUNCTION("""COMPUTED_VALUE"""),"Emily Johnson")</f>
        <v>Emily Johnson</v>
      </c>
      <c r="O149" s="193">
        <f>IFERROR(__xludf.DUMMYFUNCTION("""COMPUTED_VALUE"""),1259.0)</f>
        <v>1259</v>
      </c>
      <c r="P149" s="193">
        <f>IFERROR(__xludf.DUMMYFUNCTION("""COMPUTED_VALUE"""),1657.0)</f>
        <v>1657</v>
      </c>
      <c r="Q149" s="193">
        <f>IFERROR(__xludf.DUMMYFUNCTION("""COMPUTED_VALUE"""),853.0)</f>
        <v>853</v>
      </c>
      <c r="R149" s="193">
        <f>IFERROR(__xludf.DUMMYFUNCTION("""COMPUTED_VALUE"""),1143.0)</f>
        <v>1143</v>
      </c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</row>
    <row r="150">
      <c r="A150" s="25"/>
      <c r="B150" s="26"/>
      <c r="C150" s="26"/>
      <c r="D150" s="27"/>
      <c r="E150" s="27"/>
      <c r="F150" s="27"/>
      <c r="G150" s="27"/>
      <c r="H150" s="27"/>
      <c r="I150" s="108" t="s">
        <v>462</v>
      </c>
      <c r="J150" s="108">
        <v>573.0</v>
      </c>
      <c r="K150" s="108">
        <v>907.0</v>
      </c>
      <c r="L150" s="108">
        <v>758.0</v>
      </c>
      <c r="M150" s="108">
        <v>992.0</v>
      </c>
      <c r="N150" s="192" t="str">
        <f>IFERROR(__xludf.DUMMYFUNCTION("""COMPUTED_VALUE"""),"Michael Smith")</f>
        <v>Michael Smith</v>
      </c>
      <c r="O150" s="193">
        <f>IFERROR(__xludf.DUMMYFUNCTION("""COMPUTED_VALUE"""),1193.0)</f>
        <v>1193</v>
      </c>
      <c r="P150" s="193">
        <f>IFERROR(__xludf.DUMMYFUNCTION("""COMPUTED_VALUE"""),1244.0)</f>
        <v>1244</v>
      </c>
      <c r="Q150" s="193">
        <f>IFERROR(__xludf.DUMMYFUNCTION("""COMPUTED_VALUE"""),1360.0)</f>
        <v>1360</v>
      </c>
      <c r="R150" s="193">
        <f>IFERROR(__xludf.DUMMYFUNCTION("""COMPUTED_VALUE"""),1116.0)</f>
        <v>1116</v>
      </c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>
      <c r="A151" s="25"/>
      <c r="B151" s="26"/>
      <c r="C151" s="26"/>
      <c r="D151" s="27"/>
      <c r="E151" s="27"/>
      <c r="F151" s="27"/>
      <c r="G151" s="27"/>
      <c r="H151" s="27"/>
      <c r="I151" s="108" t="s">
        <v>470</v>
      </c>
      <c r="J151" s="108">
        <v>1864.0</v>
      </c>
      <c r="K151" s="108">
        <v>556.0</v>
      </c>
      <c r="L151" s="108">
        <v>814.0</v>
      </c>
      <c r="M151" s="108">
        <v>614.0</v>
      </c>
      <c r="N151" s="192" t="str">
        <f>IFERROR(__xludf.DUMMYFUNCTION("""COMPUTED_VALUE"""),"Sarah Williams")</f>
        <v>Sarah Williams</v>
      </c>
      <c r="O151" s="193">
        <f>IFERROR(__xludf.DUMMYFUNCTION("""COMPUTED_VALUE"""),573.0)</f>
        <v>573</v>
      </c>
      <c r="P151" s="193">
        <f>IFERROR(__xludf.DUMMYFUNCTION("""COMPUTED_VALUE"""),907.0)</f>
        <v>907</v>
      </c>
      <c r="Q151" s="193">
        <f>IFERROR(__xludf.DUMMYFUNCTION("""COMPUTED_VALUE"""),758.0)</f>
        <v>758</v>
      </c>
      <c r="R151" s="193">
        <f>IFERROR(__xludf.DUMMYFUNCTION("""COMPUTED_VALUE"""),992.0)</f>
        <v>992</v>
      </c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>
      <c r="A152" s="25"/>
      <c r="B152" s="26"/>
      <c r="C152" s="26"/>
      <c r="D152" s="27"/>
      <c r="E152" s="27"/>
      <c r="F152" s="27"/>
      <c r="G152" s="27"/>
      <c r="H152" s="27"/>
      <c r="I152" s="108" t="s">
        <v>471</v>
      </c>
      <c r="J152" s="108">
        <v>681.0</v>
      </c>
      <c r="K152" s="108">
        <v>1359.0</v>
      </c>
      <c r="L152" s="108">
        <v>844.0</v>
      </c>
      <c r="M152" s="108">
        <v>2000.0</v>
      </c>
      <c r="N152" s="192" t="str">
        <f>IFERROR(__xludf.DUMMYFUNCTION("""COMPUTED_VALUE"""),"Jessica Miller")</f>
        <v>Jessica Miller</v>
      </c>
      <c r="O152" s="193">
        <f>IFERROR(__xludf.DUMMYFUNCTION("""COMPUTED_VALUE"""),681.0)</f>
        <v>681</v>
      </c>
      <c r="P152" s="193">
        <f>IFERROR(__xludf.DUMMYFUNCTION("""COMPUTED_VALUE"""),1359.0)</f>
        <v>1359</v>
      </c>
      <c r="Q152" s="193">
        <f>IFERROR(__xludf.DUMMYFUNCTION("""COMPUTED_VALUE"""),844.0)</f>
        <v>844</v>
      </c>
      <c r="R152" s="193">
        <f>IFERROR(__xludf.DUMMYFUNCTION("""COMPUTED_VALUE"""),2000.0)</f>
        <v>2000</v>
      </c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>
      <c r="A153" s="25"/>
      <c r="B153" s="26"/>
      <c r="C153" s="26"/>
      <c r="D153" s="27"/>
      <c r="E153" s="27"/>
      <c r="F153" s="27"/>
      <c r="G153" s="27"/>
      <c r="H153" s="27"/>
      <c r="I153" s="108" t="s">
        <v>472</v>
      </c>
      <c r="J153" s="108">
        <v>1679.0</v>
      </c>
      <c r="K153" s="108">
        <v>724.0</v>
      </c>
      <c r="L153" s="108">
        <v>1412.0</v>
      </c>
      <c r="M153" s="108">
        <v>1877.0</v>
      </c>
      <c r="N153" s="192" t="str">
        <f>IFERROR(__xludf.DUMMYFUNCTION("""COMPUTED_VALUE"""),"James Wilson")</f>
        <v>James Wilson</v>
      </c>
      <c r="O153" s="193">
        <f>IFERROR(__xludf.DUMMYFUNCTION("""COMPUTED_VALUE"""),1679.0)</f>
        <v>1679</v>
      </c>
      <c r="P153" s="193">
        <f>IFERROR(__xludf.DUMMYFUNCTION("""COMPUTED_VALUE"""),724.0)</f>
        <v>724</v>
      </c>
      <c r="Q153" s="193">
        <f>IFERROR(__xludf.DUMMYFUNCTION("""COMPUTED_VALUE"""),1412.0)</f>
        <v>1412</v>
      </c>
      <c r="R153" s="193">
        <f>IFERROR(__xludf.DUMMYFUNCTION("""COMPUTED_VALUE"""),1877.0)</f>
        <v>1877</v>
      </c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>
      <c r="A154" s="25"/>
      <c r="B154" s="26"/>
      <c r="C154" s="26"/>
      <c r="D154" s="27"/>
      <c r="E154" s="27"/>
      <c r="F154" s="27"/>
      <c r="G154" s="27"/>
      <c r="H154" s="27"/>
      <c r="I154" s="108" t="s">
        <v>473</v>
      </c>
      <c r="J154" s="108">
        <v>1057.0</v>
      </c>
      <c r="K154" s="108">
        <v>1054.0</v>
      </c>
      <c r="L154" s="108">
        <v>738.0</v>
      </c>
      <c r="M154" s="108">
        <v>625.0</v>
      </c>
      <c r="N154" s="192" t="str">
        <f>IFERROR(__xludf.DUMMYFUNCTION("""COMPUTED_VALUE"""),"Olivia Davis")</f>
        <v>Olivia Davis</v>
      </c>
      <c r="O154" s="193">
        <f>IFERROR(__xludf.DUMMYFUNCTION("""COMPUTED_VALUE"""),1057.0)</f>
        <v>1057</v>
      </c>
      <c r="P154" s="193">
        <f>IFERROR(__xludf.DUMMYFUNCTION("""COMPUTED_VALUE"""),1054.0)</f>
        <v>1054</v>
      </c>
      <c r="Q154" s="193">
        <f>IFERROR(__xludf.DUMMYFUNCTION("""COMPUTED_VALUE"""),738.0)</f>
        <v>738</v>
      </c>
      <c r="R154" s="193">
        <f>IFERROR(__xludf.DUMMYFUNCTION("""COMPUTED_VALUE"""),625.0)</f>
        <v>625</v>
      </c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>
      <c r="A155" s="25"/>
      <c r="B155" s="26"/>
      <c r="C155" s="26"/>
      <c r="D155" s="27"/>
      <c r="E155" s="27"/>
      <c r="F155" s="27"/>
      <c r="G155" s="27"/>
      <c r="H155" s="27"/>
      <c r="I155" s="108" t="s">
        <v>474</v>
      </c>
      <c r="J155" s="108">
        <v>570.0</v>
      </c>
      <c r="K155" s="108">
        <v>1892.0</v>
      </c>
      <c r="L155" s="108">
        <v>1954.0</v>
      </c>
      <c r="M155" s="108">
        <v>831.0</v>
      </c>
      <c r="N155" s="192" t="str">
        <f>IFERROR(__xludf.DUMMYFUNCTION("""COMPUTED_VALUE"""),"Daniel Martinez")</f>
        <v>Daniel Martinez</v>
      </c>
      <c r="O155" s="193">
        <f>IFERROR(__xludf.DUMMYFUNCTION("""COMPUTED_VALUE"""),570.0)</f>
        <v>570</v>
      </c>
      <c r="P155" s="193">
        <f>IFERROR(__xludf.DUMMYFUNCTION("""COMPUTED_VALUE"""),1892.0)</f>
        <v>1892</v>
      </c>
      <c r="Q155" s="193">
        <f>IFERROR(__xludf.DUMMYFUNCTION("""COMPUTED_VALUE"""),1954.0)</f>
        <v>1954</v>
      </c>
      <c r="R155" s="193">
        <f>IFERROR(__xludf.DUMMYFUNCTION("""COMPUTED_VALUE"""),831.0)</f>
        <v>831</v>
      </c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>
      <c r="A156" s="25"/>
      <c r="B156" s="26"/>
      <c r="C156" s="26"/>
      <c r="D156" s="27"/>
      <c r="E156" s="27"/>
      <c r="F156" s="27"/>
      <c r="G156" s="27"/>
      <c r="H156" s="27"/>
      <c r="I156" s="108" t="s">
        <v>476</v>
      </c>
      <c r="J156" s="108">
        <v>1186.0</v>
      </c>
      <c r="K156" s="108">
        <v>1723.0</v>
      </c>
      <c r="L156" s="108">
        <v>1212.0</v>
      </c>
      <c r="M156" s="108">
        <v>787.0</v>
      </c>
      <c r="N156" s="192" t="str">
        <f>IFERROR(__xludf.DUMMYFUNCTION("""COMPUTED_VALUE"""),"Laura Garcia")</f>
        <v>Laura Garcia</v>
      </c>
      <c r="O156" s="193">
        <f>IFERROR(__xludf.DUMMYFUNCTION("""COMPUTED_VALUE"""),1186.0)</f>
        <v>1186</v>
      </c>
      <c r="P156" s="193">
        <f>IFERROR(__xludf.DUMMYFUNCTION("""COMPUTED_VALUE"""),1723.0)</f>
        <v>1723</v>
      </c>
      <c r="Q156" s="193">
        <f>IFERROR(__xludf.DUMMYFUNCTION("""COMPUTED_VALUE"""),1212.0)</f>
        <v>1212</v>
      </c>
      <c r="R156" s="193">
        <f>IFERROR(__xludf.DUMMYFUNCTION("""COMPUTED_VALUE"""),787.0)</f>
        <v>787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>
      <c r="A157" s="25"/>
      <c r="B157" s="26"/>
      <c r="C157" s="26"/>
      <c r="D157" s="27"/>
      <c r="E157" s="27"/>
      <c r="F157" s="27"/>
      <c r="G157" s="27"/>
      <c r="H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>
      <c r="A158" s="25"/>
      <c r="B158" s="26"/>
      <c r="C158" s="26"/>
      <c r="D158" s="27"/>
      <c r="E158" s="27"/>
      <c r="F158" s="27"/>
      <c r="G158" s="27"/>
      <c r="H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>
      <c r="A159" s="25"/>
      <c r="B159" s="26"/>
      <c r="C159" s="26"/>
      <c r="D159" s="27"/>
      <c r="E159" s="27"/>
      <c r="F159" s="27"/>
      <c r="G159" s="27"/>
      <c r="H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>
      <c r="A160" s="25"/>
      <c r="B160" s="26"/>
      <c r="C160" s="26"/>
      <c r="D160" s="27"/>
      <c r="E160" s="27"/>
      <c r="F160" s="27"/>
      <c r="G160" s="27"/>
      <c r="H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>
      <c r="A161" s="25"/>
      <c r="B161" s="26"/>
      <c r="C161" s="26"/>
      <c r="D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>
      <c r="A162" s="25"/>
      <c r="B162" s="26"/>
      <c r="C162" s="26"/>
      <c r="D162" s="27"/>
      <c r="E162" s="32" t="s">
        <v>374</v>
      </c>
      <c r="F162" s="33"/>
      <c r="G162" s="33"/>
      <c r="H162" s="34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>
      <c r="A163" s="25"/>
      <c r="B163" s="26"/>
      <c r="C163" s="26"/>
      <c r="D163" s="27"/>
      <c r="E163" s="27"/>
      <c r="F163" s="27"/>
      <c r="G163" s="27"/>
      <c r="H163" s="27"/>
      <c r="I163" s="41" t="s">
        <v>490</v>
      </c>
      <c r="J163" s="33"/>
      <c r="K163" s="33"/>
      <c r="L163" s="34"/>
      <c r="M163" s="76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>
      <c r="A164" s="25"/>
      <c r="B164" s="26"/>
      <c r="C164" s="26"/>
      <c r="D164" s="27"/>
      <c r="E164" s="27"/>
      <c r="F164" s="27"/>
      <c r="G164" s="27"/>
      <c r="H164" s="27"/>
      <c r="I164" s="118" t="s">
        <v>491</v>
      </c>
      <c r="J164" s="118" t="s">
        <v>492</v>
      </c>
      <c r="K164" s="118" t="s">
        <v>493</v>
      </c>
      <c r="L164" s="106" t="s">
        <v>494</v>
      </c>
      <c r="M164" s="106" t="s">
        <v>492</v>
      </c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>
      <c r="A165" s="25"/>
      <c r="B165" s="26"/>
      <c r="C165" s="26"/>
      <c r="D165" s="27"/>
      <c r="E165" s="27"/>
      <c r="F165" s="27"/>
      <c r="G165" s="27"/>
      <c r="H165" s="27"/>
      <c r="I165" s="45" t="s">
        <v>496</v>
      </c>
      <c r="J165" s="197">
        <v>15000.0</v>
      </c>
      <c r="K165" s="198" t="b">
        <v>1</v>
      </c>
      <c r="L165" s="199" t="str">
        <f>IFERROR(__xludf.DUMMYFUNCTION("IFERROR(FILTER(I165:J171,K165:K171))"),"Social Media Ads")</f>
        <v>Social Media Ads</v>
      </c>
      <c r="M165" s="199">
        <f>IFERROR(__xludf.DUMMYFUNCTION("""COMPUTED_VALUE"""),15000.0)</f>
        <v>15000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>
      <c r="A166" s="25"/>
      <c r="B166" s="26"/>
      <c r="C166" s="26"/>
      <c r="D166" s="27"/>
      <c r="E166" s="27"/>
      <c r="F166" s="27"/>
      <c r="G166" s="27"/>
      <c r="H166" s="27"/>
      <c r="I166" s="45" t="s">
        <v>497</v>
      </c>
      <c r="J166" s="197">
        <v>12000.0</v>
      </c>
      <c r="K166" s="198" t="b">
        <v>1</v>
      </c>
      <c r="L166" s="199" t="str">
        <f>IFERROR(__xludf.DUMMYFUNCTION("""COMPUTED_VALUE"""),"Content Marketing")</f>
        <v>Content Marketing</v>
      </c>
      <c r="M166" s="199">
        <f>IFERROR(__xludf.DUMMYFUNCTION("""COMPUTED_VALUE"""),12000.0)</f>
        <v>12000</v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>
      <c r="A167" s="25"/>
      <c r="B167" s="26"/>
      <c r="C167" s="26"/>
      <c r="D167" s="27"/>
      <c r="E167" s="27"/>
      <c r="F167" s="27"/>
      <c r="G167" s="27"/>
      <c r="H167" s="27"/>
      <c r="I167" s="45" t="s">
        <v>498</v>
      </c>
      <c r="J167" s="197">
        <v>8000.0</v>
      </c>
      <c r="K167" s="198" t="b">
        <v>0</v>
      </c>
      <c r="L167" s="199" t="str">
        <f>IFERROR(__xludf.DUMMYFUNCTION("""COMPUTED_VALUE"""),"Search Engine Marketing")</f>
        <v>Search Engine Marketing</v>
      </c>
      <c r="M167" s="199">
        <f>IFERROR(__xludf.DUMMYFUNCTION("""COMPUTED_VALUE"""),10000.0)</f>
        <v>10000</v>
      </c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</row>
    <row r="168">
      <c r="A168" s="25"/>
      <c r="B168" s="26"/>
      <c r="C168" s="26"/>
      <c r="D168" s="27"/>
      <c r="E168" s="27"/>
      <c r="F168" s="27"/>
      <c r="G168" s="27"/>
      <c r="H168" s="27"/>
      <c r="I168" s="45" t="s">
        <v>500</v>
      </c>
      <c r="J168" s="197">
        <v>10000.0</v>
      </c>
      <c r="K168" s="198" t="b">
        <v>1</v>
      </c>
      <c r="L168" s="199" t="str">
        <f>IFERROR(__xludf.DUMMYFUNCTION("""COMPUTED_VALUE"""),"Event Sponsorships")</f>
        <v>Event Sponsorships</v>
      </c>
      <c r="M168" s="199">
        <f>IFERROR(__xludf.DUMMYFUNCTION("""COMPUTED_VALUE"""),9000.0)</f>
        <v>9000</v>
      </c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>
      <c r="A169" s="25"/>
      <c r="B169" s="26"/>
      <c r="C169" s="26"/>
      <c r="D169" s="27"/>
      <c r="E169" s="27"/>
      <c r="F169" s="27"/>
      <c r="G169" s="27"/>
      <c r="H169" s="27"/>
      <c r="I169" s="45" t="s">
        <v>501</v>
      </c>
      <c r="J169" s="197">
        <v>7000.0</v>
      </c>
      <c r="K169" s="198" t="b">
        <v>0</v>
      </c>
      <c r="L169" s="199" t="str">
        <f>IFERROR(__xludf.DUMMYFUNCTION("""COMPUTED_VALUE"""),"Video Production")</f>
        <v>Video Production</v>
      </c>
      <c r="M169" s="199">
        <f>IFERROR(__xludf.DUMMYFUNCTION("""COMPUTED_VALUE"""),11000.0)</f>
        <v>11000</v>
      </c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>
      <c r="A170" s="25"/>
      <c r="B170" s="26"/>
      <c r="C170" s="26"/>
      <c r="D170" s="27"/>
      <c r="E170" s="27"/>
      <c r="F170" s="27"/>
      <c r="G170" s="27"/>
      <c r="H170" s="27"/>
      <c r="I170" s="45" t="s">
        <v>502</v>
      </c>
      <c r="J170" s="197">
        <v>9000.0</v>
      </c>
      <c r="K170" s="198" t="b">
        <v>1</v>
      </c>
      <c r="L170" s="199"/>
      <c r="M170" s="199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>
      <c r="A171" s="25"/>
      <c r="B171" s="26"/>
      <c r="C171" s="26"/>
      <c r="D171" s="27"/>
      <c r="E171" s="27"/>
      <c r="F171" s="27"/>
      <c r="G171" s="27"/>
      <c r="H171" s="27"/>
      <c r="I171" s="45" t="s">
        <v>503</v>
      </c>
      <c r="J171" s="197">
        <v>11000.0</v>
      </c>
      <c r="K171" s="198" t="b">
        <v>1</v>
      </c>
      <c r="L171" s="199"/>
      <c r="M171" s="199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>
      <c r="A172" s="25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</row>
    <row r="173">
      <c r="A173" s="25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>
      <c r="A174" s="25"/>
      <c r="B174" s="26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>
      <c r="A175" s="25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>
      <c r="A176" s="25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>
      <c r="A177" s="25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>
      <c r="A178" s="25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</row>
    <row r="179">
      <c r="A179" s="25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>
      <c r="A180" s="25"/>
      <c r="B180" s="26"/>
      <c r="C180" s="26"/>
      <c r="D180" s="76"/>
      <c r="E180" s="76"/>
      <c r="F180" s="76"/>
      <c r="G180" s="76"/>
      <c r="H180" s="76"/>
      <c r="I180" s="27"/>
      <c r="J180" s="27"/>
      <c r="K180" s="27"/>
      <c r="L180" s="27"/>
      <c r="M180" s="27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</row>
    <row r="181">
      <c r="A181" s="25"/>
      <c r="B181" s="26"/>
      <c r="C181" s="26"/>
      <c r="D181" s="76"/>
      <c r="E181" s="76"/>
      <c r="F181" s="76"/>
      <c r="G181" s="76"/>
      <c r="H181" s="76"/>
      <c r="I181" s="27"/>
      <c r="J181" s="27"/>
      <c r="K181" s="27"/>
      <c r="L181" s="27"/>
      <c r="M181" s="27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</row>
    <row r="182">
      <c r="A182" s="25"/>
      <c r="B182" s="26"/>
      <c r="C182" s="26"/>
      <c r="D182" s="76"/>
      <c r="E182" s="76"/>
      <c r="F182" s="76"/>
      <c r="G182" s="76"/>
      <c r="H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</row>
    <row r="183">
      <c r="A183" s="25"/>
      <c r="B183" s="26"/>
      <c r="C183" s="26"/>
      <c r="D183" s="76"/>
      <c r="E183" s="32" t="s">
        <v>506</v>
      </c>
      <c r="F183" s="33"/>
      <c r="G183" s="33"/>
      <c r="H183" s="34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</row>
    <row r="184">
      <c r="A184" s="25"/>
      <c r="B184" s="26"/>
      <c r="C184" s="26"/>
      <c r="D184" s="76"/>
      <c r="E184" s="76"/>
      <c r="F184" s="76"/>
      <c r="G184" s="76"/>
      <c r="H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</row>
    <row r="185">
      <c r="A185" s="25"/>
      <c r="B185" s="26"/>
      <c r="C185" s="26"/>
      <c r="D185" s="76"/>
      <c r="E185" s="76"/>
      <c r="F185" s="76"/>
      <c r="G185" s="76"/>
      <c r="H185" s="76"/>
      <c r="I185" s="41" t="s">
        <v>389</v>
      </c>
      <c r="J185" s="33"/>
      <c r="K185" s="33"/>
      <c r="L185" s="34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</row>
    <row r="186">
      <c r="A186" s="25"/>
      <c r="B186" s="26"/>
      <c r="C186" s="26"/>
      <c r="D186" s="76"/>
      <c r="E186" s="76"/>
      <c r="F186" s="76"/>
      <c r="G186" s="76"/>
      <c r="H186" s="76"/>
      <c r="I186" s="105" t="s">
        <v>390</v>
      </c>
      <c r="J186" s="105" t="s">
        <v>391</v>
      </c>
      <c r="K186" s="27"/>
      <c r="L186" s="27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</row>
    <row r="187">
      <c r="A187" s="25"/>
      <c r="B187" s="26"/>
      <c r="C187" s="26"/>
      <c r="D187" s="76"/>
      <c r="E187" s="76"/>
      <c r="F187" s="76"/>
      <c r="G187" s="76"/>
      <c r="H187" s="76"/>
      <c r="I187" s="108" t="s">
        <v>507</v>
      </c>
      <c r="J187" s="109">
        <v>500000.0</v>
      </c>
      <c r="K187" s="27"/>
      <c r="L187" s="27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</row>
    <row r="188">
      <c r="A188" s="25"/>
      <c r="B188" s="26"/>
      <c r="C188" s="26"/>
      <c r="D188" s="76"/>
      <c r="E188" s="76"/>
      <c r="F188" s="76"/>
      <c r="G188" s="76"/>
      <c r="H188" s="76"/>
      <c r="I188" s="108" t="s">
        <v>508</v>
      </c>
      <c r="J188" s="109">
        <v>100000.0</v>
      </c>
      <c r="K188" s="27"/>
      <c r="L188" s="27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</row>
    <row r="189">
      <c r="A189" s="25"/>
      <c r="B189" s="26"/>
      <c r="C189" s="26"/>
      <c r="D189" s="76"/>
      <c r="E189" s="76"/>
      <c r="F189" s="76"/>
      <c r="G189" s="76"/>
      <c r="H189" s="76"/>
      <c r="I189" s="108" t="s">
        <v>510</v>
      </c>
      <c r="J189" s="109">
        <v>50000.0</v>
      </c>
      <c r="K189" s="27"/>
      <c r="L189" s="27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</row>
    <row r="190">
      <c r="A190" s="25"/>
      <c r="B190" s="26"/>
      <c r="C190" s="26"/>
      <c r="D190" s="76"/>
      <c r="E190" s="76"/>
      <c r="F190" s="76"/>
      <c r="G190" s="76"/>
      <c r="H190" s="76"/>
      <c r="I190" s="108" t="s">
        <v>511</v>
      </c>
      <c r="J190" s="109">
        <v>-20000.0</v>
      </c>
      <c r="K190" s="27"/>
      <c r="L190" s="27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</row>
    <row r="191">
      <c r="A191" s="25"/>
      <c r="B191" s="26"/>
      <c r="C191" s="26"/>
      <c r="D191" s="27"/>
      <c r="E191" s="27"/>
      <c r="F191" s="27"/>
      <c r="G191" s="27"/>
      <c r="H191" s="27"/>
      <c r="I191" s="108" t="s">
        <v>512</v>
      </c>
      <c r="J191" s="109">
        <v>80000.0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>
      <c r="A192" s="25"/>
      <c r="B192" s="26"/>
      <c r="C192" s="26"/>
      <c r="D192" s="27"/>
      <c r="E192" s="27"/>
      <c r="F192" s="27"/>
      <c r="G192" s="27"/>
      <c r="H192" s="27"/>
      <c r="I192" s="108" t="s">
        <v>513</v>
      </c>
      <c r="J192" s="109">
        <v>-30000.0</v>
      </c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>
      <c r="A193" s="25"/>
      <c r="B193" s="26"/>
      <c r="C193" s="26"/>
      <c r="D193" s="27"/>
      <c r="E193" s="27"/>
      <c r="F193" s="27"/>
      <c r="G193" s="27"/>
      <c r="H193" s="27"/>
      <c r="I193" s="108" t="s">
        <v>514</v>
      </c>
      <c r="J193" s="109">
        <v>-70000.0</v>
      </c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>
      <c r="A194" s="25"/>
      <c r="B194" s="26"/>
      <c r="C194" s="26"/>
      <c r="D194" s="27"/>
      <c r="E194" s="27"/>
      <c r="F194" s="27"/>
      <c r="G194" s="27"/>
      <c r="H194" s="27"/>
      <c r="I194" s="108" t="s">
        <v>515</v>
      </c>
      <c r="J194" s="109">
        <v>-25000.0</v>
      </c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>
      <c r="A195" s="25"/>
      <c r="B195" s="26"/>
      <c r="C195" s="26"/>
      <c r="D195" s="27"/>
      <c r="E195" s="27"/>
      <c r="F195" s="27"/>
      <c r="G195" s="27"/>
      <c r="H195" s="27"/>
      <c r="I195" s="108" t="s">
        <v>516</v>
      </c>
      <c r="J195" s="109">
        <v>40000.0</v>
      </c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>
      <c r="A196" s="25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>
      <c r="A197" s="25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>
      <c r="A198" s="25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>
      <c r="A199" s="25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>
      <c r="A200" s="25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>
      <c r="A201" s="25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>
      <c r="A202" s="25"/>
      <c r="B202" s="26"/>
      <c r="C202" s="26"/>
      <c r="D202" s="27"/>
      <c r="E202" s="27"/>
      <c r="F202" s="27"/>
      <c r="G202" s="27"/>
      <c r="H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>
      <c r="A203" s="25"/>
      <c r="B203" s="26"/>
      <c r="C203" s="26"/>
      <c r="D203" s="27"/>
      <c r="E203" s="27"/>
      <c r="F203" s="27"/>
      <c r="G203" s="27"/>
      <c r="H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>
      <c r="A204" s="25"/>
      <c r="B204" s="26"/>
      <c r="C204" s="26"/>
      <c r="D204" s="27"/>
      <c r="E204" s="32" t="s">
        <v>378</v>
      </c>
      <c r="F204" s="33"/>
      <c r="G204" s="33"/>
      <c r="H204" s="34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>
      <c r="A205" s="25"/>
      <c r="B205" s="26"/>
      <c r="C205" s="26"/>
      <c r="D205" s="27"/>
      <c r="E205" s="27"/>
      <c r="F205" s="27"/>
      <c r="G205" s="27"/>
      <c r="H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>
      <c r="A206" s="25"/>
      <c r="B206" s="26"/>
      <c r="C206" s="26"/>
      <c r="D206" s="27"/>
      <c r="E206" s="27"/>
      <c r="F206" s="27"/>
      <c r="G206" s="27"/>
      <c r="H206" s="27"/>
      <c r="I206" s="41" t="s">
        <v>518</v>
      </c>
      <c r="J206" s="33"/>
      <c r="K206" s="33"/>
      <c r="L206" s="34"/>
      <c r="M206" s="76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>
      <c r="A207" s="25"/>
      <c r="B207" s="26"/>
      <c r="C207" s="26"/>
      <c r="D207" s="27"/>
      <c r="E207" s="27"/>
      <c r="F207" s="27"/>
      <c r="G207" s="27"/>
      <c r="H207" s="27"/>
      <c r="I207" s="118" t="s">
        <v>47</v>
      </c>
      <c r="J207" s="118" t="s">
        <v>519</v>
      </c>
      <c r="K207" s="118" t="s">
        <v>520</v>
      </c>
      <c r="L207" s="106" t="s">
        <v>521</v>
      </c>
      <c r="M207" s="106" t="s">
        <v>522</v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>
      <c r="A208" s="25"/>
      <c r="B208" s="26"/>
      <c r="C208" s="26"/>
      <c r="D208" s="27"/>
      <c r="E208" s="27"/>
      <c r="F208" s="27"/>
      <c r="G208" s="27"/>
      <c r="H208" s="27"/>
      <c r="I208" s="45" t="s">
        <v>50</v>
      </c>
      <c r="J208" s="213">
        <v>82.0</v>
      </c>
      <c r="K208" s="213">
        <v>20.0</v>
      </c>
      <c r="L208" s="59">
        <f t="shared" ref="L208:L219" si="7">J208/SUM(J208:K208)</f>
        <v>0.8039215686</v>
      </c>
      <c r="M208" s="127">
        <f t="shared" ref="M208:M219" si="8">-K208</f>
        <v>-20</v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>
      <c r="A209" s="25"/>
      <c r="B209" s="26"/>
      <c r="C209" s="26"/>
      <c r="D209" s="27"/>
      <c r="E209" s="27"/>
      <c r="F209" s="27"/>
      <c r="G209" s="27"/>
      <c r="H209" s="27"/>
      <c r="I209" s="45" t="s">
        <v>52</v>
      </c>
      <c r="J209" s="213">
        <v>99.0</v>
      </c>
      <c r="K209" s="213">
        <v>16.0</v>
      </c>
      <c r="L209" s="59">
        <f t="shared" si="7"/>
        <v>0.8608695652</v>
      </c>
      <c r="M209" s="127">
        <f t="shared" si="8"/>
        <v>-16</v>
      </c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</row>
    <row r="210">
      <c r="A210" s="25"/>
      <c r="B210" s="26"/>
      <c r="C210" s="26"/>
      <c r="D210" s="27"/>
      <c r="E210" s="27"/>
      <c r="F210" s="27"/>
      <c r="G210" s="27"/>
      <c r="H210" s="27"/>
      <c r="I210" s="45" t="s">
        <v>54</v>
      </c>
      <c r="J210" s="213">
        <v>94.0</v>
      </c>
      <c r="K210" s="213">
        <v>20.0</v>
      </c>
      <c r="L210" s="59">
        <f t="shared" si="7"/>
        <v>0.8245614035</v>
      </c>
      <c r="M210" s="127">
        <f t="shared" si="8"/>
        <v>-20</v>
      </c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>
      <c r="A211" s="25"/>
      <c r="B211" s="26"/>
      <c r="C211" s="26"/>
      <c r="D211" s="27"/>
      <c r="E211" s="27"/>
      <c r="F211" s="27"/>
      <c r="G211" s="27"/>
      <c r="H211" s="27"/>
      <c r="I211" s="45" t="s">
        <v>55</v>
      </c>
      <c r="J211" s="213">
        <v>99.0</v>
      </c>
      <c r="K211" s="213">
        <v>30.0</v>
      </c>
      <c r="L211" s="59">
        <f t="shared" si="7"/>
        <v>0.7674418605</v>
      </c>
      <c r="M211" s="127">
        <f t="shared" si="8"/>
        <v>-30</v>
      </c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</row>
    <row r="212">
      <c r="A212" s="25"/>
      <c r="B212" s="26"/>
      <c r="C212" s="26"/>
      <c r="D212" s="27"/>
      <c r="E212" s="27"/>
      <c r="F212" s="27"/>
      <c r="G212" s="27"/>
      <c r="H212" s="27"/>
      <c r="I212" s="45" t="s">
        <v>57</v>
      </c>
      <c r="J212" s="213">
        <v>100.0</v>
      </c>
      <c r="K212" s="213">
        <v>12.0</v>
      </c>
      <c r="L212" s="59">
        <f t="shared" si="7"/>
        <v>0.8928571429</v>
      </c>
      <c r="M212" s="127">
        <f t="shared" si="8"/>
        <v>-12</v>
      </c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</row>
    <row r="213">
      <c r="A213" s="25"/>
      <c r="B213" s="26"/>
      <c r="C213" s="26"/>
      <c r="D213" s="27"/>
      <c r="E213" s="27"/>
      <c r="F213" s="27"/>
      <c r="G213" s="27"/>
      <c r="H213" s="27"/>
      <c r="I213" s="45" t="s">
        <v>59</v>
      </c>
      <c r="J213" s="213">
        <v>81.0</v>
      </c>
      <c r="K213" s="213">
        <v>33.0</v>
      </c>
      <c r="L213" s="59">
        <f t="shared" si="7"/>
        <v>0.7105263158</v>
      </c>
      <c r="M213" s="127">
        <f t="shared" si="8"/>
        <v>-33</v>
      </c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>
      <c r="A214" s="25"/>
      <c r="B214" s="26"/>
      <c r="C214" s="26"/>
      <c r="D214" s="27"/>
      <c r="E214" s="27"/>
      <c r="F214" s="27"/>
      <c r="G214" s="27"/>
      <c r="H214" s="27"/>
      <c r="I214" s="45" t="s">
        <v>60</v>
      </c>
      <c r="J214" s="213">
        <v>99.0</v>
      </c>
      <c r="K214" s="213">
        <v>5.0</v>
      </c>
      <c r="L214" s="59">
        <f t="shared" si="7"/>
        <v>0.9519230769</v>
      </c>
      <c r="M214" s="127">
        <f t="shared" si="8"/>
        <v>-5</v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</row>
    <row r="215">
      <c r="A215" s="25"/>
      <c r="B215" s="26"/>
      <c r="C215" s="26"/>
      <c r="D215" s="27"/>
      <c r="E215" s="27"/>
      <c r="F215" s="27"/>
      <c r="G215" s="27"/>
      <c r="H215" s="27"/>
      <c r="I215" s="45" t="s">
        <v>61</v>
      </c>
      <c r="J215" s="213">
        <v>81.0</v>
      </c>
      <c r="K215" s="213">
        <v>14.0</v>
      </c>
      <c r="L215" s="59">
        <f t="shared" si="7"/>
        <v>0.8526315789</v>
      </c>
      <c r="M215" s="127">
        <f t="shared" si="8"/>
        <v>-14</v>
      </c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</row>
    <row r="216">
      <c r="A216" s="25"/>
      <c r="B216" s="26"/>
      <c r="C216" s="26"/>
      <c r="D216" s="27"/>
      <c r="E216" s="27"/>
      <c r="F216" s="27"/>
      <c r="G216" s="27"/>
      <c r="H216" s="27"/>
      <c r="I216" s="45" t="s">
        <v>62</v>
      </c>
      <c r="J216" s="213">
        <v>93.0</v>
      </c>
      <c r="K216" s="213">
        <v>39.0</v>
      </c>
      <c r="L216" s="59">
        <f t="shared" si="7"/>
        <v>0.7045454545</v>
      </c>
      <c r="M216" s="127">
        <f t="shared" si="8"/>
        <v>-39</v>
      </c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>
      <c r="A217" s="25"/>
      <c r="B217" s="26"/>
      <c r="C217" s="26"/>
      <c r="D217" s="27"/>
      <c r="E217" s="27"/>
      <c r="F217" s="27"/>
      <c r="G217" s="27"/>
      <c r="H217" s="27"/>
      <c r="I217" s="45" t="s">
        <v>63</v>
      </c>
      <c r="J217" s="213">
        <v>84.0</v>
      </c>
      <c r="K217" s="213">
        <v>8.0</v>
      </c>
      <c r="L217" s="59">
        <f t="shared" si="7"/>
        <v>0.9130434783</v>
      </c>
      <c r="M217" s="127">
        <f t="shared" si="8"/>
        <v>-8</v>
      </c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</row>
    <row r="218">
      <c r="A218" s="25"/>
      <c r="B218" s="26"/>
      <c r="C218" s="26"/>
      <c r="D218" s="27"/>
      <c r="E218" s="27"/>
      <c r="F218" s="27"/>
      <c r="G218" s="27"/>
      <c r="H218" s="27"/>
      <c r="I218" s="45" t="s">
        <v>64</v>
      </c>
      <c r="J218" s="213">
        <v>87.0</v>
      </c>
      <c r="K218" s="213">
        <v>31.0</v>
      </c>
      <c r="L218" s="59">
        <f t="shared" si="7"/>
        <v>0.7372881356</v>
      </c>
      <c r="M218" s="127">
        <f t="shared" si="8"/>
        <v>-31</v>
      </c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</row>
    <row r="219">
      <c r="A219" s="25"/>
      <c r="B219" s="26"/>
      <c r="C219" s="26"/>
      <c r="D219" s="27"/>
      <c r="E219" s="27"/>
      <c r="F219" s="27"/>
      <c r="G219" s="27"/>
      <c r="H219" s="27"/>
      <c r="I219" s="45" t="s">
        <v>65</v>
      </c>
      <c r="J219" s="213">
        <v>96.0</v>
      </c>
      <c r="K219" s="213">
        <v>28.0</v>
      </c>
      <c r="L219" s="59">
        <f t="shared" si="7"/>
        <v>0.7741935484</v>
      </c>
      <c r="M219" s="127">
        <f t="shared" si="8"/>
        <v>-28</v>
      </c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>
      <c r="A220" s="25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</row>
    <row r="221">
      <c r="A221" s="25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</row>
    <row r="222">
      <c r="A222" s="25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>
      <c r="A223" s="25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>
      <c r="A224" s="25"/>
      <c r="B224" s="26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>
      <c r="A225" s="25"/>
      <c r="B225" s="26"/>
      <c r="C225" s="26"/>
      <c r="D225" s="76"/>
      <c r="E225" s="32" t="s">
        <v>378</v>
      </c>
      <c r="F225" s="33"/>
      <c r="G225" s="33"/>
      <c r="H225" s="34"/>
      <c r="I225" s="27"/>
      <c r="J225" s="27"/>
      <c r="K225" s="27"/>
      <c r="L225" s="27"/>
      <c r="M225" s="27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</row>
    <row r="226">
      <c r="A226" s="25"/>
      <c r="B226" s="26"/>
      <c r="C226" s="26"/>
      <c r="D226" s="76"/>
      <c r="E226" s="76"/>
      <c r="F226" s="76"/>
      <c r="G226" s="76"/>
      <c r="H226" s="76"/>
      <c r="I226" s="41" t="s">
        <v>530</v>
      </c>
      <c r="J226" s="33"/>
      <c r="K226" s="33"/>
      <c r="L226" s="34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</row>
    <row r="227">
      <c r="A227" s="25"/>
      <c r="B227" s="26"/>
      <c r="C227" s="26"/>
      <c r="D227" s="76"/>
      <c r="E227" s="76"/>
      <c r="F227" s="76"/>
      <c r="G227" s="76"/>
      <c r="H227" s="76"/>
      <c r="I227" s="118" t="s">
        <v>390</v>
      </c>
      <c r="J227" s="118" t="s">
        <v>531</v>
      </c>
      <c r="K227" s="118" t="s">
        <v>532</v>
      </c>
      <c r="L227" s="118" t="s">
        <v>533</v>
      </c>
      <c r="M227" s="106" t="s">
        <v>534</v>
      </c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</row>
    <row r="228">
      <c r="A228" s="25"/>
      <c r="B228" s="26"/>
      <c r="C228" s="26"/>
      <c r="D228" s="76"/>
      <c r="E228" s="76"/>
      <c r="F228" s="76"/>
      <c r="G228" s="76"/>
      <c r="H228" s="76"/>
      <c r="I228" s="45" t="s">
        <v>535</v>
      </c>
      <c r="J228" s="216">
        <v>99.0</v>
      </c>
      <c r="K228" s="216">
        <v>64.0</v>
      </c>
      <c r="L228" s="216">
        <v>22.0</v>
      </c>
      <c r="M228" s="59">
        <f t="shared" ref="M228:M237" si="9">J228/SUM(J228:L228)</f>
        <v>0.5351351351</v>
      </c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</row>
    <row r="229">
      <c r="A229" s="25"/>
      <c r="B229" s="26"/>
      <c r="C229" s="26"/>
      <c r="D229" s="76"/>
      <c r="E229" s="76"/>
      <c r="F229" s="76"/>
      <c r="G229" s="76"/>
      <c r="H229" s="76"/>
      <c r="I229" s="45" t="s">
        <v>536</v>
      </c>
      <c r="J229" s="216">
        <v>93.0</v>
      </c>
      <c r="K229" s="216">
        <v>50.0</v>
      </c>
      <c r="L229" s="216">
        <v>22.0</v>
      </c>
      <c r="M229" s="59">
        <f t="shared" si="9"/>
        <v>0.5636363636</v>
      </c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</row>
    <row r="230">
      <c r="A230" s="25"/>
      <c r="B230" s="26"/>
      <c r="C230" s="26"/>
      <c r="D230" s="76"/>
      <c r="E230" s="76"/>
      <c r="F230" s="76"/>
      <c r="G230" s="76"/>
      <c r="H230" s="76"/>
      <c r="I230" s="45" t="s">
        <v>69</v>
      </c>
      <c r="J230" s="216">
        <v>86.0</v>
      </c>
      <c r="K230" s="216">
        <v>35.0</v>
      </c>
      <c r="L230" s="216">
        <v>30.0</v>
      </c>
      <c r="M230" s="59">
        <f t="shared" si="9"/>
        <v>0.5695364238</v>
      </c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</row>
    <row r="231">
      <c r="A231" s="25"/>
      <c r="B231" s="26"/>
      <c r="C231" s="26"/>
      <c r="D231" s="76"/>
      <c r="E231" s="76"/>
      <c r="F231" s="76"/>
      <c r="G231" s="76"/>
      <c r="H231" s="76"/>
      <c r="I231" s="45" t="s">
        <v>537</v>
      </c>
      <c r="J231" s="216">
        <v>100.0</v>
      </c>
      <c r="K231" s="216">
        <v>49.0</v>
      </c>
      <c r="L231" s="216">
        <v>23.0</v>
      </c>
      <c r="M231" s="59">
        <f t="shared" si="9"/>
        <v>0.5813953488</v>
      </c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</row>
    <row r="232">
      <c r="A232" s="25"/>
      <c r="B232" s="26"/>
      <c r="C232" s="26"/>
      <c r="D232" s="76"/>
      <c r="E232" s="76"/>
      <c r="F232" s="76"/>
      <c r="G232" s="76"/>
      <c r="H232" s="76"/>
      <c r="I232" s="45" t="s">
        <v>538</v>
      </c>
      <c r="J232" s="216">
        <v>98.0</v>
      </c>
      <c r="K232" s="216">
        <v>42.0</v>
      </c>
      <c r="L232" s="216">
        <v>35.0</v>
      </c>
      <c r="M232" s="59">
        <f t="shared" si="9"/>
        <v>0.56</v>
      </c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</row>
    <row r="233">
      <c r="A233" s="25"/>
      <c r="B233" s="26"/>
      <c r="C233" s="26"/>
      <c r="D233" s="76"/>
      <c r="E233" s="76"/>
      <c r="F233" s="76"/>
      <c r="G233" s="76"/>
      <c r="H233" s="76"/>
      <c r="I233" s="45" t="s">
        <v>539</v>
      </c>
      <c r="J233" s="216">
        <v>84.0</v>
      </c>
      <c r="K233" s="216">
        <v>47.0</v>
      </c>
      <c r="L233" s="216">
        <v>31.0</v>
      </c>
      <c r="M233" s="59">
        <f t="shared" si="9"/>
        <v>0.5185185185</v>
      </c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</row>
    <row r="234">
      <c r="A234" s="25"/>
      <c r="B234" s="26"/>
      <c r="C234" s="26"/>
      <c r="D234" s="76"/>
      <c r="E234" s="76"/>
      <c r="F234" s="76"/>
      <c r="G234" s="76"/>
      <c r="H234" s="76"/>
      <c r="I234" s="45" t="s">
        <v>540</v>
      </c>
      <c r="J234" s="216">
        <v>87.0</v>
      </c>
      <c r="K234" s="216">
        <v>65.0</v>
      </c>
      <c r="L234" s="216">
        <v>29.0</v>
      </c>
      <c r="M234" s="59">
        <f t="shared" si="9"/>
        <v>0.4806629834</v>
      </c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</row>
    <row r="235">
      <c r="A235" s="25"/>
      <c r="B235" s="26"/>
      <c r="C235" s="26"/>
      <c r="D235" s="76"/>
      <c r="E235" s="76"/>
      <c r="F235" s="76"/>
      <c r="G235" s="76"/>
      <c r="H235" s="76"/>
      <c r="I235" s="45" t="s">
        <v>541</v>
      </c>
      <c r="J235" s="216">
        <v>95.0</v>
      </c>
      <c r="K235" s="216">
        <v>64.0</v>
      </c>
      <c r="L235" s="216">
        <v>20.0</v>
      </c>
      <c r="M235" s="59">
        <f t="shared" si="9"/>
        <v>0.530726257</v>
      </c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</row>
    <row r="236">
      <c r="A236" s="25"/>
      <c r="B236" s="26"/>
      <c r="C236" s="26"/>
      <c r="D236" s="76"/>
      <c r="E236" s="76"/>
      <c r="F236" s="76"/>
      <c r="G236" s="76"/>
      <c r="H236" s="76"/>
      <c r="I236" s="45" t="s">
        <v>542</v>
      </c>
      <c r="J236" s="216">
        <v>93.0</v>
      </c>
      <c r="K236" s="216">
        <v>38.0</v>
      </c>
      <c r="L236" s="216">
        <v>24.0</v>
      </c>
      <c r="M236" s="59">
        <f t="shared" si="9"/>
        <v>0.6</v>
      </c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</row>
    <row r="237">
      <c r="A237" s="25"/>
      <c r="B237" s="26"/>
      <c r="C237" s="26"/>
      <c r="D237" s="76"/>
      <c r="E237" s="76"/>
      <c r="F237" s="76"/>
      <c r="G237" s="76"/>
      <c r="H237" s="76"/>
      <c r="I237" s="45" t="s">
        <v>78</v>
      </c>
      <c r="J237" s="216">
        <v>91.0</v>
      </c>
      <c r="K237" s="216">
        <v>69.0</v>
      </c>
      <c r="L237" s="216">
        <v>33.0</v>
      </c>
      <c r="M237" s="59">
        <f t="shared" si="9"/>
        <v>0.4715025907</v>
      </c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</row>
    <row r="238">
      <c r="A238" s="25"/>
      <c r="B238" s="26"/>
      <c r="C238" s="26"/>
      <c r="D238" s="27"/>
      <c r="E238" s="27"/>
      <c r="F238" s="27"/>
      <c r="G238" s="27"/>
      <c r="H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>
      <c r="A239" s="25"/>
      <c r="B239" s="26"/>
      <c r="C239" s="26"/>
      <c r="D239" s="27"/>
      <c r="E239" s="27"/>
      <c r="F239" s="27"/>
      <c r="G239" s="27"/>
      <c r="H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>
      <c r="A240" s="25"/>
      <c r="B240" s="26"/>
      <c r="C240" s="26"/>
      <c r="D240" s="27"/>
      <c r="E240" s="27"/>
      <c r="F240" s="27"/>
      <c r="G240" s="27"/>
      <c r="H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>
      <c r="A241" s="25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>
      <c r="A242" s="25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</row>
    <row r="243">
      <c r="A243" s="217"/>
      <c r="B243" s="218"/>
      <c r="C243" s="21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>
      <c r="A244" s="217"/>
      <c r="B244" s="218"/>
      <c r="C244" s="218"/>
      <c r="D244" s="76"/>
      <c r="E244" s="76"/>
      <c r="F244" s="76"/>
      <c r="G244" s="76"/>
      <c r="H244" s="76"/>
      <c r="I244" s="27"/>
      <c r="J244" s="27"/>
      <c r="K244" s="27"/>
      <c r="L244" s="27"/>
      <c r="M244" s="27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</row>
    <row r="245">
      <c r="A245" s="217"/>
      <c r="B245" s="218"/>
      <c r="C245" s="218"/>
      <c r="D245" s="76"/>
      <c r="E245" s="32" t="s">
        <v>382</v>
      </c>
      <c r="F245" s="33"/>
      <c r="G245" s="33"/>
      <c r="H245" s="34"/>
      <c r="I245" s="27"/>
      <c r="J245" s="27"/>
      <c r="K245" s="27"/>
      <c r="L245" s="27"/>
      <c r="M245" s="27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</row>
    <row r="246">
      <c r="A246" s="25"/>
      <c r="B246" s="26"/>
      <c r="C246" s="26"/>
      <c r="D246" s="76"/>
      <c r="E246" s="76"/>
      <c r="F246" s="76"/>
      <c r="G246" s="76"/>
      <c r="H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</row>
    <row r="247">
      <c r="A247" s="25"/>
      <c r="B247" s="26"/>
      <c r="C247" s="26"/>
      <c r="D247" s="76"/>
      <c r="E247" s="76"/>
      <c r="F247" s="76"/>
      <c r="G247" s="76"/>
      <c r="H247" s="76"/>
      <c r="I247" s="41" t="s">
        <v>544</v>
      </c>
      <c r="J247" s="33"/>
      <c r="K247" s="33"/>
      <c r="L247" s="34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</row>
    <row r="248">
      <c r="A248" s="25"/>
      <c r="B248" s="26"/>
      <c r="C248" s="26"/>
      <c r="D248" s="76"/>
      <c r="E248" s="76"/>
      <c r="F248" s="76"/>
      <c r="G248" s="76"/>
      <c r="H248" s="76"/>
      <c r="I248" s="118" t="s">
        <v>545</v>
      </c>
      <c r="J248" s="118" t="s">
        <v>354</v>
      </c>
      <c r="K248" s="27"/>
      <c r="L248" s="27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</row>
    <row r="249">
      <c r="A249" s="25"/>
      <c r="B249" s="26"/>
      <c r="C249" s="26"/>
      <c r="D249" s="76"/>
      <c r="E249" s="76"/>
      <c r="F249" s="76"/>
      <c r="G249" s="76"/>
      <c r="H249" s="76"/>
      <c r="I249" s="45" t="s">
        <v>546</v>
      </c>
      <c r="J249" s="216">
        <v>47.0</v>
      </c>
      <c r="K249" s="27"/>
      <c r="L249" s="27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</row>
    <row r="250">
      <c r="A250" s="25"/>
      <c r="B250" s="26"/>
      <c r="C250" s="26"/>
      <c r="D250" s="76"/>
      <c r="E250" s="76"/>
      <c r="F250" s="76"/>
      <c r="G250" s="76"/>
      <c r="H250" s="76"/>
      <c r="I250" s="45" t="s">
        <v>547</v>
      </c>
      <c r="J250" s="216">
        <v>53.0</v>
      </c>
      <c r="K250" s="27"/>
      <c r="L250" s="27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</row>
    <row r="251">
      <c r="A251" s="25"/>
      <c r="B251" s="26"/>
      <c r="C251" s="26"/>
      <c r="D251" s="76"/>
      <c r="E251" s="76"/>
      <c r="F251" s="76"/>
      <c r="G251" s="76"/>
      <c r="H251" s="76"/>
      <c r="I251" s="45" t="s">
        <v>66</v>
      </c>
      <c r="J251" s="216">
        <v>32.0</v>
      </c>
      <c r="K251" s="27"/>
      <c r="L251" s="27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</row>
    <row r="252">
      <c r="A252" s="25"/>
      <c r="B252" s="26"/>
      <c r="C252" s="26"/>
      <c r="D252" s="76"/>
      <c r="E252" s="76"/>
      <c r="F252" s="76"/>
      <c r="G252" s="76"/>
      <c r="H252" s="76"/>
      <c r="I252" s="45" t="s">
        <v>548</v>
      </c>
      <c r="J252" s="216">
        <v>12.0</v>
      </c>
      <c r="K252" s="27"/>
      <c r="L252" s="27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</row>
    <row r="253">
      <c r="A253" s="25"/>
      <c r="B253" s="26"/>
      <c r="C253" s="26"/>
      <c r="D253" s="76"/>
      <c r="E253" s="76"/>
      <c r="F253" s="76"/>
      <c r="G253" s="76"/>
      <c r="H253" s="76"/>
      <c r="I253" s="45" t="s">
        <v>549</v>
      </c>
      <c r="J253" s="216">
        <v>7.0</v>
      </c>
      <c r="K253" s="27"/>
      <c r="L253" s="27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</row>
    <row r="254">
      <c r="A254" s="25"/>
      <c r="B254" s="26"/>
      <c r="C254" s="26"/>
      <c r="D254" s="76"/>
      <c r="E254" s="76"/>
      <c r="F254" s="76"/>
      <c r="G254" s="76"/>
      <c r="H254" s="76"/>
      <c r="I254" s="219" t="str">
        <f t="shared" ref="I254:I258" si="10">I249&amp;" Label"</f>
        <v>Excellent Label</v>
      </c>
      <c r="J254" s="59" t="str">
        <f t="shared" ref="J254:J258" si="11">TEXT(J249/SUM($J$249:$J$253),"0.0%")&amp;" ("&amp;J249&amp;")"</f>
        <v>31.1% (47)</v>
      </c>
      <c r="K254" s="27"/>
      <c r="L254" s="27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</row>
    <row r="255">
      <c r="A255" s="25"/>
      <c r="B255" s="26"/>
      <c r="C255" s="26"/>
      <c r="D255" s="76"/>
      <c r="E255" s="76"/>
      <c r="F255" s="76"/>
      <c r="G255" s="76"/>
      <c r="H255" s="76"/>
      <c r="I255" s="219" t="str">
        <f t="shared" si="10"/>
        <v>Good Label</v>
      </c>
      <c r="J255" s="59" t="str">
        <f t="shared" si="11"/>
        <v>35.1% (53)</v>
      </c>
      <c r="K255" s="27"/>
      <c r="L255" s="27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</row>
    <row r="256">
      <c r="A256" s="25"/>
      <c r="B256" s="26"/>
      <c r="C256" s="26"/>
      <c r="D256" s="76"/>
      <c r="E256" s="76"/>
      <c r="F256" s="76"/>
      <c r="G256" s="76"/>
      <c r="H256" s="76"/>
      <c r="I256" s="219" t="str">
        <f t="shared" si="10"/>
        <v>Average Label</v>
      </c>
      <c r="J256" s="59" t="str">
        <f t="shared" si="11"/>
        <v>21.2% (32)</v>
      </c>
      <c r="K256" s="27"/>
      <c r="L256" s="27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</row>
    <row r="257">
      <c r="A257" s="25"/>
      <c r="B257" s="26"/>
      <c r="C257" s="26"/>
      <c r="D257" s="76"/>
      <c r="E257" s="76"/>
      <c r="F257" s="76"/>
      <c r="G257" s="76"/>
      <c r="H257" s="76"/>
      <c r="I257" s="219" t="str">
        <f t="shared" si="10"/>
        <v>Below Average Label</v>
      </c>
      <c r="J257" s="59" t="str">
        <f t="shared" si="11"/>
        <v>7.9% (12)</v>
      </c>
      <c r="K257" s="27"/>
      <c r="L257" s="27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</row>
    <row r="258">
      <c r="A258" s="25"/>
      <c r="B258" s="26"/>
      <c r="C258" s="26"/>
      <c r="D258" s="76"/>
      <c r="E258" s="76"/>
      <c r="F258" s="76"/>
      <c r="G258" s="76"/>
      <c r="H258" s="76"/>
      <c r="I258" s="219" t="str">
        <f t="shared" si="10"/>
        <v>Poor Label</v>
      </c>
      <c r="J258" s="59" t="str">
        <f t="shared" si="11"/>
        <v>4.6% (7)</v>
      </c>
      <c r="K258" s="27"/>
      <c r="L258" s="27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</row>
    <row r="259">
      <c r="A259" s="25"/>
      <c r="B259" s="26"/>
      <c r="C259" s="2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</row>
    <row r="260">
      <c r="A260" s="25"/>
      <c r="B260" s="26"/>
      <c r="C260" s="2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>
      <c r="A261" s="25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>
      <c r="A262" s="25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>
      <c r="A263" s="25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>
      <c r="A264" s="25"/>
      <c r="B264" s="26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>
      <c r="A265" s="25"/>
      <c r="B265" s="26"/>
      <c r="C265" s="26"/>
      <c r="D265" s="27"/>
      <c r="E265" s="32" t="s">
        <v>383</v>
      </c>
      <c r="F265" s="33"/>
      <c r="G265" s="33"/>
      <c r="H265" s="34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>
      <c r="A266" s="25"/>
      <c r="B266" s="26"/>
      <c r="C266" s="26"/>
      <c r="D266" s="27"/>
      <c r="E266" s="27"/>
      <c r="F266" s="27"/>
      <c r="G266" s="27"/>
      <c r="H266" s="27"/>
      <c r="I266" s="41" t="s">
        <v>552</v>
      </c>
      <c r="J266" s="33"/>
      <c r="K266" s="33"/>
      <c r="L266" s="34"/>
      <c r="M266" s="76"/>
      <c r="N266" s="76"/>
      <c r="O266" s="76"/>
      <c r="P266" s="76"/>
      <c r="Q266" s="76"/>
      <c r="R266" s="118" t="s">
        <v>553</v>
      </c>
      <c r="S266" s="118" t="s">
        <v>554</v>
      </c>
      <c r="T266" s="76"/>
      <c r="U266" s="76"/>
      <c r="V266" s="76"/>
      <c r="W266" s="76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>
      <c r="A267" s="25"/>
      <c r="B267" s="26"/>
      <c r="C267" s="26"/>
      <c r="D267" s="27"/>
      <c r="E267" s="27"/>
      <c r="F267" s="27"/>
      <c r="G267" s="27"/>
      <c r="H267" s="27"/>
      <c r="I267" s="118" t="s">
        <v>390</v>
      </c>
      <c r="J267" s="118" t="s">
        <v>555</v>
      </c>
      <c r="K267" s="118" t="s">
        <v>492</v>
      </c>
      <c r="L267" s="118" t="s">
        <v>317</v>
      </c>
      <c r="M267" s="118" t="s">
        <v>390</v>
      </c>
      <c r="N267" s="118" t="str">
        <f>J268&amp;"-"&amp;K267</f>
        <v>Project A-Budget</v>
      </c>
      <c r="O267" s="118" t="str">
        <f>J269&amp;"-"&amp;K267</f>
        <v>Project B-Budget</v>
      </c>
      <c r="P267" s="118" t="str">
        <f>J268&amp;"-"&amp;L267</f>
        <v>Project A-Actual</v>
      </c>
      <c r="Q267" s="118" t="str">
        <f>J269&amp;"-"&amp;L267</f>
        <v>Project B-Actual</v>
      </c>
      <c r="R267" s="118"/>
      <c r="S267" s="118"/>
      <c r="T267" s="118" t="s">
        <v>557</v>
      </c>
      <c r="U267" s="118" t="s">
        <v>558</v>
      </c>
      <c r="V267" s="118" t="s">
        <v>559</v>
      </c>
      <c r="W267" s="118" t="s">
        <v>560</v>
      </c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>
      <c r="A268" s="25"/>
      <c r="B268" s="26"/>
      <c r="C268" s="26"/>
      <c r="D268" s="27"/>
      <c r="E268" s="27"/>
      <c r="F268" s="27"/>
      <c r="G268" s="27"/>
      <c r="H268" s="27"/>
      <c r="I268" s="45" t="s">
        <v>536</v>
      </c>
      <c r="J268" s="45" t="s">
        <v>182</v>
      </c>
      <c r="K268" s="77">
        <v>67000.0</v>
      </c>
      <c r="L268" s="77">
        <v>70350.0</v>
      </c>
      <c r="M268" s="221" t="str">
        <f t="array" ref="M268:M272">UNIQUE(I268:I277)</f>
        <v>Tech</v>
      </c>
      <c r="N268" s="120">
        <f t="array" ref="N268:Q277">BYROW(M268:M277,LAMBDA(x,IF(x="",,BYCOL(N267:Q267,LAMBDA(y,IF(y="",,LET(a,LEFT(y,FIND("-",y)-1),b,MID(y,FIND("-",y)+1,999),INDEX(K268:L277,MATCH(x&amp;a,I268:I277&amp;J268:J277,0),MATCH(b,K267:L267,0)))))))))</f>
        <v>67000</v>
      </c>
      <c r="O268" s="120">
        <v>69000.0</v>
      </c>
      <c r="P268" s="120">
        <v>70350.0</v>
      </c>
      <c r="Q268" s="120">
        <v>67670.0</v>
      </c>
      <c r="R268" s="120">
        <f t="array" ref="R268:R277">BYROW(M268:Q277,LAMBDA(x,IF(CHOOSECOLS(x,1)="",,LET(y,CHOOSECOLS(x,2,3),z,CHOOSECOLS(x,4,5), MAX(0,SUM(z)-SUM(y))))))</f>
        <v>2020</v>
      </c>
      <c r="S268" s="120">
        <f t="array" ref="S268:S277">BYROW(M268:Q277,LAMBDA(x,IF(CHOOSECOLS(x,1)="",,LET(y,CHOOSECOLS(x,2,3),z,CHOOSECOLS(x,4,5), MAX(0,SUM(y)-SUM(z))))))</f>
        <v>0</v>
      </c>
      <c r="T268" s="120" t="str">
        <f t="array" ref="T268:W277">MAP(N268:Q277,LAMBDA(x,IF(x="",, TEXT(x,IFS(x&gt;=1000000,"$#,#,,",x&gt;=1000,"$#,#,",1,"$#,#")&amp;IFS(x&gt;=1000000,"M",x&gt;=1000,"K",1,)))))</f>
        <v>$67K</v>
      </c>
      <c r="U268" s="120" t="s">
        <v>563</v>
      </c>
      <c r="V268" s="120" t="s">
        <v>564</v>
      </c>
      <c r="W268" s="120" t="s">
        <v>565</v>
      </c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>
      <c r="A269" s="25"/>
      <c r="B269" s="26"/>
      <c r="C269" s="26"/>
      <c r="D269" s="27"/>
      <c r="E269" s="27"/>
      <c r="F269" s="27"/>
      <c r="G269" s="27"/>
      <c r="H269" s="27"/>
      <c r="I269" s="45" t="s">
        <v>536</v>
      </c>
      <c r="J269" s="45" t="s">
        <v>185</v>
      </c>
      <c r="K269" s="77">
        <v>69000.0</v>
      </c>
      <c r="L269" s="77">
        <v>67670.0</v>
      </c>
      <c r="M269" s="221" t="s">
        <v>69</v>
      </c>
      <c r="N269" s="120">
        <v>93000.0</v>
      </c>
      <c r="O269" s="120">
        <v>53000.0</v>
      </c>
      <c r="P269" s="120">
        <v>98580.0</v>
      </c>
      <c r="Q269" s="120">
        <v>48230.0</v>
      </c>
      <c r="R269" s="120">
        <v>810.0</v>
      </c>
      <c r="S269" s="120">
        <v>0.0</v>
      </c>
      <c r="T269" s="120" t="s">
        <v>568</v>
      </c>
      <c r="U269" s="120" t="s">
        <v>569</v>
      </c>
      <c r="V269" s="120" t="s">
        <v>570</v>
      </c>
      <c r="W269" s="120" t="s">
        <v>571</v>
      </c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>
      <c r="A270" s="25"/>
      <c r="B270" s="26"/>
      <c r="C270" s="26"/>
      <c r="D270" s="27"/>
      <c r="E270" s="27"/>
      <c r="F270" s="27"/>
      <c r="G270" s="27"/>
      <c r="H270" s="27"/>
      <c r="I270" s="45" t="s">
        <v>69</v>
      </c>
      <c r="J270" s="45" t="s">
        <v>182</v>
      </c>
      <c r="K270" s="77">
        <v>93000.0</v>
      </c>
      <c r="L270" s="77">
        <v>98580.0</v>
      </c>
      <c r="M270" s="221" t="s">
        <v>537</v>
      </c>
      <c r="N270" s="120">
        <v>83000.0</v>
      </c>
      <c r="O270" s="120">
        <v>85000.0</v>
      </c>
      <c r="P270" s="120">
        <v>85490.0</v>
      </c>
      <c r="Q270" s="120">
        <v>96900.0</v>
      </c>
      <c r="R270" s="120">
        <v>14390.0</v>
      </c>
      <c r="S270" s="120">
        <v>0.0</v>
      </c>
      <c r="T270" s="120" t="s">
        <v>572</v>
      </c>
      <c r="U270" s="120" t="s">
        <v>574</v>
      </c>
      <c r="V270" s="120" t="s">
        <v>574</v>
      </c>
      <c r="W270" s="120" t="s">
        <v>576</v>
      </c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>
      <c r="A271" s="25"/>
      <c r="B271" s="26"/>
      <c r="C271" s="26"/>
      <c r="D271" s="27"/>
      <c r="E271" s="27"/>
      <c r="F271" s="27"/>
      <c r="G271" s="27"/>
      <c r="H271" s="27"/>
      <c r="I271" s="45" t="s">
        <v>69</v>
      </c>
      <c r="J271" s="45" t="s">
        <v>185</v>
      </c>
      <c r="K271" s="77">
        <v>53000.0</v>
      </c>
      <c r="L271" s="77">
        <v>48230.0</v>
      </c>
      <c r="M271" s="221" t="s">
        <v>538</v>
      </c>
      <c r="N271" s="120">
        <v>63000.0</v>
      </c>
      <c r="O271" s="120">
        <v>79000.0</v>
      </c>
      <c r="P271" s="120">
        <v>60480.0</v>
      </c>
      <c r="Q271" s="120">
        <v>90060.0</v>
      </c>
      <c r="R271" s="120">
        <v>8540.0</v>
      </c>
      <c r="S271" s="120">
        <v>0.0</v>
      </c>
      <c r="T271" s="120" t="s">
        <v>577</v>
      </c>
      <c r="U271" s="120" t="s">
        <v>578</v>
      </c>
      <c r="V271" s="120" t="s">
        <v>579</v>
      </c>
      <c r="W271" s="120" t="s">
        <v>580</v>
      </c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>
      <c r="A272" s="25"/>
      <c r="B272" s="26"/>
      <c r="C272" s="26"/>
      <c r="D272" s="27"/>
      <c r="E272" s="27"/>
      <c r="F272" s="27"/>
      <c r="G272" s="27"/>
      <c r="H272" s="27"/>
      <c r="I272" s="45" t="s">
        <v>537</v>
      </c>
      <c r="J272" s="45" t="s">
        <v>182</v>
      </c>
      <c r="K272" s="77">
        <v>83000.0</v>
      </c>
      <c r="L272" s="77">
        <v>85490.0</v>
      </c>
      <c r="M272" s="221" t="s">
        <v>535</v>
      </c>
      <c r="N272" s="120">
        <v>62000.0</v>
      </c>
      <c r="O272" s="120">
        <v>70000.0</v>
      </c>
      <c r="P272" s="120">
        <v>61380.0</v>
      </c>
      <c r="Q272" s="120">
        <v>68600.0</v>
      </c>
      <c r="R272" s="120">
        <v>0.0</v>
      </c>
      <c r="S272" s="120">
        <v>2020.0</v>
      </c>
      <c r="T272" s="120" t="s">
        <v>582</v>
      </c>
      <c r="U272" s="120" t="s">
        <v>564</v>
      </c>
      <c r="V272" s="120" t="s">
        <v>583</v>
      </c>
      <c r="W272" s="120" t="s">
        <v>563</v>
      </c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>
      <c r="A273" s="25"/>
      <c r="B273" s="26"/>
      <c r="C273" s="26"/>
      <c r="D273" s="27"/>
      <c r="E273" s="27"/>
      <c r="F273" s="27"/>
      <c r="G273" s="27"/>
      <c r="H273" s="27"/>
      <c r="I273" s="45" t="s">
        <v>537</v>
      </c>
      <c r="J273" s="45" t="s">
        <v>185</v>
      </c>
      <c r="K273" s="77">
        <v>85000.0</v>
      </c>
      <c r="L273" s="77">
        <v>96900.0</v>
      </c>
      <c r="M273" s="221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>
      <c r="A274" s="25"/>
      <c r="B274" s="26"/>
      <c r="C274" s="26"/>
      <c r="D274" s="27"/>
      <c r="E274" s="27"/>
      <c r="F274" s="27"/>
      <c r="G274" s="27"/>
      <c r="H274" s="27"/>
      <c r="I274" s="45" t="s">
        <v>538</v>
      </c>
      <c r="J274" s="45" t="s">
        <v>182</v>
      </c>
      <c r="K274" s="77">
        <v>63000.0</v>
      </c>
      <c r="L274" s="77">
        <v>60480.0</v>
      </c>
      <c r="M274" s="221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</row>
    <row r="275">
      <c r="A275" s="25"/>
      <c r="B275" s="26"/>
      <c r="C275" s="26"/>
      <c r="D275" s="27"/>
      <c r="E275" s="27"/>
      <c r="F275" s="27"/>
      <c r="G275" s="27"/>
      <c r="H275" s="27"/>
      <c r="I275" s="45" t="s">
        <v>538</v>
      </c>
      <c r="J275" s="45" t="s">
        <v>185</v>
      </c>
      <c r="K275" s="77">
        <v>79000.0</v>
      </c>
      <c r="L275" s="77">
        <v>90060.0</v>
      </c>
      <c r="M275" s="221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</row>
    <row r="276">
      <c r="A276" s="25"/>
      <c r="B276" s="26"/>
      <c r="C276" s="26"/>
      <c r="D276" s="27"/>
      <c r="E276" s="27"/>
      <c r="F276" s="27"/>
      <c r="G276" s="27"/>
      <c r="H276" s="27"/>
      <c r="I276" s="45" t="s">
        <v>535</v>
      </c>
      <c r="J276" s="45" t="s">
        <v>182</v>
      </c>
      <c r="K276" s="77">
        <v>62000.0</v>
      </c>
      <c r="L276" s="77">
        <v>61380.0</v>
      </c>
      <c r="M276" s="221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>
      <c r="A277" s="25"/>
      <c r="B277" s="26"/>
      <c r="C277" s="26"/>
      <c r="D277" s="27"/>
      <c r="E277" s="27"/>
      <c r="F277" s="27"/>
      <c r="G277" s="27"/>
      <c r="H277" s="27"/>
      <c r="I277" s="45" t="s">
        <v>535</v>
      </c>
      <c r="J277" s="45" t="s">
        <v>185</v>
      </c>
      <c r="K277" s="77">
        <v>70000.0</v>
      </c>
      <c r="L277" s="77">
        <v>68600.0</v>
      </c>
      <c r="M277" s="221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</row>
    <row r="278">
      <c r="A278" s="25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</row>
    <row r="279">
      <c r="A279" s="25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>
      <c r="A280" s="25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</row>
    <row r="281">
      <c r="A281" s="25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</row>
    <row r="282">
      <c r="A282" s="25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>
      <c r="A283" s="25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>
      <c r="A284" s="25"/>
      <c r="B284" s="26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>
      <c r="A285" s="25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>
      <c r="A286" s="25"/>
      <c r="B286" s="26"/>
      <c r="C286" s="26"/>
      <c r="D286" s="76"/>
      <c r="E286" s="32" t="s">
        <v>610</v>
      </c>
      <c r="F286" s="33"/>
      <c r="G286" s="33"/>
      <c r="H286" s="34"/>
      <c r="I286" s="27"/>
      <c r="J286" s="27"/>
      <c r="K286" s="27"/>
      <c r="L286" s="27"/>
      <c r="M286" s="27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</row>
    <row r="287">
      <c r="A287" s="25"/>
      <c r="B287" s="26"/>
      <c r="C287" s="26"/>
      <c r="D287" s="76"/>
      <c r="E287" s="76"/>
      <c r="F287" s="76"/>
      <c r="G287" s="76"/>
      <c r="H287" s="76"/>
      <c r="I287" s="41" t="s">
        <v>611</v>
      </c>
      <c r="J287" s="33"/>
      <c r="K287" s="33"/>
      <c r="L287" s="34"/>
      <c r="M287" s="27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</row>
    <row r="288">
      <c r="A288" s="25"/>
      <c r="B288" s="26"/>
      <c r="C288" s="26"/>
      <c r="D288" s="76"/>
      <c r="E288" s="76"/>
      <c r="F288" s="76"/>
      <c r="G288" s="76"/>
      <c r="H288" s="76"/>
      <c r="I288" s="118" t="s">
        <v>413</v>
      </c>
      <c r="J288" s="118" t="s">
        <v>24</v>
      </c>
      <c r="K288" s="118" t="s">
        <v>26</v>
      </c>
      <c r="L288" s="106" t="s">
        <v>612</v>
      </c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</row>
    <row r="289">
      <c r="A289" s="25"/>
      <c r="B289" s="26"/>
      <c r="C289" s="26"/>
      <c r="D289" s="76"/>
      <c r="E289" s="76"/>
      <c r="F289" s="76"/>
      <c r="G289" s="76"/>
      <c r="H289" s="76"/>
      <c r="I289" s="45" t="s">
        <v>614</v>
      </c>
      <c r="J289" s="77">
        <v>75.0</v>
      </c>
      <c r="K289" s="77">
        <v>80.0</v>
      </c>
      <c r="L289" s="82">
        <f>MAX($J$289:$J$298)+1-J289</f>
        <v>76</v>
      </c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</row>
    <row r="290">
      <c r="A290" s="25"/>
      <c r="B290" s="26"/>
      <c r="C290" s="26"/>
      <c r="D290" s="76"/>
      <c r="E290" s="76"/>
      <c r="F290" s="76"/>
      <c r="G290" s="76"/>
      <c r="H290" s="76"/>
      <c r="I290" s="45" t="s">
        <v>615</v>
      </c>
      <c r="J290" s="77">
        <v>50.0</v>
      </c>
      <c r="K290" s="77">
        <v>55.0</v>
      </c>
      <c r="L290" s="82">
        <f t="shared" ref="L290:L298" si="12">MAX($J$289:$J$298)-J290</f>
        <v>100</v>
      </c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</row>
    <row r="291">
      <c r="A291" s="25"/>
      <c r="B291" s="26"/>
      <c r="C291" s="26"/>
      <c r="D291" s="27"/>
      <c r="E291" s="27"/>
      <c r="F291" s="27"/>
      <c r="G291" s="27"/>
      <c r="H291" s="27"/>
      <c r="I291" s="45" t="s">
        <v>617</v>
      </c>
      <c r="J291" s="77">
        <v>120.0</v>
      </c>
      <c r="K291" s="77">
        <v>115.0</v>
      </c>
      <c r="L291" s="82">
        <f t="shared" si="12"/>
        <v>30</v>
      </c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>
      <c r="A292" s="25"/>
      <c r="B292" s="26"/>
      <c r="C292" s="26"/>
      <c r="D292" s="27"/>
      <c r="E292" s="27"/>
      <c r="F292" s="27"/>
      <c r="G292" s="27"/>
      <c r="H292" s="27"/>
      <c r="I292" s="45" t="s">
        <v>618</v>
      </c>
      <c r="J292" s="77">
        <v>40.0</v>
      </c>
      <c r="K292" s="77">
        <v>45.0</v>
      </c>
      <c r="L292" s="82">
        <f t="shared" si="12"/>
        <v>110</v>
      </c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>
      <c r="A293" s="25"/>
      <c r="B293" s="26"/>
      <c r="C293" s="26"/>
      <c r="D293" s="27"/>
      <c r="E293" s="27"/>
      <c r="F293" s="27"/>
      <c r="G293" s="27"/>
      <c r="H293" s="27"/>
      <c r="I293" s="45" t="s">
        <v>619</v>
      </c>
      <c r="J293" s="77">
        <v>30.0</v>
      </c>
      <c r="K293" s="77">
        <v>35.0</v>
      </c>
      <c r="L293" s="82">
        <f t="shared" si="12"/>
        <v>120</v>
      </c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>
      <c r="A294" s="25"/>
      <c r="B294" s="26"/>
      <c r="C294" s="26"/>
      <c r="D294" s="27"/>
      <c r="E294" s="27"/>
      <c r="F294" s="27"/>
      <c r="G294" s="27"/>
      <c r="H294" s="27"/>
      <c r="I294" s="45" t="s">
        <v>620</v>
      </c>
      <c r="J294" s="77">
        <v>25.0</v>
      </c>
      <c r="K294" s="77">
        <v>20.0</v>
      </c>
      <c r="L294" s="82">
        <f t="shared" si="12"/>
        <v>125</v>
      </c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>
      <c r="A295" s="25"/>
      <c r="B295" s="26"/>
      <c r="C295" s="26"/>
      <c r="D295" s="27"/>
      <c r="E295" s="27"/>
      <c r="F295" s="27"/>
      <c r="G295" s="27"/>
      <c r="H295" s="27"/>
      <c r="I295" s="45" t="s">
        <v>623</v>
      </c>
      <c r="J295" s="77">
        <v>150.0</v>
      </c>
      <c r="K295" s="77">
        <v>145.0</v>
      </c>
      <c r="L295" s="82">
        <f t="shared" si="12"/>
        <v>0</v>
      </c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>
      <c r="A296" s="25"/>
      <c r="B296" s="26"/>
      <c r="C296" s="26"/>
      <c r="D296" s="27"/>
      <c r="E296" s="27"/>
      <c r="F296" s="27"/>
      <c r="G296" s="27"/>
      <c r="H296" s="27"/>
      <c r="I296" s="45" t="s">
        <v>624</v>
      </c>
      <c r="J296" s="77">
        <v>100.0</v>
      </c>
      <c r="K296" s="77">
        <v>95.0</v>
      </c>
      <c r="L296" s="82">
        <f t="shared" si="12"/>
        <v>50</v>
      </c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>
      <c r="A297" s="25"/>
      <c r="B297" s="26"/>
      <c r="C297" s="26"/>
      <c r="D297" s="27"/>
      <c r="E297" s="27"/>
      <c r="F297" s="27"/>
      <c r="G297" s="27"/>
      <c r="H297" s="27"/>
      <c r="I297" s="45" t="s">
        <v>625</v>
      </c>
      <c r="J297" s="77">
        <v>20.0</v>
      </c>
      <c r="K297" s="77">
        <v>18.0</v>
      </c>
      <c r="L297" s="82">
        <f t="shared" si="12"/>
        <v>130</v>
      </c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>
      <c r="A298" s="25"/>
      <c r="B298" s="26"/>
      <c r="C298" s="26"/>
      <c r="D298" s="27"/>
      <c r="E298" s="27"/>
      <c r="F298" s="27"/>
      <c r="G298" s="27"/>
      <c r="H298" s="27"/>
      <c r="I298" s="45" t="s">
        <v>626</v>
      </c>
      <c r="J298" s="77">
        <v>30.0</v>
      </c>
      <c r="K298" s="77">
        <v>25.0</v>
      </c>
      <c r="L298" s="82">
        <f t="shared" si="12"/>
        <v>120</v>
      </c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>
      <c r="A299" s="25"/>
      <c r="B299" s="26"/>
      <c r="C299" s="26"/>
      <c r="D299" s="27"/>
      <c r="E299" s="27"/>
      <c r="F299" s="27"/>
      <c r="G299" s="27"/>
      <c r="H299" s="27"/>
      <c r="I299" s="27"/>
      <c r="J299" s="27"/>
      <c r="K299" s="27"/>
      <c r="L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>
      <c r="A300" s="25"/>
      <c r="B300" s="26"/>
      <c r="C300" s="26"/>
      <c r="D300" s="27"/>
      <c r="E300" s="27"/>
      <c r="F300" s="27"/>
      <c r="G300" s="27"/>
      <c r="H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>
      <c r="A301" s="25"/>
      <c r="B301" s="26"/>
      <c r="C301" s="26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>
      <c r="A302" s="25"/>
      <c r="B302" s="26"/>
      <c r="C302" s="26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>
      <c r="A303" s="25"/>
      <c r="B303" s="26"/>
      <c r="C303" s="26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>
      <c r="A304" s="25"/>
      <c r="B304" s="26"/>
      <c r="C304" s="26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>
      <c r="A305" s="25"/>
      <c r="B305" s="26"/>
      <c r="C305" s="26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>
      <c r="A306" s="25"/>
      <c r="B306" s="26"/>
      <c r="C306" s="26"/>
      <c r="D306" s="27"/>
      <c r="E306" s="32" t="s">
        <v>385</v>
      </c>
      <c r="F306" s="33"/>
      <c r="G306" s="33"/>
      <c r="H306" s="34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</row>
    <row r="307">
      <c r="A307" s="25"/>
      <c r="B307" s="26"/>
      <c r="C307" s="26"/>
      <c r="D307" s="27"/>
      <c r="E307" s="27"/>
      <c r="F307" s="27"/>
      <c r="G307" s="27"/>
      <c r="H307" s="27"/>
      <c r="I307" s="41" t="s">
        <v>630</v>
      </c>
      <c r="J307" s="33"/>
      <c r="K307" s="33"/>
      <c r="L307" s="34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</row>
    <row r="308">
      <c r="A308" s="25"/>
      <c r="B308" s="26"/>
      <c r="C308" s="26"/>
      <c r="D308" s="27"/>
      <c r="E308" s="27"/>
      <c r="F308" s="27"/>
      <c r="G308" s="27"/>
      <c r="H308" s="27"/>
      <c r="I308" s="118" t="s">
        <v>212</v>
      </c>
      <c r="J308" s="118" t="s">
        <v>631</v>
      </c>
      <c r="K308" s="27"/>
      <c r="L308" s="7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</row>
    <row r="309">
      <c r="A309" s="25"/>
      <c r="B309" s="26"/>
      <c r="C309" s="26"/>
      <c r="D309" s="27"/>
      <c r="E309" s="27"/>
      <c r="F309" s="27"/>
      <c r="G309" s="27"/>
      <c r="H309" s="27"/>
      <c r="I309" s="45" t="s">
        <v>214</v>
      </c>
      <c r="J309" s="123">
        <v>4819.0</v>
      </c>
      <c r="K309" s="27"/>
      <c r="L309" s="7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</row>
    <row r="310">
      <c r="A310" s="25"/>
      <c r="B310" s="26"/>
      <c r="C310" s="26"/>
      <c r="D310" s="76"/>
      <c r="E310" s="76"/>
      <c r="F310" s="76"/>
      <c r="G310" s="76"/>
      <c r="H310" s="76"/>
      <c r="I310" s="45" t="s">
        <v>215</v>
      </c>
      <c r="J310" s="123">
        <v>2915.0</v>
      </c>
      <c r="K310" s="27"/>
      <c r="L310" s="27"/>
      <c r="M310" s="27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</row>
    <row r="311">
      <c r="A311" s="25"/>
      <c r="B311" s="26"/>
      <c r="C311" s="26"/>
      <c r="D311" s="76"/>
      <c r="E311" s="76"/>
      <c r="F311" s="76"/>
      <c r="G311" s="76"/>
      <c r="H311" s="76"/>
      <c r="I311" s="45" t="s">
        <v>216</v>
      </c>
      <c r="J311" s="123">
        <v>1817.0</v>
      </c>
      <c r="K311" s="27"/>
      <c r="L311" s="27"/>
      <c r="M311" s="27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</row>
    <row r="312">
      <c r="A312" s="25"/>
      <c r="B312" s="26"/>
      <c r="C312" s="26"/>
      <c r="D312" s="76"/>
      <c r="E312" s="76"/>
      <c r="F312" s="76"/>
      <c r="G312" s="76"/>
      <c r="H312" s="76"/>
      <c r="I312" s="45" t="s">
        <v>217</v>
      </c>
      <c r="J312" s="123">
        <v>2798.0</v>
      </c>
      <c r="K312" s="27"/>
      <c r="L312" s="27"/>
      <c r="M312" s="27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</row>
    <row r="313">
      <c r="A313" s="25"/>
      <c r="B313" s="26"/>
      <c r="C313" s="26"/>
      <c r="D313" s="76"/>
      <c r="E313" s="76"/>
      <c r="F313" s="76"/>
      <c r="G313" s="76"/>
      <c r="H313" s="76"/>
      <c r="I313" s="45" t="s">
        <v>218</v>
      </c>
      <c r="J313" s="123">
        <v>2256.0</v>
      </c>
      <c r="K313" s="27"/>
      <c r="L313" s="27"/>
      <c r="M313" s="76"/>
      <c r="N313" s="76"/>
      <c r="O313" s="76"/>
      <c r="P313" s="76"/>
      <c r="Q313" s="76"/>
      <c r="R313" s="76"/>
      <c r="S313" s="76"/>
      <c r="T313" s="233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</row>
    <row r="314">
      <c r="A314" s="25"/>
      <c r="B314" s="26"/>
      <c r="C314" s="26"/>
      <c r="D314" s="76"/>
      <c r="E314" s="76"/>
      <c r="F314" s="76"/>
      <c r="G314" s="76"/>
      <c r="H314" s="76"/>
      <c r="I314" s="45" t="s">
        <v>219</v>
      </c>
      <c r="J314" s="123">
        <v>2974.0</v>
      </c>
      <c r="K314" s="27"/>
      <c r="L314" s="27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</row>
    <row r="315">
      <c r="A315" s="25"/>
      <c r="B315" s="26"/>
      <c r="C315" s="26"/>
      <c r="D315" s="27"/>
      <c r="E315" s="27"/>
      <c r="F315" s="27"/>
      <c r="G315" s="27"/>
      <c r="H315" s="27"/>
      <c r="I315" s="45" t="s">
        <v>220</v>
      </c>
      <c r="J315" s="123">
        <v>2987.0</v>
      </c>
      <c r="K315" s="27"/>
      <c r="L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</row>
    <row r="316">
      <c r="A316" s="25"/>
      <c r="B316" s="26"/>
      <c r="C316" s="26"/>
      <c r="D316" s="27"/>
      <c r="E316" s="27"/>
      <c r="F316" s="27"/>
      <c r="G316" s="27"/>
      <c r="H316" s="27"/>
      <c r="I316" s="45" t="s">
        <v>221</v>
      </c>
      <c r="J316" s="123">
        <v>4962.0</v>
      </c>
      <c r="K316" s="27"/>
      <c r="L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</row>
    <row r="317">
      <c r="A317" s="25"/>
      <c r="B317" s="26"/>
      <c r="C317" s="26"/>
      <c r="D317" s="27"/>
      <c r="E317" s="27"/>
      <c r="F317" s="27"/>
      <c r="G317" s="27"/>
      <c r="H317" s="27"/>
      <c r="I317" s="45" t="s">
        <v>635</v>
      </c>
      <c r="J317" s="123">
        <v>2838.0</v>
      </c>
      <c r="K317" s="27"/>
      <c r="L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</row>
    <row r="318">
      <c r="A318" s="25"/>
      <c r="B318" s="26"/>
      <c r="C318" s="26"/>
      <c r="D318" s="27"/>
      <c r="E318" s="27"/>
      <c r="F318" s="27"/>
      <c r="G318" s="27"/>
      <c r="H318" s="27"/>
      <c r="I318" s="45" t="s">
        <v>636</v>
      </c>
      <c r="J318" s="123">
        <v>4216.0</v>
      </c>
      <c r="K318" s="27"/>
      <c r="L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</row>
    <row r="319">
      <c r="A319" s="25"/>
      <c r="B319" s="26"/>
      <c r="C319" s="26"/>
      <c r="D319" s="27"/>
      <c r="E319" s="27"/>
      <c r="F319" s="27"/>
      <c r="G319" s="27"/>
      <c r="H319" s="27"/>
      <c r="I319" s="45" t="s">
        <v>637</v>
      </c>
      <c r="J319" s="123">
        <v>2673.0</v>
      </c>
      <c r="K319" s="27"/>
      <c r="L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</row>
    <row r="320">
      <c r="A320" s="25"/>
      <c r="B320" s="26"/>
      <c r="C320" s="26"/>
      <c r="D320" s="27"/>
      <c r="E320" s="27"/>
      <c r="F320" s="27"/>
      <c r="G320" s="27"/>
      <c r="H320" s="27"/>
      <c r="I320" s="45" t="s">
        <v>639</v>
      </c>
      <c r="J320" s="123">
        <v>2743.0</v>
      </c>
      <c r="K320" s="27"/>
      <c r="L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</row>
    <row r="321">
      <c r="A321" s="25"/>
      <c r="B321" s="26"/>
      <c r="C321" s="26"/>
      <c r="D321" s="27"/>
      <c r="E321" s="27"/>
      <c r="F321" s="27"/>
      <c r="G321" s="27"/>
      <c r="H321" s="27"/>
      <c r="I321" s="45" t="s">
        <v>640</v>
      </c>
      <c r="J321" s="123">
        <v>3256.0</v>
      </c>
      <c r="K321" s="27"/>
      <c r="L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</row>
    <row r="322">
      <c r="A322" s="25"/>
      <c r="B322" s="26"/>
      <c r="C322" s="26"/>
      <c r="D322" s="27"/>
      <c r="E322" s="27"/>
      <c r="F322" s="27"/>
      <c r="G322" s="27"/>
      <c r="H322" s="27"/>
      <c r="I322" s="45" t="s">
        <v>641</v>
      </c>
      <c r="J322" s="123">
        <v>4775.0</v>
      </c>
      <c r="K322" s="27"/>
      <c r="L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</row>
    <row r="323">
      <c r="A323" s="25"/>
      <c r="B323" s="26"/>
      <c r="C323" s="26"/>
      <c r="D323" s="27"/>
      <c r="E323" s="27"/>
      <c r="F323" s="27"/>
      <c r="G323" s="27"/>
      <c r="H323" s="27"/>
      <c r="I323" s="45" t="s">
        <v>642</v>
      </c>
      <c r="J323" s="123">
        <v>4062.0</v>
      </c>
      <c r="K323" s="27"/>
      <c r="L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</row>
    <row r="324">
      <c r="A324" s="25"/>
      <c r="B324" s="26"/>
      <c r="C324" s="26"/>
      <c r="D324" s="27"/>
      <c r="E324" s="27"/>
      <c r="F324" s="27"/>
      <c r="G324" s="27"/>
      <c r="H324" s="27"/>
      <c r="I324" s="45" t="s">
        <v>644</v>
      </c>
      <c r="J324" s="123">
        <v>3733.0</v>
      </c>
      <c r="K324" s="27"/>
      <c r="L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>
      <c r="A325" s="25"/>
      <c r="B325" s="26"/>
      <c r="C325" s="26"/>
      <c r="D325" s="27"/>
      <c r="E325" s="27"/>
      <c r="F325" s="27"/>
      <c r="G325" s="27"/>
      <c r="H325" s="27"/>
      <c r="I325" s="45" t="s">
        <v>645</v>
      </c>
      <c r="J325" s="123">
        <v>592.0</v>
      </c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>
      <c r="A326" s="25"/>
      <c r="B326" s="26"/>
      <c r="C326" s="26"/>
      <c r="D326" s="27"/>
      <c r="E326" s="27"/>
      <c r="F326" s="27"/>
      <c r="G326" s="27"/>
      <c r="H326" s="27"/>
      <c r="I326" s="45" t="s">
        <v>646</v>
      </c>
      <c r="J326" s="123">
        <v>1695.0</v>
      </c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>
      <c r="A327" s="25"/>
      <c r="B327" s="26"/>
      <c r="C327" s="26"/>
      <c r="D327" s="27"/>
      <c r="E327" s="27"/>
      <c r="F327" s="27"/>
      <c r="G327" s="27"/>
      <c r="H327" s="27"/>
      <c r="I327" s="45" t="s">
        <v>648</v>
      </c>
      <c r="J327" s="123">
        <v>4909.0</v>
      </c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>
      <c r="A328" s="25"/>
      <c r="B328" s="26"/>
      <c r="C328" s="26"/>
      <c r="D328" s="27"/>
      <c r="E328" s="27"/>
      <c r="F328" s="27"/>
      <c r="G328" s="27"/>
      <c r="H328" s="27"/>
      <c r="I328" s="45" t="s">
        <v>649</v>
      </c>
      <c r="J328" s="123">
        <v>657.0</v>
      </c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>
      <c r="A329" s="25"/>
      <c r="B329" s="26"/>
      <c r="C329" s="26"/>
      <c r="D329" s="27"/>
      <c r="E329" s="27"/>
      <c r="F329" s="27"/>
      <c r="G329" s="27"/>
      <c r="H329" s="27"/>
      <c r="I329" s="45" t="s">
        <v>650</v>
      </c>
      <c r="J329" s="123">
        <v>967.0</v>
      </c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>
      <c r="A330" s="25"/>
      <c r="B330" s="26"/>
      <c r="C330" s="26"/>
      <c r="D330" s="27"/>
      <c r="E330" s="27"/>
      <c r="F330" s="27"/>
      <c r="G330" s="27"/>
      <c r="H330" s="27"/>
      <c r="I330" s="45" t="s">
        <v>651</v>
      </c>
      <c r="J330" s="123">
        <v>3573.0</v>
      </c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>
      <c r="A331" s="25"/>
      <c r="B331" s="26"/>
      <c r="C331" s="26"/>
      <c r="D331" s="27"/>
      <c r="E331" s="27"/>
      <c r="F331" s="27"/>
      <c r="G331" s="27"/>
      <c r="H331" s="27"/>
      <c r="I331" s="45" t="s">
        <v>652</v>
      </c>
      <c r="J331" s="123">
        <v>4380.0</v>
      </c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>
      <c r="A332" s="25"/>
      <c r="B332" s="26"/>
      <c r="C332" s="26"/>
      <c r="D332" s="27"/>
      <c r="E332" s="27"/>
      <c r="F332" s="27"/>
      <c r="G332" s="27"/>
      <c r="H332" s="27"/>
      <c r="I332" s="45" t="s">
        <v>653</v>
      </c>
      <c r="J332" s="123">
        <v>3992.0</v>
      </c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>
      <c r="A333" s="25"/>
      <c r="B333" s="26"/>
      <c r="C333" s="26"/>
      <c r="D333" s="27"/>
      <c r="E333" s="27"/>
      <c r="F333" s="27"/>
      <c r="G333" s="27"/>
      <c r="H333" s="27"/>
      <c r="I333" s="45" t="s">
        <v>654</v>
      </c>
      <c r="J333" s="123">
        <v>4132.0</v>
      </c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</row>
    <row r="334">
      <c r="A334" s="25"/>
      <c r="B334" s="26"/>
      <c r="C334" s="26"/>
      <c r="D334" s="27"/>
      <c r="E334" s="27"/>
      <c r="F334" s="27"/>
      <c r="G334" s="27"/>
      <c r="H334" s="27"/>
      <c r="I334" s="45" t="s">
        <v>655</v>
      </c>
      <c r="J334" s="123">
        <v>2065.0</v>
      </c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>
      <c r="A335" s="25"/>
      <c r="B335" s="26"/>
      <c r="C335" s="26"/>
      <c r="D335" s="76"/>
      <c r="E335" s="76"/>
      <c r="F335" s="76"/>
      <c r="G335" s="76"/>
      <c r="H335" s="76"/>
      <c r="I335" s="45" t="s">
        <v>656</v>
      </c>
      <c r="J335" s="123">
        <v>807.0</v>
      </c>
      <c r="K335" s="27"/>
      <c r="L335" s="27"/>
      <c r="M335" s="27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</row>
    <row r="336">
      <c r="A336" s="25"/>
      <c r="B336" s="26"/>
      <c r="C336" s="26"/>
      <c r="D336" s="76"/>
      <c r="E336" s="76"/>
      <c r="F336" s="76"/>
      <c r="G336" s="76"/>
      <c r="H336" s="76"/>
      <c r="I336" s="45" t="s">
        <v>657</v>
      </c>
      <c r="J336" s="123">
        <v>3575.0</v>
      </c>
      <c r="K336" s="27"/>
      <c r="L336" s="27"/>
      <c r="M336" s="27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</row>
    <row r="337">
      <c r="A337" s="25"/>
      <c r="B337" s="26"/>
      <c r="C337" s="26"/>
      <c r="D337" s="76"/>
      <c r="E337" s="76"/>
      <c r="F337" s="76"/>
      <c r="G337" s="76"/>
      <c r="H337" s="76"/>
      <c r="I337" s="45" t="s">
        <v>658</v>
      </c>
      <c r="J337" s="123">
        <v>4531.0</v>
      </c>
      <c r="K337" s="27"/>
      <c r="L337" s="27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</row>
    <row r="338">
      <c r="A338" s="25"/>
      <c r="B338" s="26"/>
      <c r="C338" s="26"/>
      <c r="D338" s="76"/>
      <c r="E338" s="76"/>
      <c r="F338" s="76"/>
      <c r="G338" s="76"/>
      <c r="H338" s="76"/>
      <c r="I338" s="45" t="s">
        <v>660</v>
      </c>
      <c r="J338" s="123">
        <v>3508.0</v>
      </c>
      <c r="K338" s="27"/>
      <c r="L338" s="27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</row>
    <row r="339">
      <c r="A339" s="25"/>
      <c r="B339" s="26"/>
      <c r="C339" s="26"/>
      <c r="D339" s="76"/>
      <c r="E339" s="76"/>
      <c r="F339" s="76"/>
      <c r="G339" s="76"/>
      <c r="H339" s="76"/>
      <c r="I339" s="27"/>
      <c r="J339" s="27"/>
      <c r="K339" s="27"/>
      <c r="L339" s="27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</row>
  </sheetData>
  <mergeCells count="34">
    <mergeCell ref="E3:H3"/>
    <mergeCell ref="I5:L5"/>
    <mergeCell ref="E23:H23"/>
    <mergeCell ref="I25:L25"/>
    <mergeCell ref="E38:H38"/>
    <mergeCell ref="I40:L40"/>
    <mergeCell ref="I60:L60"/>
    <mergeCell ref="E58:H58"/>
    <mergeCell ref="E79:H79"/>
    <mergeCell ref="I82:L82"/>
    <mergeCell ref="E100:H100"/>
    <mergeCell ref="I101:L101"/>
    <mergeCell ref="I123:L123"/>
    <mergeCell ref="J124:K124"/>
    <mergeCell ref="E121:H121"/>
    <mergeCell ref="E142:H142"/>
    <mergeCell ref="I144:L144"/>
    <mergeCell ref="J145:K145"/>
    <mergeCell ref="E162:H162"/>
    <mergeCell ref="I163:L163"/>
    <mergeCell ref="I185:L185"/>
    <mergeCell ref="E265:H265"/>
    <mergeCell ref="I266:L266"/>
    <mergeCell ref="E286:H286"/>
    <mergeCell ref="I287:L287"/>
    <mergeCell ref="E306:H306"/>
    <mergeCell ref="I307:L307"/>
    <mergeCell ref="E183:H183"/>
    <mergeCell ref="E204:H204"/>
    <mergeCell ref="I206:L206"/>
    <mergeCell ref="E225:H225"/>
    <mergeCell ref="I226:L226"/>
    <mergeCell ref="E245:H245"/>
    <mergeCell ref="I247:L247"/>
  </mergeCells>
  <dataValidations>
    <dataValidation type="list" allowBlank="1" showErrorMessage="1" sqref="J124">
      <formula1>'Bar and Column Charts'!$I$127:$I$135</formula1>
    </dataValidation>
    <dataValidation type="list" allowBlank="1" showErrorMessage="1" sqref="J145">
      <formula1>'Bar and Column Charts'!$I$148:$I$156</formula1>
    </dataValidation>
  </dataValidations>
  <hyperlinks>
    <hyperlink r:id="rId1" ref="B3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80.0"/>
    <col customWidth="1" min="6" max="6" width="90.88"/>
    <col customWidth="1" min="7" max="7" width="3.75"/>
    <col customWidth="1" min="9" max="9" width="15.88"/>
    <col customWidth="1" min="10" max="10" width="15.13"/>
    <col customWidth="1" min="11" max="12" width="16.63"/>
    <col customWidth="1" min="13" max="13" width="13.0"/>
    <col customWidth="1" min="14" max="14" width="17.38"/>
    <col customWidth="1" min="15" max="15" width="6.38"/>
  </cols>
  <sheetData>
    <row r="1">
      <c r="A1" s="25"/>
      <c r="B1" s="26"/>
      <c r="C1" s="26"/>
      <c r="E1" s="29"/>
      <c r="F1" s="29"/>
      <c r="G1" s="29"/>
      <c r="H1" s="29"/>
      <c r="I1" s="30"/>
      <c r="J1" s="30"/>
      <c r="K1" s="30"/>
      <c r="L1" s="30"/>
    </row>
    <row r="2">
      <c r="A2" s="25"/>
      <c r="B2" s="28" t="s">
        <v>7</v>
      </c>
      <c r="C2" s="28"/>
      <c r="E2" s="29"/>
      <c r="F2" s="29"/>
      <c r="G2" s="29"/>
      <c r="H2" s="29"/>
      <c r="I2" s="30"/>
      <c r="J2" s="30"/>
      <c r="K2" s="30"/>
      <c r="L2" s="30"/>
    </row>
    <row r="3">
      <c r="A3" s="25"/>
      <c r="B3" s="31"/>
      <c r="C3" s="31"/>
      <c r="E3" s="249" t="s">
        <v>670</v>
      </c>
      <c r="F3" s="33"/>
      <c r="G3" s="33"/>
      <c r="H3" s="34"/>
      <c r="I3" s="30"/>
      <c r="J3" s="30"/>
      <c r="K3" s="30"/>
      <c r="L3" s="30"/>
    </row>
    <row r="4">
      <c r="A4" s="25"/>
      <c r="B4" s="35" t="s">
        <v>16</v>
      </c>
      <c r="C4" s="36"/>
      <c r="D4" s="215"/>
      <c r="E4" s="29"/>
      <c r="F4" s="29"/>
      <c r="G4" s="29"/>
      <c r="L4" s="252"/>
    </row>
    <row r="5">
      <c r="A5" s="25"/>
      <c r="B5" s="37" t="s">
        <v>670</v>
      </c>
      <c r="C5" s="38"/>
      <c r="E5" s="29"/>
      <c r="F5" s="29"/>
      <c r="G5" s="29"/>
      <c r="H5" s="41" t="s">
        <v>671</v>
      </c>
      <c r="I5" s="33"/>
      <c r="J5" s="33"/>
      <c r="K5" s="34"/>
      <c r="L5" s="254"/>
    </row>
    <row r="6">
      <c r="A6" s="25"/>
      <c r="B6" s="37" t="s">
        <v>672</v>
      </c>
      <c r="C6" s="38"/>
      <c r="E6" s="29"/>
      <c r="F6" s="29"/>
      <c r="G6" s="29"/>
      <c r="H6" s="255" t="s">
        <v>47</v>
      </c>
      <c r="I6" s="255" t="s">
        <v>674</v>
      </c>
      <c r="J6" s="256"/>
      <c r="K6" s="256"/>
      <c r="L6" s="257"/>
    </row>
    <row r="7" ht="15.75" customHeight="1">
      <c r="A7" s="39"/>
      <c r="B7" s="258" t="s">
        <v>675</v>
      </c>
      <c r="C7" s="40"/>
      <c r="D7" s="215"/>
      <c r="E7" s="29"/>
      <c r="F7" s="29"/>
      <c r="G7" s="29"/>
      <c r="H7" s="259" t="s">
        <v>188</v>
      </c>
      <c r="I7" s="260">
        <v>25000.0</v>
      </c>
      <c r="J7" s="30"/>
      <c r="K7" s="30"/>
      <c r="L7" s="256"/>
      <c r="M7" s="215"/>
      <c r="N7" s="215"/>
      <c r="O7" s="215"/>
    </row>
    <row r="8">
      <c r="A8" s="25"/>
      <c r="B8" s="49" t="s">
        <v>677</v>
      </c>
      <c r="C8" s="43"/>
      <c r="E8" s="29"/>
      <c r="F8" s="29"/>
      <c r="G8" s="29"/>
      <c r="H8" s="259" t="s">
        <v>193</v>
      </c>
      <c r="I8" s="260">
        <v>30500.0</v>
      </c>
      <c r="J8" s="30"/>
      <c r="K8" s="30"/>
      <c r="L8" s="30"/>
    </row>
    <row r="9">
      <c r="A9" s="25"/>
      <c r="B9" s="49" t="s">
        <v>678</v>
      </c>
      <c r="C9" s="43"/>
      <c r="E9" s="29"/>
      <c r="F9" s="29"/>
      <c r="G9" s="29"/>
      <c r="H9" s="259" t="s">
        <v>195</v>
      </c>
      <c r="I9" s="260">
        <v>28700.0</v>
      </c>
      <c r="J9" s="30"/>
      <c r="K9" s="30"/>
      <c r="L9" s="30"/>
    </row>
    <row r="10">
      <c r="A10" s="25"/>
      <c r="B10" s="49" t="s">
        <v>679</v>
      </c>
      <c r="C10" s="43"/>
      <c r="E10" s="29"/>
      <c r="F10" s="29"/>
      <c r="G10" s="29"/>
      <c r="H10" s="259" t="s">
        <v>197</v>
      </c>
      <c r="I10" s="260">
        <v>32100.0</v>
      </c>
      <c r="J10" s="30"/>
      <c r="K10" s="30"/>
      <c r="L10" s="30"/>
    </row>
    <row r="11">
      <c r="A11" s="25"/>
      <c r="B11" s="49" t="s">
        <v>680</v>
      </c>
      <c r="C11" s="43"/>
      <c r="E11" s="29"/>
      <c r="F11" s="29"/>
      <c r="G11" s="29"/>
      <c r="H11" s="259" t="s">
        <v>57</v>
      </c>
      <c r="I11" s="260">
        <v>35500.0</v>
      </c>
      <c r="J11" s="30"/>
      <c r="K11" s="30"/>
      <c r="L11" s="30"/>
    </row>
    <row r="12">
      <c r="A12" s="25"/>
      <c r="B12" s="49" t="s">
        <v>681</v>
      </c>
      <c r="C12" s="48"/>
      <c r="E12" s="29"/>
      <c r="F12" s="29"/>
      <c r="G12" s="29"/>
      <c r="H12" s="259" t="s">
        <v>200</v>
      </c>
      <c r="I12" s="260">
        <v>38200.0</v>
      </c>
      <c r="J12" s="30"/>
      <c r="K12" s="30"/>
      <c r="L12" s="30"/>
    </row>
    <row r="13">
      <c r="A13" s="25"/>
      <c r="B13" s="49" t="s">
        <v>683</v>
      </c>
      <c r="C13" s="48"/>
      <c r="E13" s="29"/>
      <c r="F13" s="29"/>
      <c r="G13" s="29"/>
      <c r="H13" s="259" t="s">
        <v>202</v>
      </c>
      <c r="I13" s="260">
        <v>40300.0</v>
      </c>
      <c r="J13" s="30"/>
      <c r="K13" s="30"/>
      <c r="L13" s="30"/>
    </row>
    <row r="14">
      <c r="A14" s="25"/>
      <c r="B14" s="49" t="s">
        <v>685</v>
      </c>
      <c r="C14" s="48"/>
      <c r="E14" s="29"/>
      <c r="F14" s="29"/>
      <c r="G14" s="29"/>
      <c r="H14" s="259" t="s">
        <v>204</v>
      </c>
      <c r="I14" s="260">
        <v>45100.0</v>
      </c>
      <c r="J14" s="30"/>
      <c r="K14" s="30"/>
      <c r="L14" s="30"/>
    </row>
    <row r="15">
      <c r="A15" s="25"/>
      <c r="B15" s="49" t="s">
        <v>686</v>
      </c>
      <c r="C15" s="48"/>
      <c r="E15" s="29"/>
      <c r="F15" s="29"/>
      <c r="G15" s="29"/>
      <c r="H15" s="259" t="s">
        <v>205</v>
      </c>
      <c r="I15" s="260">
        <v>47600.0</v>
      </c>
      <c r="J15" s="30"/>
      <c r="K15" s="30"/>
      <c r="L15" s="30"/>
    </row>
    <row r="16">
      <c r="A16" s="25"/>
      <c r="B16" s="49" t="s">
        <v>687</v>
      </c>
      <c r="C16" s="48"/>
      <c r="E16" s="29"/>
      <c r="F16" s="29"/>
      <c r="G16" s="29"/>
      <c r="H16" s="259" t="s">
        <v>207</v>
      </c>
      <c r="I16" s="260">
        <v>50700.0</v>
      </c>
      <c r="J16" s="30"/>
      <c r="K16" s="30"/>
      <c r="L16" s="30"/>
    </row>
    <row r="17">
      <c r="A17" s="25"/>
      <c r="B17" s="49" t="s">
        <v>688</v>
      </c>
      <c r="C17" s="48"/>
      <c r="E17" s="29"/>
      <c r="F17" s="29"/>
      <c r="G17" s="29"/>
      <c r="H17" s="259" t="s">
        <v>209</v>
      </c>
      <c r="I17" s="260">
        <v>53200.0</v>
      </c>
      <c r="J17" s="30"/>
      <c r="K17" s="30"/>
      <c r="L17" s="30"/>
    </row>
    <row r="18">
      <c r="A18" s="25"/>
      <c r="B18" s="48"/>
      <c r="C18" s="48"/>
      <c r="E18" s="29"/>
      <c r="F18" s="29"/>
      <c r="G18" s="29"/>
      <c r="H18" s="259" t="s">
        <v>210</v>
      </c>
      <c r="I18" s="260">
        <v>54355.0</v>
      </c>
      <c r="J18" s="30"/>
      <c r="K18" s="30"/>
      <c r="L18" s="30"/>
    </row>
    <row r="19">
      <c r="A19" s="25"/>
      <c r="B19" s="50"/>
      <c r="C19" s="50"/>
      <c r="E19" s="29"/>
      <c r="F19" s="29"/>
      <c r="G19" s="29"/>
      <c r="L19" s="30"/>
    </row>
    <row r="20">
      <c r="A20" s="25"/>
      <c r="B20" s="52"/>
      <c r="C20" s="52"/>
      <c r="E20" s="29"/>
      <c r="F20" s="29"/>
      <c r="G20" s="29"/>
      <c r="H20" s="29"/>
      <c r="I20" s="30"/>
      <c r="J20" s="30"/>
      <c r="K20" s="30"/>
      <c r="L20" s="30"/>
    </row>
    <row r="21">
      <c r="A21" s="25"/>
      <c r="B21" s="51" t="s">
        <v>32</v>
      </c>
      <c r="C21" s="51"/>
      <c r="E21" s="29"/>
      <c r="F21" s="29"/>
      <c r="G21" s="29"/>
      <c r="H21" s="29"/>
      <c r="I21" s="30"/>
      <c r="J21" s="30"/>
      <c r="K21" s="30"/>
      <c r="L21" s="30"/>
    </row>
    <row r="22">
      <c r="A22" s="25"/>
      <c r="B22" s="53"/>
      <c r="C22" s="53"/>
      <c r="E22" s="29"/>
      <c r="F22" s="29"/>
      <c r="G22" s="29"/>
      <c r="H22" s="29"/>
      <c r="I22" s="30"/>
      <c r="J22" s="30"/>
      <c r="K22" s="30"/>
      <c r="L22" s="30"/>
    </row>
    <row r="23" ht="30.0" customHeight="1">
      <c r="A23" s="25"/>
      <c r="B23" s="53"/>
      <c r="C23" s="53"/>
      <c r="E23" s="265" t="s">
        <v>672</v>
      </c>
      <c r="F23" s="33"/>
      <c r="G23" s="33"/>
      <c r="H23" s="34"/>
      <c r="I23" s="30"/>
      <c r="J23" s="30"/>
      <c r="K23" s="30"/>
      <c r="L23" s="30"/>
    </row>
    <row r="24">
      <c r="A24" s="25"/>
      <c r="B24" s="54"/>
      <c r="C24" s="54"/>
      <c r="E24" s="29"/>
      <c r="F24" s="29"/>
      <c r="G24" s="29"/>
      <c r="H24" s="29"/>
      <c r="I24" s="30"/>
      <c r="J24" s="30"/>
      <c r="K24" s="30"/>
      <c r="L24" s="30"/>
    </row>
    <row r="25">
      <c r="A25" s="25"/>
      <c r="B25" s="54" t="s">
        <v>33</v>
      </c>
      <c r="C25" s="53"/>
      <c r="E25" s="29"/>
      <c r="F25" s="29"/>
      <c r="G25" s="29"/>
      <c r="H25" s="41" t="s">
        <v>689</v>
      </c>
      <c r="I25" s="33"/>
      <c r="J25" s="33"/>
      <c r="K25" s="34"/>
      <c r="L25" s="257"/>
    </row>
    <row r="26">
      <c r="A26" s="25"/>
      <c r="B26" s="55" t="s">
        <v>3</v>
      </c>
      <c r="C26" s="53"/>
      <c r="E26" s="29"/>
      <c r="F26" s="29"/>
      <c r="G26" s="29"/>
      <c r="H26" s="266" t="s">
        <v>47</v>
      </c>
      <c r="I26" s="266" t="s">
        <v>690</v>
      </c>
      <c r="J26" s="266" t="s">
        <v>691</v>
      </c>
      <c r="K26" s="266" t="s">
        <v>692</v>
      </c>
      <c r="L26" s="266" t="s">
        <v>693</v>
      </c>
    </row>
    <row r="27">
      <c r="A27" s="25"/>
      <c r="B27" s="56"/>
      <c r="C27" s="53"/>
      <c r="E27" s="29"/>
      <c r="F27" s="29"/>
      <c r="G27" s="29"/>
      <c r="H27" s="267" t="s">
        <v>188</v>
      </c>
      <c r="I27" s="260">
        <v>30000.0</v>
      </c>
      <c r="J27" s="260">
        <v>20000.0</v>
      </c>
      <c r="K27" s="260">
        <v>25000.0</v>
      </c>
      <c r="L27" s="260">
        <v>15000.0</v>
      </c>
    </row>
    <row r="28">
      <c r="A28" s="25"/>
      <c r="B28" s="53"/>
      <c r="C28" s="53"/>
      <c r="E28" s="29"/>
      <c r="F28" s="29"/>
      <c r="G28" s="29"/>
      <c r="H28" s="267" t="s">
        <v>193</v>
      </c>
      <c r="I28" s="260">
        <v>32500.0</v>
      </c>
      <c r="J28" s="260">
        <v>22000.0</v>
      </c>
      <c r="K28" s="260">
        <v>27500.0</v>
      </c>
      <c r="L28" s="260">
        <v>16000.0</v>
      </c>
    </row>
    <row r="29">
      <c r="A29" s="25"/>
      <c r="B29" s="56"/>
      <c r="C29" s="56"/>
      <c r="E29" s="29"/>
      <c r="F29" s="29"/>
      <c r="G29" s="29"/>
      <c r="H29" s="267" t="s">
        <v>195</v>
      </c>
      <c r="I29" s="260">
        <v>35000.0</v>
      </c>
      <c r="J29" s="260">
        <v>23500.0</v>
      </c>
      <c r="K29" s="260">
        <v>30000.0</v>
      </c>
      <c r="L29" s="260">
        <v>18500.0</v>
      </c>
    </row>
    <row r="30">
      <c r="A30" s="25"/>
      <c r="B30" s="26"/>
      <c r="C30" s="26"/>
      <c r="E30" s="29"/>
      <c r="F30" s="29"/>
      <c r="G30" s="29"/>
      <c r="H30" s="267" t="s">
        <v>197</v>
      </c>
      <c r="I30" s="260">
        <v>38000.0</v>
      </c>
      <c r="J30" s="260">
        <v>25000.0</v>
      </c>
      <c r="K30" s="260">
        <v>32500.0</v>
      </c>
      <c r="L30" s="260">
        <v>20000.0</v>
      </c>
    </row>
    <row r="31">
      <c r="A31" s="25"/>
      <c r="B31" s="26"/>
      <c r="C31" s="26"/>
      <c r="E31" s="29"/>
      <c r="F31" s="29"/>
      <c r="G31" s="29"/>
      <c r="H31" s="267" t="s">
        <v>57</v>
      </c>
      <c r="I31" s="260">
        <v>40000.0</v>
      </c>
      <c r="J31" s="260">
        <v>28000.0</v>
      </c>
      <c r="K31" s="260">
        <v>35000.0</v>
      </c>
      <c r="L31" s="260">
        <v>22000.0</v>
      </c>
    </row>
    <row r="32">
      <c r="A32" s="25"/>
      <c r="B32" s="26"/>
      <c r="C32" s="26"/>
      <c r="E32" s="29"/>
      <c r="F32" s="29"/>
      <c r="G32" s="29"/>
      <c r="H32" s="267" t="s">
        <v>200</v>
      </c>
      <c r="I32" s="260">
        <v>42500.0</v>
      </c>
      <c r="J32" s="260">
        <v>30500.0</v>
      </c>
      <c r="K32" s="260">
        <v>37500.0</v>
      </c>
      <c r="L32" s="260">
        <v>24000.0</v>
      </c>
    </row>
    <row r="33">
      <c r="A33" s="25"/>
      <c r="B33" s="26"/>
      <c r="C33" s="26"/>
      <c r="E33" s="29"/>
      <c r="F33" s="29"/>
      <c r="G33" s="29"/>
      <c r="H33" s="267" t="s">
        <v>202</v>
      </c>
      <c r="I33" s="260">
        <v>45000.0</v>
      </c>
      <c r="J33" s="260">
        <v>32000.0</v>
      </c>
      <c r="K33" s="260">
        <v>40000.0</v>
      </c>
      <c r="L33" s="260">
        <v>26000.0</v>
      </c>
    </row>
    <row r="34">
      <c r="A34" s="25"/>
      <c r="B34" s="26"/>
      <c r="C34" s="26"/>
      <c r="E34" s="29"/>
      <c r="F34" s="29"/>
      <c r="G34" s="29"/>
      <c r="H34" s="267" t="s">
        <v>204</v>
      </c>
      <c r="I34" s="260">
        <v>48500.0</v>
      </c>
      <c r="J34" s="260">
        <v>35000.0</v>
      </c>
      <c r="K34" s="260">
        <v>42500.0</v>
      </c>
      <c r="L34" s="260">
        <v>28000.0</v>
      </c>
    </row>
    <row r="35">
      <c r="A35" s="25"/>
      <c r="B35" s="26"/>
      <c r="C35" s="26"/>
      <c r="E35" s="29"/>
      <c r="F35" s="29"/>
      <c r="G35" s="29"/>
      <c r="H35" s="267" t="s">
        <v>205</v>
      </c>
      <c r="I35" s="260">
        <v>50000.0</v>
      </c>
      <c r="J35" s="260">
        <v>37500.0</v>
      </c>
      <c r="K35" s="260">
        <v>45000.0</v>
      </c>
      <c r="L35" s="260">
        <v>30000.0</v>
      </c>
    </row>
    <row r="36">
      <c r="A36" s="25"/>
      <c r="B36" s="26"/>
      <c r="C36" s="26"/>
      <c r="E36" s="29"/>
      <c r="F36" s="29"/>
      <c r="G36" s="29"/>
      <c r="H36" s="267" t="s">
        <v>207</v>
      </c>
      <c r="I36" s="260">
        <v>52500.0</v>
      </c>
      <c r="J36" s="260">
        <v>40000.0</v>
      </c>
      <c r="K36" s="260">
        <v>47500.0</v>
      </c>
      <c r="L36" s="260">
        <v>32000.0</v>
      </c>
    </row>
    <row r="37">
      <c r="A37" s="25"/>
      <c r="B37" s="26"/>
      <c r="C37" s="26"/>
      <c r="E37" s="29"/>
      <c r="F37" s="29"/>
      <c r="G37" s="29"/>
      <c r="H37" s="267" t="s">
        <v>209</v>
      </c>
      <c r="I37" s="260">
        <v>55000.0</v>
      </c>
      <c r="J37" s="260">
        <v>42500.0</v>
      </c>
      <c r="K37" s="260">
        <v>50000.0</v>
      </c>
      <c r="L37" s="260">
        <v>34000.0</v>
      </c>
    </row>
    <row r="38">
      <c r="A38" s="25"/>
      <c r="B38" s="26"/>
      <c r="C38" s="26"/>
      <c r="E38" s="29"/>
      <c r="F38" s="29"/>
      <c r="G38" s="29"/>
      <c r="H38" s="267" t="s">
        <v>210</v>
      </c>
      <c r="I38" s="260">
        <v>60000.0</v>
      </c>
      <c r="J38" s="260">
        <v>45000.0</v>
      </c>
      <c r="K38" s="260">
        <v>52500.0</v>
      </c>
      <c r="L38" s="260">
        <v>37500.0</v>
      </c>
    </row>
    <row r="39">
      <c r="A39" s="25"/>
      <c r="B39" s="26"/>
      <c r="C39" s="26"/>
      <c r="E39" s="29"/>
      <c r="F39" s="29"/>
      <c r="G39" s="29"/>
    </row>
    <row r="40">
      <c r="A40" s="25"/>
      <c r="B40" s="26"/>
      <c r="C40" s="26"/>
      <c r="E40" s="29"/>
      <c r="F40" s="29"/>
      <c r="G40" s="29"/>
    </row>
    <row r="41">
      <c r="A41" s="25"/>
      <c r="B41" s="26"/>
      <c r="C41" s="26"/>
      <c r="E41" s="29"/>
      <c r="F41" s="29"/>
      <c r="G41" s="29"/>
      <c r="H41" s="29"/>
      <c r="I41" s="30"/>
      <c r="J41" s="30"/>
      <c r="K41" s="30"/>
      <c r="L41" s="30"/>
    </row>
    <row r="42">
      <c r="A42" s="25"/>
      <c r="B42" s="26"/>
      <c r="C42" s="26"/>
      <c r="E42" s="29"/>
      <c r="F42" s="29"/>
      <c r="G42" s="29"/>
      <c r="H42" s="29"/>
      <c r="I42" s="30"/>
      <c r="J42" s="30"/>
      <c r="K42" s="30"/>
      <c r="L42" s="30"/>
    </row>
    <row r="43">
      <c r="A43" s="25"/>
      <c r="B43" s="26"/>
      <c r="C43" s="26"/>
      <c r="E43" s="268" t="s">
        <v>694</v>
      </c>
      <c r="F43" s="33"/>
      <c r="G43" s="33"/>
      <c r="H43" s="34"/>
      <c r="I43" s="30"/>
      <c r="J43" s="30"/>
      <c r="K43" s="30"/>
      <c r="L43" s="30"/>
    </row>
    <row r="44">
      <c r="A44" s="25"/>
      <c r="B44" s="26"/>
      <c r="C44" s="26"/>
      <c r="E44" s="29"/>
      <c r="F44" s="29"/>
      <c r="G44" s="29"/>
      <c r="H44" s="29"/>
      <c r="I44" s="30"/>
      <c r="J44" s="30"/>
      <c r="K44" s="30"/>
      <c r="L44" s="30"/>
    </row>
    <row r="45">
      <c r="A45" s="25"/>
      <c r="B45" s="26"/>
      <c r="C45" s="26"/>
      <c r="E45" s="29"/>
      <c r="F45" s="29"/>
      <c r="G45" s="29"/>
      <c r="L45" s="269"/>
    </row>
    <row r="46">
      <c r="A46" s="25"/>
      <c r="B46" s="26"/>
      <c r="C46" s="26"/>
      <c r="E46" s="29"/>
      <c r="F46" s="29"/>
      <c r="G46" s="29"/>
      <c r="H46" s="270"/>
      <c r="I46" s="271"/>
      <c r="J46" s="33"/>
      <c r="K46" s="33"/>
      <c r="L46" s="34"/>
    </row>
    <row r="47">
      <c r="A47" s="25"/>
      <c r="B47" s="26"/>
      <c r="C47" s="26"/>
      <c r="E47" s="29"/>
      <c r="F47" s="29"/>
      <c r="G47" s="29"/>
      <c r="H47" s="272" t="s">
        <v>695</v>
      </c>
      <c r="I47" s="33"/>
      <c r="J47" s="33"/>
      <c r="K47" s="34"/>
      <c r="L47" s="30"/>
    </row>
    <row r="48">
      <c r="A48" s="25"/>
      <c r="B48" s="26"/>
      <c r="C48" s="26"/>
      <c r="E48" s="29"/>
      <c r="F48" s="29"/>
      <c r="G48" s="29"/>
      <c r="H48" s="266" t="s">
        <v>47</v>
      </c>
      <c r="I48" s="266" t="s">
        <v>674</v>
      </c>
      <c r="J48" s="266" t="s">
        <v>696</v>
      </c>
      <c r="K48" s="266"/>
      <c r="L48" s="30"/>
    </row>
    <row r="49">
      <c r="A49" s="25"/>
      <c r="B49" s="26"/>
      <c r="C49" s="26"/>
      <c r="E49" s="29"/>
      <c r="F49" s="29"/>
      <c r="G49" s="29"/>
      <c r="H49" s="267">
        <v>44927.0</v>
      </c>
      <c r="I49" s="260">
        <v>26500.0</v>
      </c>
      <c r="J49" s="260">
        <v>22000.0</v>
      </c>
      <c r="K49" s="260" t="str">
        <f t="shared" ref="K49:K60" si="1">iferror(if(H49= MAX($H$49:$H$60),J49,""),"")</f>
        <v/>
      </c>
      <c r="L49" s="30"/>
    </row>
    <row r="50">
      <c r="A50" s="25"/>
      <c r="B50" s="26"/>
      <c r="C50" s="26"/>
      <c r="E50" s="29"/>
      <c r="F50" s="29"/>
      <c r="G50" s="29"/>
      <c r="H50" s="267">
        <v>44958.0</v>
      </c>
      <c r="I50" s="260">
        <v>27300.0</v>
      </c>
      <c r="J50" s="260">
        <v>25000.0</v>
      </c>
      <c r="K50" s="260" t="str">
        <f t="shared" si="1"/>
        <v/>
      </c>
      <c r="L50" s="30"/>
    </row>
    <row r="51">
      <c r="A51" s="25"/>
      <c r="B51" s="26"/>
      <c r="C51" s="26"/>
      <c r="E51" s="29"/>
      <c r="F51" s="29"/>
      <c r="G51" s="29"/>
      <c r="H51" s="267">
        <v>44986.0</v>
      </c>
      <c r="I51" s="260">
        <v>22000.0</v>
      </c>
      <c r="J51" s="260">
        <f t="shared" ref="J51:J59" si="2">J50+3000</f>
        <v>28000</v>
      </c>
      <c r="K51" s="260" t="str">
        <f t="shared" si="1"/>
        <v/>
      </c>
      <c r="L51" s="30"/>
    </row>
    <row r="52">
      <c r="A52" s="25"/>
      <c r="B52" s="60"/>
      <c r="C52" s="60"/>
      <c r="E52" s="29"/>
      <c r="F52" s="29"/>
      <c r="G52" s="29"/>
      <c r="H52" s="267">
        <v>45017.0</v>
      </c>
      <c r="I52" s="260">
        <v>32100.0</v>
      </c>
      <c r="J52" s="260">
        <f t="shared" si="2"/>
        <v>31000</v>
      </c>
      <c r="K52" s="260" t="str">
        <f t="shared" si="1"/>
        <v/>
      </c>
      <c r="L52" s="30"/>
    </row>
    <row r="53">
      <c r="A53" s="25"/>
      <c r="B53" s="31"/>
      <c r="C53" s="31"/>
      <c r="E53" s="29"/>
      <c r="F53" s="29"/>
      <c r="G53" s="29"/>
      <c r="H53" s="267">
        <v>45047.0</v>
      </c>
      <c r="I53" s="260">
        <v>34900.0</v>
      </c>
      <c r="J53" s="260">
        <f t="shared" si="2"/>
        <v>34000</v>
      </c>
      <c r="K53" s="260" t="str">
        <f t="shared" si="1"/>
        <v/>
      </c>
      <c r="L53" s="30"/>
    </row>
    <row r="54">
      <c r="A54" s="25"/>
      <c r="B54" s="31"/>
      <c r="C54" s="31"/>
      <c r="E54" s="29"/>
      <c r="F54" s="29"/>
      <c r="G54" s="29"/>
      <c r="H54" s="267">
        <v>45078.0</v>
      </c>
      <c r="I54" s="260">
        <v>38000.0</v>
      </c>
      <c r="J54" s="260">
        <f t="shared" si="2"/>
        <v>37000</v>
      </c>
      <c r="K54" s="260" t="str">
        <f t="shared" si="1"/>
        <v/>
      </c>
      <c r="L54" s="30"/>
    </row>
    <row r="55">
      <c r="A55" s="25"/>
      <c r="B55" s="61"/>
      <c r="C55" s="61"/>
      <c r="E55" s="29"/>
      <c r="F55" s="29"/>
      <c r="G55" s="29"/>
      <c r="H55" s="267">
        <v>45108.0</v>
      </c>
      <c r="I55" s="260">
        <v>38500.0</v>
      </c>
      <c r="J55" s="260">
        <f t="shared" si="2"/>
        <v>40000</v>
      </c>
      <c r="K55" s="260" t="str">
        <f t="shared" si="1"/>
        <v/>
      </c>
      <c r="L55" s="30"/>
    </row>
    <row r="56">
      <c r="A56" s="25"/>
      <c r="B56" s="26"/>
      <c r="C56" s="26"/>
      <c r="E56" s="29"/>
      <c r="F56" s="29"/>
      <c r="G56" s="29"/>
      <c r="H56" s="267">
        <v>45139.0</v>
      </c>
      <c r="I56" s="260">
        <v>47000.0</v>
      </c>
      <c r="J56" s="260">
        <f t="shared" si="2"/>
        <v>43000</v>
      </c>
      <c r="K56" s="260" t="str">
        <f t="shared" si="1"/>
        <v/>
      </c>
      <c r="L56" s="30"/>
    </row>
    <row r="57">
      <c r="A57" s="25"/>
      <c r="B57" s="26"/>
      <c r="C57" s="26"/>
      <c r="E57" s="29"/>
      <c r="F57" s="29"/>
      <c r="G57" s="29"/>
      <c r="H57" s="267">
        <v>45170.0</v>
      </c>
      <c r="I57" s="260">
        <v>51000.0</v>
      </c>
      <c r="J57" s="260">
        <f t="shared" si="2"/>
        <v>46000</v>
      </c>
      <c r="K57" s="260" t="str">
        <f t="shared" si="1"/>
        <v/>
      </c>
      <c r="L57" s="30"/>
    </row>
    <row r="58">
      <c r="A58" s="25"/>
      <c r="B58" s="26"/>
      <c r="C58" s="26"/>
      <c r="E58" s="29"/>
      <c r="F58" s="29"/>
      <c r="G58" s="29"/>
      <c r="H58" s="267">
        <v>45200.0</v>
      </c>
      <c r="I58" s="260">
        <v>55000.0</v>
      </c>
      <c r="J58" s="260">
        <f t="shared" si="2"/>
        <v>49000</v>
      </c>
      <c r="K58" s="260" t="str">
        <f t="shared" si="1"/>
        <v/>
      </c>
      <c r="L58" s="30"/>
    </row>
    <row r="59">
      <c r="A59" s="25"/>
      <c r="B59" s="26"/>
      <c r="C59" s="26"/>
      <c r="E59" s="29"/>
      <c r="F59" s="29"/>
      <c r="G59" s="29"/>
      <c r="H59" s="267">
        <v>45231.0</v>
      </c>
      <c r="I59" s="260">
        <v>53100.0</v>
      </c>
      <c r="J59" s="260">
        <f t="shared" si="2"/>
        <v>52000</v>
      </c>
      <c r="K59" s="260" t="str">
        <f t="shared" si="1"/>
        <v/>
      </c>
      <c r="L59" s="30"/>
    </row>
    <row r="60">
      <c r="A60" s="25"/>
      <c r="B60" s="26"/>
      <c r="C60" s="26"/>
      <c r="E60" s="29"/>
      <c r="F60" s="29"/>
      <c r="G60" s="29"/>
      <c r="H60" s="267">
        <v>45261.0</v>
      </c>
      <c r="I60" s="260">
        <v>60500.0</v>
      </c>
      <c r="J60" s="260">
        <v>55000.0</v>
      </c>
      <c r="K60" s="260">
        <f t="shared" si="1"/>
        <v>55000</v>
      </c>
      <c r="L60" s="30"/>
    </row>
    <row r="61">
      <c r="A61" s="25"/>
      <c r="B61" s="26"/>
      <c r="C61" s="26"/>
      <c r="E61" s="29"/>
      <c r="F61" s="29"/>
      <c r="G61" s="29"/>
      <c r="H61" s="29"/>
      <c r="I61" s="30"/>
      <c r="J61" s="30"/>
      <c r="K61" s="30"/>
      <c r="L61" s="30"/>
    </row>
    <row r="62">
      <c r="A62" s="25"/>
      <c r="B62" s="26"/>
      <c r="C62" s="26"/>
      <c r="E62" s="268" t="s">
        <v>699</v>
      </c>
      <c r="F62" s="33"/>
      <c r="G62" s="33"/>
      <c r="H62" s="34"/>
      <c r="I62" s="30"/>
      <c r="J62" s="30"/>
      <c r="K62" s="30"/>
      <c r="L62" s="30"/>
    </row>
    <row r="63">
      <c r="A63" s="25"/>
      <c r="B63" s="26"/>
      <c r="C63" s="26"/>
      <c r="E63" s="29"/>
      <c r="F63" s="29"/>
      <c r="G63" s="29"/>
      <c r="H63" s="29"/>
      <c r="I63" s="30"/>
      <c r="J63" s="30"/>
      <c r="K63" s="30"/>
      <c r="L63" s="30"/>
    </row>
    <row r="64">
      <c r="A64" s="25"/>
      <c r="B64" s="26"/>
      <c r="C64" s="26"/>
      <c r="E64" s="29"/>
      <c r="F64" s="29"/>
      <c r="G64" s="29"/>
      <c r="H64" s="29"/>
      <c r="I64" s="30"/>
      <c r="J64" s="30"/>
      <c r="K64" s="30"/>
      <c r="L64" s="30"/>
    </row>
    <row r="65">
      <c r="A65" s="25"/>
      <c r="B65" s="26"/>
      <c r="C65" s="26"/>
      <c r="E65" s="29"/>
      <c r="F65" s="29"/>
      <c r="G65" s="29"/>
      <c r="L65" s="269"/>
    </row>
    <row r="66">
      <c r="A66" s="25"/>
      <c r="B66" s="26"/>
      <c r="C66" s="26"/>
      <c r="E66" s="29"/>
      <c r="F66" s="29"/>
      <c r="G66" s="29"/>
      <c r="H66" s="270"/>
      <c r="I66" s="271"/>
      <c r="J66" s="33"/>
      <c r="K66" s="33"/>
      <c r="L66" s="34"/>
    </row>
    <row r="67">
      <c r="A67" s="25"/>
      <c r="B67" s="26"/>
      <c r="C67" s="26"/>
      <c r="E67" s="29"/>
      <c r="F67" s="29"/>
      <c r="G67" s="29"/>
      <c r="H67" s="272" t="s">
        <v>701</v>
      </c>
      <c r="I67" s="33"/>
      <c r="J67" s="33"/>
      <c r="K67" s="34"/>
      <c r="L67" s="30"/>
    </row>
    <row r="68">
      <c r="A68" s="25"/>
      <c r="B68" s="26"/>
      <c r="C68" s="26"/>
      <c r="E68" s="29"/>
      <c r="F68" s="29"/>
      <c r="G68" s="29"/>
      <c r="H68" s="266" t="s">
        <v>47</v>
      </c>
      <c r="I68" s="266" t="s">
        <v>702</v>
      </c>
      <c r="J68" s="266"/>
      <c r="K68" s="30"/>
      <c r="L68" s="30"/>
    </row>
    <row r="69">
      <c r="A69" s="25"/>
      <c r="B69" s="26"/>
      <c r="C69" s="26"/>
      <c r="E69" s="29"/>
      <c r="F69" s="29"/>
      <c r="G69" s="29"/>
      <c r="H69" s="267" t="s">
        <v>188</v>
      </c>
      <c r="I69" s="260">
        <v>25000.0</v>
      </c>
      <c r="J69" s="260" t="str">
        <f t="shared" ref="J69:J80" si="3">IF(OR(H69="Mar", H69="Jun", H69="Sep", H69="Dec"), I69, "")
</f>
        <v/>
      </c>
      <c r="K69" s="30"/>
      <c r="L69" s="30"/>
    </row>
    <row r="70">
      <c r="A70" s="25"/>
      <c r="B70" s="26"/>
      <c r="C70" s="26"/>
      <c r="E70" s="29"/>
      <c r="F70" s="29"/>
      <c r="G70" s="29"/>
      <c r="H70" s="267" t="s">
        <v>193</v>
      </c>
      <c r="I70" s="260">
        <v>55500.0</v>
      </c>
      <c r="J70" s="260" t="str">
        <f t="shared" si="3"/>
        <v/>
      </c>
      <c r="K70" s="30"/>
      <c r="L70" s="30"/>
    </row>
    <row r="71">
      <c r="A71" s="25"/>
      <c r="B71" s="26"/>
      <c r="C71" s="26"/>
      <c r="E71" s="29"/>
      <c r="F71" s="29"/>
      <c r="G71" s="29"/>
      <c r="H71" s="267" t="s">
        <v>195</v>
      </c>
      <c r="I71" s="260">
        <v>84200.0</v>
      </c>
      <c r="J71" s="260">
        <f t="shared" si="3"/>
        <v>84200</v>
      </c>
      <c r="K71" s="30"/>
      <c r="L71" s="30"/>
    </row>
    <row r="72">
      <c r="A72" s="25"/>
      <c r="B72" s="26"/>
      <c r="C72" s="26"/>
      <c r="E72" s="29"/>
      <c r="F72" s="29"/>
      <c r="G72" s="29"/>
      <c r="H72" s="267" t="s">
        <v>197</v>
      </c>
      <c r="I72" s="260">
        <v>116300.0</v>
      </c>
      <c r="J72" s="260" t="str">
        <f t="shared" si="3"/>
        <v/>
      </c>
      <c r="K72" s="30"/>
      <c r="L72" s="30"/>
    </row>
    <row r="73">
      <c r="A73" s="25"/>
      <c r="B73" s="26"/>
      <c r="C73" s="26"/>
      <c r="E73" s="29"/>
      <c r="F73" s="29"/>
      <c r="G73" s="29"/>
      <c r="H73" s="267" t="s">
        <v>57</v>
      </c>
      <c r="I73" s="260">
        <v>151800.0</v>
      </c>
      <c r="J73" s="260" t="str">
        <f t="shared" si="3"/>
        <v/>
      </c>
      <c r="K73" s="30"/>
      <c r="L73" s="30"/>
    </row>
    <row r="74">
      <c r="A74" s="25"/>
      <c r="B74" s="26"/>
      <c r="C74" s="26"/>
      <c r="E74" s="29"/>
      <c r="F74" s="29"/>
      <c r="G74" s="29"/>
      <c r="H74" s="267" t="s">
        <v>200</v>
      </c>
      <c r="I74" s="260">
        <v>190000.0</v>
      </c>
      <c r="J74" s="260">
        <f t="shared" si="3"/>
        <v>190000</v>
      </c>
      <c r="K74" s="30"/>
      <c r="L74" s="30"/>
    </row>
    <row r="75">
      <c r="A75" s="25"/>
      <c r="B75" s="26"/>
      <c r="C75" s="26"/>
      <c r="E75" s="29"/>
      <c r="F75" s="29"/>
      <c r="G75" s="29"/>
      <c r="H75" s="267" t="s">
        <v>202</v>
      </c>
      <c r="I75" s="260">
        <v>230300.0</v>
      </c>
      <c r="J75" s="260" t="str">
        <f t="shared" si="3"/>
        <v/>
      </c>
      <c r="K75" s="30"/>
      <c r="L75" s="30"/>
    </row>
    <row r="76">
      <c r="A76" s="25"/>
      <c r="B76" s="26"/>
      <c r="C76" s="26"/>
      <c r="E76" s="29"/>
      <c r="F76" s="29"/>
      <c r="G76" s="29"/>
      <c r="H76" s="267" t="s">
        <v>204</v>
      </c>
      <c r="I76" s="260">
        <v>275400.0</v>
      </c>
      <c r="J76" s="260" t="str">
        <f t="shared" si="3"/>
        <v/>
      </c>
      <c r="K76" s="30"/>
      <c r="L76" s="30"/>
    </row>
    <row r="77">
      <c r="A77" s="25"/>
      <c r="B77" s="26"/>
      <c r="C77" s="26"/>
      <c r="E77" s="29"/>
      <c r="F77" s="29"/>
      <c r="G77" s="29"/>
      <c r="H77" s="267" t="s">
        <v>205</v>
      </c>
      <c r="I77" s="260">
        <v>323000.0</v>
      </c>
      <c r="J77" s="260">
        <f t="shared" si="3"/>
        <v>323000</v>
      </c>
      <c r="K77" s="30"/>
      <c r="L77" s="30"/>
    </row>
    <row r="78">
      <c r="A78" s="25"/>
      <c r="B78" s="26"/>
      <c r="C78" s="26"/>
      <c r="E78" s="29"/>
      <c r="F78" s="29"/>
      <c r="G78" s="29"/>
      <c r="H78" s="267" t="s">
        <v>207</v>
      </c>
      <c r="I78" s="260">
        <v>373700.0</v>
      </c>
      <c r="J78" s="260" t="str">
        <f t="shared" si="3"/>
        <v/>
      </c>
      <c r="K78" s="30"/>
      <c r="L78" s="30"/>
    </row>
    <row r="79">
      <c r="A79" s="25"/>
      <c r="B79" s="26"/>
      <c r="C79" s="26"/>
      <c r="E79" s="29"/>
      <c r="F79" s="29"/>
      <c r="G79" s="29"/>
      <c r="H79" s="267" t="s">
        <v>209</v>
      </c>
      <c r="I79" s="260">
        <v>426900.0</v>
      </c>
      <c r="J79" s="260" t="str">
        <f t="shared" si="3"/>
        <v/>
      </c>
      <c r="K79" s="30"/>
      <c r="L79" s="30"/>
    </row>
    <row r="80">
      <c r="A80" s="25"/>
      <c r="B80" s="26"/>
      <c r="C80" s="26"/>
      <c r="E80" s="29"/>
      <c r="F80" s="29"/>
      <c r="G80" s="29"/>
      <c r="H80" s="267" t="s">
        <v>210</v>
      </c>
      <c r="I80" s="260">
        <v>486900.0</v>
      </c>
      <c r="J80" s="260">
        <f t="shared" si="3"/>
        <v>486900</v>
      </c>
      <c r="K80" s="30"/>
      <c r="L80" s="30"/>
    </row>
    <row r="81">
      <c r="A81" s="25"/>
      <c r="B81" s="26"/>
      <c r="C81" s="26"/>
      <c r="E81" s="29"/>
      <c r="F81" s="29"/>
      <c r="G81" s="29"/>
      <c r="H81" s="29"/>
      <c r="I81" s="30"/>
      <c r="J81" s="30"/>
      <c r="K81" s="30"/>
      <c r="L81" s="30"/>
    </row>
    <row r="82">
      <c r="A82" s="25"/>
      <c r="B82" s="26"/>
      <c r="C82" s="26"/>
      <c r="E82" s="268" t="s">
        <v>709</v>
      </c>
      <c r="F82" s="33"/>
      <c r="G82" s="33"/>
      <c r="H82" s="34"/>
      <c r="I82" s="30"/>
      <c r="J82" s="30"/>
      <c r="K82" s="30"/>
      <c r="L82" s="30"/>
    </row>
    <row r="83">
      <c r="A83" s="25"/>
      <c r="B83" s="26"/>
      <c r="C83" s="26"/>
      <c r="E83" s="29"/>
      <c r="F83" s="29"/>
      <c r="G83" s="29"/>
      <c r="H83" s="29"/>
      <c r="I83" s="30"/>
      <c r="J83" s="30"/>
      <c r="K83" s="30"/>
      <c r="L83" s="30"/>
    </row>
    <row r="84">
      <c r="A84" s="25"/>
      <c r="B84" s="26"/>
      <c r="C84" s="26"/>
      <c r="E84" s="29"/>
      <c r="F84" s="29"/>
      <c r="G84" s="29"/>
      <c r="H84" s="29"/>
      <c r="I84" s="30"/>
      <c r="J84" s="30"/>
      <c r="K84" s="30"/>
      <c r="L84" s="30"/>
    </row>
    <row r="85">
      <c r="A85" s="25"/>
      <c r="B85" s="26"/>
      <c r="C85" s="26"/>
      <c r="E85" s="29"/>
      <c r="F85" s="29"/>
      <c r="G85" s="29"/>
      <c r="L85" s="269"/>
    </row>
    <row r="86">
      <c r="A86" s="25"/>
      <c r="B86" s="26"/>
      <c r="C86" s="26"/>
      <c r="E86" s="29"/>
      <c r="F86" s="29"/>
      <c r="G86" s="29"/>
      <c r="H86" s="270"/>
      <c r="I86" s="271"/>
      <c r="J86" s="33"/>
      <c r="K86" s="33"/>
      <c r="L86" s="34"/>
    </row>
    <row r="87">
      <c r="A87" s="25"/>
      <c r="B87" s="26"/>
      <c r="C87" s="26"/>
      <c r="E87" s="29"/>
      <c r="F87" s="29"/>
      <c r="G87" s="29"/>
      <c r="H87" s="272" t="s">
        <v>711</v>
      </c>
      <c r="I87" s="33"/>
      <c r="J87" s="33"/>
      <c r="K87" s="34"/>
      <c r="L87" s="30"/>
    </row>
    <row r="88">
      <c r="A88" s="25"/>
      <c r="B88" s="26"/>
      <c r="C88" s="26"/>
      <c r="E88" s="29"/>
      <c r="F88" s="29"/>
      <c r="G88" s="29"/>
      <c r="H88" s="266" t="s">
        <v>47</v>
      </c>
      <c r="I88" s="266" t="s">
        <v>714</v>
      </c>
      <c r="J88" s="266" t="s">
        <v>715</v>
      </c>
      <c r="K88" s="30"/>
      <c r="L88" s="30"/>
    </row>
    <row r="89">
      <c r="A89" s="25"/>
      <c r="B89" s="26"/>
      <c r="C89" s="26"/>
      <c r="E89" s="29"/>
      <c r="F89" s="29"/>
      <c r="G89" s="29"/>
      <c r="H89" s="267" t="s">
        <v>188</v>
      </c>
      <c r="I89" s="260">
        <v>20000.0</v>
      </c>
      <c r="J89" s="260">
        <v>25000.0</v>
      </c>
      <c r="K89" s="30"/>
      <c r="L89" s="30"/>
    </row>
    <row r="90">
      <c r="A90" s="25"/>
      <c r="B90" s="26"/>
      <c r="C90" s="26"/>
      <c r="E90" s="29"/>
      <c r="F90" s="29"/>
      <c r="G90" s="29"/>
      <c r="H90" s="267" t="s">
        <v>193</v>
      </c>
      <c r="I90" s="260">
        <v>22500.0</v>
      </c>
      <c r="J90" s="260">
        <v>30500.0</v>
      </c>
      <c r="K90" s="30"/>
      <c r="L90" s="30"/>
    </row>
    <row r="91">
      <c r="A91" s="25"/>
      <c r="B91" s="26"/>
      <c r="C91" s="26"/>
      <c r="E91" s="29"/>
      <c r="F91" s="29"/>
      <c r="G91" s="29"/>
      <c r="H91" s="267" t="s">
        <v>195</v>
      </c>
      <c r="I91" s="260">
        <v>24000.0</v>
      </c>
      <c r="J91" s="260">
        <v>28700.0</v>
      </c>
      <c r="K91" s="30"/>
      <c r="L91" s="30"/>
    </row>
    <row r="92">
      <c r="A92" s="25"/>
      <c r="B92" s="26"/>
      <c r="C92" s="26"/>
      <c r="E92" s="29"/>
      <c r="F92" s="29"/>
      <c r="G92" s="29"/>
      <c r="H92" s="267" t="s">
        <v>197</v>
      </c>
      <c r="I92" s="260">
        <v>26100.0</v>
      </c>
      <c r="J92" s="260">
        <v>32100.0</v>
      </c>
      <c r="K92" s="30"/>
      <c r="L92" s="30"/>
    </row>
    <row r="93">
      <c r="A93" s="25"/>
      <c r="B93" s="26"/>
      <c r="C93" s="26"/>
      <c r="E93" s="29"/>
      <c r="F93" s="29"/>
      <c r="G93" s="29"/>
      <c r="H93" s="267" t="s">
        <v>57</v>
      </c>
      <c r="I93" s="260">
        <v>28500.0</v>
      </c>
      <c r="J93" s="260">
        <v>35500.0</v>
      </c>
      <c r="K93" s="30"/>
      <c r="L93" s="30"/>
    </row>
    <row r="94">
      <c r="A94" s="25"/>
      <c r="B94" s="26"/>
      <c r="C94" s="26"/>
      <c r="E94" s="29"/>
      <c r="F94" s="29"/>
      <c r="G94" s="29"/>
      <c r="H94" s="267" t="s">
        <v>200</v>
      </c>
      <c r="I94" s="260">
        <v>30200.0</v>
      </c>
      <c r="J94" s="260">
        <v>38200.0</v>
      </c>
      <c r="K94" s="30"/>
      <c r="L94" s="30"/>
    </row>
    <row r="95">
      <c r="A95" s="25"/>
      <c r="B95" s="26"/>
      <c r="C95" s="26"/>
      <c r="E95" s="29"/>
      <c r="F95" s="29"/>
      <c r="G95" s="29"/>
      <c r="H95" s="267" t="s">
        <v>202</v>
      </c>
      <c r="I95" s="260">
        <v>32000.0</v>
      </c>
      <c r="J95" s="260">
        <v>40300.0</v>
      </c>
      <c r="K95" s="30"/>
      <c r="L95" s="30"/>
    </row>
    <row r="96">
      <c r="A96" s="25"/>
      <c r="B96" s="26"/>
      <c r="C96" s="26"/>
      <c r="E96" s="29"/>
      <c r="F96" s="29"/>
      <c r="G96" s="29"/>
      <c r="H96" s="267" t="s">
        <v>204</v>
      </c>
      <c r="I96" s="260">
        <v>34500.0</v>
      </c>
      <c r="J96" s="260">
        <v>45100.0</v>
      </c>
      <c r="K96" s="30"/>
      <c r="L96" s="30"/>
    </row>
    <row r="97">
      <c r="A97" s="25"/>
      <c r="B97" s="26"/>
      <c r="C97" s="26"/>
      <c r="E97" s="29"/>
      <c r="F97" s="29"/>
      <c r="G97" s="29"/>
      <c r="H97" s="267" t="s">
        <v>205</v>
      </c>
      <c r="I97" s="260">
        <v>36000.0</v>
      </c>
      <c r="J97" s="260">
        <v>47600.0</v>
      </c>
      <c r="K97" s="30"/>
      <c r="L97" s="30"/>
    </row>
    <row r="98">
      <c r="A98" s="25"/>
      <c r="B98" s="26"/>
      <c r="C98" s="26"/>
      <c r="E98" s="29"/>
      <c r="F98" s="29"/>
      <c r="G98" s="29"/>
      <c r="H98" s="267" t="s">
        <v>207</v>
      </c>
      <c r="I98" s="260">
        <v>38500.0</v>
      </c>
      <c r="J98" s="260">
        <v>50700.0</v>
      </c>
      <c r="K98" s="30"/>
      <c r="L98" s="30"/>
    </row>
    <row r="99">
      <c r="A99" s="25"/>
      <c r="B99" s="26"/>
      <c r="C99" s="26"/>
      <c r="E99" s="29"/>
      <c r="F99" s="29"/>
      <c r="G99" s="29"/>
      <c r="H99" s="267" t="s">
        <v>209</v>
      </c>
      <c r="I99" s="260">
        <v>41000.0</v>
      </c>
      <c r="J99" s="260">
        <v>53200.0</v>
      </c>
      <c r="K99" s="30"/>
      <c r="L99" s="30"/>
    </row>
    <row r="100">
      <c r="A100" s="25"/>
      <c r="B100" s="26"/>
      <c r="C100" s="26"/>
      <c r="E100" s="29"/>
      <c r="F100" s="29"/>
      <c r="G100" s="29"/>
      <c r="H100" s="267" t="s">
        <v>210</v>
      </c>
      <c r="I100" s="260">
        <v>45000.0</v>
      </c>
      <c r="J100" s="260">
        <v>60000.0</v>
      </c>
      <c r="K100" s="30"/>
      <c r="L100" s="30"/>
    </row>
    <row r="101">
      <c r="A101" s="25"/>
      <c r="B101" s="26"/>
      <c r="C101" s="26"/>
      <c r="E101" s="29"/>
      <c r="F101" s="29"/>
      <c r="G101" s="29"/>
      <c r="H101" s="29"/>
      <c r="I101" s="30"/>
      <c r="J101" s="30"/>
      <c r="K101" s="30"/>
      <c r="L101" s="30"/>
    </row>
    <row r="102">
      <c r="A102" s="25"/>
      <c r="B102" s="26"/>
      <c r="C102" s="26"/>
      <c r="E102" s="29"/>
      <c r="F102" s="29"/>
      <c r="G102" s="29"/>
      <c r="H102" s="29"/>
      <c r="I102" s="30"/>
      <c r="J102" s="30"/>
      <c r="K102" s="30"/>
      <c r="L102" s="30"/>
    </row>
    <row r="103">
      <c r="A103" s="25"/>
      <c r="B103" s="26"/>
      <c r="C103" s="26"/>
      <c r="E103" s="29"/>
      <c r="F103" s="29"/>
      <c r="G103" s="29"/>
      <c r="H103" s="29"/>
      <c r="I103" s="30"/>
      <c r="J103" s="30"/>
      <c r="K103" s="30"/>
      <c r="L103" s="30"/>
    </row>
    <row r="104">
      <c r="A104" s="25"/>
      <c r="B104" s="26"/>
      <c r="C104" s="26"/>
      <c r="E104" s="29"/>
      <c r="F104" s="29"/>
      <c r="G104" s="29"/>
      <c r="H104" s="29"/>
      <c r="I104" s="30"/>
      <c r="J104" s="30"/>
      <c r="K104" s="30"/>
      <c r="L104" s="30"/>
    </row>
    <row r="105">
      <c r="A105" s="25"/>
      <c r="B105" s="26"/>
      <c r="C105" s="26"/>
      <c r="E105" s="268" t="s">
        <v>679</v>
      </c>
      <c r="F105" s="33"/>
      <c r="G105" s="33"/>
      <c r="H105" s="34"/>
      <c r="L105" s="269"/>
    </row>
    <row r="106">
      <c r="A106" s="25"/>
      <c r="B106" s="26"/>
      <c r="C106" s="26"/>
      <c r="E106" s="29"/>
      <c r="F106" s="29"/>
      <c r="G106" s="29"/>
      <c r="H106" s="270"/>
      <c r="I106" s="271"/>
      <c r="J106" s="33"/>
      <c r="K106" s="33"/>
      <c r="L106" s="34"/>
    </row>
    <row r="107">
      <c r="A107" s="25"/>
      <c r="B107" s="26"/>
      <c r="C107" s="26"/>
      <c r="E107" s="29"/>
      <c r="F107" s="29"/>
      <c r="G107" s="29"/>
      <c r="H107" s="272" t="s">
        <v>723</v>
      </c>
      <c r="I107" s="33"/>
      <c r="J107" s="33"/>
      <c r="K107" s="34"/>
      <c r="L107" s="30"/>
    </row>
    <row r="108">
      <c r="A108" s="25"/>
      <c r="B108" s="26"/>
      <c r="C108" s="26"/>
      <c r="E108" s="29"/>
      <c r="F108" s="29"/>
      <c r="G108" s="29"/>
      <c r="H108" s="296" t="s">
        <v>47</v>
      </c>
      <c r="I108" s="296" t="s">
        <v>724</v>
      </c>
      <c r="J108" s="296" t="s">
        <v>725</v>
      </c>
      <c r="K108" s="30"/>
      <c r="L108" s="30"/>
    </row>
    <row r="109">
      <c r="A109" s="25"/>
      <c r="B109" s="26"/>
      <c r="C109" s="26"/>
      <c r="E109" s="29"/>
      <c r="F109" s="29"/>
      <c r="G109" s="29"/>
      <c r="H109" s="267" t="s">
        <v>188</v>
      </c>
      <c r="I109" s="260">
        <v>25000.0</v>
      </c>
      <c r="J109" s="260"/>
      <c r="K109" s="30"/>
      <c r="L109" s="30"/>
    </row>
    <row r="110">
      <c r="A110" s="25"/>
      <c r="B110" s="26"/>
      <c r="C110" s="26"/>
      <c r="E110" s="29"/>
      <c r="F110" s="29"/>
      <c r="G110" s="29"/>
      <c r="H110" s="267" t="s">
        <v>193</v>
      </c>
      <c r="I110" s="260">
        <v>30500.0</v>
      </c>
      <c r="J110" s="260"/>
      <c r="K110" s="30"/>
      <c r="L110" s="30"/>
    </row>
    <row r="111">
      <c r="A111" s="25"/>
      <c r="B111" s="26"/>
      <c r="C111" s="26"/>
      <c r="E111" s="29"/>
      <c r="F111" s="29"/>
      <c r="G111" s="29"/>
      <c r="H111" s="267" t="s">
        <v>195</v>
      </c>
      <c r="I111" s="260">
        <v>28700.0</v>
      </c>
      <c r="J111" s="260">
        <f t="shared" ref="J111:J120" si="4">iferror(AVERAGE(I109:I111),"")</f>
        <v>28066.66667</v>
      </c>
      <c r="K111" s="30"/>
      <c r="L111" s="30"/>
    </row>
    <row r="112">
      <c r="A112" s="25"/>
      <c r="B112" s="26"/>
      <c r="C112" s="26"/>
      <c r="E112" s="29"/>
      <c r="F112" s="29"/>
      <c r="G112" s="29"/>
      <c r="H112" s="267" t="s">
        <v>197</v>
      </c>
      <c r="I112" s="260">
        <v>32100.0</v>
      </c>
      <c r="J112" s="260">
        <f t="shared" si="4"/>
        <v>30433.33333</v>
      </c>
      <c r="K112" s="30"/>
      <c r="L112" s="30"/>
    </row>
    <row r="113">
      <c r="A113" s="25"/>
      <c r="B113" s="26"/>
      <c r="C113" s="26"/>
      <c r="E113" s="29"/>
      <c r="F113" s="29"/>
      <c r="G113" s="29"/>
      <c r="H113" s="267" t="s">
        <v>57</v>
      </c>
      <c r="I113" s="260">
        <v>35500.0</v>
      </c>
      <c r="J113" s="260">
        <f t="shared" si="4"/>
        <v>32100</v>
      </c>
      <c r="K113" s="30"/>
      <c r="L113" s="30"/>
    </row>
    <row r="114">
      <c r="A114" s="25"/>
      <c r="B114" s="26"/>
      <c r="C114" s="26"/>
      <c r="E114" s="29"/>
      <c r="F114" s="29"/>
      <c r="G114" s="29"/>
      <c r="H114" s="267" t="s">
        <v>200</v>
      </c>
      <c r="I114" s="260">
        <v>38200.0</v>
      </c>
      <c r="J114" s="260">
        <f t="shared" si="4"/>
        <v>35266.66667</v>
      </c>
      <c r="K114" s="30"/>
      <c r="L114" s="30"/>
    </row>
    <row r="115">
      <c r="A115" s="25"/>
      <c r="B115" s="26"/>
      <c r="C115" s="26"/>
      <c r="E115" s="29"/>
      <c r="F115" s="29"/>
      <c r="G115" s="29"/>
      <c r="H115" s="267" t="s">
        <v>202</v>
      </c>
      <c r="I115" s="260">
        <v>40300.0</v>
      </c>
      <c r="J115" s="260">
        <f t="shared" si="4"/>
        <v>38000</v>
      </c>
      <c r="K115" s="30"/>
      <c r="L115" s="30"/>
    </row>
    <row r="116">
      <c r="A116" s="25"/>
      <c r="B116" s="26"/>
      <c r="C116" s="26"/>
      <c r="E116" s="29"/>
      <c r="F116" s="29"/>
      <c r="G116" s="29"/>
      <c r="H116" s="267" t="s">
        <v>204</v>
      </c>
      <c r="I116" s="260">
        <v>45100.0</v>
      </c>
      <c r="J116" s="260">
        <f t="shared" si="4"/>
        <v>41200</v>
      </c>
      <c r="K116" s="30"/>
      <c r="L116" s="30"/>
    </row>
    <row r="117">
      <c r="A117" s="25"/>
      <c r="B117" s="26"/>
      <c r="C117" s="26"/>
      <c r="E117" s="29"/>
      <c r="F117" s="29"/>
      <c r="G117" s="29"/>
      <c r="H117" s="267" t="s">
        <v>205</v>
      </c>
      <c r="I117" s="260">
        <v>47600.0</v>
      </c>
      <c r="J117" s="260">
        <f t="shared" si="4"/>
        <v>44333.33333</v>
      </c>
      <c r="K117" s="30"/>
      <c r="L117" s="30"/>
    </row>
    <row r="118">
      <c r="A118" s="25"/>
      <c r="B118" s="26"/>
      <c r="C118" s="26"/>
      <c r="E118" s="29"/>
      <c r="F118" s="29"/>
      <c r="G118" s="29"/>
      <c r="H118" s="267" t="s">
        <v>207</v>
      </c>
      <c r="I118" s="260">
        <v>50700.0</v>
      </c>
      <c r="J118" s="260">
        <f t="shared" si="4"/>
        <v>47800</v>
      </c>
      <c r="K118" s="30"/>
      <c r="L118" s="30"/>
    </row>
    <row r="119">
      <c r="A119" s="25"/>
      <c r="B119" s="26"/>
      <c r="C119" s="26"/>
      <c r="E119" s="29"/>
      <c r="F119" s="29"/>
      <c r="G119" s="29"/>
      <c r="H119" s="267" t="s">
        <v>209</v>
      </c>
      <c r="I119" s="260">
        <v>53200.0</v>
      </c>
      <c r="J119" s="260">
        <f t="shared" si="4"/>
        <v>50500</v>
      </c>
      <c r="K119" s="30"/>
      <c r="L119" s="30"/>
    </row>
    <row r="120">
      <c r="A120" s="25"/>
      <c r="B120" s="26"/>
      <c r="C120" s="26"/>
      <c r="E120" s="29"/>
      <c r="F120" s="29"/>
      <c r="G120" s="29"/>
      <c r="H120" s="267" t="s">
        <v>210</v>
      </c>
      <c r="I120" s="260">
        <v>49000.0</v>
      </c>
      <c r="J120" s="260">
        <f t="shared" si="4"/>
        <v>50966.66667</v>
      </c>
      <c r="K120" s="30"/>
      <c r="L120" s="30"/>
    </row>
    <row r="121">
      <c r="A121" s="25"/>
      <c r="B121" s="26"/>
      <c r="C121" s="26"/>
      <c r="E121" s="29"/>
      <c r="F121" s="29"/>
      <c r="G121" s="29"/>
      <c r="H121" s="29"/>
      <c r="I121" s="30"/>
      <c r="J121" s="30"/>
      <c r="K121" s="30"/>
      <c r="L121" s="30"/>
    </row>
    <row r="122">
      <c r="A122" s="25"/>
      <c r="B122" s="26"/>
      <c r="C122" s="26"/>
      <c r="E122" s="29"/>
      <c r="F122" s="29"/>
      <c r="G122" s="29"/>
      <c r="H122" s="29"/>
      <c r="I122" s="30"/>
      <c r="J122" s="30"/>
      <c r="K122" s="30"/>
      <c r="L122" s="30"/>
    </row>
    <row r="123">
      <c r="A123" s="25"/>
      <c r="B123" s="26"/>
      <c r="C123" s="26"/>
      <c r="E123" s="29"/>
      <c r="F123" s="29"/>
      <c r="G123" s="29"/>
      <c r="H123" s="29"/>
      <c r="I123" s="30"/>
      <c r="J123" s="30"/>
      <c r="K123" s="30"/>
      <c r="L123" s="30"/>
    </row>
    <row r="124">
      <c r="A124" s="25"/>
      <c r="B124" s="26"/>
      <c r="C124" s="26"/>
      <c r="E124" s="29"/>
      <c r="F124" s="29"/>
      <c r="G124" s="29"/>
      <c r="H124" s="29"/>
      <c r="I124" s="30"/>
      <c r="J124" s="30"/>
      <c r="K124" s="30"/>
      <c r="L124" s="30"/>
    </row>
    <row r="125">
      <c r="A125" s="25"/>
      <c r="B125" s="26"/>
      <c r="C125" s="26"/>
      <c r="E125" s="29"/>
      <c r="F125" s="29"/>
      <c r="G125" s="29"/>
      <c r="I125" s="297"/>
      <c r="J125" s="297"/>
      <c r="K125" s="298"/>
      <c r="L125" s="269"/>
    </row>
    <row r="126">
      <c r="A126" s="25"/>
      <c r="B126" s="26"/>
      <c r="C126" s="26"/>
      <c r="E126" s="268" t="s">
        <v>730</v>
      </c>
      <c r="F126" s="29"/>
      <c r="G126" s="29"/>
      <c r="H126" s="270"/>
      <c r="I126" s="271"/>
      <c r="J126" s="33"/>
      <c r="K126" s="33"/>
      <c r="L126" s="34"/>
    </row>
    <row r="127">
      <c r="A127" s="25"/>
      <c r="B127" s="26"/>
      <c r="C127" s="26"/>
      <c r="F127" s="29"/>
      <c r="G127" s="29"/>
      <c r="H127" s="272" t="s">
        <v>731</v>
      </c>
      <c r="I127" s="33"/>
      <c r="J127" s="33"/>
      <c r="K127" s="34"/>
    </row>
    <row r="128">
      <c r="A128" s="25"/>
      <c r="B128" s="26"/>
      <c r="C128" s="26"/>
      <c r="E128" s="29"/>
      <c r="F128" s="29"/>
      <c r="G128" s="29"/>
      <c r="H128" s="266" t="s">
        <v>47</v>
      </c>
      <c r="I128" s="266" t="s">
        <v>733</v>
      </c>
      <c r="J128" s="266" t="s">
        <v>69</v>
      </c>
      <c r="K128" s="119" t="s">
        <v>734</v>
      </c>
    </row>
    <row r="129">
      <c r="A129" s="25"/>
      <c r="B129" s="26"/>
      <c r="C129" s="26"/>
      <c r="E129" s="29"/>
      <c r="F129" s="29"/>
      <c r="G129" s="29"/>
      <c r="H129" s="259" t="s">
        <v>188</v>
      </c>
      <c r="I129" s="299">
        <v>550.0</v>
      </c>
      <c r="J129" s="299">
        <v>120.0</v>
      </c>
      <c r="K129" s="300">
        <f t="shared" ref="K129:K140" si="5">iferror(J129/I129,"")</f>
        <v>0.2181818182</v>
      </c>
    </row>
    <row r="130">
      <c r="A130" s="25"/>
      <c r="B130" s="26"/>
      <c r="C130" s="26"/>
      <c r="E130" s="29"/>
      <c r="F130" s="29"/>
      <c r="G130" s="29"/>
      <c r="H130" s="259" t="s">
        <v>193</v>
      </c>
      <c r="I130" s="299">
        <v>620.0</v>
      </c>
      <c r="J130" s="299">
        <v>140.0</v>
      </c>
      <c r="K130" s="300">
        <f t="shared" si="5"/>
        <v>0.2258064516</v>
      </c>
    </row>
    <row r="131">
      <c r="A131" s="25"/>
      <c r="B131" s="26"/>
      <c r="C131" s="26"/>
      <c r="E131" s="29"/>
      <c r="F131" s="29"/>
      <c r="G131" s="29"/>
      <c r="H131" s="259" t="s">
        <v>195</v>
      </c>
      <c r="I131" s="299">
        <v>680.0</v>
      </c>
      <c r="J131" s="299">
        <v>160.0</v>
      </c>
      <c r="K131" s="300">
        <f t="shared" si="5"/>
        <v>0.2352941176</v>
      </c>
    </row>
    <row r="132">
      <c r="A132" s="25"/>
      <c r="B132" s="26"/>
      <c r="C132" s="26"/>
      <c r="E132" s="29"/>
      <c r="F132" s="29"/>
      <c r="G132" s="29"/>
      <c r="H132" s="259" t="s">
        <v>197</v>
      </c>
      <c r="I132" s="299">
        <v>750.0</v>
      </c>
      <c r="J132" s="299">
        <v>175.0</v>
      </c>
      <c r="K132" s="300">
        <f t="shared" si="5"/>
        <v>0.2333333333</v>
      </c>
    </row>
    <row r="133">
      <c r="A133" s="25"/>
      <c r="B133" s="26"/>
      <c r="C133" s="26"/>
      <c r="E133" s="29"/>
      <c r="F133" s="29"/>
      <c r="G133" s="29"/>
      <c r="H133" s="259" t="s">
        <v>57</v>
      </c>
      <c r="I133" s="299">
        <v>720.0</v>
      </c>
      <c r="J133" s="299">
        <v>165.0</v>
      </c>
      <c r="K133" s="300">
        <f t="shared" si="5"/>
        <v>0.2291666667</v>
      </c>
    </row>
    <row r="134">
      <c r="A134" s="25"/>
      <c r="B134" s="26"/>
      <c r="C134" s="26"/>
      <c r="E134" s="29"/>
      <c r="F134" s="29"/>
      <c r="G134" s="29"/>
      <c r="H134" s="259" t="s">
        <v>200</v>
      </c>
      <c r="I134" s="299">
        <v>800.0</v>
      </c>
      <c r="J134" s="299">
        <v>190.0</v>
      </c>
      <c r="K134" s="300">
        <f t="shared" si="5"/>
        <v>0.2375</v>
      </c>
    </row>
    <row r="135">
      <c r="A135" s="25"/>
      <c r="B135" s="26"/>
      <c r="C135" s="26"/>
      <c r="E135" s="29"/>
      <c r="F135" s="29"/>
      <c r="G135" s="29"/>
      <c r="H135" s="259" t="s">
        <v>202</v>
      </c>
      <c r="I135" s="299">
        <v>950.0</v>
      </c>
      <c r="J135" s="299">
        <v>210.0</v>
      </c>
      <c r="K135" s="300">
        <f t="shared" si="5"/>
        <v>0.2210526316</v>
      </c>
    </row>
    <row r="136">
      <c r="A136" s="25"/>
      <c r="B136" s="26"/>
      <c r="C136" s="26"/>
      <c r="E136" s="29"/>
      <c r="F136" s="29"/>
      <c r="G136" s="29"/>
      <c r="H136" s="259" t="s">
        <v>204</v>
      </c>
      <c r="I136" s="299">
        <v>1000.0</v>
      </c>
      <c r="J136" s="299">
        <v>230.0</v>
      </c>
      <c r="K136" s="300">
        <f t="shared" si="5"/>
        <v>0.23</v>
      </c>
    </row>
    <row r="137">
      <c r="A137" s="25"/>
      <c r="B137" s="26"/>
      <c r="C137" s="26"/>
      <c r="E137" s="29"/>
      <c r="F137" s="29"/>
      <c r="G137" s="29"/>
      <c r="H137" s="259" t="s">
        <v>205</v>
      </c>
      <c r="I137" s="299">
        <v>1100.0</v>
      </c>
      <c r="J137" s="299">
        <v>240.0</v>
      </c>
      <c r="K137" s="300">
        <f t="shared" si="5"/>
        <v>0.2181818182</v>
      </c>
    </row>
    <row r="138">
      <c r="A138" s="25"/>
      <c r="B138" s="26"/>
      <c r="C138" s="26"/>
      <c r="E138" s="29"/>
      <c r="F138" s="29"/>
      <c r="G138" s="29"/>
      <c r="H138" s="259" t="s">
        <v>207</v>
      </c>
      <c r="I138" s="299">
        <v>1050.0</v>
      </c>
      <c r="J138" s="299">
        <v>250.0</v>
      </c>
      <c r="K138" s="300">
        <f t="shared" si="5"/>
        <v>0.2380952381</v>
      </c>
    </row>
    <row r="139">
      <c r="A139" s="25"/>
      <c r="B139" s="26"/>
      <c r="C139" s="26"/>
      <c r="E139" s="29"/>
      <c r="F139" s="29"/>
      <c r="G139" s="29"/>
      <c r="H139" s="259" t="s">
        <v>209</v>
      </c>
      <c r="I139" s="299">
        <v>1150.0</v>
      </c>
      <c r="J139" s="299">
        <v>255.0</v>
      </c>
      <c r="K139" s="300">
        <f t="shared" si="5"/>
        <v>0.2217391304</v>
      </c>
    </row>
    <row r="140">
      <c r="A140" s="25"/>
      <c r="B140" s="26"/>
      <c r="C140" s="26"/>
      <c r="E140" s="29"/>
      <c r="F140" s="29"/>
      <c r="G140" s="29"/>
      <c r="H140" s="259" t="s">
        <v>210</v>
      </c>
      <c r="I140" s="299">
        <v>1200.0</v>
      </c>
      <c r="J140" s="299">
        <v>280.0</v>
      </c>
      <c r="K140" s="300">
        <f t="shared" si="5"/>
        <v>0.2333333333</v>
      </c>
    </row>
    <row r="141">
      <c r="A141" s="25"/>
      <c r="B141" s="26"/>
      <c r="C141" s="26"/>
      <c r="E141" s="29"/>
      <c r="F141" s="29"/>
      <c r="G141" s="29"/>
    </row>
    <row r="142">
      <c r="A142" s="25"/>
      <c r="B142" s="26"/>
      <c r="C142" s="26"/>
      <c r="E142" s="29"/>
      <c r="F142" s="29"/>
      <c r="G142" s="29"/>
    </row>
    <row r="143">
      <c r="A143" s="25"/>
      <c r="B143" s="26"/>
      <c r="C143" s="26"/>
      <c r="E143" s="29"/>
      <c r="F143" s="29"/>
      <c r="G143" s="29"/>
    </row>
    <row r="144">
      <c r="A144" s="25"/>
      <c r="B144" s="26"/>
      <c r="C144" s="26"/>
      <c r="E144" s="29"/>
      <c r="F144" s="29"/>
      <c r="G144" s="29"/>
    </row>
    <row r="145">
      <c r="A145" s="25"/>
      <c r="B145" s="26"/>
      <c r="C145" s="26"/>
      <c r="E145" s="29"/>
      <c r="F145" s="29"/>
      <c r="G145" s="29"/>
      <c r="L145" s="269"/>
    </row>
    <row r="146">
      <c r="A146" s="25"/>
      <c r="B146" s="26"/>
      <c r="C146" s="26"/>
      <c r="E146" s="29"/>
      <c r="F146" s="29"/>
      <c r="G146" s="29"/>
      <c r="H146" s="270"/>
      <c r="I146" s="271"/>
      <c r="J146" s="33"/>
      <c r="K146" s="33"/>
      <c r="L146" s="34"/>
    </row>
    <row r="147">
      <c r="A147" s="25"/>
      <c r="B147" s="26"/>
      <c r="C147" s="26"/>
      <c r="E147" s="29"/>
      <c r="F147" s="29"/>
      <c r="G147" s="29"/>
    </row>
    <row r="148">
      <c r="A148" s="25"/>
      <c r="B148" s="26"/>
      <c r="C148" s="26"/>
      <c r="E148" s="268" t="s">
        <v>681</v>
      </c>
      <c r="F148" s="33"/>
      <c r="G148" s="33"/>
      <c r="H148" s="34"/>
    </row>
    <row r="149">
      <c r="A149" s="25"/>
      <c r="B149" s="26"/>
      <c r="C149" s="26"/>
      <c r="E149" s="29"/>
      <c r="F149" s="29"/>
      <c r="G149" s="29"/>
      <c r="H149" s="303" t="s">
        <v>743</v>
      </c>
    </row>
    <row r="150">
      <c r="A150" s="25"/>
      <c r="B150" s="26"/>
      <c r="C150" s="26"/>
      <c r="E150" s="29"/>
      <c r="F150" s="29"/>
      <c r="G150" s="29"/>
    </row>
    <row r="151">
      <c r="A151" s="25"/>
      <c r="B151" s="26"/>
      <c r="C151" s="26"/>
      <c r="E151" s="29"/>
      <c r="F151" s="29"/>
      <c r="G151" s="29"/>
      <c r="H151" s="118" t="s">
        <v>47</v>
      </c>
      <c r="I151" s="118" t="s">
        <v>69</v>
      </c>
      <c r="J151" s="118" t="s">
        <v>743</v>
      </c>
      <c r="K151" s="118" t="s">
        <v>744</v>
      </c>
      <c r="L151" s="119" t="str">
        <f t="array" ref="L151:L163">IF(H149="Sales", I151:I163, IF(H149="New Users", J151:J163, IF(H149="Conversion Rate", K151:K163, "")))</f>
        <v>New Users</v>
      </c>
      <c r="M151" s="304"/>
      <c r="N151" s="304"/>
    </row>
    <row r="152">
      <c r="A152" s="25"/>
      <c r="B152" s="26"/>
      <c r="C152" s="26"/>
      <c r="E152" s="29"/>
      <c r="F152" s="29"/>
      <c r="G152" s="29"/>
      <c r="H152" s="45" t="s">
        <v>188</v>
      </c>
      <c r="I152" s="112">
        <v>25000.0</v>
      </c>
      <c r="J152" s="305">
        <v>1200.0</v>
      </c>
      <c r="K152" s="306">
        <v>0.048</v>
      </c>
      <c r="L152" s="307">
        <v>1200.0</v>
      </c>
      <c r="M152" s="308"/>
      <c r="N152" s="308"/>
    </row>
    <row r="153">
      <c r="A153" s="25"/>
      <c r="B153" s="26"/>
      <c r="C153" s="26"/>
      <c r="E153" s="29"/>
      <c r="F153" s="29"/>
      <c r="G153" s="29"/>
      <c r="H153" s="45" t="s">
        <v>193</v>
      </c>
      <c r="I153" s="112">
        <v>30500.0</v>
      </c>
      <c r="J153" s="305">
        <v>1400.0</v>
      </c>
      <c r="K153" s="306">
        <v>0.046</v>
      </c>
      <c r="L153" s="307">
        <v>1400.0</v>
      </c>
      <c r="M153" s="308"/>
      <c r="N153" s="308"/>
    </row>
    <row r="154">
      <c r="A154" s="25"/>
      <c r="B154" s="26"/>
      <c r="C154" s="26"/>
      <c r="E154" s="29"/>
      <c r="F154" s="29"/>
      <c r="G154" s="29"/>
      <c r="H154" s="45" t="s">
        <v>195</v>
      </c>
      <c r="I154" s="112">
        <v>28700.0</v>
      </c>
      <c r="J154" s="305">
        <v>1350.0</v>
      </c>
      <c r="K154" s="306">
        <v>0.047</v>
      </c>
      <c r="L154" s="307">
        <v>1350.0</v>
      </c>
      <c r="M154" s="308"/>
      <c r="N154" s="308"/>
    </row>
    <row r="155">
      <c r="A155" s="25"/>
      <c r="B155" s="26"/>
      <c r="C155" s="26"/>
      <c r="E155" s="29"/>
      <c r="F155" s="29"/>
      <c r="G155" s="29"/>
      <c r="H155" s="45" t="s">
        <v>197</v>
      </c>
      <c r="I155" s="112">
        <v>32100.0</v>
      </c>
      <c r="J155" s="305">
        <v>1500.0</v>
      </c>
      <c r="K155" s="306">
        <v>0.047</v>
      </c>
      <c r="L155" s="307">
        <v>1500.0</v>
      </c>
      <c r="M155" s="308"/>
      <c r="N155" s="308"/>
    </row>
    <row r="156">
      <c r="A156" s="25"/>
      <c r="B156" s="26"/>
      <c r="C156" s="26"/>
      <c r="E156" s="29"/>
      <c r="F156" s="29"/>
      <c r="G156" s="29"/>
      <c r="H156" s="45" t="s">
        <v>57</v>
      </c>
      <c r="I156" s="112">
        <v>35500.0</v>
      </c>
      <c r="J156" s="305">
        <v>1550.0</v>
      </c>
      <c r="K156" s="306">
        <v>0.044</v>
      </c>
      <c r="L156" s="307">
        <v>1550.0</v>
      </c>
      <c r="M156" s="308"/>
      <c r="N156" s="308"/>
    </row>
    <row r="157">
      <c r="A157" s="25"/>
      <c r="B157" s="26"/>
      <c r="C157" s="26"/>
      <c r="E157" s="29"/>
      <c r="F157" s="29"/>
      <c r="G157" s="29"/>
      <c r="H157" s="45" t="s">
        <v>200</v>
      </c>
      <c r="I157" s="112">
        <v>38200.0</v>
      </c>
      <c r="J157" s="305">
        <v>1600.0</v>
      </c>
      <c r="K157" s="306">
        <v>0.042</v>
      </c>
      <c r="L157" s="307">
        <v>1600.0</v>
      </c>
      <c r="M157" s="308"/>
      <c r="N157" s="308"/>
    </row>
    <row r="158">
      <c r="A158" s="25"/>
      <c r="B158" s="26"/>
      <c r="C158" s="26"/>
      <c r="E158" s="29"/>
      <c r="F158" s="29"/>
      <c r="G158" s="29"/>
      <c r="H158" s="45" t="s">
        <v>202</v>
      </c>
      <c r="I158" s="112">
        <v>40300.0</v>
      </c>
      <c r="J158" s="305">
        <v>1700.0</v>
      </c>
      <c r="K158" s="306">
        <v>0.042</v>
      </c>
      <c r="L158" s="307">
        <v>1700.0</v>
      </c>
      <c r="M158" s="308"/>
      <c r="N158" s="308"/>
    </row>
    <row r="159">
      <c r="A159" s="25"/>
      <c r="B159" s="26"/>
      <c r="C159" s="26"/>
      <c r="E159" s="29"/>
      <c r="F159" s="29"/>
      <c r="G159" s="29"/>
      <c r="H159" s="45" t="s">
        <v>204</v>
      </c>
      <c r="I159" s="112">
        <v>45100.0</v>
      </c>
      <c r="J159" s="305">
        <v>1800.0</v>
      </c>
      <c r="K159" s="306">
        <v>0.04</v>
      </c>
      <c r="L159" s="307">
        <v>1800.0</v>
      </c>
      <c r="M159" s="308"/>
      <c r="N159" s="308"/>
    </row>
    <row r="160">
      <c r="A160" s="25"/>
      <c r="B160" s="26"/>
      <c r="C160" s="26"/>
      <c r="E160" s="29"/>
      <c r="F160" s="29"/>
      <c r="G160" s="29"/>
      <c r="H160" s="45" t="s">
        <v>205</v>
      </c>
      <c r="I160" s="112">
        <v>47600.0</v>
      </c>
      <c r="J160" s="305">
        <v>1850.0</v>
      </c>
      <c r="K160" s="306">
        <v>0.039</v>
      </c>
      <c r="L160" s="307">
        <v>1850.0</v>
      </c>
      <c r="M160" s="308"/>
      <c r="N160" s="308"/>
    </row>
    <row r="161">
      <c r="A161" s="25"/>
      <c r="B161" s="26"/>
      <c r="C161" s="26"/>
      <c r="E161" s="29"/>
      <c r="F161" s="29"/>
      <c r="G161" s="29"/>
      <c r="H161" s="45" t="s">
        <v>207</v>
      </c>
      <c r="I161" s="112">
        <v>50700.0</v>
      </c>
      <c r="J161" s="305">
        <v>1900.0</v>
      </c>
      <c r="K161" s="306">
        <v>0.037</v>
      </c>
      <c r="L161" s="307">
        <v>1900.0</v>
      </c>
      <c r="M161" s="308"/>
      <c r="N161" s="308"/>
    </row>
    <row r="162">
      <c r="A162" s="25"/>
      <c r="B162" s="26"/>
      <c r="C162" s="26"/>
      <c r="E162" s="29"/>
      <c r="F162" s="29"/>
      <c r="G162" s="29"/>
      <c r="H162" s="45" t="s">
        <v>209</v>
      </c>
      <c r="I162" s="112">
        <v>53200.0</v>
      </c>
      <c r="J162" s="305">
        <v>2000.0</v>
      </c>
      <c r="K162" s="306">
        <v>0.038</v>
      </c>
      <c r="L162" s="307">
        <v>2000.0</v>
      </c>
      <c r="M162" s="308"/>
      <c r="N162" s="308"/>
    </row>
    <row r="163">
      <c r="A163" s="25"/>
      <c r="B163" s="26"/>
      <c r="C163" s="26"/>
      <c r="E163" s="29"/>
      <c r="F163" s="29"/>
      <c r="G163" s="29"/>
      <c r="H163" s="45" t="s">
        <v>210</v>
      </c>
      <c r="I163" s="112">
        <v>60000.0</v>
      </c>
      <c r="J163" s="305">
        <v>2300.0</v>
      </c>
      <c r="K163" s="306">
        <v>0.038</v>
      </c>
      <c r="L163" s="307">
        <v>2300.0</v>
      </c>
      <c r="M163" s="308"/>
      <c r="N163" s="308"/>
    </row>
    <row r="164">
      <c r="A164" s="25"/>
      <c r="B164" s="26"/>
      <c r="C164" s="26"/>
      <c r="E164" s="29"/>
      <c r="F164" s="29"/>
      <c r="G164" s="29"/>
    </row>
    <row r="165">
      <c r="A165" s="25"/>
      <c r="B165" s="26"/>
      <c r="C165" s="26"/>
      <c r="E165" s="29"/>
      <c r="F165" s="29"/>
      <c r="G165" s="29"/>
    </row>
    <row r="166">
      <c r="A166" s="25"/>
      <c r="B166" s="26"/>
      <c r="C166" s="26"/>
      <c r="E166" s="29"/>
      <c r="F166" s="29"/>
      <c r="G166" s="29"/>
    </row>
    <row r="167">
      <c r="A167" s="25"/>
      <c r="B167" s="26"/>
      <c r="C167" s="26"/>
    </row>
    <row r="168">
      <c r="A168" s="25"/>
      <c r="B168" s="26"/>
      <c r="C168" s="26"/>
      <c r="E168" s="268" t="s">
        <v>683</v>
      </c>
      <c r="F168" s="33"/>
      <c r="G168" s="33"/>
      <c r="H168" s="34"/>
      <c r="L168" s="269"/>
    </row>
    <row r="169">
      <c r="A169" s="25"/>
      <c r="B169" s="26"/>
      <c r="C169" s="26"/>
      <c r="E169" s="29"/>
      <c r="G169" s="29"/>
      <c r="H169" s="270"/>
      <c r="I169" s="271"/>
      <c r="J169" s="33"/>
      <c r="K169" s="33"/>
      <c r="L169" s="34"/>
    </row>
    <row r="170">
      <c r="A170" s="25"/>
      <c r="B170" s="26"/>
      <c r="C170" s="26"/>
      <c r="E170" s="29"/>
      <c r="F170" s="29"/>
      <c r="G170" s="29"/>
      <c r="H170" s="272" t="s">
        <v>749</v>
      </c>
      <c r="I170" s="33"/>
      <c r="J170" s="33"/>
      <c r="K170" s="34"/>
    </row>
    <row r="171">
      <c r="A171" s="25"/>
      <c r="B171" s="26"/>
      <c r="C171" s="26"/>
      <c r="E171" s="29"/>
      <c r="F171" s="29"/>
      <c r="G171" s="29"/>
      <c r="H171" s="310" t="s">
        <v>750</v>
      </c>
      <c r="N171" s="310"/>
    </row>
    <row r="172">
      <c r="A172" s="25"/>
      <c r="B172" s="26"/>
      <c r="C172" s="26"/>
      <c r="E172" s="29"/>
      <c r="F172" s="29"/>
      <c r="G172" s="29"/>
      <c r="H172" s="303" t="s">
        <v>751</v>
      </c>
    </row>
    <row r="173">
      <c r="A173" s="25"/>
      <c r="B173" s="26"/>
      <c r="C173" s="26"/>
      <c r="E173" s="29"/>
      <c r="F173" s="29"/>
      <c r="G173" s="29"/>
    </row>
    <row r="174">
      <c r="A174" s="25"/>
      <c r="B174" s="26"/>
      <c r="C174" s="26"/>
      <c r="E174" s="29"/>
      <c r="F174" s="29"/>
      <c r="G174" s="29"/>
      <c r="H174" s="118" t="s">
        <v>47</v>
      </c>
      <c r="I174" s="118" t="s">
        <v>752</v>
      </c>
      <c r="J174" s="118" t="s">
        <v>753</v>
      </c>
      <c r="K174" s="118" t="s">
        <v>754</v>
      </c>
      <c r="L174" s="118" t="s">
        <v>751</v>
      </c>
      <c r="M174" s="118" t="s">
        <v>755</v>
      </c>
      <c r="N174" s="311" t="str">
        <f t="array" ref="N174:N186">IFERROR({H172; INDEX(I175:M186,,MATCH(H172,I174:M174,0))},"")
</f>
        <v>Emily</v>
      </c>
    </row>
    <row r="175">
      <c r="A175" s="25"/>
      <c r="B175" s="26"/>
      <c r="C175" s="26"/>
      <c r="E175" s="29"/>
      <c r="F175" s="29"/>
      <c r="G175" s="29"/>
      <c r="H175" s="45" t="s">
        <v>188</v>
      </c>
      <c r="I175" s="112">
        <v>8000.0</v>
      </c>
      <c r="J175" s="112">
        <v>15500.0</v>
      </c>
      <c r="K175" s="112">
        <v>5200.0</v>
      </c>
      <c r="L175" s="112">
        <v>12300.0</v>
      </c>
      <c r="M175" s="112">
        <v>20000.0</v>
      </c>
      <c r="N175" s="121">
        <v>12300.0</v>
      </c>
    </row>
    <row r="176">
      <c r="A176" s="25"/>
      <c r="B176" s="26"/>
      <c r="C176" s="26"/>
      <c r="E176" s="29"/>
      <c r="F176" s="29"/>
      <c r="G176" s="29"/>
      <c r="H176" s="45" t="s">
        <v>193</v>
      </c>
      <c r="I176" s="112">
        <v>8500.0</v>
      </c>
      <c r="J176" s="112">
        <v>16200.0</v>
      </c>
      <c r="K176" s="112">
        <v>5500.0</v>
      </c>
      <c r="L176" s="112">
        <v>12800.0</v>
      </c>
      <c r="M176" s="112">
        <v>22000.0</v>
      </c>
      <c r="N176" s="312">
        <v>12800.0</v>
      </c>
    </row>
    <row r="177">
      <c r="A177" s="25"/>
      <c r="B177" s="26"/>
      <c r="C177" s="26"/>
      <c r="E177" s="29"/>
      <c r="F177" s="29"/>
      <c r="G177" s="29"/>
      <c r="H177" s="45" t="s">
        <v>195</v>
      </c>
      <c r="I177" s="112">
        <v>9000.0</v>
      </c>
      <c r="J177" s="112">
        <v>17000.0</v>
      </c>
      <c r="K177" s="112">
        <v>5300.0</v>
      </c>
      <c r="L177" s="112">
        <v>13400.0</v>
      </c>
      <c r="M177" s="112">
        <v>23500.0</v>
      </c>
      <c r="N177" s="312">
        <v>13400.0</v>
      </c>
    </row>
    <row r="178">
      <c r="A178" s="25"/>
      <c r="B178" s="26"/>
      <c r="C178" s="26"/>
      <c r="E178" s="29"/>
      <c r="F178" s="29"/>
      <c r="G178" s="29"/>
      <c r="H178" s="45" t="s">
        <v>197</v>
      </c>
      <c r="I178" s="112">
        <v>10200.0</v>
      </c>
      <c r="J178" s="112">
        <v>18200.0</v>
      </c>
      <c r="K178" s="112">
        <v>6100.0</v>
      </c>
      <c r="L178" s="112">
        <v>13900.0</v>
      </c>
      <c r="M178" s="112">
        <v>24800.0</v>
      </c>
      <c r="N178" s="312">
        <v>13900.0</v>
      </c>
    </row>
    <row r="179">
      <c r="A179" s="25"/>
      <c r="B179" s="26"/>
      <c r="C179" s="26"/>
      <c r="E179" s="29"/>
      <c r="F179" s="29"/>
      <c r="G179" s="29"/>
      <c r="H179" s="45" t="s">
        <v>57</v>
      </c>
      <c r="I179" s="112">
        <v>10500.0</v>
      </c>
      <c r="J179" s="112">
        <v>19000.0</v>
      </c>
      <c r="K179" s="112">
        <v>6300.0</v>
      </c>
      <c r="L179" s="112">
        <v>14500.0</v>
      </c>
      <c r="M179" s="112">
        <v>25500.0</v>
      </c>
      <c r="N179" s="312">
        <v>14500.0</v>
      </c>
    </row>
    <row r="180">
      <c r="A180" s="25"/>
      <c r="B180" s="26"/>
      <c r="C180" s="26"/>
      <c r="E180" s="29"/>
      <c r="F180" s="29"/>
      <c r="G180" s="29"/>
      <c r="H180" s="45" t="s">
        <v>200</v>
      </c>
      <c r="I180" s="112">
        <v>11000.0</v>
      </c>
      <c r="J180" s="112">
        <v>20000.0</v>
      </c>
      <c r="K180" s="112">
        <v>6000.0</v>
      </c>
      <c r="L180" s="112">
        <v>15000.0</v>
      </c>
      <c r="M180" s="112">
        <v>26200.0</v>
      </c>
      <c r="N180" s="312">
        <v>15000.0</v>
      </c>
    </row>
    <row r="181">
      <c r="A181" s="25"/>
      <c r="B181" s="26"/>
      <c r="C181" s="26"/>
      <c r="E181" s="29"/>
      <c r="F181" s="29"/>
      <c r="G181" s="29"/>
      <c r="H181" s="45" t="s">
        <v>202</v>
      </c>
      <c r="I181" s="112">
        <v>11500.0</v>
      </c>
      <c r="J181" s="112">
        <v>21200.0</v>
      </c>
      <c r="K181" s="112">
        <v>6500.0</v>
      </c>
      <c r="L181" s="112">
        <v>15600.0</v>
      </c>
      <c r="M181" s="112">
        <v>27000.0</v>
      </c>
      <c r="N181" s="312">
        <v>15600.0</v>
      </c>
    </row>
    <row r="182">
      <c r="A182" s="25"/>
      <c r="B182" s="26"/>
      <c r="C182" s="26"/>
      <c r="E182" s="29"/>
      <c r="F182" s="29"/>
      <c r="G182" s="29"/>
      <c r="H182" s="45" t="s">
        <v>204</v>
      </c>
      <c r="I182" s="112">
        <v>12000.0</v>
      </c>
      <c r="J182" s="112">
        <v>22000.0</v>
      </c>
      <c r="K182" s="112">
        <v>6700.0</v>
      </c>
      <c r="L182" s="112">
        <v>16200.0</v>
      </c>
      <c r="M182" s="112">
        <v>28500.0</v>
      </c>
      <c r="N182" s="312">
        <v>16200.0</v>
      </c>
    </row>
    <row r="183">
      <c r="A183" s="25"/>
      <c r="B183" s="26"/>
      <c r="C183" s="26"/>
      <c r="E183" s="29"/>
      <c r="F183" s="29"/>
      <c r="G183" s="29"/>
      <c r="H183" s="45" t="s">
        <v>205</v>
      </c>
      <c r="I183" s="112">
        <v>12500.0</v>
      </c>
      <c r="J183" s="112">
        <v>22500.0</v>
      </c>
      <c r="K183" s="112">
        <v>6400.0</v>
      </c>
      <c r="L183" s="112">
        <v>16800.0</v>
      </c>
      <c r="M183" s="112">
        <v>29000.0</v>
      </c>
      <c r="N183" s="312">
        <v>16800.0</v>
      </c>
    </row>
    <row r="184">
      <c r="A184" s="25"/>
      <c r="B184" s="26"/>
      <c r="C184" s="26"/>
      <c r="E184" s="29"/>
      <c r="F184" s="29"/>
      <c r="G184" s="29"/>
      <c r="H184" s="45" t="s">
        <v>207</v>
      </c>
      <c r="I184" s="112">
        <v>13200.0</v>
      </c>
      <c r="J184" s="112">
        <v>23500.0</v>
      </c>
      <c r="K184" s="112">
        <v>6900.0</v>
      </c>
      <c r="L184" s="112">
        <v>17500.0</v>
      </c>
      <c r="M184" s="112">
        <v>30500.0</v>
      </c>
      <c r="N184" s="312">
        <v>17500.0</v>
      </c>
    </row>
    <row r="185">
      <c r="A185" s="25"/>
      <c r="B185" s="26"/>
      <c r="C185" s="26"/>
      <c r="E185" s="29"/>
      <c r="F185" s="29"/>
      <c r="G185" s="29"/>
      <c r="H185" s="45" t="s">
        <v>209</v>
      </c>
      <c r="I185" s="112">
        <v>14000.0</v>
      </c>
      <c r="J185" s="112">
        <v>24000.0</v>
      </c>
      <c r="K185" s="112">
        <v>7000.0</v>
      </c>
      <c r="L185" s="112">
        <v>18000.0</v>
      </c>
      <c r="M185" s="112">
        <v>31000.0</v>
      </c>
      <c r="N185" s="312">
        <v>18000.0</v>
      </c>
    </row>
    <row r="186">
      <c r="A186" s="25"/>
      <c r="B186" s="26"/>
      <c r="C186" s="26"/>
      <c r="E186" s="29"/>
      <c r="F186" s="29"/>
      <c r="G186" s="29"/>
      <c r="H186" s="45" t="s">
        <v>210</v>
      </c>
      <c r="I186" s="112">
        <v>14500.0</v>
      </c>
      <c r="J186" s="112">
        <v>25000.0</v>
      </c>
      <c r="K186" s="112">
        <v>7200.0</v>
      </c>
      <c r="L186" s="112">
        <v>18500.0</v>
      </c>
      <c r="M186" s="112">
        <v>32000.0</v>
      </c>
      <c r="N186" s="312">
        <v>18500.0</v>
      </c>
    </row>
    <row r="187">
      <c r="A187" s="25"/>
      <c r="B187" s="26"/>
      <c r="C187" s="26"/>
      <c r="E187" s="29"/>
      <c r="F187" s="29"/>
      <c r="G187" s="29"/>
    </row>
    <row r="188">
      <c r="A188" s="25"/>
      <c r="B188" s="26"/>
      <c r="C188" s="26"/>
      <c r="E188" s="268" t="s">
        <v>756</v>
      </c>
      <c r="F188" s="33"/>
      <c r="G188" s="33"/>
      <c r="H188" s="34"/>
    </row>
    <row r="189">
      <c r="A189" s="25"/>
      <c r="B189" s="26"/>
      <c r="C189" s="26"/>
      <c r="E189" s="29"/>
      <c r="F189" s="29"/>
      <c r="G189" s="29"/>
    </row>
    <row r="190">
      <c r="A190" s="25"/>
      <c r="B190" s="26"/>
      <c r="C190" s="26"/>
      <c r="E190" s="29"/>
      <c r="F190" s="29"/>
      <c r="G190" s="29"/>
    </row>
    <row r="191">
      <c r="A191" s="25"/>
      <c r="B191" s="26"/>
      <c r="C191" s="26"/>
      <c r="E191" s="29"/>
      <c r="F191" s="29"/>
      <c r="G191" s="29"/>
      <c r="L191" s="269"/>
    </row>
    <row r="192">
      <c r="A192" s="25"/>
      <c r="B192" s="26"/>
      <c r="C192" s="26"/>
      <c r="E192" s="29"/>
      <c r="F192" s="29"/>
      <c r="G192" s="29"/>
      <c r="H192" s="270"/>
      <c r="I192" s="271"/>
      <c r="J192" s="33"/>
      <c r="K192" s="33"/>
      <c r="L192" s="34"/>
    </row>
    <row r="193">
      <c r="A193" s="25"/>
      <c r="B193" s="26"/>
      <c r="C193" s="26"/>
      <c r="E193" s="29"/>
      <c r="F193" s="29"/>
      <c r="G193" s="29"/>
      <c r="H193" s="272" t="s">
        <v>757</v>
      </c>
      <c r="I193" s="33"/>
      <c r="J193" s="33"/>
      <c r="K193" s="34"/>
    </row>
    <row r="194">
      <c r="A194" s="25"/>
      <c r="B194" s="26"/>
      <c r="C194" s="26"/>
      <c r="E194" s="29"/>
      <c r="F194" s="29"/>
      <c r="G194" s="29"/>
      <c r="H194" s="118" t="s">
        <v>47</v>
      </c>
      <c r="I194" s="118" t="s">
        <v>758</v>
      </c>
      <c r="J194" s="118" t="s">
        <v>759</v>
      </c>
    </row>
    <row r="195">
      <c r="A195" s="25"/>
      <c r="B195" s="26"/>
      <c r="C195" s="26"/>
      <c r="E195" s="29"/>
      <c r="F195" s="29"/>
      <c r="G195" s="29"/>
      <c r="H195" s="267">
        <v>44927.0</v>
      </c>
      <c r="I195" s="112">
        <v>50000.0</v>
      </c>
      <c r="J195" s="112"/>
    </row>
    <row r="196">
      <c r="A196" s="25"/>
      <c r="B196" s="26"/>
      <c r="C196" s="26"/>
      <c r="E196" s="29"/>
      <c r="F196" s="29"/>
      <c r="G196" s="29"/>
      <c r="H196" s="267">
        <v>44958.0</v>
      </c>
      <c r="I196" s="112">
        <v>52000.0</v>
      </c>
      <c r="J196" s="112"/>
    </row>
    <row r="197">
      <c r="A197" s="25"/>
      <c r="B197" s="26"/>
      <c r="C197" s="26"/>
      <c r="E197" s="29"/>
      <c r="F197" s="29"/>
      <c r="G197" s="29"/>
      <c r="H197" s="267">
        <v>44986.0</v>
      </c>
      <c r="I197" s="112">
        <v>51000.0</v>
      </c>
      <c r="J197" s="112" t="str">
        <f>iferror(IFS(I197="",IFERROR(FORECAST(DATE(YEAR(H197), 3, 1), $I$194:$I$206, $H$194:$H$206), ""), I198="", I197),"")
</f>
        <v/>
      </c>
    </row>
    <row r="198">
      <c r="A198" s="25"/>
      <c r="B198" s="26"/>
      <c r="C198" s="26"/>
      <c r="E198" s="29"/>
      <c r="F198" s="29"/>
      <c r="G198" s="29"/>
      <c r="H198" s="267">
        <v>45017.0</v>
      </c>
      <c r="I198" s="112">
        <v>55000.0</v>
      </c>
      <c r="J198" s="112" t="str">
        <f>iferror(IFS(I198="", IFERROR(FORECAST(DATE(YEAR(H198), 4, 1), $I$194:$I$206, $H$194:$H$206), ""), I199="", I198),"")
</f>
        <v/>
      </c>
    </row>
    <row r="199">
      <c r="A199" s="25"/>
      <c r="B199" s="26"/>
      <c r="C199" s="26"/>
      <c r="E199" s="29"/>
      <c r="F199" s="29"/>
      <c r="G199" s="29"/>
      <c r="H199" s="267">
        <v>45047.0</v>
      </c>
      <c r="I199" s="112">
        <v>57000.0</v>
      </c>
      <c r="J199" s="112" t="str">
        <f>iferror(IFS(I199="", IFERROR(FORECAST(DATE(YEAR(H199), 5, 1), $I$194:$I$206, $H$194:$H$206), ""), I200="", I199),"")
</f>
        <v/>
      </c>
    </row>
    <row r="200">
      <c r="A200" s="25"/>
      <c r="B200" s="26"/>
      <c r="C200" s="26"/>
      <c r="E200" s="29"/>
      <c r="F200" s="29"/>
      <c r="G200" s="29"/>
      <c r="H200" s="267">
        <v>45078.0</v>
      </c>
      <c r="I200" s="112">
        <v>40000.0</v>
      </c>
      <c r="J200" s="112" t="str">
        <f>iferror(IFS(I200="", IFERROR(FORECAST(DATE(YEAR(H200), 6, 1), $I$194:$I$206, $H$194:$H$206), ""), I201="", I200),"")
</f>
        <v/>
      </c>
    </row>
    <row r="201">
      <c r="A201" s="25"/>
      <c r="B201" s="26"/>
      <c r="C201" s="26"/>
      <c r="E201" s="29"/>
      <c r="F201" s="29"/>
      <c r="G201" s="29"/>
      <c r="H201" s="267">
        <v>45108.0</v>
      </c>
      <c r="I201" s="112">
        <v>51000.0</v>
      </c>
      <c r="J201" s="112" t="str">
        <f>iferror(IFS(I201="", IFERROR(FORECAST(DATE(YEAR(H201), 7, 1), $I$194:$I$206, $H$194:$H$206), ""), I202="", I201),"")</f>
        <v/>
      </c>
    </row>
    <row r="202">
      <c r="A202" s="25"/>
      <c r="B202" s="26"/>
      <c r="C202" s="26"/>
      <c r="E202" s="29"/>
      <c r="F202" s="29"/>
      <c r="G202" s="29"/>
      <c r="H202" s="267">
        <v>45139.0</v>
      </c>
      <c r="I202" s="112">
        <v>53000.0</v>
      </c>
      <c r="J202" s="112" t="str">
        <f>iferror(IFS(I202="", IFERROR(FORECAST(DATE(YEAR(H202), 8, 1), $I$194:$I$206, $H$194:$H$206), ""), I203="", I202),"")
</f>
        <v/>
      </c>
    </row>
    <row r="203">
      <c r="A203" s="25"/>
      <c r="B203" s="26"/>
      <c r="C203" s="26"/>
      <c r="E203" s="29"/>
      <c r="F203" s="29"/>
      <c r="G203" s="29"/>
      <c r="H203" s="267">
        <v>45170.0</v>
      </c>
      <c r="I203" s="112">
        <v>55000.0</v>
      </c>
      <c r="J203" s="112">
        <f>IFS(I203="", IFERROR(FORECAST(DATE(YEAR(H203), 9, 1), $I$194:$I$206, $H$194:$H$206), ""), I204="", I203)</f>
        <v>55000</v>
      </c>
    </row>
    <row r="204">
      <c r="A204" s="25"/>
      <c r="B204" s="26"/>
      <c r="C204" s="26"/>
      <c r="E204" s="29"/>
      <c r="F204" s="29"/>
      <c r="G204" s="29"/>
      <c r="H204" s="267">
        <v>45200.0</v>
      </c>
      <c r="I204" s="112"/>
      <c r="J204" s="112">
        <f>IFS(I204="", IFERROR(FORECAST(DATE(YEAR(H204), 10, 1), $I$194:$I$206, $H$194:$H$206), ""), I205="", I204)
</f>
        <v>52223.07327</v>
      </c>
    </row>
    <row r="205">
      <c r="A205" s="25"/>
      <c r="B205" s="26"/>
      <c r="C205" s="26"/>
      <c r="E205" s="29"/>
      <c r="F205" s="29"/>
      <c r="G205" s="29"/>
      <c r="H205" s="267">
        <v>45231.0</v>
      </c>
      <c r="I205" s="112"/>
      <c r="J205" s="112">
        <f>IFS(I205="", IFERROR(FORECAST(DATE(YEAR(H205), 11, 1), $I$194:$I$206, $H$194:$H$206), ""), I206="", I205)
</f>
        <v>52359.01301</v>
      </c>
    </row>
    <row r="206">
      <c r="A206" s="25"/>
      <c r="B206" s="26"/>
      <c r="C206" s="26"/>
      <c r="E206" s="29"/>
      <c r="F206" s="29"/>
      <c r="G206" s="29"/>
      <c r="H206" s="267">
        <v>45261.0</v>
      </c>
      <c r="I206" s="112"/>
      <c r="J206" s="112">
        <f>iferror(IF(I206="",FORECAST(DATE(YEAR(H206),12,1), $I$194:$I$206, $H$194:$H$206),""),"")</f>
        <v>52490.56759</v>
      </c>
    </row>
    <row r="207">
      <c r="A207" s="25"/>
      <c r="B207" s="26"/>
      <c r="C207" s="26"/>
      <c r="E207" s="29"/>
      <c r="F207" s="29"/>
      <c r="G207" s="29"/>
    </row>
    <row r="208">
      <c r="A208" s="25"/>
      <c r="B208" s="26"/>
      <c r="C208" s="26"/>
      <c r="E208" s="268" t="s">
        <v>672</v>
      </c>
      <c r="F208" s="33"/>
      <c r="G208" s="33"/>
      <c r="H208" s="34"/>
    </row>
    <row r="209">
      <c r="A209" s="25"/>
      <c r="B209" s="26"/>
      <c r="C209" s="26"/>
      <c r="E209" s="29"/>
      <c r="F209" s="29"/>
      <c r="G209" s="29"/>
    </row>
    <row r="210">
      <c r="A210" s="25"/>
      <c r="B210" s="26"/>
      <c r="C210" s="26"/>
      <c r="E210" s="29"/>
      <c r="F210" s="29"/>
      <c r="G210" s="29"/>
    </row>
    <row r="211">
      <c r="A211" s="25"/>
      <c r="B211" s="26"/>
      <c r="C211" s="26"/>
      <c r="E211" s="29"/>
      <c r="F211" s="29"/>
      <c r="G211" s="29"/>
      <c r="L211" s="269"/>
    </row>
    <row r="212">
      <c r="A212" s="25"/>
      <c r="B212" s="26"/>
      <c r="C212" s="26"/>
      <c r="E212" s="29"/>
      <c r="F212" s="29"/>
      <c r="G212" s="29"/>
      <c r="H212" s="270"/>
      <c r="I212" s="271"/>
      <c r="J212" s="33"/>
      <c r="K212" s="33"/>
      <c r="L212" s="34"/>
    </row>
    <row r="213">
      <c r="A213" s="25"/>
      <c r="B213" s="26"/>
      <c r="C213" s="26"/>
      <c r="E213" s="29"/>
      <c r="F213" s="29"/>
      <c r="G213" s="29"/>
      <c r="H213" s="272" t="s">
        <v>760</v>
      </c>
      <c r="I213" s="33"/>
      <c r="J213" s="33"/>
      <c r="K213" s="34"/>
    </row>
    <row r="214">
      <c r="A214" s="25"/>
      <c r="B214" s="26"/>
      <c r="C214" s="26"/>
      <c r="E214" s="29"/>
      <c r="F214" s="29"/>
      <c r="G214" s="29"/>
      <c r="H214" s="110" t="s">
        <v>761</v>
      </c>
      <c r="I214" s="314" t="s">
        <v>762</v>
      </c>
      <c r="J214" s="315" t="s">
        <v>763</v>
      </c>
      <c r="K214" s="315" t="s">
        <v>764</v>
      </c>
      <c r="L214" s="315" t="s">
        <v>765</v>
      </c>
      <c r="M214" s="315" t="s">
        <v>766</v>
      </c>
    </row>
    <row r="215">
      <c r="A215" s="25"/>
      <c r="B215" s="26"/>
      <c r="C215" s="26"/>
      <c r="E215" s="29"/>
      <c r="F215" s="29"/>
      <c r="G215" s="29"/>
      <c r="H215" s="267" t="s">
        <v>767</v>
      </c>
      <c r="I215" s="45">
        <v>12.0</v>
      </c>
      <c r="J215" s="316">
        <f t="shared" ref="J215:J228" si="6">iferror(AVERAGE($I$215:$I$228) + 3*STDEV($I$215:$I$228),"")</f>
        <v>16.96143221</v>
      </c>
      <c r="K215" s="316">
        <f t="shared" ref="K215:K228" si="7">iferror(AVERAGE($I$215:$I$228) + 2*STDEV($I$215:$I$228),"")</f>
        <v>14.64095481</v>
      </c>
      <c r="L215" s="316">
        <f t="shared" ref="L215:L228" si="8">iferror(AVERAGE($I$215:$I$228) - 2*STDEV($I$215:$I$228),"")</f>
        <v>5.359045191</v>
      </c>
      <c r="M215" s="316">
        <f t="shared" ref="M215:M228" si="9">iferror(AVERAGE($I$215:$I$228) - 3*STDEV($I$215:$I$228),"")</f>
        <v>3.038567787</v>
      </c>
    </row>
    <row r="216">
      <c r="A216" s="25"/>
      <c r="B216" s="26"/>
      <c r="C216" s="26"/>
      <c r="E216" s="29"/>
      <c r="F216" s="29"/>
      <c r="G216" s="29"/>
      <c r="H216" s="267" t="s">
        <v>768</v>
      </c>
      <c r="I216" s="45">
        <v>9.0</v>
      </c>
      <c r="J216" s="316">
        <f t="shared" si="6"/>
        <v>16.96143221</v>
      </c>
      <c r="K216" s="316">
        <f t="shared" si="7"/>
        <v>14.64095481</v>
      </c>
      <c r="L216" s="316">
        <f t="shared" si="8"/>
        <v>5.359045191</v>
      </c>
      <c r="M216" s="316">
        <f t="shared" si="9"/>
        <v>3.038567787</v>
      </c>
    </row>
    <row r="217">
      <c r="A217" s="25"/>
      <c r="B217" s="26"/>
      <c r="C217" s="26"/>
      <c r="E217" s="29"/>
      <c r="F217" s="29"/>
      <c r="G217" s="29"/>
      <c r="H217" s="267" t="s">
        <v>769</v>
      </c>
      <c r="I217" s="45">
        <v>11.0</v>
      </c>
      <c r="J217" s="316">
        <f t="shared" si="6"/>
        <v>16.96143221</v>
      </c>
      <c r="K217" s="316">
        <f t="shared" si="7"/>
        <v>14.64095481</v>
      </c>
      <c r="L217" s="316">
        <f t="shared" si="8"/>
        <v>5.359045191</v>
      </c>
      <c r="M217" s="316">
        <f t="shared" si="9"/>
        <v>3.038567787</v>
      </c>
    </row>
    <row r="218">
      <c r="A218" s="25"/>
      <c r="B218" s="26"/>
      <c r="C218" s="26"/>
      <c r="E218" s="29"/>
      <c r="F218" s="29"/>
      <c r="G218" s="29"/>
      <c r="H218" s="267" t="s">
        <v>770</v>
      </c>
      <c r="I218" s="45">
        <v>10.0</v>
      </c>
      <c r="J218" s="316">
        <f t="shared" si="6"/>
        <v>16.96143221</v>
      </c>
      <c r="K218" s="316">
        <f t="shared" si="7"/>
        <v>14.64095481</v>
      </c>
      <c r="L218" s="316">
        <f t="shared" si="8"/>
        <v>5.359045191</v>
      </c>
      <c r="M218" s="316">
        <f t="shared" si="9"/>
        <v>3.038567787</v>
      </c>
    </row>
    <row r="219">
      <c r="A219" s="25"/>
      <c r="B219" s="26"/>
      <c r="C219" s="26"/>
      <c r="E219" s="29"/>
      <c r="F219" s="29"/>
      <c r="G219" s="29"/>
      <c r="H219" s="267" t="s">
        <v>771</v>
      </c>
      <c r="I219" s="45">
        <v>8.0</v>
      </c>
      <c r="J219" s="316">
        <f t="shared" si="6"/>
        <v>16.96143221</v>
      </c>
      <c r="K219" s="316">
        <f t="shared" si="7"/>
        <v>14.64095481</v>
      </c>
      <c r="L219" s="316">
        <f t="shared" si="8"/>
        <v>5.359045191</v>
      </c>
      <c r="M219" s="316">
        <f t="shared" si="9"/>
        <v>3.038567787</v>
      </c>
    </row>
    <row r="220">
      <c r="A220" s="25"/>
      <c r="B220" s="26"/>
      <c r="C220" s="26"/>
      <c r="E220" s="29"/>
      <c r="F220" s="29"/>
      <c r="G220" s="29"/>
      <c r="H220" s="267" t="s">
        <v>772</v>
      </c>
      <c r="I220" s="45">
        <v>13.0</v>
      </c>
      <c r="J220" s="316">
        <f t="shared" si="6"/>
        <v>16.96143221</v>
      </c>
      <c r="K220" s="316">
        <f t="shared" si="7"/>
        <v>14.64095481</v>
      </c>
      <c r="L220" s="316">
        <f t="shared" si="8"/>
        <v>5.359045191</v>
      </c>
      <c r="M220" s="316">
        <f t="shared" si="9"/>
        <v>3.038567787</v>
      </c>
    </row>
    <row r="221">
      <c r="A221" s="25"/>
      <c r="B221" s="26"/>
      <c r="C221" s="26"/>
      <c r="E221" s="29"/>
      <c r="F221" s="29"/>
      <c r="G221" s="29"/>
      <c r="H221" s="267" t="s">
        <v>773</v>
      </c>
      <c r="I221" s="45">
        <v>14.0</v>
      </c>
      <c r="J221" s="316">
        <f t="shared" si="6"/>
        <v>16.96143221</v>
      </c>
      <c r="K221" s="316">
        <f t="shared" si="7"/>
        <v>14.64095481</v>
      </c>
      <c r="L221" s="316">
        <f t="shared" si="8"/>
        <v>5.359045191</v>
      </c>
      <c r="M221" s="316">
        <f t="shared" si="9"/>
        <v>3.038567787</v>
      </c>
    </row>
    <row r="222">
      <c r="A222" s="25"/>
      <c r="B222" s="26"/>
      <c r="C222" s="26"/>
      <c r="E222" s="29"/>
      <c r="F222" s="29"/>
      <c r="G222" s="29"/>
      <c r="H222" s="267" t="s">
        <v>774</v>
      </c>
      <c r="I222" s="45">
        <v>10.0</v>
      </c>
      <c r="J222" s="316">
        <f t="shared" si="6"/>
        <v>16.96143221</v>
      </c>
      <c r="K222" s="316">
        <f t="shared" si="7"/>
        <v>14.64095481</v>
      </c>
      <c r="L222" s="316">
        <f t="shared" si="8"/>
        <v>5.359045191</v>
      </c>
      <c r="M222" s="316">
        <f t="shared" si="9"/>
        <v>3.038567787</v>
      </c>
    </row>
    <row r="223">
      <c r="A223" s="25"/>
      <c r="B223" s="26"/>
      <c r="C223" s="26"/>
      <c r="E223" s="29"/>
      <c r="F223" s="29"/>
      <c r="G223" s="29"/>
      <c r="H223" s="267" t="s">
        <v>775</v>
      </c>
      <c r="I223" s="45">
        <v>9.0</v>
      </c>
      <c r="J223" s="316">
        <f t="shared" si="6"/>
        <v>16.96143221</v>
      </c>
      <c r="K223" s="316">
        <f t="shared" si="7"/>
        <v>14.64095481</v>
      </c>
      <c r="L223" s="316">
        <f t="shared" si="8"/>
        <v>5.359045191</v>
      </c>
      <c r="M223" s="316">
        <f t="shared" si="9"/>
        <v>3.038567787</v>
      </c>
    </row>
    <row r="224">
      <c r="A224" s="25"/>
      <c r="B224" s="26"/>
      <c r="C224" s="26"/>
      <c r="E224" s="29"/>
      <c r="F224" s="29"/>
      <c r="G224" s="29"/>
      <c r="H224" s="267" t="s">
        <v>776</v>
      </c>
      <c r="I224" s="45">
        <v>12.0</v>
      </c>
      <c r="J224" s="316">
        <f t="shared" si="6"/>
        <v>16.96143221</v>
      </c>
      <c r="K224" s="316">
        <f t="shared" si="7"/>
        <v>14.64095481</v>
      </c>
      <c r="L224" s="316">
        <f t="shared" si="8"/>
        <v>5.359045191</v>
      </c>
      <c r="M224" s="316">
        <f t="shared" si="9"/>
        <v>3.038567787</v>
      </c>
    </row>
    <row r="225">
      <c r="A225" s="25"/>
      <c r="B225" s="26"/>
      <c r="C225" s="26"/>
      <c r="E225" s="29"/>
      <c r="F225" s="29"/>
      <c r="G225" s="29"/>
      <c r="H225" s="267" t="s">
        <v>777</v>
      </c>
      <c r="I225" s="45">
        <v>8.0</v>
      </c>
      <c r="J225" s="316">
        <f t="shared" si="6"/>
        <v>16.96143221</v>
      </c>
      <c r="K225" s="316">
        <f t="shared" si="7"/>
        <v>14.64095481</v>
      </c>
      <c r="L225" s="316">
        <f t="shared" si="8"/>
        <v>5.359045191</v>
      </c>
      <c r="M225" s="316">
        <f t="shared" si="9"/>
        <v>3.038567787</v>
      </c>
    </row>
    <row r="226">
      <c r="A226" s="25"/>
      <c r="B226" s="26"/>
      <c r="C226" s="26"/>
      <c r="E226" s="29"/>
      <c r="F226" s="29"/>
      <c r="G226" s="29"/>
      <c r="H226" s="267" t="s">
        <v>778</v>
      </c>
      <c r="I226" s="45">
        <v>7.0</v>
      </c>
      <c r="J226" s="316">
        <f t="shared" si="6"/>
        <v>16.96143221</v>
      </c>
      <c r="K226" s="316">
        <f t="shared" si="7"/>
        <v>14.64095481</v>
      </c>
      <c r="L226" s="316">
        <f t="shared" si="8"/>
        <v>5.359045191</v>
      </c>
      <c r="M226" s="316">
        <f t="shared" si="9"/>
        <v>3.038567787</v>
      </c>
    </row>
    <row r="227">
      <c r="A227" s="25"/>
      <c r="B227" s="26"/>
      <c r="C227" s="26"/>
      <c r="E227" s="29"/>
      <c r="F227" s="29"/>
      <c r="G227" s="29"/>
      <c r="H227" s="267" t="s">
        <v>779</v>
      </c>
      <c r="I227" s="45">
        <v>11.0</v>
      </c>
      <c r="J227" s="316">
        <f t="shared" si="6"/>
        <v>16.96143221</v>
      </c>
      <c r="K227" s="316">
        <f t="shared" si="7"/>
        <v>14.64095481</v>
      </c>
      <c r="L227" s="316">
        <f t="shared" si="8"/>
        <v>5.359045191</v>
      </c>
      <c r="M227" s="316">
        <f t="shared" si="9"/>
        <v>3.038567787</v>
      </c>
    </row>
    <row r="228">
      <c r="A228" s="25"/>
      <c r="B228" s="26"/>
      <c r="C228" s="26"/>
      <c r="G228" s="317"/>
      <c r="H228" s="267" t="s">
        <v>780</v>
      </c>
      <c r="I228" s="45">
        <v>6.0</v>
      </c>
      <c r="J228" s="316">
        <f t="shared" si="6"/>
        <v>16.96143221</v>
      </c>
      <c r="K228" s="316">
        <f t="shared" si="7"/>
        <v>14.64095481</v>
      </c>
      <c r="L228" s="316">
        <f t="shared" si="8"/>
        <v>5.359045191</v>
      </c>
      <c r="M228" s="316">
        <f t="shared" si="9"/>
        <v>3.038567787</v>
      </c>
    </row>
    <row r="229">
      <c r="A229" s="25"/>
      <c r="B229" s="26"/>
      <c r="C229" s="26"/>
      <c r="E229" s="29"/>
      <c r="F229" s="29"/>
      <c r="G229" s="29"/>
    </row>
    <row r="230">
      <c r="A230" s="25"/>
      <c r="B230" s="26"/>
      <c r="C230" s="26"/>
      <c r="E230" s="29"/>
      <c r="F230" s="29"/>
      <c r="G230" s="29"/>
    </row>
    <row r="231">
      <c r="A231" s="217"/>
      <c r="B231" s="218"/>
      <c r="C231" s="218"/>
      <c r="D231" s="114"/>
      <c r="E231" s="29"/>
      <c r="F231" s="29"/>
      <c r="G231" s="29"/>
      <c r="L231" s="318"/>
      <c r="M231" s="114"/>
      <c r="N231" s="114"/>
      <c r="O231" s="114"/>
    </row>
    <row r="232">
      <c r="A232" s="217"/>
      <c r="B232" s="218"/>
      <c r="C232" s="218"/>
      <c r="D232" s="114"/>
      <c r="E232" s="268" t="s">
        <v>687</v>
      </c>
      <c r="F232" s="33"/>
      <c r="G232" s="33"/>
      <c r="H232" s="34"/>
      <c r="I232" s="271"/>
      <c r="J232" s="33"/>
      <c r="K232" s="33"/>
      <c r="L232" s="34"/>
      <c r="M232" s="114"/>
      <c r="N232" s="114"/>
      <c r="O232" s="114"/>
    </row>
    <row r="233">
      <c r="A233" s="217"/>
      <c r="B233" s="218"/>
      <c r="C233" s="218"/>
      <c r="D233" s="114"/>
      <c r="E233" s="29"/>
      <c r="F233" s="29"/>
      <c r="G233" s="29"/>
      <c r="H233" s="272" t="s">
        <v>781</v>
      </c>
      <c r="I233" s="33"/>
      <c r="J233" s="33"/>
      <c r="K233" s="34"/>
      <c r="L233" s="114"/>
      <c r="M233" s="114"/>
      <c r="N233" s="114"/>
      <c r="O233" s="114"/>
    </row>
    <row r="234">
      <c r="A234" s="217"/>
      <c r="B234" s="218"/>
      <c r="C234" s="218"/>
      <c r="D234" s="114"/>
      <c r="E234" s="29"/>
      <c r="F234" s="29"/>
      <c r="G234" s="29"/>
      <c r="H234" s="118" t="s">
        <v>782</v>
      </c>
      <c r="I234" s="319" t="s">
        <v>69</v>
      </c>
      <c r="J234" s="320" t="s">
        <v>428</v>
      </c>
      <c r="K234" s="114"/>
      <c r="L234" s="114"/>
      <c r="M234" s="114"/>
      <c r="N234" s="114"/>
      <c r="O234" s="114"/>
    </row>
    <row r="235">
      <c r="A235" s="217"/>
      <c r="B235" s="218"/>
      <c r="C235" s="218"/>
      <c r="D235" s="114"/>
      <c r="E235" s="29"/>
      <c r="F235" s="29"/>
      <c r="G235" s="29"/>
      <c r="H235" s="321">
        <v>44927.0</v>
      </c>
      <c r="I235" s="112">
        <v>300.0</v>
      </c>
      <c r="J235" s="80" t="str">
        <f t="shared" ref="J235:J286" si="10">IF(MONTH(H235)&lt;&gt;MONTH(H236),I235,)</f>
        <v/>
      </c>
      <c r="K235" s="114"/>
      <c r="L235" s="114"/>
      <c r="M235" s="114"/>
      <c r="N235" s="114"/>
      <c r="O235" s="114"/>
    </row>
    <row r="236">
      <c r="A236" s="25"/>
      <c r="B236" s="26"/>
      <c r="C236" s="26"/>
      <c r="E236" s="29"/>
      <c r="F236" s="29"/>
      <c r="G236" s="29"/>
      <c r="H236" s="321">
        <f t="shared" ref="H236:H287" si="11">H235+7</f>
        <v>44934</v>
      </c>
      <c r="I236" s="120">
        <v>375.0</v>
      </c>
      <c r="J236" s="80" t="str">
        <f t="shared" si="10"/>
        <v/>
      </c>
      <c r="K236" s="114"/>
      <c r="L236" s="114"/>
      <c r="M236" s="114"/>
      <c r="N236" s="114"/>
    </row>
    <row r="237">
      <c r="A237" s="25"/>
      <c r="B237" s="26"/>
      <c r="C237" s="26"/>
      <c r="E237" s="29"/>
      <c r="F237" s="29"/>
      <c r="G237" s="29"/>
      <c r="H237" s="321">
        <f t="shared" si="11"/>
        <v>44941</v>
      </c>
      <c r="I237" s="120">
        <v>382.5</v>
      </c>
      <c r="J237" s="80" t="str">
        <f t="shared" si="10"/>
        <v/>
      </c>
      <c r="K237" s="114"/>
      <c r="L237" s="114"/>
      <c r="M237" s="114"/>
      <c r="N237" s="114"/>
    </row>
    <row r="238">
      <c r="A238" s="25"/>
      <c r="B238" s="26"/>
      <c r="C238" s="26"/>
      <c r="E238" s="29"/>
      <c r="F238" s="29"/>
      <c r="G238" s="29"/>
      <c r="H238" s="321">
        <f t="shared" si="11"/>
        <v>44948</v>
      </c>
      <c r="I238" s="120">
        <v>405.45</v>
      </c>
      <c r="J238" s="80" t="str">
        <f t="shared" si="10"/>
        <v/>
      </c>
      <c r="K238" s="114"/>
      <c r="L238" s="114"/>
      <c r="M238" s="114"/>
      <c r="N238" s="114"/>
    </row>
    <row r="239">
      <c r="A239" s="25"/>
      <c r="B239" s="26"/>
      <c r="C239" s="26"/>
      <c r="E239" s="29"/>
      <c r="F239" s="29"/>
      <c r="G239" s="29"/>
      <c r="H239" s="321">
        <f t="shared" si="11"/>
        <v>44955</v>
      </c>
      <c r="I239" s="120">
        <v>506.8125</v>
      </c>
      <c r="J239" s="80">
        <f t="shared" si="10"/>
        <v>506.8125</v>
      </c>
    </row>
    <row r="240">
      <c r="A240" s="25"/>
      <c r="B240" s="26"/>
      <c r="C240" s="26"/>
      <c r="E240" s="29"/>
      <c r="F240" s="29"/>
      <c r="G240" s="29"/>
      <c r="H240" s="321">
        <f t="shared" si="11"/>
        <v>44962</v>
      </c>
      <c r="I240" s="120">
        <v>618.31125</v>
      </c>
      <c r="J240" s="80" t="str">
        <f t="shared" si="10"/>
        <v/>
      </c>
    </row>
    <row r="241">
      <c r="A241" s="25"/>
      <c r="B241" s="26"/>
      <c r="C241" s="26"/>
      <c r="E241" s="29"/>
      <c r="F241" s="29"/>
      <c r="G241" s="29"/>
      <c r="H241" s="321">
        <f t="shared" si="11"/>
        <v>44969</v>
      </c>
      <c r="I241" s="120">
        <v>525.5645625</v>
      </c>
      <c r="J241" s="80" t="str">
        <f t="shared" si="10"/>
        <v/>
      </c>
    </row>
    <row r="242">
      <c r="A242" s="25"/>
      <c r="B242" s="26"/>
      <c r="C242" s="26"/>
      <c r="E242" s="29"/>
      <c r="F242" s="29"/>
      <c r="G242" s="29"/>
      <c r="H242" s="321">
        <f t="shared" si="11"/>
        <v>44976</v>
      </c>
      <c r="I242" s="120">
        <v>588.63231</v>
      </c>
      <c r="J242" s="80" t="str">
        <f t="shared" si="10"/>
        <v/>
      </c>
    </row>
    <row r="243">
      <c r="A243" s="25"/>
      <c r="B243" s="26"/>
      <c r="C243" s="26"/>
      <c r="E243" s="29"/>
      <c r="F243" s="29"/>
      <c r="G243" s="29"/>
      <c r="H243" s="321">
        <f t="shared" si="11"/>
        <v>44983</v>
      </c>
      <c r="I243" s="120">
        <v>735.7903875</v>
      </c>
      <c r="J243" s="80">
        <f t="shared" si="10"/>
        <v>735.7903875</v>
      </c>
    </row>
    <row r="244">
      <c r="A244" s="25"/>
      <c r="B244" s="26"/>
      <c r="C244" s="26"/>
      <c r="E244" s="29"/>
      <c r="F244" s="29"/>
      <c r="G244" s="29"/>
      <c r="H244" s="321">
        <f t="shared" si="11"/>
        <v>44990</v>
      </c>
      <c r="I244" s="120">
        <v>647.4955409999999</v>
      </c>
      <c r="J244" s="80" t="str">
        <f t="shared" si="10"/>
        <v/>
      </c>
    </row>
    <row r="245">
      <c r="A245" s="25"/>
      <c r="B245" s="26"/>
      <c r="C245" s="26"/>
      <c r="E245" s="29"/>
      <c r="F245" s="29"/>
      <c r="G245" s="29"/>
      <c r="H245" s="321">
        <f t="shared" si="11"/>
        <v>44997</v>
      </c>
      <c r="I245" s="120">
        <v>764.0447383799999</v>
      </c>
      <c r="J245" s="80" t="str">
        <f t="shared" si="10"/>
        <v/>
      </c>
    </row>
    <row r="246">
      <c r="A246" s="25"/>
      <c r="B246" s="26"/>
      <c r="C246" s="26"/>
      <c r="E246" s="29"/>
      <c r="F246" s="29"/>
      <c r="G246" s="29"/>
      <c r="H246" s="321">
        <f t="shared" si="11"/>
        <v>45004</v>
      </c>
      <c r="I246" s="120">
        <v>932.1345808235998</v>
      </c>
      <c r="J246" s="80" t="str">
        <f t="shared" si="10"/>
        <v/>
      </c>
    </row>
    <row r="247">
      <c r="A247" s="25"/>
      <c r="B247" s="26"/>
      <c r="C247" s="26"/>
      <c r="E247" s="29"/>
      <c r="F247" s="29"/>
      <c r="G247" s="29"/>
      <c r="H247" s="321">
        <f t="shared" si="11"/>
        <v>45011</v>
      </c>
      <c r="I247" s="120">
        <v>997.3840014812517</v>
      </c>
      <c r="J247" s="80">
        <f t="shared" si="10"/>
        <v>997.3840015</v>
      </c>
    </row>
    <row r="248">
      <c r="A248" s="25"/>
      <c r="B248" s="26"/>
      <c r="C248" s="26"/>
      <c r="E248" s="29"/>
      <c r="F248" s="29"/>
      <c r="G248" s="29"/>
      <c r="H248" s="321">
        <f t="shared" si="11"/>
        <v>45018</v>
      </c>
      <c r="I248" s="120">
        <v>987.4101614664391</v>
      </c>
      <c r="J248" s="80" t="str">
        <f t="shared" si="10"/>
        <v/>
      </c>
    </row>
    <row r="249">
      <c r="A249" s="25"/>
      <c r="B249" s="26"/>
      <c r="C249" s="26"/>
      <c r="E249" s="29"/>
      <c r="F249" s="29"/>
      <c r="G249" s="29"/>
      <c r="H249" s="321">
        <f t="shared" si="11"/>
        <v>45025</v>
      </c>
      <c r="I249" s="120">
        <v>1224.3886002183845</v>
      </c>
      <c r="J249" s="80" t="str">
        <f t="shared" si="10"/>
        <v/>
      </c>
    </row>
    <row r="250">
      <c r="A250" s="25"/>
      <c r="B250" s="26"/>
      <c r="C250" s="26"/>
      <c r="E250" s="29"/>
      <c r="F250" s="29"/>
      <c r="G250" s="29"/>
      <c r="H250" s="321">
        <f t="shared" si="11"/>
        <v>45032</v>
      </c>
      <c r="I250" s="120">
        <v>979.5108801747076</v>
      </c>
      <c r="J250" s="80" t="str">
        <f t="shared" si="10"/>
        <v/>
      </c>
    </row>
    <row r="251">
      <c r="A251" s="25"/>
      <c r="B251" s="26"/>
      <c r="C251" s="26"/>
      <c r="E251" s="29"/>
      <c r="F251" s="29"/>
      <c r="G251" s="29"/>
      <c r="H251" s="321">
        <f t="shared" si="11"/>
        <v>45039</v>
      </c>
      <c r="I251" s="120">
        <v>1204.7983826148902</v>
      </c>
      <c r="J251" s="80" t="str">
        <f t="shared" si="10"/>
        <v/>
      </c>
    </row>
    <row r="252">
      <c r="A252" s="25"/>
      <c r="B252" s="26"/>
      <c r="C252" s="26"/>
      <c r="E252" s="29"/>
      <c r="F252" s="29"/>
      <c r="G252" s="29"/>
      <c r="H252" s="321">
        <f t="shared" si="11"/>
        <v>45046</v>
      </c>
      <c r="I252" s="120">
        <v>1301.1822532240813</v>
      </c>
      <c r="J252" s="80">
        <f t="shared" si="10"/>
        <v>1301.182253</v>
      </c>
    </row>
    <row r="253">
      <c r="A253" s="25"/>
      <c r="B253" s="26"/>
      <c r="C253" s="26"/>
      <c r="E253" s="29"/>
      <c r="F253" s="29"/>
      <c r="G253" s="29"/>
      <c r="H253" s="321">
        <f t="shared" si="11"/>
        <v>45053</v>
      </c>
      <c r="I253" s="120">
        <v>1275.1586081595997</v>
      </c>
      <c r="J253" s="80" t="str">
        <f t="shared" si="10"/>
        <v/>
      </c>
    </row>
    <row r="254" collapsed="1">
      <c r="A254" s="25"/>
      <c r="B254" s="26"/>
      <c r="C254" s="26"/>
      <c r="E254" s="29"/>
      <c r="F254" s="29"/>
      <c r="G254" s="29"/>
      <c r="H254" s="321">
        <f t="shared" si="11"/>
        <v>45060</v>
      </c>
      <c r="I254" s="120">
        <v>1440.9292272203477</v>
      </c>
      <c r="J254" s="80" t="str">
        <f t="shared" si="10"/>
        <v/>
      </c>
    </row>
    <row r="255" hidden="1" outlineLevel="1">
      <c r="A255" s="25"/>
      <c r="B255" s="26"/>
      <c r="C255" s="26"/>
      <c r="E255" s="29"/>
      <c r="F255" s="29"/>
      <c r="G255" s="29"/>
      <c r="H255" s="321">
        <f t="shared" si="11"/>
        <v>45067</v>
      </c>
      <c r="I255" s="120">
        <v>1642.6593190311964</v>
      </c>
      <c r="J255" s="80" t="str">
        <f t="shared" si="10"/>
        <v/>
      </c>
    </row>
    <row r="256" hidden="1" outlineLevel="1">
      <c r="A256" s="25"/>
      <c r="B256" s="26"/>
      <c r="C256" s="26"/>
      <c r="E256" s="29"/>
      <c r="F256" s="29"/>
      <c r="G256" s="29"/>
      <c r="H256" s="321">
        <f t="shared" si="11"/>
        <v>45074</v>
      </c>
      <c r="I256" s="120">
        <v>1724.7922849827562</v>
      </c>
      <c r="J256" s="80">
        <f t="shared" si="10"/>
        <v>1724.792285</v>
      </c>
    </row>
    <row r="257" hidden="1" outlineLevel="1">
      <c r="A257" s="25"/>
      <c r="B257" s="26"/>
      <c r="C257" s="26"/>
      <c r="E257" s="29"/>
      <c r="F257" s="29"/>
      <c r="G257" s="29"/>
      <c r="H257" s="321">
        <f t="shared" si="11"/>
        <v>45081</v>
      </c>
      <c r="I257" s="120">
        <v>1897.271513481032</v>
      </c>
      <c r="J257" s="80" t="str">
        <f t="shared" si="10"/>
        <v/>
      </c>
    </row>
    <row r="258" hidden="1" outlineLevel="1">
      <c r="A258" s="25"/>
      <c r="B258" s="26"/>
      <c r="C258" s="26"/>
      <c r="E258" s="29"/>
      <c r="F258" s="29"/>
      <c r="G258" s="29"/>
      <c r="H258" s="321">
        <f t="shared" si="11"/>
        <v>45088</v>
      </c>
      <c r="I258" s="120">
        <v>1631.6535015936875</v>
      </c>
      <c r="J258" s="80" t="str">
        <f t="shared" si="10"/>
        <v/>
      </c>
    </row>
    <row r="259" hidden="1" outlineLevel="1">
      <c r="A259" s="25"/>
      <c r="B259" s="26"/>
      <c r="C259" s="26"/>
      <c r="E259" s="29"/>
      <c r="F259" s="29"/>
      <c r="G259" s="29"/>
      <c r="H259" s="321">
        <f t="shared" si="11"/>
        <v>45095</v>
      </c>
      <c r="I259" s="120">
        <v>1957.984201912425</v>
      </c>
      <c r="J259" s="80" t="str">
        <f t="shared" si="10"/>
        <v/>
      </c>
    </row>
    <row r="260" hidden="1" outlineLevel="1">
      <c r="A260" s="25"/>
      <c r="B260" s="26"/>
      <c r="C260" s="26"/>
      <c r="E260" s="29"/>
      <c r="F260" s="29"/>
      <c r="G260" s="29"/>
      <c r="H260" s="321">
        <f t="shared" si="11"/>
        <v>45102</v>
      </c>
      <c r="I260" s="120">
        <v>2016.723727969798</v>
      </c>
      <c r="J260" s="80">
        <f t="shared" si="10"/>
        <v>2016.723728</v>
      </c>
    </row>
    <row r="261" hidden="1" outlineLevel="1">
      <c r="A261" s="25"/>
      <c r="B261" s="26"/>
      <c r="C261" s="26"/>
      <c r="E261" s="29"/>
      <c r="F261" s="29"/>
      <c r="G261" s="29"/>
      <c r="H261" s="321">
        <f t="shared" si="11"/>
        <v>45109</v>
      </c>
      <c r="I261" s="120">
        <v>2420.0684735637574</v>
      </c>
      <c r="J261" s="80" t="str">
        <f t="shared" si="10"/>
        <v/>
      </c>
    </row>
    <row r="262" hidden="1" outlineLevel="1">
      <c r="A262" s="25"/>
      <c r="B262" s="26"/>
      <c r="C262" s="26"/>
      <c r="E262" s="29"/>
      <c r="F262" s="29"/>
      <c r="G262" s="29"/>
      <c r="H262" s="321">
        <f t="shared" si="11"/>
        <v>45116</v>
      </c>
      <c r="I262" s="120">
        <v>2589.4732667132207</v>
      </c>
      <c r="J262" s="80" t="str">
        <f t="shared" si="10"/>
        <v/>
      </c>
    </row>
    <row r="263" hidden="1" outlineLevel="1">
      <c r="A263" s="25"/>
      <c r="B263" s="26"/>
      <c r="C263" s="26"/>
      <c r="E263" s="29"/>
      <c r="F263" s="29"/>
      <c r="G263" s="29"/>
      <c r="H263" s="321">
        <f t="shared" si="11"/>
        <v>45123</v>
      </c>
      <c r="I263" s="120">
        <v>3210.9468507243937</v>
      </c>
      <c r="J263" s="80" t="str">
        <f t="shared" si="10"/>
        <v/>
      </c>
    </row>
    <row r="264" hidden="1" outlineLevel="1">
      <c r="A264" s="25"/>
      <c r="B264" s="26"/>
      <c r="C264" s="26"/>
      <c r="E264" s="29"/>
      <c r="F264" s="29"/>
      <c r="G264" s="29"/>
      <c r="H264" s="321">
        <f t="shared" si="11"/>
        <v>45130</v>
      </c>
      <c r="I264" s="120">
        <v>3724.698346840297</v>
      </c>
      <c r="J264" s="80" t="str">
        <f t="shared" si="10"/>
        <v/>
      </c>
    </row>
    <row r="265" hidden="1" outlineLevel="1">
      <c r="A265" s="25"/>
      <c r="B265" s="26"/>
      <c r="C265" s="26"/>
      <c r="E265" s="29"/>
      <c r="F265" s="29"/>
      <c r="G265" s="29"/>
      <c r="H265" s="321">
        <f t="shared" si="11"/>
        <v>45137</v>
      </c>
      <c r="I265" s="120">
        <v>4655.872933550371</v>
      </c>
      <c r="J265" s="80">
        <f t="shared" si="10"/>
        <v>4655.872934</v>
      </c>
    </row>
    <row r="266" hidden="1" outlineLevel="1">
      <c r="A266" s="25"/>
      <c r="B266" s="26"/>
      <c r="C266" s="26"/>
      <c r="E266" s="29"/>
      <c r="F266" s="29"/>
      <c r="G266" s="29"/>
      <c r="H266" s="321">
        <f t="shared" si="11"/>
        <v>45144</v>
      </c>
      <c r="I266" s="120">
        <v>5168.018956240912</v>
      </c>
      <c r="J266" s="80" t="str">
        <f t="shared" si="10"/>
        <v/>
      </c>
    </row>
    <row r="267" hidden="1" outlineLevel="1">
      <c r="A267" s="25"/>
      <c r="B267" s="26"/>
      <c r="C267" s="26"/>
      <c r="E267" s="29"/>
      <c r="F267" s="29"/>
      <c r="G267" s="29"/>
      <c r="H267" s="321">
        <f t="shared" si="11"/>
        <v>45151</v>
      </c>
      <c r="I267" s="120">
        <v>5684.8208518650035</v>
      </c>
      <c r="J267" s="80" t="str">
        <f t="shared" si="10"/>
        <v/>
      </c>
    </row>
    <row r="268" hidden="1" outlineLevel="1">
      <c r="A268" s="25"/>
      <c r="B268" s="26"/>
      <c r="C268" s="26"/>
      <c r="E268" s="29"/>
      <c r="F268" s="29"/>
      <c r="G268" s="29"/>
      <c r="H268" s="321">
        <f t="shared" si="11"/>
        <v>45158</v>
      </c>
      <c r="I268" s="120">
        <v>5343.7316007531035</v>
      </c>
      <c r="J268" s="80" t="str">
        <f t="shared" si="10"/>
        <v/>
      </c>
    </row>
    <row r="269" hidden="1" outlineLevel="1">
      <c r="A269" s="25"/>
      <c r="B269" s="26"/>
      <c r="C269" s="26"/>
      <c r="E269" s="29"/>
      <c r="F269" s="29"/>
      <c r="G269" s="29"/>
      <c r="H269" s="321">
        <f t="shared" si="11"/>
        <v>45165</v>
      </c>
      <c r="I269" s="120">
        <v>5664.355496798289</v>
      </c>
      <c r="J269" s="80">
        <f t="shared" si="10"/>
        <v>5664.355497</v>
      </c>
    </row>
    <row r="270" hidden="1" outlineLevel="1">
      <c r="A270" s="25"/>
      <c r="B270" s="26"/>
      <c r="C270" s="26"/>
      <c r="E270" s="29"/>
      <c r="F270" s="29"/>
      <c r="G270" s="29"/>
      <c r="H270" s="321">
        <f t="shared" si="11"/>
        <v>45172</v>
      </c>
      <c r="I270" s="120">
        <v>4588.127952406614</v>
      </c>
      <c r="J270" s="80" t="str">
        <f t="shared" si="10"/>
        <v/>
      </c>
    </row>
    <row r="271" hidden="1" outlineLevel="1">
      <c r="A271" s="25"/>
      <c r="B271" s="26"/>
      <c r="C271" s="26"/>
      <c r="E271" s="29"/>
      <c r="F271" s="29"/>
      <c r="G271" s="29"/>
      <c r="H271" s="321">
        <f t="shared" si="11"/>
        <v>45179</v>
      </c>
      <c r="I271" s="120">
        <v>5597.516101936069</v>
      </c>
      <c r="J271" s="80" t="str">
        <f t="shared" si="10"/>
        <v/>
      </c>
    </row>
    <row r="272" hidden="1" outlineLevel="1">
      <c r="A272" s="25"/>
      <c r="B272" s="26"/>
      <c r="C272" s="26"/>
      <c r="E272" s="29"/>
      <c r="F272" s="29"/>
      <c r="G272" s="29"/>
      <c r="H272" s="321">
        <f t="shared" si="11"/>
        <v>45186</v>
      </c>
      <c r="I272" s="120">
        <v>5597.516101936069</v>
      </c>
      <c r="J272" s="80" t="str">
        <f t="shared" si="10"/>
        <v/>
      </c>
    </row>
    <row r="273" hidden="1" outlineLevel="1">
      <c r="A273" s="25"/>
      <c r="B273" s="26"/>
      <c r="C273" s="26"/>
      <c r="E273" s="29"/>
      <c r="F273" s="29"/>
      <c r="G273" s="29"/>
      <c r="H273" s="321">
        <f t="shared" si="11"/>
        <v>45193</v>
      </c>
      <c r="I273" s="120">
        <v>4533.988042568217</v>
      </c>
      <c r="J273" s="80">
        <f t="shared" si="10"/>
        <v>4533.988043</v>
      </c>
    </row>
    <row r="274" hidden="1" outlineLevel="1">
      <c r="A274" s="25"/>
      <c r="B274" s="26"/>
      <c r="C274" s="26"/>
      <c r="E274" s="29"/>
      <c r="F274" s="29"/>
      <c r="G274" s="29"/>
      <c r="H274" s="321">
        <f t="shared" si="11"/>
        <v>45200</v>
      </c>
      <c r="I274" s="120">
        <v>4397.96840129117</v>
      </c>
      <c r="J274" s="80" t="str">
        <f t="shared" si="10"/>
        <v/>
      </c>
    </row>
    <row r="275" hidden="1" outlineLevel="1">
      <c r="A275" s="25"/>
      <c r="B275" s="26"/>
      <c r="C275" s="26"/>
      <c r="E275" s="29"/>
      <c r="F275" s="29"/>
      <c r="G275" s="29"/>
      <c r="H275" s="321">
        <f t="shared" si="11"/>
        <v>45207</v>
      </c>
      <c r="I275" s="120">
        <v>4969.704293459023</v>
      </c>
      <c r="J275" s="80" t="str">
        <f t="shared" si="10"/>
        <v/>
      </c>
    </row>
    <row r="276" hidden="1" outlineLevel="1">
      <c r="A276" s="25"/>
      <c r="B276" s="26"/>
      <c r="C276" s="26"/>
      <c r="E276" s="29"/>
      <c r="F276" s="29"/>
      <c r="G276" s="29"/>
      <c r="H276" s="321">
        <f t="shared" si="11"/>
        <v>45214</v>
      </c>
      <c r="I276" s="120">
        <v>4969.704293459023</v>
      </c>
      <c r="J276" s="80" t="str">
        <f t="shared" si="10"/>
        <v/>
      </c>
    </row>
    <row r="277" hidden="1" outlineLevel="1">
      <c r="A277" s="25"/>
      <c r="B277" s="26"/>
      <c r="C277" s="26"/>
      <c r="E277" s="29"/>
      <c r="F277" s="29"/>
      <c r="G277" s="29"/>
      <c r="H277" s="321">
        <f t="shared" si="11"/>
        <v>45221</v>
      </c>
      <c r="I277" s="120">
        <v>4671.522035851482</v>
      </c>
      <c r="J277" s="80" t="str">
        <f t="shared" si="10"/>
        <v/>
      </c>
    </row>
    <row r="278" hidden="1" outlineLevel="1">
      <c r="A278" s="25"/>
      <c r="B278" s="26"/>
      <c r="C278" s="26"/>
      <c r="E278" s="29"/>
      <c r="F278" s="29"/>
      <c r="G278" s="29"/>
      <c r="H278" s="321">
        <f t="shared" si="11"/>
        <v>45228</v>
      </c>
      <c r="I278" s="120">
        <v>4391.230713700393</v>
      </c>
      <c r="J278" s="80">
        <f t="shared" si="10"/>
        <v>4391.230714</v>
      </c>
    </row>
    <row r="279" hidden="1" outlineLevel="1">
      <c r="A279" s="25"/>
      <c r="B279" s="26"/>
      <c r="C279" s="26"/>
      <c r="E279" s="29"/>
      <c r="F279" s="29"/>
      <c r="G279" s="29"/>
      <c r="H279" s="321">
        <f t="shared" si="11"/>
        <v>45235</v>
      </c>
      <c r="I279" s="120">
        <v>4522.967635111404</v>
      </c>
      <c r="J279" s="80" t="str">
        <f t="shared" si="10"/>
        <v/>
      </c>
    </row>
    <row r="280" hidden="1" outlineLevel="1">
      <c r="A280" s="25"/>
      <c r="B280" s="26"/>
      <c r="C280" s="26"/>
      <c r="E280" s="29"/>
      <c r="F280" s="29"/>
      <c r="G280" s="29"/>
      <c r="H280" s="321">
        <f t="shared" si="11"/>
        <v>45242</v>
      </c>
      <c r="I280" s="120">
        <v>4522.967635111404</v>
      </c>
      <c r="J280" s="80" t="str">
        <f t="shared" si="10"/>
        <v/>
      </c>
    </row>
    <row r="281" hidden="1" outlineLevel="1">
      <c r="A281" s="25"/>
      <c r="B281" s="26"/>
      <c r="C281" s="26"/>
      <c r="E281" s="29"/>
      <c r="F281" s="29"/>
      <c r="G281" s="29"/>
      <c r="H281" s="321">
        <f t="shared" si="11"/>
        <v>45249</v>
      </c>
      <c r="I281" s="120">
        <v>3663.603784440237</v>
      </c>
      <c r="J281" s="80" t="str">
        <f t="shared" si="10"/>
        <v/>
      </c>
    </row>
    <row r="282" hidden="1" outlineLevel="1">
      <c r="A282" s="25"/>
      <c r="B282" s="26"/>
      <c r="C282" s="26"/>
      <c r="E282" s="29"/>
      <c r="F282" s="29"/>
      <c r="G282" s="29"/>
      <c r="H282" s="321">
        <f t="shared" si="11"/>
        <v>45256</v>
      </c>
      <c r="I282" s="120">
        <v>3920.056049351054</v>
      </c>
      <c r="J282" s="80">
        <f t="shared" si="10"/>
        <v>3920.056049</v>
      </c>
    </row>
    <row r="283" hidden="1" outlineLevel="1">
      <c r="A283" s="25"/>
      <c r="B283" s="26"/>
      <c r="C283" s="26"/>
      <c r="E283" s="29"/>
      <c r="F283" s="29"/>
      <c r="G283" s="29"/>
      <c r="H283" s="321">
        <f t="shared" si="11"/>
        <v>45263</v>
      </c>
      <c r="I283" s="120">
        <v>4468.863896260202</v>
      </c>
      <c r="J283" s="80" t="str">
        <f t="shared" si="10"/>
        <v/>
      </c>
    </row>
    <row r="284" hidden="1" outlineLevel="1">
      <c r="A284" s="25"/>
      <c r="B284" s="26"/>
      <c r="C284" s="26"/>
      <c r="E284" s="29"/>
      <c r="F284" s="29"/>
      <c r="G284" s="29"/>
      <c r="H284" s="321">
        <f t="shared" si="11"/>
        <v>45270</v>
      </c>
      <c r="I284" s="120">
        <v>4692.307091073211</v>
      </c>
      <c r="J284" s="80" t="str">
        <f t="shared" si="10"/>
        <v/>
      </c>
    </row>
    <row r="285" hidden="1" outlineLevel="1">
      <c r="A285" s="25"/>
      <c r="B285" s="26"/>
      <c r="C285" s="26"/>
      <c r="E285" s="29"/>
      <c r="F285" s="29"/>
      <c r="G285" s="29"/>
      <c r="H285" s="321">
        <f t="shared" si="11"/>
        <v>45277</v>
      </c>
      <c r="I285" s="120">
        <v>5536.922367466389</v>
      </c>
      <c r="J285" s="80" t="str">
        <f t="shared" si="10"/>
        <v/>
      </c>
    </row>
    <row r="286" hidden="1" outlineLevel="1">
      <c r="A286" s="25"/>
      <c r="B286" s="26"/>
      <c r="C286" s="26"/>
      <c r="E286" s="29"/>
      <c r="F286" s="29"/>
      <c r="G286" s="29"/>
      <c r="H286" s="321">
        <f t="shared" si="11"/>
        <v>45284</v>
      </c>
      <c r="I286" s="120">
        <v>6755.045288308995</v>
      </c>
      <c r="J286" s="80" t="str">
        <f t="shared" si="10"/>
        <v/>
      </c>
    </row>
    <row r="287" hidden="1" outlineLevel="1">
      <c r="A287" s="25"/>
      <c r="B287" s="26"/>
      <c r="C287" s="26"/>
      <c r="E287" s="29"/>
      <c r="F287" s="29"/>
      <c r="G287" s="29"/>
      <c r="H287" s="321">
        <f t="shared" si="11"/>
        <v>45291</v>
      </c>
      <c r="I287" s="120">
        <v>7565.6507229060735</v>
      </c>
      <c r="J287" s="80">
        <f>I287</f>
        <v>7565.650723</v>
      </c>
    </row>
    <row r="288">
      <c r="A288" s="25"/>
      <c r="B288" s="26"/>
      <c r="C288" s="26"/>
      <c r="E288" s="29"/>
      <c r="F288" s="29"/>
      <c r="G288" s="29"/>
    </row>
    <row r="289">
      <c r="A289" s="25"/>
      <c r="B289" s="26"/>
      <c r="C289" s="26"/>
      <c r="E289" s="29"/>
      <c r="F289" s="29"/>
      <c r="G289" s="29"/>
    </row>
    <row r="290">
      <c r="A290" s="25"/>
      <c r="B290" s="26"/>
      <c r="C290" s="26"/>
      <c r="E290" s="29"/>
      <c r="F290" s="29"/>
      <c r="G290" s="29"/>
    </row>
    <row r="291">
      <c r="A291" s="25"/>
      <c r="B291" s="26"/>
      <c r="C291" s="26"/>
      <c r="E291" s="339" t="s">
        <v>791</v>
      </c>
      <c r="F291" s="33"/>
      <c r="G291" s="33"/>
      <c r="H291" s="34"/>
      <c r="I291" s="342" t="s">
        <v>792</v>
      </c>
    </row>
    <row r="292">
      <c r="A292" s="25"/>
      <c r="B292" s="26"/>
      <c r="C292" s="26"/>
      <c r="E292" s="29"/>
      <c r="F292" s="29"/>
      <c r="G292" s="29"/>
      <c r="H292" s="272" t="s">
        <v>793</v>
      </c>
      <c r="I292" s="33"/>
      <c r="J292" s="33"/>
      <c r="K292" s="34"/>
    </row>
    <row r="293">
      <c r="A293" s="25"/>
      <c r="B293" s="26"/>
      <c r="C293" s="26"/>
      <c r="E293" s="29"/>
      <c r="F293" s="29"/>
      <c r="G293" s="29"/>
      <c r="H293" s="343" t="s">
        <v>47</v>
      </c>
      <c r="I293" s="344" t="s">
        <v>794</v>
      </c>
      <c r="J293" s="320" t="s">
        <v>795</v>
      </c>
      <c r="K293" s="320" t="s">
        <v>796</v>
      </c>
      <c r="L293" s="320" t="s">
        <v>798</v>
      </c>
    </row>
    <row r="294">
      <c r="A294" s="25"/>
      <c r="B294" s="26"/>
      <c r="C294" s="26"/>
      <c r="E294" s="29"/>
      <c r="F294" s="29"/>
      <c r="G294" s="29"/>
      <c r="H294" s="346">
        <f t="shared" ref="H294:H304" si="12">EOMONTH(H295,-2)+1</f>
        <v>45870</v>
      </c>
      <c r="I294" s="112">
        <v>300.0</v>
      </c>
      <c r="J294" s="80"/>
      <c r="K294" s="80"/>
      <c r="L294" s="80"/>
    </row>
    <row r="295">
      <c r="A295" s="25"/>
      <c r="B295" s="26"/>
      <c r="C295" s="26"/>
      <c r="E295" s="29"/>
      <c r="F295" s="29"/>
      <c r="G295" s="29"/>
      <c r="H295" s="346">
        <f t="shared" si="12"/>
        <v>45901</v>
      </c>
      <c r="I295" s="120">
        <v>339.0</v>
      </c>
      <c r="J295" s="80"/>
      <c r="K295" s="80"/>
      <c r="L295" s="80"/>
    </row>
    <row r="296">
      <c r="A296" s="25"/>
      <c r="B296" s="26"/>
      <c r="C296" s="26"/>
      <c r="E296" s="29"/>
      <c r="F296" s="29"/>
      <c r="G296" s="29"/>
      <c r="H296" s="346">
        <f t="shared" si="12"/>
        <v>45931</v>
      </c>
      <c r="I296" s="120">
        <v>311.88</v>
      </c>
      <c r="J296" s="80"/>
      <c r="K296" s="80"/>
      <c r="L296" s="80"/>
    </row>
    <row r="297">
      <c r="A297" s="25"/>
      <c r="B297" s="26"/>
      <c r="C297" s="26"/>
      <c r="E297" s="29"/>
      <c r="F297" s="29"/>
      <c r="G297" s="29"/>
      <c r="H297" s="346">
        <f t="shared" si="12"/>
        <v>45962</v>
      </c>
      <c r="I297" s="120">
        <v>364.89959999999996</v>
      </c>
      <c r="J297" s="80"/>
      <c r="K297" s="80"/>
      <c r="L297" s="80"/>
    </row>
    <row r="298">
      <c r="A298" s="25"/>
      <c r="B298" s="26"/>
      <c r="C298" s="26"/>
      <c r="E298" s="29"/>
      <c r="F298" s="29"/>
      <c r="G298" s="29"/>
      <c r="H298" s="346">
        <f t="shared" si="12"/>
        <v>45992</v>
      </c>
      <c r="I298" s="120">
        <v>339.356628</v>
      </c>
      <c r="J298" s="80"/>
      <c r="K298" s="80"/>
      <c r="L298" s="80"/>
    </row>
    <row r="299">
      <c r="A299" s="25"/>
      <c r="B299" s="26"/>
      <c r="C299" s="26"/>
      <c r="E299" s="29"/>
      <c r="F299" s="29"/>
      <c r="G299" s="29"/>
      <c r="H299" s="346">
        <f t="shared" si="12"/>
        <v>46023</v>
      </c>
      <c r="I299" s="120">
        <v>390.26012219999996</v>
      </c>
      <c r="J299" s="80"/>
      <c r="K299" s="80"/>
      <c r="L299" s="80"/>
    </row>
    <row r="300">
      <c r="A300" s="25"/>
      <c r="B300" s="26"/>
      <c r="C300" s="26"/>
      <c r="E300" s="29"/>
      <c r="F300" s="29"/>
      <c r="G300" s="29"/>
      <c r="H300" s="346">
        <f t="shared" si="12"/>
        <v>46054</v>
      </c>
      <c r="I300" s="120">
        <v>456.60434297399996</v>
      </c>
      <c r="J300" s="80"/>
      <c r="K300" s="80"/>
      <c r="L300" s="80"/>
    </row>
    <row r="301">
      <c r="A301" s="25"/>
      <c r="B301" s="26"/>
      <c r="C301" s="26"/>
      <c r="E301" s="29"/>
      <c r="F301" s="29"/>
      <c r="G301" s="29"/>
      <c r="H301" s="346">
        <f t="shared" si="12"/>
        <v>46082</v>
      </c>
      <c r="I301" s="120">
        <v>420.0759955360799</v>
      </c>
      <c r="J301" s="80"/>
      <c r="K301" s="80"/>
      <c r="L301" s="80"/>
    </row>
    <row r="302">
      <c r="A302" s="25"/>
      <c r="B302" s="26"/>
      <c r="C302" s="26"/>
      <c r="E302" s="29"/>
      <c r="F302" s="29"/>
      <c r="G302" s="29"/>
      <c r="H302" s="346">
        <f t="shared" si="12"/>
        <v>46113</v>
      </c>
      <c r="I302" s="120">
        <v>466.2843550450487</v>
      </c>
      <c r="J302" s="80"/>
      <c r="K302" s="80"/>
      <c r="L302" s="80"/>
    </row>
    <row r="303">
      <c r="A303" s="25"/>
      <c r="B303" s="26"/>
      <c r="C303" s="26"/>
      <c r="E303" s="29"/>
      <c r="F303" s="29"/>
      <c r="G303" s="29"/>
      <c r="H303" s="346">
        <f t="shared" si="12"/>
        <v>46143</v>
      </c>
      <c r="I303" s="120">
        <v>503.58710344865256</v>
      </c>
      <c r="J303" s="80"/>
      <c r="K303" s="80"/>
      <c r="L303" s="80"/>
    </row>
    <row r="304">
      <c r="A304" s="25"/>
      <c r="B304" s="26"/>
      <c r="C304" s="26"/>
      <c r="E304" s="29"/>
      <c r="F304" s="29"/>
      <c r="G304" s="29"/>
      <c r="H304" s="346">
        <f t="shared" si="12"/>
        <v>46174</v>
      </c>
      <c r="I304" s="120">
        <v>458.2642641382738</v>
      </c>
      <c r="J304" s="80"/>
      <c r="K304" s="80"/>
      <c r="L304" s="80"/>
    </row>
    <row r="305">
      <c r="A305" s="25"/>
      <c r="B305" s="26"/>
      <c r="C305" s="26"/>
      <c r="E305" s="29"/>
      <c r="F305" s="29"/>
      <c r="G305" s="29"/>
      <c r="H305" s="346">
        <f>EOMONTH(TODAY(),-2)+1</f>
        <v>46204</v>
      </c>
      <c r="I305" s="120">
        <v>467.42954942103927</v>
      </c>
      <c r="J305" s="80">
        <v>467.42954942103927</v>
      </c>
      <c r="K305" s="80">
        <v>490.8010268920913</v>
      </c>
      <c r="L305" s="80">
        <v>444.05807194998727</v>
      </c>
    </row>
    <row r="306">
      <c r="A306" s="25"/>
      <c r="B306" s="26"/>
      <c r="C306" s="26"/>
      <c r="E306" s="29"/>
      <c r="F306" s="29"/>
      <c r="G306" s="29"/>
      <c r="H306" s="346">
        <f t="shared" ref="H306:H311" si="13">EOMONTH(H305,0)+1</f>
        <v>46235</v>
      </c>
      <c r="I306" s="120"/>
      <c r="J306" s="80">
        <v>482.6210097772231</v>
      </c>
      <c r="K306" s="80">
        <v>530.0651090434586</v>
      </c>
      <c r="L306" s="80">
        <v>435.1769105109875</v>
      </c>
    </row>
    <row r="307">
      <c r="A307" s="25"/>
      <c r="B307" s="26"/>
      <c r="C307" s="26"/>
      <c r="E307" s="29"/>
      <c r="F307" s="29"/>
      <c r="G307" s="29"/>
      <c r="H307" s="346">
        <f t="shared" si="13"/>
        <v>46266</v>
      </c>
      <c r="I307" s="120"/>
      <c r="J307" s="80">
        <v>510.07314721472073</v>
      </c>
      <c r="K307" s="80">
        <v>593.6729221286737</v>
      </c>
      <c r="L307" s="80">
        <v>426.4733723007677</v>
      </c>
    </row>
    <row r="308">
      <c r="A308" s="25"/>
      <c r="B308" s="26"/>
      <c r="C308" s="26"/>
      <c r="E308" s="29"/>
      <c r="F308" s="29"/>
      <c r="G308" s="29"/>
      <c r="H308" s="346">
        <f t="shared" si="13"/>
        <v>46296</v>
      </c>
      <c r="I308" s="120"/>
      <c r="J308" s="80">
        <v>561.3713433447975</v>
      </c>
      <c r="K308" s="80">
        <v>700.534048111835</v>
      </c>
      <c r="L308" s="80">
        <v>422.20863857776004</v>
      </c>
    </row>
    <row r="309">
      <c r="A309" s="25"/>
      <c r="B309" s="26"/>
      <c r="C309" s="26"/>
      <c r="E309" s="29"/>
      <c r="F309" s="29"/>
      <c r="G309" s="29"/>
      <c r="H309" s="346">
        <f t="shared" si="13"/>
        <v>46327</v>
      </c>
      <c r="I309" s="120"/>
      <c r="J309" s="80">
        <v>601.9645539410708</v>
      </c>
      <c r="K309" s="80">
        <v>798.6088148474919</v>
      </c>
      <c r="L309" s="80">
        <v>405.32029303464964</v>
      </c>
    </row>
    <row r="310">
      <c r="A310" s="25"/>
      <c r="B310" s="26"/>
      <c r="C310" s="26"/>
      <c r="E310" s="29"/>
      <c r="F310" s="29"/>
      <c r="G310" s="29"/>
      <c r="H310" s="346">
        <f t="shared" si="13"/>
        <v>46357</v>
      </c>
      <c r="I310" s="120"/>
      <c r="J310" s="80">
        <v>659.7734547333504</v>
      </c>
      <c r="K310" s="80">
        <v>926.3862252230906</v>
      </c>
      <c r="L310" s="80">
        <v>393.16068424361015</v>
      </c>
    </row>
    <row r="311">
      <c r="A311" s="25"/>
      <c r="B311" s="26"/>
      <c r="C311" s="26"/>
      <c r="E311" s="29"/>
      <c r="F311" s="29"/>
      <c r="G311" s="29"/>
      <c r="H311" s="346">
        <f t="shared" si="13"/>
        <v>46388</v>
      </c>
      <c r="I311" s="120"/>
      <c r="J311" s="80">
        <v>739.2166081609923</v>
      </c>
      <c r="K311" s="80">
        <v>1093.1357457632469</v>
      </c>
      <c r="L311" s="80">
        <v>385.2974705587379</v>
      </c>
    </row>
    <row r="312">
      <c r="A312" s="25"/>
      <c r="B312" s="26"/>
      <c r="C312" s="26"/>
      <c r="E312" s="29"/>
      <c r="F312" s="29"/>
      <c r="G312" s="29"/>
      <c r="H312" s="29"/>
      <c r="I312" s="29"/>
      <c r="J312" s="29"/>
      <c r="K312" s="29"/>
    </row>
    <row r="313">
      <c r="A313" s="25"/>
      <c r="B313" s="26"/>
      <c r="C313" s="26"/>
      <c r="E313" s="29"/>
      <c r="F313" s="29"/>
      <c r="G313" s="29"/>
      <c r="H313" s="29"/>
      <c r="I313" s="29"/>
      <c r="J313" s="29"/>
      <c r="K313" s="29"/>
    </row>
    <row r="314">
      <c r="A314" s="25"/>
      <c r="B314" s="26"/>
      <c r="C314" s="26"/>
      <c r="E314" s="29"/>
      <c r="F314" s="29"/>
      <c r="G314" s="29"/>
      <c r="H314" s="29"/>
      <c r="I314" s="29"/>
      <c r="J314" s="29"/>
    </row>
    <row r="315">
      <c r="A315" s="25"/>
      <c r="B315" s="26"/>
      <c r="C315" s="26"/>
      <c r="E315" s="29"/>
      <c r="F315" s="29"/>
      <c r="G315" s="29"/>
      <c r="H315" s="29"/>
      <c r="I315" s="29"/>
      <c r="J315" s="29"/>
    </row>
  </sheetData>
  <mergeCells count="37">
    <mergeCell ref="E3:H3"/>
    <mergeCell ref="H5:K5"/>
    <mergeCell ref="E23:H23"/>
    <mergeCell ref="H25:K25"/>
    <mergeCell ref="E43:H43"/>
    <mergeCell ref="I46:L46"/>
    <mergeCell ref="H47:K47"/>
    <mergeCell ref="E62:H62"/>
    <mergeCell ref="I66:L66"/>
    <mergeCell ref="H67:K67"/>
    <mergeCell ref="E82:H82"/>
    <mergeCell ref="I86:L86"/>
    <mergeCell ref="H87:K87"/>
    <mergeCell ref="E105:H105"/>
    <mergeCell ref="I106:L106"/>
    <mergeCell ref="H107:K107"/>
    <mergeCell ref="I126:L126"/>
    <mergeCell ref="H127:K127"/>
    <mergeCell ref="I146:L146"/>
    <mergeCell ref="E148:H148"/>
    <mergeCell ref="H149:I149"/>
    <mergeCell ref="E168:H168"/>
    <mergeCell ref="I169:L169"/>
    <mergeCell ref="H170:K170"/>
    <mergeCell ref="H172:I172"/>
    <mergeCell ref="E188:H188"/>
    <mergeCell ref="I192:L192"/>
    <mergeCell ref="H193:K193"/>
    <mergeCell ref="I291:K291"/>
    <mergeCell ref="H292:K292"/>
    <mergeCell ref="E208:H208"/>
    <mergeCell ref="I212:L212"/>
    <mergeCell ref="H213:K213"/>
    <mergeCell ref="E232:H232"/>
    <mergeCell ref="I232:L232"/>
    <mergeCell ref="H233:K233"/>
    <mergeCell ref="E291:H291"/>
  </mergeCells>
  <dataValidations>
    <dataValidation type="list" allowBlank="1" showErrorMessage="1" sqref="H149">
      <formula1>'Line Charts'!$I$151:$K$151</formula1>
    </dataValidation>
    <dataValidation type="list" allowBlank="1" showErrorMessage="1" sqref="H172">
      <formula1>'Line Charts'!$I$174:$M$174</formula1>
    </dataValidation>
  </dataValidations>
  <hyperlinks>
    <hyperlink r:id="rId1" ref="B26"/>
    <hyperlink r:id="rId2" ref="I29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99.25"/>
    <col customWidth="1" min="6" max="6" width="96.75"/>
    <col customWidth="1" min="7" max="7" width="3.75"/>
    <col customWidth="1" min="8" max="8" width="2.88"/>
    <col customWidth="1" min="9" max="9" width="23.13"/>
    <col customWidth="1" min="10" max="14" width="13.88"/>
    <col customWidth="1" min="15" max="16" width="12.63"/>
  </cols>
  <sheetData>
    <row r="1">
      <c r="A1" s="25"/>
      <c r="B1" s="26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</row>
    <row r="2">
      <c r="A2" s="25"/>
      <c r="B2" s="28" t="s">
        <v>8</v>
      </c>
      <c r="C2" s="28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</row>
    <row r="3">
      <c r="A3" s="25"/>
      <c r="B3" s="31"/>
      <c r="C3" s="31"/>
      <c r="D3" s="27"/>
      <c r="E3" s="32" t="s">
        <v>173</v>
      </c>
      <c r="F3" s="33"/>
      <c r="G3" s="33"/>
      <c r="H3" s="34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</row>
    <row r="4">
      <c r="A4" s="25"/>
      <c r="B4" s="35" t="s">
        <v>16</v>
      </c>
      <c r="C4" s="36"/>
      <c r="D4" s="27"/>
      <c r="E4" s="27"/>
      <c r="F4" s="27"/>
      <c r="G4" s="27"/>
      <c r="H4" s="27"/>
      <c r="I4" s="41" t="s">
        <v>175</v>
      </c>
      <c r="J4" s="33"/>
      <c r="K4" s="33"/>
      <c r="L4" s="34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</row>
    <row r="5">
      <c r="A5" s="25"/>
      <c r="B5" s="37" t="s">
        <v>173</v>
      </c>
      <c r="C5" s="38"/>
      <c r="D5" s="27"/>
      <c r="E5" s="27"/>
      <c r="F5" s="27"/>
      <c r="G5" s="27"/>
      <c r="H5" s="27"/>
      <c r="I5" s="105" t="s">
        <v>47</v>
      </c>
      <c r="J5" s="105" t="s">
        <v>183</v>
      </c>
      <c r="K5" s="106" t="s">
        <v>184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</row>
    <row r="6">
      <c r="A6" s="25"/>
      <c r="B6" s="37" t="s">
        <v>186</v>
      </c>
      <c r="C6" s="38"/>
      <c r="D6" s="27"/>
      <c r="E6" s="27"/>
      <c r="F6" s="27"/>
      <c r="G6" s="27"/>
      <c r="H6" s="27"/>
      <c r="I6" s="108" t="s">
        <v>188</v>
      </c>
      <c r="J6" s="109">
        <v>1200.0</v>
      </c>
      <c r="K6" s="82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</row>
    <row r="7">
      <c r="A7" s="39"/>
      <c r="B7" s="37" t="s">
        <v>192</v>
      </c>
      <c r="C7" s="40"/>
      <c r="D7" s="27"/>
      <c r="E7" s="27"/>
      <c r="F7" s="27"/>
      <c r="G7" s="27"/>
      <c r="H7" s="27"/>
      <c r="I7" s="108" t="s">
        <v>193</v>
      </c>
      <c r="J7" s="109">
        <v>1350.0</v>
      </c>
      <c r="K7" s="82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</row>
    <row r="8">
      <c r="A8" s="25"/>
      <c r="B8" s="37" t="s">
        <v>194</v>
      </c>
      <c r="C8" s="43"/>
      <c r="D8" s="27"/>
      <c r="E8" s="27"/>
      <c r="F8" s="27"/>
      <c r="G8" s="27"/>
      <c r="H8" s="27"/>
      <c r="I8" s="108" t="s">
        <v>195</v>
      </c>
      <c r="J8" s="109">
        <v>1500.0</v>
      </c>
      <c r="K8" s="82">
        <f>J8</f>
        <v>1500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</row>
    <row r="9">
      <c r="A9" s="25"/>
      <c r="B9" s="42" t="s">
        <v>196</v>
      </c>
      <c r="C9" s="43"/>
      <c r="D9" s="27"/>
      <c r="E9" s="27"/>
      <c r="F9" s="27"/>
      <c r="G9" s="27"/>
      <c r="H9" s="27"/>
      <c r="I9" s="108" t="s">
        <v>197</v>
      </c>
      <c r="J9" s="109">
        <v>1450.0</v>
      </c>
      <c r="K9" s="8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</row>
    <row r="10">
      <c r="A10" s="25"/>
      <c r="B10" s="37" t="s">
        <v>198</v>
      </c>
      <c r="C10" s="43"/>
      <c r="D10" s="27"/>
      <c r="E10" s="27"/>
      <c r="F10" s="27"/>
      <c r="G10" s="27"/>
      <c r="H10" s="27"/>
      <c r="I10" s="108" t="s">
        <v>57</v>
      </c>
      <c r="J10" s="109">
        <v>1600.0</v>
      </c>
      <c r="K10" s="82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</row>
    <row r="11">
      <c r="A11" s="25"/>
      <c r="B11" s="37" t="s">
        <v>199</v>
      </c>
      <c r="C11" s="43"/>
      <c r="D11" s="27"/>
      <c r="E11" s="27"/>
      <c r="F11" s="27"/>
      <c r="G11" s="27"/>
      <c r="H11" s="27"/>
      <c r="I11" s="108" t="s">
        <v>200</v>
      </c>
      <c r="J11" s="109">
        <v>1700.0</v>
      </c>
      <c r="K11" s="82">
        <f>J11</f>
        <v>1700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</row>
    <row r="12">
      <c r="A12" s="25"/>
      <c r="B12" s="48" t="s">
        <v>201</v>
      </c>
      <c r="C12" s="48"/>
      <c r="D12" s="27"/>
      <c r="E12" s="27"/>
      <c r="F12" s="27"/>
      <c r="G12" s="27"/>
      <c r="H12" s="27"/>
      <c r="I12" s="108" t="s">
        <v>202</v>
      </c>
      <c r="J12" s="109">
        <v>1650.0</v>
      </c>
      <c r="K12" s="82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</row>
    <row r="13">
      <c r="A13" s="25"/>
      <c r="B13" s="48" t="s">
        <v>203</v>
      </c>
      <c r="C13" s="48"/>
      <c r="D13" s="27"/>
      <c r="E13" s="27"/>
      <c r="F13" s="27"/>
      <c r="G13" s="27"/>
      <c r="H13" s="27"/>
      <c r="I13" s="108" t="s">
        <v>204</v>
      </c>
      <c r="J13" s="109">
        <v>1800.0</v>
      </c>
      <c r="K13" s="82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</row>
    <row r="14">
      <c r="A14" s="25"/>
      <c r="B14" s="48" t="s">
        <v>201</v>
      </c>
      <c r="C14" s="48"/>
      <c r="D14" s="27"/>
      <c r="E14" s="27"/>
      <c r="F14" s="27"/>
      <c r="G14" s="27"/>
      <c r="H14" s="27"/>
      <c r="I14" s="108" t="s">
        <v>205</v>
      </c>
      <c r="J14" s="109">
        <v>1900.0</v>
      </c>
      <c r="K14" s="82">
        <f>J14</f>
        <v>1900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</row>
    <row r="15">
      <c r="A15" s="25"/>
      <c r="B15" s="48" t="s">
        <v>206</v>
      </c>
      <c r="C15" s="48"/>
      <c r="D15" s="27"/>
      <c r="E15" s="27"/>
      <c r="F15" s="27"/>
      <c r="G15" s="27"/>
      <c r="H15" s="27"/>
      <c r="I15" s="108" t="s">
        <v>207</v>
      </c>
      <c r="J15" s="109">
        <v>1950.0</v>
      </c>
      <c r="K15" s="82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</row>
    <row r="16">
      <c r="A16" s="25"/>
      <c r="B16" s="48" t="s">
        <v>208</v>
      </c>
      <c r="C16" s="48"/>
      <c r="D16" s="27"/>
      <c r="E16" s="27"/>
      <c r="F16" s="27"/>
      <c r="G16" s="27"/>
      <c r="H16" s="27"/>
      <c r="I16" s="108" t="s">
        <v>209</v>
      </c>
      <c r="J16" s="109">
        <v>2000.0</v>
      </c>
      <c r="K16" s="82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</row>
    <row r="17">
      <c r="A17" s="25"/>
      <c r="B17" s="49" t="s">
        <v>31</v>
      </c>
      <c r="C17" s="48"/>
      <c r="D17" s="27"/>
      <c r="E17" s="27"/>
      <c r="F17" s="27"/>
      <c r="G17" s="27"/>
      <c r="H17" s="27"/>
      <c r="I17" s="108" t="s">
        <v>210</v>
      </c>
      <c r="J17" s="109">
        <v>2100.0</v>
      </c>
      <c r="K17" s="82">
        <f>J17</f>
        <v>2100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</row>
    <row r="18">
      <c r="A18" s="25"/>
      <c r="B18" s="48"/>
      <c r="C18" s="48"/>
      <c r="D18" s="27"/>
      <c r="E18" s="27"/>
      <c r="F18" s="27"/>
      <c r="G18" s="27"/>
      <c r="H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</row>
    <row r="19">
      <c r="A19" s="25"/>
      <c r="B19" s="48"/>
      <c r="C19" s="50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</row>
    <row r="20" ht="38.25" customHeight="1">
      <c r="A20" s="25"/>
      <c r="B20" s="52"/>
      <c r="C20" s="52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</row>
    <row r="21">
      <c r="A21" s="25"/>
      <c r="B21" s="51" t="s">
        <v>32</v>
      </c>
      <c r="C21" s="5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</row>
    <row r="22">
      <c r="A22" s="25"/>
      <c r="B22" s="53"/>
      <c r="C22" s="5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</row>
    <row r="23" ht="30.0" customHeight="1">
      <c r="A23" s="25"/>
      <c r="B23" s="25"/>
      <c r="C23" s="53"/>
      <c r="D23" s="27"/>
      <c r="E23" s="32" t="s">
        <v>186</v>
      </c>
      <c r="F23" s="33"/>
      <c r="G23" s="33"/>
      <c r="H23" s="34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</row>
    <row r="24">
      <c r="A24" s="25"/>
      <c r="B24" s="54"/>
      <c r="C24" s="54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</row>
    <row r="25">
      <c r="A25" s="25"/>
      <c r="B25" s="54" t="s">
        <v>33</v>
      </c>
      <c r="C25" s="53"/>
      <c r="D25" s="27"/>
      <c r="E25" s="27"/>
      <c r="F25" s="27"/>
      <c r="G25" s="27"/>
      <c r="H25" s="27"/>
      <c r="I25" s="41" t="s">
        <v>211</v>
      </c>
      <c r="J25" s="33"/>
      <c r="K25" s="33"/>
      <c r="L25" s="34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</row>
    <row r="26">
      <c r="A26" s="25"/>
      <c r="B26" s="55" t="s">
        <v>3</v>
      </c>
      <c r="C26" s="53"/>
      <c r="D26" s="27"/>
      <c r="E26" s="27"/>
      <c r="F26" s="27"/>
      <c r="G26" s="27"/>
      <c r="H26" s="27"/>
      <c r="I26" s="110" t="s">
        <v>212</v>
      </c>
      <c r="J26" s="110" t="s">
        <v>213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</row>
    <row r="27">
      <c r="A27" s="25"/>
      <c r="B27" s="56"/>
      <c r="C27" s="53"/>
      <c r="D27" s="27"/>
      <c r="E27" s="27"/>
      <c r="F27" s="27"/>
      <c r="G27" s="27"/>
      <c r="H27" s="27"/>
      <c r="I27" s="108" t="s">
        <v>214</v>
      </c>
      <c r="J27" s="111">
        <v>1000.0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</row>
    <row r="28">
      <c r="A28" s="25"/>
      <c r="B28" s="53"/>
      <c r="C28" s="53"/>
      <c r="D28" s="27"/>
      <c r="E28" s="27"/>
      <c r="F28" s="27"/>
      <c r="G28" s="27"/>
      <c r="H28" s="27"/>
      <c r="I28" s="108" t="s">
        <v>215</v>
      </c>
      <c r="J28" s="111">
        <v>800.0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</row>
    <row r="29">
      <c r="A29" s="25"/>
      <c r="B29" s="56"/>
      <c r="C29" s="56"/>
      <c r="D29" s="27"/>
      <c r="E29" s="27"/>
      <c r="F29" s="27"/>
      <c r="G29" s="27"/>
      <c r="H29" s="27"/>
      <c r="I29" s="108" t="s">
        <v>216</v>
      </c>
      <c r="J29" s="111">
        <v>1200.0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</row>
    <row r="30">
      <c r="A30" s="25"/>
      <c r="B30" s="26"/>
      <c r="C30" s="26"/>
      <c r="D30" s="27"/>
      <c r="E30" s="27"/>
      <c r="F30" s="27"/>
      <c r="G30" s="27"/>
      <c r="H30" s="27"/>
      <c r="I30" s="108" t="s">
        <v>217</v>
      </c>
      <c r="J30" s="111">
        <v>1500.0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</row>
    <row r="31">
      <c r="A31" s="25"/>
      <c r="B31" s="26"/>
      <c r="C31" s="26"/>
      <c r="D31" s="27"/>
      <c r="E31" s="27"/>
      <c r="F31" s="27"/>
      <c r="G31" s="27"/>
      <c r="H31" s="27"/>
      <c r="I31" s="108" t="s">
        <v>218</v>
      </c>
      <c r="J31" s="111">
        <v>1100.0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</row>
    <row r="32">
      <c r="A32" s="25"/>
      <c r="B32" s="26"/>
      <c r="C32" s="26"/>
      <c r="D32" s="27"/>
      <c r="E32" s="27"/>
      <c r="F32" s="27"/>
      <c r="G32" s="27"/>
      <c r="H32" s="27"/>
      <c r="I32" s="108" t="s">
        <v>219</v>
      </c>
      <c r="J32" s="111">
        <v>900.0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</row>
    <row r="33">
      <c r="A33" s="25"/>
      <c r="B33" s="26"/>
      <c r="C33" s="26"/>
      <c r="D33" s="27"/>
      <c r="E33" s="27"/>
      <c r="F33" s="27"/>
      <c r="G33" s="27"/>
      <c r="H33" s="27"/>
      <c r="I33" s="108" t="s">
        <v>220</v>
      </c>
      <c r="J33" s="111">
        <v>1300.0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</row>
    <row r="34">
      <c r="A34" s="25"/>
      <c r="B34" s="26"/>
      <c r="C34" s="26"/>
      <c r="D34" s="27"/>
      <c r="E34" s="27"/>
      <c r="F34" s="27"/>
      <c r="G34" s="27"/>
      <c r="H34" s="27"/>
      <c r="I34" s="108" t="s">
        <v>221</v>
      </c>
      <c r="J34" s="111">
        <v>1700.0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</row>
    <row r="35">
      <c r="A35" s="25"/>
      <c r="B35" s="26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</row>
    <row r="36">
      <c r="A36" s="25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</row>
    <row r="37">
      <c r="A37" s="25"/>
      <c r="B37" s="26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</row>
    <row r="38">
      <c r="A38" s="25"/>
      <c r="B38" s="26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</row>
    <row r="39">
      <c r="A39" s="25"/>
      <c r="B39" s="26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</row>
    <row r="40">
      <c r="A40" s="25"/>
      <c r="B40" s="26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</row>
    <row r="41">
      <c r="A41" s="25"/>
      <c r="B41" s="26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</row>
    <row r="42">
      <c r="A42" s="25"/>
      <c r="B42" s="26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</row>
    <row r="43">
      <c r="A43" s="25"/>
      <c r="B43" s="26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</row>
    <row r="44">
      <c r="A44" s="25"/>
      <c r="B44" s="26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</row>
    <row r="45">
      <c r="A45" s="25"/>
      <c r="B45" s="26"/>
      <c r="C45" s="26"/>
      <c r="D45" s="27"/>
      <c r="E45" s="32" t="s">
        <v>243</v>
      </c>
      <c r="F45" s="33"/>
      <c r="G45" s="33"/>
      <c r="H45" s="34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</row>
    <row r="46">
      <c r="A46" s="25"/>
      <c r="B46" s="26"/>
      <c r="C46" s="26"/>
      <c r="D46" s="27"/>
      <c r="E46" s="27"/>
      <c r="F46" s="27"/>
      <c r="G46" s="27"/>
      <c r="H46" s="27"/>
      <c r="I46" s="41" t="s">
        <v>250</v>
      </c>
      <c r="J46" s="33"/>
      <c r="K46" s="33"/>
      <c r="L46" s="34"/>
      <c r="M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</row>
    <row r="47">
      <c r="A47" s="25"/>
      <c r="B47" s="26"/>
      <c r="C47" s="26"/>
      <c r="D47" s="27"/>
      <c r="E47" s="27"/>
      <c r="F47" s="27"/>
      <c r="G47" s="27"/>
      <c r="H47" s="27"/>
      <c r="I47" s="105" t="s">
        <v>47</v>
      </c>
      <c r="J47" s="105" t="s">
        <v>258</v>
      </c>
      <c r="K47" s="105" t="s">
        <v>259</v>
      </c>
      <c r="L47" s="27"/>
      <c r="M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</row>
    <row r="48">
      <c r="A48" s="25"/>
      <c r="B48" s="26"/>
      <c r="C48" s="26"/>
      <c r="D48" s="27"/>
      <c r="E48" s="27"/>
      <c r="F48" s="27"/>
      <c r="G48" s="27"/>
      <c r="H48" s="27"/>
      <c r="I48" s="108" t="s">
        <v>188</v>
      </c>
      <c r="J48" s="109">
        <v>1633.0</v>
      </c>
      <c r="K48" s="109">
        <v>1150.0</v>
      </c>
      <c r="L48" s="27"/>
      <c r="M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</row>
    <row r="49">
      <c r="A49" s="25"/>
      <c r="B49" s="26"/>
      <c r="C49" s="26"/>
      <c r="D49" s="27"/>
      <c r="E49" s="27"/>
      <c r="F49" s="27"/>
      <c r="G49" s="27"/>
      <c r="H49" s="27"/>
      <c r="I49" s="108" t="s">
        <v>193</v>
      </c>
      <c r="J49" s="109">
        <v>777.0</v>
      </c>
      <c r="K49" s="109">
        <v>1250.0</v>
      </c>
      <c r="L49" s="27"/>
      <c r="M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</row>
    <row r="50">
      <c r="A50" s="25"/>
      <c r="B50" s="26"/>
      <c r="C50" s="26"/>
      <c r="D50" s="27"/>
      <c r="E50" s="27"/>
      <c r="F50" s="27"/>
      <c r="G50" s="27"/>
      <c r="H50" s="27"/>
      <c r="I50" s="108" t="s">
        <v>195</v>
      </c>
      <c r="J50" s="109">
        <v>1512.0</v>
      </c>
      <c r="K50" s="109">
        <v>1350.0</v>
      </c>
      <c r="L50" s="27"/>
      <c r="M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</row>
    <row r="51">
      <c r="A51" s="25"/>
      <c r="B51" s="26"/>
      <c r="C51" s="26"/>
      <c r="D51" s="27"/>
      <c r="E51" s="27"/>
      <c r="F51" s="27"/>
      <c r="G51" s="27"/>
      <c r="H51" s="27"/>
      <c r="I51" s="108" t="s">
        <v>197</v>
      </c>
      <c r="J51" s="109">
        <v>1596.0</v>
      </c>
      <c r="K51" s="109">
        <v>1400.0</v>
      </c>
      <c r="L51" s="27"/>
      <c r="M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</row>
    <row r="52">
      <c r="A52" s="25"/>
      <c r="B52" s="60" t="s">
        <v>274</v>
      </c>
      <c r="C52" s="60"/>
      <c r="D52" s="27"/>
      <c r="E52" s="27"/>
      <c r="F52" s="27"/>
      <c r="G52" s="27"/>
      <c r="H52" s="27"/>
      <c r="I52" s="108" t="s">
        <v>57</v>
      </c>
      <c r="J52" s="109">
        <v>1665.0</v>
      </c>
      <c r="K52" s="109">
        <v>1500.0</v>
      </c>
      <c r="L52" s="27"/>
      <c r="M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</row>
    <row r="53">
      <c r="A53" s="25"/>
      <c r="B53" s="31"/>
      <c r="C53" s="31"/>
      <c r="D53" s="27"/>
      <c r="E53" s="27"/>
      <c r="F53" s="27"/>
      <c r="G53" s="27"/>
      <c r="H53" s="27"/>
      <c r="I53" s="108" t="s">
        <v>200</v>
      </c>
      <c r="J53" s="109">
        <v>1457.0</v>
      </c>
      <c r="K53" s="109">
        <v>1550.0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</row>
    <row r="54">
      <c r="A54" s="25"/>
      <c r="B54" s="31"/>
      <c r="C54" s="31"/>
      <c r="D54" s="27"/>
      <c r="E54" s="27"/>
      <c r="F54" s="27"/>
      <c r="G54" s="27"/>
      <c r="H54" s="27"/>
      <c r="I54" s="108" t="s">
        <v>202</v>
      </c>
      <c r="J54" s="109">
        <v>1485.0</v>
      </c>
      <c r="K54" s="109">
        <v>1650.0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</row>
    <row r="55">
      <c r="A55" s="25"/>
      <c r="B55" s="61" t="s">
        <v>278</v>
      </c>
      <c r="C55" s="61"/>
      <c r="D55" s="27"/>
      <c r="E55" s="27"/>
      <c r="F55" s="27"/>
      <c r="G55" s="27"/>
      <c r="H55" s="27"/>
      <c r="I55" s="108" t="s">
        <v>204</v>
      </c>
      <c r="J55" s="109">
        <v>2091.0</v>
      </c>
      <c r="K55" s="109">
        <v>1700.0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</row>
    <row r="56">
      <c r="A56" s="25"/>
      <c r="B56" s="26"/>
      <c r="C56" s="26"/>
      <c r="D56" s="27"/>
      <c r="E56" s="27"/>
      <c r="F56" s="27"/>
      <c r="G56" s="27"/>
      <c r="H56" s="27"/>
      <c r="I56" s="108" t="s">
        <v>205</v>
      </c>
      <c r="J56" s="109">
        <v>1541.0</v>
      </c>
      <c r="K56" s="109">
        <v>1800.0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</row>
    <row r="57">
      <c r="A57" s="25"/>
      <c r="B57" s="26"/>
      <c r="C57" s="26"/>
      <c r="D57" s="27"/>
      <c r="E57" s="27"/>
      <c r="F57" s="27"/>
      <c r="G57" s="27"/>
      <c r="H57" s="27"/>
      <c r="I57" s="108" t="s">
        <v>207</v>
      </c>
      <c r="J57" s="109">
        <v>2461.0</v>
      </c>
      <c r="K57" s="109">
        <v>1850.0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</row>
    <row r="58">
      <c r="A58" s="25"/>
      <c r="B58" s="26"/>
      <c r="C58" s="26"/>
      <c r="D58" s="27"/>
      <c r="E58" s="27"/>
      <c r="F58" s="27"/>
      <c r="G58" s="27"/>
      <c r="H58" s="27"/>
      <c r="I58" s="108" t="s">
        <v>209</v>
      </c>
      <c r="J58" s="109">
        <v>2071.0</v>
      </c>
      <c r="K58" s="109">
        <v>1900.0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</row>
    <row r="59">
      <c r="A59" s="25"/>
      <c r="B59" s="26"/>
      <c r="C59" s="26"/>
      <c r="D59" s="27"/>
      <c r="E59" s="27"/>
      <c r="F59" s="27"/>
      <c r="G59" s="27"/>
      <c r="H59" s="27"/>
      <c r="I59" s="108" t="s">
        <v>210</v>
      </c>
      <c r="J59" s="109">
        <v>2740.0</v>
      </c>
      <c r="K59" s="109">
        <v>2000.0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</row>
    <row r="60">
      <c r="A60" s="25"/>
      <c r="B60" s="26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</row>
    <row r="61">
      <c r="A61" s="25"/>
      <c r="B61" s="26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</row>
    <row r="62">
      <c r="A62" s="25"/>
      <c r="B62" s="26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</row>
    <row r="63">
      <c r="A63" s="25"/>
      <c r="B63" s="26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</row>
    <row r="64">
      <c r="A64" s="25"/>
      <c r="B64" s="26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</row>
    <row r="65">
      <c r="A65" s="25"/>
      <c r="B65" s="26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</row>
    <row r="66">
      <c r="A66" s="25"/>
      <c r="B66" s="26"/>
      <c r="C66" s="26"/>
      <c r="D66" s="27"/>
      <c r="E66" s="32" t="s">
        <v>313</v>
      </c>
      <c r="F66" s="33"/>
      <c r="G66" s="33"/>
      <c r="H66" s="34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</row>
    <row r="67">
      <c r="A67" s="25"/>
      <c r="B67" s="26"/>
      <c r="C67" s="26"/>
      <c r="D67" s="27"/>
      <c r="E67" s="27"/>
      <c r="F67" s="27"/>
      <c r="G67" s="27"/>
      <c r="H67" s="27"/>
      <c r="I67" s="41" t="s">
        <v>314</v>
      </c>
      <c r="J67" s="33"/>
      <c r="K67" s="33"/>
      <c r="L67" s="34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</row>
    <row r="68">
      <c r="A68" s="25"/>
      <c r="B68" s="26"/>
      <c r="C68" s="26"/>
      <c r="D68" s="27"/>
      <c r="E68" s="27"/>
      <c r="F68" s="27"/>
      <c r="G68" s="27"/>
      <c r="H68" s="27"/>
      <c r="I68" s="118" t="s">
        <v>315</v>
      </c>
      <c r="J68" s="118" t="s">
        <v>316</v>
      </c>
      <c r="K68" s="118" t="s">
        <v>317</v>
      </c>
      <c r="L68" s="106" t="s">
        <v>318</v>
      </c>
      <c r="M68" s="106" t="s">
        <v>319</v>
      </c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</row>
    <row r="69">
      <c r="A69" s="25"/>
      <c r="B69" s="26"/>
      <c r="C69" s="26"/>
      <c r="D69" s="27"/>
      <c r="E69" s="27"/>
      <c r="F69" s="27"/>
      <c r="G69" s="27"/>
      <c r="H69" s="27"/>
      <c r="I69" s="126" t="s">
        <v>320</v>
      </c>
      <c r="J69" s="112">
        <v>1200.0</v>
      </c>
      <c r="K69" s="112">
        <v>1176.0</v>
      </c>
      <c r="L69" s="82">
        <f t="shared" ref="L69:L78" si="1">IF(K69&gt;=J69,,K69)</f>
        <v>1176</v>
      </c>
      <c r="M69" s="127" t="str">
        <f t="shared" ref="M69:M78" si="2">IF(K69&gt;J69,K69,)</f>
        <v/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</row>
    <row r="70">
      <c r="A70" s="25"/>
      <c r="B70" s="26"/>
      <c r="C70" s="26"/>
      <c r="D70" s="27"/>
      <c r="E70" s="27"/>
      <c r="F70" s="27"/>
      <c r="G70" s="27"/>
      <c r="H70" s="27"/>
      <c r="I70" s="126" t="s">
        <v>321</v>
      </c>
      <c r="J70" s="112">
        <v>3000.0</v>
      </c>
      <c r="K70" s="112">
        <v>2760.0</v>
      </c>
      <c r="L70" s="82">
        <f t="shared" si="1"/>
        <v>2760</v>
      </c>
      <c r="M70" s="127" t="str">
        <f t="shared" si="2"/>
        <v/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</row>
    <row r="71">
      <c r="A71" s="25"/>
      <c r="B71" s="26"/>
      <c r="C71" s="26"/>
      <c r="D71" s="27"/>
      <c r="E71" s="27"/>
      <c r="F71" s="27"/>
      <c r="G71" s="27"/>
      <c r="H71" s="27"/>
      <c r="I71" s="126" t="s">
        <v>77</v>
      </c>
      <c r="J71" s="112">
        <v>2500.0</v>
      </c>
      <c r="K71" s="112">
        <v>2650.0</v>
      </c>
      <c r="L71" s="82" t="str">
        <f t="shared" si="1"/>
        <v/>
      </c>
      <c r="M71" s="82">
        <f t="shared" si="2"/>
        <v>2650</v>
      </c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</row>
    <row r="72">
      <c r="A72" s="25"/>
      <c r="B72" s="26"/>
      <c r="C72" s="26"/>
      <c r="D72" s="27"/>
      <c r="E72" s="27"/>
      <c r="F72" s="27"/>
      <c r="G72" s="27"/>
      <c r="H72" s="27"/>
      <c r="I72" s="126" t="s">
        <v>78</v>
      </c>
      <c r="J72" s="112">
        <v>4000.0</v>
      </c>
      <c r="K72" s="112">
        <v>3480.0</v>
      </c>
      <c r="L72" s="82">
        <f t="shared" si="1"/>
        <v>3480</v>
      </c>
      <c r="M72" s="127" t="str">
        <f t="shared" si="2"/>
        <v/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</row>
    <row r="73">
      <c r="A73" s="25"/>
      <c r="B73" s="26"/>
      <c r="C73" s="26"/>
      <c r="D73" s="27"/>
      <c r="E73" s="27"/>
      <c r="F73" s="27"/>
      <c r="G73" s="27"/>
      <c r="H73" s="27"/>
      <c r="I73" s="126" t="s">
        <v>323</v>
      </c>
      <c r="J73" s="112">
        <v>1500.0</v>
      </c>
      <c r="K73" s="112">
        <v>1425.0</v>
      </c>
      <c r="L73" s="82">
        <f t="shared" si="1"/>
        <v>1425</v>
      </c>
      <c r="M73" s="127" t="str">
        <f t="shared" si="2"/>
        <v/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</row>
    <row r="74">
      <c r="A74" s="25"/>
      <c r="B74" s="26"/>
      <c r="C74" s="26"/>
      <c r="D74" s="27"/>
      <c r="E74" s="27"/>
      <c r="F74" s="27"/>
      <c r="G74" s="27"/>
      <c r="H74" s="27"/>
      <c r="I74" s="126" t="s">
        <v>325</v>
      </c>
      <c r="J74" s="112">
        <v>5000.0</v>
      </c>
      <c r="K74" s="112">
        <v>5400.0</v>
      </c>
      <c r="L74" s="82" t="str">
        <f t="shared" si="1"/>
        <v/>
      </c>
      <c r="M74" s="82">
        <f t="shared" si="2"/>
        <v>5400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</row>
    <row r="75">
      <c r="A75" s="25"/>
      <c r="B75" s="26"/>
      <c r="C75" s="26"/>
      <c r="D75" s="27"/>
      <c r="E75" s="27"/>
      <c r="F75" s="27"/>
      <c r="G75" s="27"/>
      <c r="H75" s="27"/>
      <c r="I75" s="126" t="s">
        <v>329</v>
      </c>
      <c r="J75" s="112">
        <v>2200.0</v>
      </c>
      <c r="K75" s="112">
        <v>2024.0</v>
      </c>
      <c r="L75" s="82">
        <f t="shared" si="1"/>
        <v>2024</v>
      </c>
      <c r="M75" s="127" t="str">
        <f t="shared" si="2"/>
        <v/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</row>
    <row r="76">
      <c r="A76" s="25"/>
      <c r="B76" s="26"/>
      <c r="C76" s="26"/>
      <c r="D76" s="27"/>
      <c r="E76" s="27"/>
      <c r="F76" s="27"/>
      <c r="G76" s="27"/>
      <c r="H76" s="27"/>
      <c r="I76" s="126" t="s">
        <v>337</v>
      </c>
      <c r="J76" s="112">
        <v>3500.0</v>
      </c>
      <c r="K76" s="112">
        <v>3360.0</v>
      </c>
      <c r="L76" s="82">
        <f t="shared" si="1"/>
        <v>3360</v>
      </c>
      <c r="M76" s="127" t="str">
        <f t="shared" si="2"/>
        <v/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</row>
    <row r="77">
      <c r="A77" s="25"/>
      <c r="B77" s="26"/>
      <c r="C77" s="26"/>
      <c r="D77" s="27"/>
      <c r="E77" s="27"/>
      <c r="F77" s="27"/>
      <c r="G77" s="27"/>
      <c r="H77" s="27"/>
      <c r="I77" s="126" t="s">
        <v>76</v>
      </c>
      <c r="J77" s="112">
        <v>7000.0</v>
      </c>
      <c r="K77" s="112">
        <v>7630.0</v>
      </c>
      <c r="L77" s="82" t="str">
        <f t="shared" si="1"/>
        <v/>
      </c>
      <c r="M77" s="82">
        <f t="shared" si="2"/>
        <v>7630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</row>
    <row r="78">
      <c r="A78" s="25"/>
      <c r="B78" s="26"/>
      <c r="C78" s="26"/>
      <c r="D78" s="27"/>
      <c r="E78" s="27"/>
      <c r="F78" s="27"/>
      <c r="G78" s="27"/>
      <c r="H78" s="27"/>
      <c r="I78" s="126" t="s">
        <v>79</v>
      </c>
      <c r="J78" s="112">
        <v>1800.0</v>
      </c>
      <c r="K78" s="112">
        <v>1620.0</v>
      </c>
      <c r="L78" s="82">
        <f t="shared" si="1"/>
        <v>1620</v>
      </c>
      <c r="M78" s="127" t="str">
        <f t="shared" si="2"/>
        <v/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</row>
    <row r="79">
      <c r="A79" s="25"/>
      <c r="B79" s="26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</row>
    <row r="80">
      <c r="A80" s="25"/>
      <c r="B80" s="26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</row>
    <row r="81">
      <c r="A81" s="25"/>
      <c r="B81" s="26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</row>
    <row r="82">
      <c r="A82" s="25"/>
      <c r="B82" s="26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</row>
    <row r="83">
      <c r="A83" s="25"/>
      <c r="B83" s="26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</row>
    <row r="84">
      <c r="A84" s="25"/>
      <c r="B84" s="26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</row>
    <row r="85">
      <c r="A85" s="25"/>
      <c r="B85" s="26"/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</row>
    <row r="86">
      <c r="A86" s="25"/>
      <c r="B86" s="26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</row>
    <row r="87">
      <c r="A87" s="25"/>
      <c r="B87" s="26"/>
      <c r="C87" s="26"/>
      <c r="D87" s="27"/>
      <c r="E87" s="32" t="s">
        <v>368</v>
      </c>
      <c r="F87" s="33"/>
      <c r="G87" s="33"/>
      <c r="H87" s="34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</row>
    <row r="88">
      <c r="A88" s="25"/>
      <c r="B88" s="26"/>
      <c r="C88" s="26"/>
      <c r="D88" s="27"/>
      <c r="E88" s="27"/>
      <c r="F88" s="27"/>
      <c r="G88" s="27"/>
      <c r="H88" s="27"/>
      <c r="I88" s="41" t="s">
        <v>398</v>
      </c>
      <c r="J88" s="33"/>
      <c r="K88" s="33"/>
      <c r="L88" s="34"/>
      <c r="M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</row>
    <row r="89">
      <c r="A89" s="25"/>
      <c r="B89" s="26"/>
      <c r="C89" s="26"/>
      <c r="D89" s="27"/>
      <c r="E89" s="27"/>
      <c r="F89" s="27"/>
      <c r="G89" s="27"/>
      <c r="H89" s="27"/>
      <c r="I89" s="160" t="s">
        <v>399</v>
      </c>
      <c r="J89" s="160" t="s">
        <v>400</v>
      </c>
      <c r="K89" s="160" t="s">
        <v>401</v>
      </c>
      <c r="L89" s="160" t="s">
        <v>402</v>
      </c>
      <c r="M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</row>
    <row r="90">
      <c r="A90" s="25"/>
      <c r="B90" s="26"/>
      <c r="C90" s="26"/>
      <c r="D90" s="27"/>
      <c r="E90" s="27"/>
      <c r="F90" s="27"/>
      <c r="G90" s="27"/>
      <c r="H90" s="27"/>
      <c r="I90" s="108" t="s">
        <v>405</v>
      </c>
      <c r="J90" s="109">
        <v>61.0</v>
      </c>
      <c r="K90" s="109">
        <v>83.0</v>
      </c>
      <c r="L90" s="109">
        <v>64.0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</row>
    <row r="91">
      <c r="A91" s="25"/>
      <c r="B91" s="26"/>
      <c r="C91" s="26"/>
      <c r="D91" s="27"/>
      <c r="E91" s="27"/>
      <c r="F91" s="27"/>
      <c r="G91" s="27"/>
      <c r="H91" s="27"/>
      <c r="I91" s="108" t="s">
        <v>406</v>
      </c>
      <c r="J91" s="109">
        <v>86.0</v>
      </c>
      <c r="K91" s="109">
        <v>66.0</v>
      </c>
      <c r="L91" s="109">
        <v>93.0</v>
      </c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</row>
    <row r="92">
      <c r="A92" s="25"/>
      <c r="B92" s="26"/>
      <c r="C92" s="26"/>
      <c r="D92" s="27"/>
      <c r="E92" s="27"/>
      <c r="F92" s="27"/>
      <c r="G92" s="27"/>
      <c r="H92" s="27"/>
      <c r="I92" s="108" t="s">
        <v>408</v>
      </c>
      <c r="J92" s="109">
        <v>72.0</v>
      </c>
      <c r="K92" s="109">
        <v>56.0</v>
      </c>
      <c r="L92" s="109">
        <v>92.0</v>
      </c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</row>
    <row r="93">
      <c r="A93" s="25"/>
      <c r="B93" s="26"/>
      <c r="C93" s="26"/>
      <c r="D93" s="27"/>
      <c r="E93" s="27"/>
      <c r="F93" s="27"/>
      <c r="G93" s="27"/>
      <c r="H93" s="27"/>
      <c r="I93" s="108" t="s">
        <v>409</v>
      </c>
      <c r="J93" s="109">
        <v>90.0</v>
      </c>
      <c r="K93" s="109">
        <v>95.0</v>
      </c>
      <c r="L93" s="109">
        <v>72.0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</row>
    <row r="94">
      <c r="A94" s="25"/>
      <c r="B94" s="26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</row>
    <row r="95">
      <c r="A95" s="25"/>
      <c r="B95" s="26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</row>
    <row r="96">
      <c r="A96" s="25"/>
      <c r="B96" s="26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</row>
    <row r="97">
      <c r="A97" s="25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</row>
    <row r="98">
      <c r="A98" s="25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</row>
    <row r="99">
      <c r="A99" s="25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</row>
    <row r="100">
      <c r="A100" s="25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</row>
    <row r="101">
      <c r="A101" s="25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</row>
    <row r="102">
      <c r="A102" s="25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</row>
    <row r="103">
      <c r="A103" s="25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</row>
    <row r="104">
      <c r="A104" s="25"/>
      <c r="B104" s="26"/>
      <c r="C104" s="26"/>
      <c r="D104" s="76"/>
      <c r="E104" s="27"/>
      <c r="F104" s="27"/>
      <c r="G104" s="27"/>
      <c r="H104" s="27"/>
      <c r="I104" s="27"/>
      <c r="J104" s="27"/>
      <c r="K104" s="27"/>
      <c r="L104" s="27"/>
      <c r="M104" s="27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</row>
    <row r="105">
      <c r="A105" s="25"/>
      <c r="B105" s="26"/>
      <c r="C105" s="26"/>
      <c r="D105" s="76"/>
      <c r="E105" s="27"/>
      <c r="F105" s="27"/>
      <c r="G105" s="27"/>
      <c r="H105" s="27"/>
      <c r="I105" s="27"/>
      <c r="J105" s="27"/>
      <c r="K105" s="27"/>
      <c r="L105" s="27"/>
      <c r="M105" s="27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</row>
    <row r="106">
      <c r="A106" s="25"/>
      <c r="B106" s="26"/>
      <c r="C106" s="26"/>
      <c r="D106" s="76"/>
      <c r="E106" s="27"/>
      <c r="F106" s="27"/>
      <c r="G106" s="27"/>
      <c r="H106" s="27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</row>
    <row r="107">
      <c r="A107" s="25"/>
      <c r="B107" s="26"/>
      <c r="C107" s="26"/>
      <c r="D107" s="76"/>
      <c r="E107" s="27"/>
      <c r="F107" s="27"/>
      <c r="G107" s="27"/>
      <c r="H107" s="27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</row>
    <row r="108">
      <c r="A108" s="25"/>
      <c r="B108" s="26"/>
      <c r="C108" s="26"/>
      <c r="D108" s="76"/>
      <c r="E108" s="32" t="s">
        <v>370</v>
      </c>
      <c r="F108" s="33"/>
      <c r="G108" s="33"/>
      <c r="H108" s="34"/>
      <c r="I108" s="41" t="s">
        <v>434</v>
      </c>
      <c r="J108" s="33"/>
      <c r="K108" s="33"/>
      <c r="L108" s="34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</row>
    <row r="109">
      <c r="A109" s="25"/>
      <c r="B109" s="26"/>
      <c r="C109" s="26"/>
      <c r="D109" s="76"/>
      <c r="E109" s="27"/>
      <c r="F109" s="27"/>
      <c r="G109" s="27"/>
      <c r="H109" s="27"/>
      <c r="I109" s="175" t="s">
        <v>47</v>
      </c>
      <c r="J109" s="176" t="s">
        <v>425</v>
      </c>
      <c r="K109" s="33"/>
      <c r="L109" s="33"/>
      <c r="M109" s="34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</row>
    <row r="110">
      <c r="A110" s="25"/>
      <c r="B110" s="26"/>
      <c r="C110" s="26"/>
      <c r="D110" s="27"/>
      <c r="E110" s="27"/>
      <c r="F110" s="27"/>
      <c r="G110" s="27"/>
      <c r="H110" s="27"/>
      <c r="I110" s="85"/>
      <c r="J110" s="44" t="s">
        <v>42</v>
      </c>
      <c r="K110" s="44" t="s">
        <v>438</v>
      </c>
      <c r="L110" s="44" t="s">
        <v>44</v>
      </c>
      <c r="M110" s="44" t="s">
        <v>439</v>
      </c>
      <c r="N110" s="76"/>
      <c r="O110" s="76"/>
      <c r="P110" s="76"/>
      <c r="Q110" s="76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</row>
    <row r="111">
      <c r="A111" s="25"/>
      <c r="B111" s="26"/>
      <c r="C111" s="26"/>
      <c r="D111" s="27"/>
      <c r="E111" s="27"/>
      <c r="F111" s="27"/>
      <c r="G111" s="27"/>
      <c r="H111" s="27"/>
      <c r="I111" s="45" t="s">
        <v>188</v>
      </c>
      <c r="J111" s="177">
        <v>0.236</v>
      </c>
      <c r="K111" s="177">
        <v>0.241</v>
      </c>
      <c r="L111" s="177">
        <v>0.229</v>
      </c>
      <c r="M111" s="177">
        <v>0.29400000000000004</v>
      </c>
      <c r="N111" s="76"/>
      <c r="O111" s="76"/>
      <c r="P111" s="76"/>
      <c r="Q111" s="76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</row>
    <row r="112">
      <c r="A112" s="25"/>
      <c r="B112" s="26"/>
      <c r="C112" s="26"/>
      <c r="D112" s="27"/>
      <c r="E112" s="27"/>
      <c r="F112" s="27"/>
      <c r="G112" s="27"/>
      <c r="H112" s="27"/>
      <c r="I112" s="45" t="s">
        <v>193</v>
      </c>
      <c r="J112" s="177">
        <v>0.254</v>
      </c>
      <c r="K112" s="177">
        <v>0.265</v>
      </c>
      <c r="L112" s="177">
        <v>0.268</v>
      </c>
      <c r="M112" s="177">
        <v>0.21299999999999997</v>
      </c>
      <c r="N112" s="76"/>
      <c r="O112" s="76"/>
      <c r="P112" s="76"/>
      <c r="Q112" s="76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</row>
    <row r="113">
      <c r="A113" s="25"/>
      <c r="B113" s="26"/>
      <c r="C113" s="26"/>
      <c r="D113" s="27"/>
      <c r="E113" s="27"/>
      <c r="F113" s="27"/>
      <c r="G113" s="27"/>
      <c r="H113" s="27"/>
      <c r="I113" s="45" t="s">
        <v>195</v>
      </c>
      <c r="J113" s="178">
        <v>0.13</v>
      </c>
      <c r="K113" s="178">
        <v>0.27</v>
      </c>
      <c r="L113" s="178">
        <v>0.23</v>
      </c>
      <c r="M113" s="178">
        <v>0.37</v>
      </c>
      <c r="N113" s="76"/>
      <c r="O113" s="76"/>
      <c r="P113" s="76"/>
      <c r="Q113" s="76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</row>
    <row r="114">
      <c r="A114" s="25"/>
      <c r="B114" s="26"/>
      <c r="C114" s="26"/>
      <c r="D114" s="27"/>
      <c r="E114" s="27"/>
      <c r="F114" s="27"/>
      <c r="G114" s="27"/>
      <c r="H114" s="27"/>
      <c r="I114" s="45" t="s">
        <v>197</v>
      </c>
      <c r="J114" s="177">
        <v>0.249</v>
      </c>
      <c r="K114" s="177">
        <v>0.227</v>
      </c>
      <c r="L114" s="177">
        <v>0.23</v>
      </c>
      <c r="M114" s="177">
        <v>0.29400000000000004</v>
      </c>
      <c r="N114" s="76"/>
      <c r="O114" s="76"/>
      <c r="P114" s="76"/>
      <c r="Q114" s="76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</row>
    <row r="115">
      <c r="A115" s="25"/>
      <c r="B115" s="26"/>
      <c r="C115" s="26"/>
      <c r="D115" s="27"/>
      <c r="E115" s="27"/>
      <c r="F115" s="27"/>
      <c r="G115" s="27"/>
      <c r="H115" s="27"/>
      <c r="I115" s="45" t="s">
        <v>57</v>
      </c>
      <c r="J115" s="178">
        <v>0.2</v>
      </c>
      <c r="K115" s="178">
        <v>0.14</v>
      </c>
      <c r="L115" s="178">
        <v>0.41</v>
      </c>
      <c r="M115" s="177">
        <v>0.25</v>
      </c>
      <c r="N115" s="76"/>
      <c r="O115" s="76"/>
      <c r="P115" s="76"/>
      <c r="Q115" s="76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</row>
    <row r="116">
      <c r="A116" s="25"/>
      <c r="B116" s="26"/>
      <c r="C116" s="26"/>
      <c r="D116" s="27"/>
      <c r="E116" s="27"/>
      <c r="F116" s="27"/>
      <c r="G116" s="27"/>
      <c r="H116" s="27"/>
      <c r="I116" s="45" t="s">
        <v>200</v>
      </c>
      <c r="J116" s="177">
        <v>0.268</v>
      </c>
      <c r="K116" s="177">
        <v>0.246</v>
      </c>
      <c r="L116" s="177">
        <v>0.245</v>
      </c>
      <c r="M116" s="177">
        <v>0.241</v>
      </c>
      <c r="N116" s="76"/>
      <c r="O116" s="76"/>
      <c r="P116" s="76"/>
      <c r="Q116" s="76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</row>
    <row r="117">
      <c r="A117" s="25"/>
      <c r="B117" s="26"/>
      <c r="C117" s="26"/>
      <c r="D117" s="27"/>
      <c r="E117" s="27"/>
      <c r="F117" s="27"/>
      <c r="G117" s="27"/>
      <c r="H117" s="27"/>
      <c r="I117" s="45" t="s">
        <v>202</v>
      </c>
      <c r="J117" s="178">
        <v>0.34</v>
      </c>
      <c r="K117" s="178">
        <v>0.14</v>
      </c>
      <c r="L117" s="178">
        <v>0.25</v>
      </c>
      <c r="M117" s="177">
        <v>0.268</v>
      </c>
      <c r="N117" s="76"/>
      <c r="O117" s="76"/>
      <c r="P117" s="76"/>
      <c r="Q117" s="76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</row>
    <row r="118">
      <c r="A118" s="25"/>
      <c r="B118" s="26"/>
      <c r="C118" s="26"/>
      <c r="D118" s="27"/>
      <c r="E118" s="27"/>
      <c r="F118" s="27"/>
      <c r="G118" s="27"/>
      <c r="H118" s="27"/>
      <c r="I118" s="45" t="s">
        <v>204</v>
      </c>
      <c r="J118" s="177">
        <v>0.262</v>
      </c>
      <c r="K118" s="177">
        <v>0.254</v>
      </c>
      <c r="L118" s="177">
        <v>0.267</v>
      </c>
      <c r="M118" s="177">
        <v>0.21699999999999997</v>
      </c>
      <c r="N118" s="76"/>
      <c r="O118" s="76"/>
      <c r="P118" s="76"/>
      <c r="Q118" s="76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</row>
    <row r="119">
      <c r="A119" s="25"/>
      <c r="B119" s="26"/>
      <c r="C119" s="26"/>
      <c r="D119" s="27"/>
      <c r="E119" s="27"/>
      <c r="F119" s="27"/>
      <c r="G119" s="27"/>
      <c r="H119" s="27"/>
      <c r="I119" s="45" t="s">
        <v>205</v>
      </c>
      <c r="J119" s="177">
        <v>0.262</v>
      </c>
      <c r="K119" s="177">
        <v>0.252</v>
      </c>
      <c r="L119" s="177">
        <v>0.242</v>
      </c>
      <c r="M119" s="177">
        <v>0.244</v>
      </c>
      <c r="N119" s="76"/>
      <c r="O119" s="76"/>
      <c r="P119" s="76"/>
      <c r="Q119" s="76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</row>
    <row r="120">
      <c r="A120" s="25"/>
      <c r="B120" s="26"/>
      <c r="C120" s="26"/>
      <c r="D120" s="27"/>
      <c r="E120" s="27"/>
      <c r="F120" s="27"/>
      <c r="G120" s="27"/>
      <c r="H120" s="27"/>
      <c r="I120" s="45" t="s">
        <v>207</v>
      </c>
      <c r="J120" s="177">
        <v>0.237</v>
      </c>
      <c r="K120" s="177">
        <v>0.231</v>
      </c>
      <c r="L120" s="178">
        <v>0.39</v>
      </c>
      <c r="M120" s="178">
        <v>0.14</v>
      </c>
      <c r="N120" s="76"/>
      <c r="O120" s="76"/>
      <c r="P120" s="76"/>
      <c r="Q120" s="76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</row>
    <row r="121">
      <c r="A121" s="25"/>
      <c r="B121" s="26"/>
      <c r="C121" s="26"/>
      <c r="D121" s="27"/>
      <c r="E121" s="27"/>
      <c r="F121" s="27"/>
      <c r="G121" s="27"/>
      <c r="H121" s="27"/>
      <c r="I121" s="45" t="s">
        <v>209</v>
      </c>
      <c r="J121" s="177">
        <v>0.23</v>
      </c>
      <c r="K121" s="177">
        <v>0.257</v>
      </c>
      <c r="L121" s="177">
        <v>0.225</v>
      </c>
      <c r="M121" s="177">
        <v>0.28800000000000003</v>
      </c>
      <c r="N121" s="76"/>
      <c r="O121" s="76"/>
      <c r="P121" s="76"/>
      <c r="Q121" s="76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</row>
    <row r="122">
      <c r="A122" s="25"/>
      <c r="B122" s="26"/>
      <c r="C122" s="26"/>
      <c r="D122" s="27"/>
      <c r="E122" s="27"/>
      <c r="F122" s="27"/>
      <c r="G122" s="27"/>
      <c r="H122" s="27"/>
      <c r="I122" s="45" t="s">
        <v>210</v>
      </c>
      <c r="J122" s="177">
        <v>0.259</v>
      </c>
      <c r="K122" s="177">
        <v>0.269</v>
      </c>
      <c r="L122" s="177">
        <v>0.24</v>
      </c>
      <c r="M122" s="177">
        <v>0.23199999999999998</v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</row>
    <row r="123">
      <c r="A123" s="25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</row>
    <row r="124">
      <c r="A124" s="25"/>
      <c r="B124" s="26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</row>
    <row r="125">
      <c r="A125" s="25"/>
      <c r="B125" s="26"/>
      <c r="C125" s="26"/>
      <c r="D125" s="76"/>
      <c r="E125" s="27"/>
      <c r="F125" s="27"/>
      <c r="G125" s="27"/>
      <c r="H125" s="27"/>
      <c r="I125" s="27"/>
      <c r="J125" s="27"/>
      <c r="K125" s="27"/>
      <c r="L125" s="27"/>
      <c r="M125" s="27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</row>
    <row r="126">
      <c r="A126" s="25"/>
      <c r="B126" s="26"/>
      <c r="C126" s="26"/>
      <c r="D126" s="76"/>
      <c r="E126" s="27"/>
      <c r="F126" s="27"/>
      <c r="G126" s="27"/>
      <c r="H126" s="27"/>
      <c r="I126" s="27"/>
      <c r="J126" s="27"/>
      <c r="K126" s="27"/>
      <c r="L126" s="27"/>
      <c r="M126" s="27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</row>
    <row r="127">
      <c r="A127" s="25"/>
      <c r="B127" s="26"/>
      <c r="C127" s="26"/>
      <c r="D127" s="76"/>
      <c r="E127" s="27"/>
      <c r="F127" s="27"/>
      <c r="G127" s="27"/>
      <c r="H127" s="27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</row>
    <row r="128">
      <c r="A128" s="25"/>
      <c r="B128" s="26"/>
      <c r="C128" s="26"/>
      <c r="D128" s="76"/>
      <c r="E128" s="27"/>
      <c r="F128" s="27"/>
      <c r="G128" s="27"/>
      <c r="H128" s="27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</row>
    <row r="129">
      <c r="A129" s="25"/>
      <c r="B129" s="26"/>
      <c r="C129" s="26"/>
      <c r="D129" s="76"/>
      <c r="E129" s="32" t="s">
        <v>372</v>
      </c>
      <c r="F129" s="33"/>
      <c r="G129" s="33"/>
      <c r="H129" s="34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</row>
    <row r="130">
      <c r="A130" s="25"/>
      <c r="B130" s="26"/>
      <c r="C130" s="26"/>
      <c r="D130" s="76"/>
      <c r="E130" s="27"/>
      <c r="F130" s="27"/>
      <c r="G130" s="27"/>
      <c r="H130" s="27"/>
      <c r="I130" s="41" t="s">
        <v>481</v>
      </c>
      <c r="J130" s="33"/>
      <c r="K130" s="33"/>
      <c r="L130" s="34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</row>
    <row r="131">
      <c r="A131" s="25"/>
      <c r="B131" s="26"/>
      <c r="C131" s="26"/>
      <c r="D131" s="27"/>
      <c r="E131" s="27"/>
      <c r="F131" s="27"/>
      <c r="G131" s="27"/>
      <c r="H131" s="27"/>
      <c r="I131" s="160" t="s">
        <v>482</v>
      </c>
      <c r="J131" s="160" t="s">
        <v>317</v>
      </c>
      <c r="K131" s="160" t="s">
        <v>483</v>
      </c>
      <c r="L131" s="160" t="s">
        <v>484</v>
      </c>
      <c r="M131" s="57" t="s">
        <v>486</v>
      </c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</row>
    <row r="132">
      <c r="A132" s="25"/>
      <c r="B132" s="26"/>
      <c r="C132" s="26"/>
      <c r="D132" s="27"/>
      <c r="E132" s="27"/>
      <c r="F132" s="27"/>
      <c r="G132" s="27"/>
      <c r="H132" s="27"/>
      <c r="I132" s="194">
        <v>0.25</v>
      </c>
      <c r="J132" s="195">
        <v>12.0</v>
      </c>
      <c r="K132" s="195">
        <v>9.0</v>
      </c>
      <c r="L132" s="195">
        <v>21.0</v>
      </c>
      <c r="M132" s="196">
        <f t="shared" ref="M132:M144" si="3">L132-K132</f>
        <v>12</v>
      </c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</row>
    <row r="133">
      <c r="A133" s="25"/>
      <c r="B133" s="26"/>
      <c r="C133" s="26"/>
      <c r="D133" s="27"/>
      <c r="E133" s="27"/>
      <c r="F133" s="27"/>
      <c r="G133" s="27"/>
      <c r="H133" s="27"/>
      <c r="I133" s="194">
        <v>0.2916666666666667</v>
      </c>
      <c r="J133" s="195">
        <v>11.0</v>
      </c>
      <c r="K133" s="195">
        <v>6.0</v>
      </c>
      <c r="L133" s="195">
        <v>23.0</v>
      </c>
      <c r="M133" s="196">
        <f t="shared" si="3"/>
        <v>17</v>
      </c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</row>
    <row r="134">
      <c r="A134" s="25"/>
      <c r="B134" s="26"/>
      <c r="C134" s="26"/>
      <c r="D134" s="27"/>
      <c r="E134" s="27"/>
      <c r="F134" s="27"/>
      <c r="G134" s="27"/>
      <c r="H134" s="27"/>
      <c r="I134" s="194">
        <v>0.3333333333333333</v>
      </c>
      <c r="J134" s="195">
        <v>18.0</v>
      </c>
      <c r="K134" s="195">
        <v>6.0</v>
      </c>
      <c r="L134" s="195">
        <v>20.0</v>
      </c>
      <c r="M134" s="196">
        <f t="shared" si="3"/>
        <v>14</v>
      </c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</row>
    <row r="135">
      <c r="A135" s="25"/>
      <c r="B135" s="26"/>
      <c r="C135" s="26"/>
      <c r="D135" s="27"/>
      <c r="E135" s="27"/>
      <c r="F135" s="27"/>
      <c r="G135" s="27"/>
      <c r="H135" s="27"/>
      <c r="I135" s="194">
        <v>0.375</v>
      </c>
      <c r="J135" s="195">
        <v>13.0</v>
      </c>
      <c r="K135" s="195">
        <v>10.0</v>
      </c>
      <c r="L135" s="195">
        <v>20.0</v>
      </c>
      <c r="M135" s="196">
        <f t="shared" si="3"/>
        <v>10</v>
      </c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</row>
    <row r="136">
      <c r="A136" s="25"/>
      <c r="B136" s="26"/>
      <c r="C136" s="26"/>
      <c r="D136" s="27"/>
      <c r="E136" s="27"/>
      <c r="F136" s="27"/>
      <c r="G136" s="27"/>
      <c r="H136" s="27"/>
      <c r="I136" s="194">
        <v>0.4166666666666667</v>
      </c>
      <c r="J136" s="195">
        <v>19.0</v>
      </c>
      <c r="K136" s="195">
        <v>10.0</v>
      </c>
      <c r="L136" s="195">
        <v>22.0</v>
      </c>
      <c r="M136" s="196">
        <f t="shared" si="3"/>
        <v>12</v>
      </c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</row>
    <row r="137">
      <c r="A137" s="25"/>
      <c r="B137" s="26"/>
      <c r="C137" s="26"/>
      <c r="D137" s="27"/>
      <c r="E137" s="27"/>
      <c r="F137" s="27"/>
      <c r="G137" s="27"/>
      <c r="H137" s="27"/>
      <c r="I137" s="194">
        <v>0.4583333333333333</v>
      </c>
      <c r="J137" s="195">
        <v>13.0</v>
      </c>
      <c r="K137" s="195">
        <v>10.0</v>
      </c>
      <c r="L137" s="195">
        <v>20.0</v>
      </c>
      <c r="M137" s="196">
        <f t="shared" si="3"/>
        <v>10</v>
      </c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</row>
    <row r="138">
      <c r="A138" s="25"/>
      <c r="B138" s="26"/>
      <c r="C138" s="26"/>
      <c r="D138" s="27"/>
      <c r="E138" s="27"/>
      <c r="F138" s="27"/>
      <c r="G138" s="27"/>
      <c r="H138" s="27"/>
      <c r="I138" s="194">
        <v>0.5</v>
      </c>
      <c r="J138" s="195">
        <v>9.0</v>
      </c>
      <c r="K138" s="195">
        <v>5.0</v>
      </c>
      <c r="L138" s="195">
        <v>23.0</v>
      </c>
      <c r="M138" s="196">
        <f t="shared" si="3"/>
        <v>18</v>
      </c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</row>
    <row r="139">
      <c r="A139" s="25"/>
      <c r="B139" s="26"/>
      <c r="C139" s="26"/>
      <c r="D139" s="27"/>
      <c r="E139" s="27"/>
      <c r="F139" s="27"/>
      <c r="G139" s="27"/>
      <c r="H139" s="27"/>
      <c r="I139" s="194">
        <v>0.5416666666666666</v>
      </c>
      <c r="J139" s="195">
        <v>21.0</v>
      </c>
      <c r="K139" s="195">
        <v>8.0</v>
      </c>
      <c r="L139" s="195">
        <v>23.0</v>
      </c>
      <c r="M139" s="196">
        <f t="shared" si="3"/>
        <v>15</v>
      </c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</row>
    <row r="140">
      <c r="A140" s="25"/>
      <c r="B140" s="26"/>
      <c r="C140" s="26"/>
      <c r="D140" s="27"/>
      <c r="E140" s="27"/>
      <c r="F140" s="27"/>
      <c r="G140" s="27"/>
      <c r="H140" s="27"/>
      <c r="I140" s="194">
        <v>0.5833333333333334</v>
      </c>
      <c r="J140" s="195">
        <v>19.0</v>
      </c>
      <c r="K140" s="195">
        <v>6.0</v>
      </c>
      <c r="L140" s="195">
        <v>20.0</v>
      </c>
      <c r="M140" s="196">
        <f t="shared" si="3"/>
        <v>14</v>
      </c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</row>
    <row r="141">
      <c r="A141" s="25"/>
      <c r="B141" s="26"/>
      <c r="C141" s="26"/>
      <c r="D141" s="27"/>
      <c r="E141" s="27"/>
      <c r="F141" s="27"/>
      <c r="G141" s="27"/>
      <c r="H141" s="27"/>
      <c r="I141" s="194">
        <v>0.625</v>
      </c>
      <c r="J141" s="195">
        <v>10.0</v>
      </c>
      <c r="K141" s="195">
        <v>7.0</v>
      </c>
      <c r="L141" s="195">
        <v>20.0</v>
      </c>
      <c r="M141" s="196">
        <f t="shared" si="3"/>
        <v>13</v>
      </c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</row>
    <row r="142">
      <c r="A142" s="25"/>
      <c r="B142" s="26"/>
      <c r="C142" s="26"/>
      <c r="D142" s="27"/>
      <c r="E142" s="27"/>
      <c r="F142" s="27"/>
      <c r="G142" s="27"/>
      <c r="H142" s="27"/>
      <c r="I142" s="194">
        <v>0.6666666666666666</v>
      </c>
      <c r="J142" s="195">
        <v>11.0</v>
      </c>
      <c r="K142" s="195">
        <v>8.0</v>
      </c>
      <c r="L142" s="195">
        <v>20.0</v>
      </c>
      <c r="M142" s="196">
        <f t="shared" si="3"/>
        <v>12</v>
      </c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</row>
    <row r="143">
      <c r="A143" s="25"/>
      <c r="B143" s="26"/>
      <c r="C143" s="26"/>
      <c r="D143" s="27"/>
      <c r="E143" s="27"/>
      <c r="F143" s="27"/>
      <c r="G143" s="27"/>
      <c r="H143" s="27"/>
      <c r="I143" s="194">
        <v>0.7083333333333334</v>
      </c>
      <c r="J143" s="195">
        <v>14.0</v>
      </c>
      <c r="K143" s="195">
        <v>5.0</v>
      </c>
      <c r="L143" s="195">
        <v>23.0</v>
      </c>
      <c r="M143" s="196">
        <f t="shared" si="3"/>
        <v>18</v>
      </c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</row>
    <row r="144">
      <c r="A144" s="25"/>
      <c r="B144" s="26"/>
      <c r="C144" s="26"/>
      <c r="D144" s="27"/>
      <c r="E144" s="27"/>
      <c r="F144" s="27"/>
      <c r="G144" s="27"/>
      <c r="H144" s="27"/>
      <c r="I144" s="194">
        <v>0.75</v>
      </c>
      <c r="J144" s="195">
        <v>16.0</v>
      </c>
      <c r="K144" s="195">
        <v>9.0</v>
      </c>
      <c r="L144" s="195">
        <v>22.0</v>
      </c>
      <c r="M144" s="196">
        <f t="shared" si="3"/>
        <v>13</v>
      </c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</row>
    <row r="145">
      <c r="A145" s="25"/>
      <c r="B145" s="26"/>
      <c r="C145" s="26"/>
      <c r="D145" s="76"/>
      <c r="E145" s="27"/>
      <c r="F145" s="27"/>
      <c r="G145" s="27"/>
      <c r="H145" s="27"/>
      <c r="I145" s="27"/>
      <c r="J145" s="27"/>
      <c r="K145" s="27"/>
      <c r="L145" s="27"/>
      <c r="M145" s="27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</row>
    <row r="146">
      <c r="A146" s="25"/>
      <c r="B146" s="26"/>
      <c r="C146" s="26"/>
      <c r="D146" s="76"/>
      <c r="E146" s="27"/>
      <c r="F146" s="27"/>
      <c r="G146" s="27"/>
      <c r="H146" s="27"/>
      <c r="I146" s="27"/>
      <c r="J146" s="27"/>
      <c r="K146" s="27"/>
      <c r="L146" s="27"/>
      <c r="M146" s="27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</row>
    <row r="147">
      <c r="A147" s="25"/>
      <c r="B147" s="26"/>
      <c r="C147" s="26"/>
      <c r="D147" s="76"/>
      <c r="E147" s="27"/>
      <c r="F147" s="27"/>
      <c r="G147" s="27"/>
      <c r="H147" s="27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</row>
    <row r="148">
      <c r="A148" s="25"/>
      <c r="B148" s="26"/>
      <c r="C148" s="26"/>
      <c r="D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</row>
    <row r="149">
      <c r="A149" s="25"/>
      <c r="B149" s="26"/>
      <c r="C149" s="26"/>
      <c r="D149" s="76"/>
      <c r="E149" s="32" t="s">
        <v>201</v>
      </c>
      <c r="F149" s="33"/>
      <c r="G149" s="33"/>
      <c r="H149" s="34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</row>
    <row r="150">
      <c r="A150" s="25"/>
      <c r="B150" s="26"/>
      <c r="C150" s="26"/>
      <c r="D150" s="76"/>
      <c r="E150" s="27"/>
      <c r="F150" s="27"/>
      <c r="G150" s="27"/>
      <c r="H150" s="27"/>
      <c r="I150" s="41" t="s">
        <v>517</v>
      </c>
      <c r="J150" s="33"/>
      <c r="K150" s="33"/>
      <c r="L150" s="34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</row>
    <row r="151">
      <c r="A151" s="25"/>
      <c r="B151" s="26"/>
      <c r="C151" s="26"/>
      <c r="D151" s="76"/>
      <c r="E151" s="27"/>
      <c r="F151" s="27"/>
      <c r="G151" s="27"/>
      <c r="H151" s="27"/>
      <c r="I151" s="209" t="s">
        <v>523</v>
      </c>
      <c r="J151" s="211" t="b">
        <v>1</v>
      </c>
      <c r="K151" s="211" t="b">
        <v>1</v>
      </c>
      <c r="L151" s="211" t="b">
        <v>1</v>
      </c>
      <c r="M151" s="211" t="b">
        <v>1</v>
      </c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</row>
    <row r="152">
      <c r="A152" s="25"/>
      <c r="B152" s="26"/>
      <c r="C152" s="26"/>
      <c r="D152" s="27"/>
      <c r="E152" s="27"/>
      <c r="F152" s="27"/>
      <c r="G152" s="27"/>
      <c r="H152" s="27"/>
      <c r="I152" s="44" t="s">
        <v>47</v>
      </c>
      <c r="J152" s="44" t="s">
        <v>524</v>
      </c>
      <c r="K152" s="44" t="s">
        <v>525</v>
      </c>
      <c r="L152" s="44" t="s">
        <v>526</v>
      </c>
      <c r="M152" s="44" t="s">
        <v>527</v>
      </c>
      <c r="N152" s="57" t="str">
        <f>IFERROR(__xludf.DUMMYFUNCTION("TRANSPOSE(FILTER(TRANSPOSE(J152:M164),TRANSPOSE(J151:M151)))"),"Phone X")</f>
        <v>Phone X</v>
      </c>
      <c r="O152" s="57" t="str">
        <f>IFERROR(__xludf.DUMMYFUNCTION("""COMPUTED_VALUE"""),"Laptop A")</f>
        <v>Laptop A</v>
      </c>
      <c r="P152" s="57" t="str">
        <f>IFERROR(__xludf.DUMMYFUNCTION("""COMPUTED_VALUE"""),"Smartwatch Z")</f>
        <v>Smartwatch Z</v>
      </c>
      <c r="Q152" s="57" t="str">
        <f>IFERROR(__xludf.DUMMYFUNCTION("""COMPUTED_VALUE"""),"Apple Y")</f>
        <v>Apple Y</v>
      </c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</row>
    <row r="153">
      <c r="A153" s="25"/>
      <c r="B153" s="26"/>
      <c r="C153" s="26"/>
      <c r="D153" s="27"/>
      <c r="E153" s="27"/>
      <c r="F153" s="27"/>
      <c r="G153" s="27"/>
      <c r="H153" s="27"/>
      <c r="I153" s="126" t="s">
        <v>188</v>
      </c>
      <c r="J153" s="216">
        <v>95.0</v>
      </c>
      <c r="K153" s="216">
        <v>152.0</v>
      </c>
      <c r="L153" s="216">
        <v>163.0</v>
      </c>
      <c r="M153" s="216">
        <v>92.0</v>
      </c>
      <c r="N153" s="127">
        <f>IFERROR(__xludf.DUMMYFUNCTION("""COMPUTED_VALUE"""),95.0)</f>
        <v>95</v>
      </c>
      <c r="O153" s="127">
        <f>IFERROR(__xludf.DUMMYFUNCTION("""COMPUTED_VALUE"""),152.0)</f>
        <v>152</v>
      </c>
      <c r="P153" s="127">
        <f>IFERROR(__xludf.DUMMYFUNCTION("""COMPUTED_VALUE"""),163.0)</f>
        <v>163</v>
      </c>
      <c r="Q153" s="127">
        <f>IFERROR(__xludf.DUMMYFUNCTION("""COMPUTED_VALUE"""),92.0)</f>
        <v>92</v>
      </c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</row>
    <row r="154">
      <c r="A154" s="25"/>
      <c r="B154" s="26"/>
      <c r="C154" s="26"/>
      <c r="D154" s="27"/>
      <c r="E154" s="27"/>
      <c r="F154" s="27"/>
      <c r="G154" s="27"/>
      <c r="H154" s="27"/>
      <c r="I154" s="126" t="s">
        <v>193</v>
      </c>
      <c r="J154" s="216">
        <v>75.0</v>
      </c>
      <c r="K154" s="216">
        <v>68.0</v>
      </c>
      <c r="L154" s="216">
        <v>170.0</v>
      </c>
      <c r="M154" s="216">
        <v>153.0</v>
      </c>
      <c r="N154" s="127">
        <f>IFERROR(__xludf.DUMMYFUNCTION("""COMPUTED_VALUE"""),75.0)</f>
        <v>75</v>
      </c>
      <c r="O154" s="127">
        <f>IFERROR(__xludf.DUMMYFUNCTION("""COMPUTED_VALUE"""),68.0)</f>
        <v>68</v>
      </c>
      <c r="P154" s="127">
        <f>IFERROR(__xludf.DUMMYFUNCTION("""COMPUTED_VALUE"""),170.0)</f>
        <v>170</v>
      </c>
      <c r="Q154" s="127">
        <f>IFERROR(__xludf.DUMMYFUNCTION("""COMPUTED_VALUE"""),153.0)</f>
        <v>153</v>
      </c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</row>
    <row r="155">
      <c r="A155" s="25"/>
      <c r="B155" s="26"/>
      <c r="C155" s="26"/>
      <c r="D155" s="27"/>
      <c r="E155" s="27"/>
      <c r="F155" s="27"/>
      <c r="G155" s="27"/>
      <c r="H155" s="27"/>
      <c r="I155" s="126" t="s">
        <v>195</v>
      </c>
      <c r="J155" s="216">
        <v>85.0</v>
      </c>
      <c r="K155" s="216">
        <v>65.0</v>
      </c>
      <c r="L155" s="216">
        <v>106.0</v>
      </c>
      <c r="M155" s="216">
        <v>69.0</v>
      </c>
      <c r="N155" s="127">
        <f>IFERROR(__xludf.DUMMYFUNCTION("""COMPUTED_VALUE"""),85.0)</f>
        <v>85</v>
      </c>
      <c r="O155" s="127">
        <f>IFERROR(__xludf.DUMMYFUNCTION("""COMPUTED_VALUE"""),65.0)</f>
        <v>65</v>
      </c>
      <c r="P155" s="127">
        <f>IFERROR(__xludf.DUMMYFUNCTION("""COMPUTED_VALUE"""),106.0)</f>
        <v>106</v>
      </c>
      <c r="Q155" s="127">
        <f>IFERROR(__xludf.DUMMYFUNCTION("""COMPUTED_VALUE"""),69.0)</f>
        <v>69</v>
      </c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</row>
    <row r="156">
      <c r="A156" s="25"/>
      <c r="B156" s="26"/>
      <c r="C156" s="26"/>
      <c r="D156" s="27"/>
      <c r="E156" s="27"/>
      <c r="F156" s="27"/>
      <c r="G156" s="27"/>
      <c r="H156" s="27"/>
      <c r="I156" s="126" t="s">
        <v>197</v>
      </c>
      <c r="J156" s="216">
        <v>144.0</v>
      </c>
      <c r="K156" s="216">
        <v>79.0</v>
      </c>
      <c r="L156" s="216">
        <v>98.0</v>
      </c>
      <c r="M156" s="216">
        <v>51.0</v>
      </c>
      <c r="N156" s="127">
        <f>IFERROR(__xludf.DUMMYFUNCTION("""COMPUTED_VALUE"""),144.0)</f>
        <v>144</v>
      </c>
      <c r="O156" s="127">
        <f>IFERROR(__xludf.DUMMYFUNCTION("""COMPUTED_VALUE"""),79.0)</f>
        <v>79</v>
      </c>
      <c r="P156" s="127">
        <f>IFERROR(__xludf.DUMMYFUNCTION("""COMPUTED_VALUE"""),98.0)</f>
        <v>98</v>
      </c>
      <c r="Q156" s="127">
        <f>IFERROR(__xludf.DUMMYFUNCTION("""COMPUTED_VALUE"""),51.0)</f>
        <v>51</v>
      </c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</row>
    <row r="157">
      <c r="A157" s="25"/>
      <c r="B157" s="26"/>
      <c r="C157" s="26"/>
      <c r="D157" s="27"/>
      <c r="E157" s="27"/>
      <c r="F157" s="27"/>
      <c r="G157" s="27"/>
      <c r="H157" s="27"/>
      <c r="I157" s="126" t="s">
        <v>57</v>
      </c>
      <c r="J157" s="216">
        <v>190.0</v>
      </c>
      <c r="K157" s="216">
        <v>114.0</v>
      </c>
      <c r="L157" s="216">
        <v>112.0</v>
      </c>
      <c r="M157" s="216">
        <v>189.0</v>
      </c>
      <c r="N157" s="127">
        <f>IFERROR(__xludf.DUMMYFUNCTION("""COMPUTED_VALUE"""),190.0)</f>
        <v>190</v>
      </c>
      <c r="O157" s="127">
        <f>IFERROR(__xludf.DUMMYFUNCTION("""COMPUTED_VALUE"""),114.0)</f>
        <v>114</v>
      </c>
      <c r="P157" s="127">
        <f>IFERROR(__xludf.DUMMYFUNCTION("""COMPUTED_VALUE"""),112.0)</f>
        <v>112</v>
      </c>
      <c r="Q157" s="127">
        <f>IFERROR(__xludf.DUMMYFUNCTION("""COMPUTED_VALUE"""),189.0)</f>
        <v>189</v>
      </c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</row>
    <row r="158">
      <c r="A158" s="25"/>
      <c r="B158" s="26"/>
      <c r="C158" s="26"/>
      <c r="D158" s="27"/>
      <c r="E158" s="27"/>
      <c r="F158" s="27"/>
      <c r="G158" s="27"/>
      <c r="H158" s="27"/>
      <c r="I158" s="126" t="s">
        <v>200</v>
      </c>
      <c r="J158" s="216">
        <v>93.0</v>
      </c>
      <c r="K158" s="216">
        <v>96.0</v>
      </c>
      <c r="L158" s="216">
        <v>107.0</v>
      </c>
      <c r="M158" s="216">
        <v>134.0</v>
      </c>
      <c r="N158" s="127">
        <f>IFERROR(__xludf.DUMMYFUNCTION("""COMPUTED_VALUE"""),93.0)</f>
        <v>93</v>
      </c>
      <c r="O158" s="127">
        <f>IFERROR(__xludf.DUMMYFUNCTION("""COMPUTED_VALUE"""),96.0)</f>
        <v>96</v>
      </c>
      <c r="P158" s="127">
        <f>IFERROR(__xludf.DUMMYFUNCTION("""COMPUTED_VALUE"""),107.0)</f>
        <v>107</v>
      </c>
      <c r="Q158" s="127">
        <f>IFERROR(__xludf.DUMMYFUNCTION("""COMPUTED_VALUE"""),134.0)</f>
        <v>134</v>
      </c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</row>
    <row r="159">
      <c r="A159" s="25"/>
      <c r="B159" s="26"/>
      <c r="C159" s="26"/>
      <c r="D159" s="27"/>
      <c r="E159" s="27"/>
      <c r="F159" s="27"/>
      <c r="G159" s="27"/>
      <c r="H159" s="27"/>
      <c r="I159" s="126" t="s">
        <v>202</v>
      </c>
      <c r="J159" s="216">
        <v>100.0</v>
      </c>
      <c r="K159" s="216">
        <v>134.0</v>
      </c>
      <c r="L159" s="216">
        <v>179.0</v>
      </c>
      <c r="M159" s="216">
        <v>135.0</v>
      </c>
      <c r="N159" s="127">
        <f>IFERROR(__xludf.DUMMYFUNCTION("""COMPUTED_VALUE"""),100.0)</f>
        <v>100</v>
      </c>
      <c r="O159" s="127">
        <f>IFERROR(__xludf.DUMMYFUNCTION("""COMPUTED_VALUE"""),134.0)</f>
        <v>134</v>
      </c>
      <c r="P159" s="127">
        <f>IFERROR(__xludf.DUMMYFUNCTION("""COMPUTED_VALUE"""),179.0)</f>
        <v>179</v>
      </c>
      <c r="Q159" s="127">
        <f>IFERROR(__xludf.DUMMYFUNCTION("""COMPUTED_VALUE"""),135.0)</f>
        <v>135</v>
      </c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</row>
    <row r="160">
      <c r="A160" s="25"/>
      <c r="B160" s="26"/>
      <c r="C160" s="26"/>
      <c r="D160" s="27"/>
      <c r="E160" s="27"/>
      <c r="F160" s="27"/>
      <c r="G160" s="27"/>
      <c r="H160" s="27"/>
      <c r="I160" s="126" t="s">
        <v>204</v>
      </c>
      <c r="J160" s="216">
        <v>68.0</v>
      </c>
      <c r="K160" s="216">
        <v>196.0</v>
      </c>
      <c r="L160" s="216">
        <v>140.0</v>
      </c>
      <c r="M160" s="216">
        <v>62.0</v>
      </c>
      <c r="N160" s="127">
        <f>IFERROR(__xludf.DUMMYFUNCTION("""COMPUTED_VALUE"""),68.0)</f>
        <v>68</v>
      </c>
      <c r="O160" s="127">
        <f>IFERROR(__xludf.DUMMYFUNCTION("""COMPUTED_VALUE"""),196.0)</f>
        <v>196</v>
      </c>
      <c r="P160" s="127">
        <f>IFERROR(__xludf.DUMMYFUNCTION("""COMPUTED_VALUE"""),140.0)</f>
        <v>140</v>
      </c>
      <c r="Q160" s="127">
        <f>IFERROR(__xludf.DUMMYFUNCTION("""COMPUTED_VALUE"""),62.0)</f>
        <v>62</v>
      </c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</row>
    <row r="161">
      <c r="A161" s="25"/>
      <c r="B161" s="26"/>
      <c r="C161" s="26"/>
      <c r="D161" s="27"/>
      <c r="E161" s="27"/>
      <c r="F161" s="27"/>
      <c r="G161" s="27"/>
      <c r="H161" s="27"/>
      <c r="I161" s="126" t="s">
        <v>205</v>
      </c>
      <c r="J161" s="216">
        <v>151.0</v>
      </c>
      <c r="K161" s="216">
        <v>130.0</v>
      </c>
      <c r="L161" s="216">
        <v>85.0</v>
      </c>
      <c r="M161" s="216">
        <v>148.0</v>
      </c>
      <c r="N161" s="127">
        <f>IFERROR(__xludf.DUMMYFUNCTION("""COMPUTED_VALUE"""),151.0)</f>
        <v>151</v>
      </c>
      <c r="O161" s="127">
        <f>IFERROR(__xludf.DUMMYFUNCTION("""COMPUTED_VALUE"""),130.0)</f>
        <v>130</v>
      </c>
      <c r="P161" s="127">
        <f>IFERROR(__xludf.DUMMYFUNCTION("""COMPUTED_VALUE"""),85.0)</f>
        <v>85</v>
      </c>
      <c r="Q161" s="127">
        <f>IFERROR(__xludf.DUMMYFUNCTION("""COMPUTED_VALUE"""),148.0)</f>
        <v>148</v>
      </c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</row>
    <row r="162">
      <c r="A162" s="25"/>
      <c r="B162" s="26"/>
      <c r="C162" s="26"/>
      <c r="D162" s="27"/>
      <c r="E162" s="27"/>
      <c r="F162" s="27"/>
      <c r="G162" s="27"/>
      <c r="H162" s="27"/>
      <c r="I162" s="126" t="s">
        <v>207</v>
      </c>
      <c r="J162" s="216">
        <v>137.0</v>
      </c>
      <c r="K162" s="216">
        <v>104.0</v>
      </c>
      <c r="L162" s="216">
        <v>167.0</v>
      </c>
      <c r="M162" s="216">
        <v>119.0</v>
      </c>
      <c r="N162" s="127">
        <f>IFERROR(__xludf.DUMMYFUNCTION("""COMPUTED_VALUE"""),137.0)</f>
        <v>137</v>
      </c>
      <c r="O162" s="127">
        <f>IFERROR(__xludf.DUMMYFUNCTION("""COMPUTED_VALUE"""),104.0)</f>
        <v>104</v>
      </c>
      <c r="P162" s="127">
        <f>IFERROR(__xludf.DUMMYFUNCTION("""COMPUTED_VALUE"""),167.0)</f>
        <v>167</v>
      </c>
      <c r="Q162" s="127">
        <f>IFERROR(__xludf.DUMMYFUNCTION("""COMPUTED_VALUE"""),119.0)</f>
        <v>119</v>
      </c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</row>
    <row r="163">
      <c r="A163" s="25"/>
      <c r="B163" s="26"/>
      <c r="C163" s="26"/>
      <c r="D163" s="27"/>
      <c r="E163" s="27"/>
      <c r="F163" s="27"/>
      <c r="G163" s="27"/>
      <c r="H163" s="27"/>
      <c r="I163" s="126" t="s">
        <v>209</v>
      </c>
      <c r="J163" s="216">
        <v>140.0</v>
      </c>
      <c r="K163" s="216">
        <v>68.0</v>
      </c>
      <c r="L163" s="216">
        <v>69.0</v>
      </c>
      <c r="M163" s="216">
        <v>66.0</v>
      </c>
      <c r="N163" s="127">
        <f>IFERROR(__xludf.DUMMYFUNCTION("""COMPUTED_VALUE"""),140.0)</f>
        <v>140</v>
      </c>
      <c r="O163" s="127">
        <f>IFERROR(__xludf.DUMMYFUNCTION("""COMPUTED_VALUE"""),68.0)</f>
        <v>68</v>
      </c>
      <c r="P163" s="127">
        <f>IFERROR(__xludf.DUMMYFUNCTION("""COMPUTED_VALUE"""),69.0)</f>
        <v>69</v>
      </c>
      <c r="Q163" s="127">
        <f>IFERROR(__xludf.DUMMYFUNCTION("""COMPUTED_VALUE"""),66.0)</f>
        <v>66</v>
      </c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</row>
    <row r="164">
      <c r="A164" s="25"/>
      <c r="B164" s="26"/>
      <c r="C164" s="26"/>
      <c r="D164" s="27"/>
      <c r="E164" s="27"/>
      <c r="F164" s="27"/>
      <c r="G164" s="27"/>
      <c r="H164" s="27"/>
      <c r="I164" s="126" t="s">
        <v>210</v>
      </c>
      <c r="J164" s="216">
        <v>188.0</v>
      </c>
      <c r="K164" s="216">
        <v>131.0</v>
      </c>
      <c r="L164" s="216">
        <v>106.0</v>
      </c>
      <c r="M164" s="216">
        <v>59.0</v>
      </c>
      <c r="N164" s="127">
        <f>IFERROR(__xludf.DUMMYFUNCTION("""COMPUTED_VALUE"""),188.0)</f>
        <v>188</v>
      </c>
      <c r="O164" s="127">
        <f>IFERROR(__xludf.DUMMYFUNCTION("""COMPUTED_VALUE"""),131.0)</f>
        <v>131</v>
      </c>
      <c r="P164" s="127">
        <f>IFERROR(__xludf.DUMMYFUNCTION("""COMPUTED_VALUE"""),106.0)</f>
        <v>106</v>
      </c>
      <c r="Q164" s="127">
        <f>IFERROR(__xludf.DUMMYFUNCTION("""COMPUTED_VALUE"""),59.0)</f>
        <v>59</v>
      </c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</row>
    <row r="165">
      <c r="A165" s="25"/>
      <c r="B165" s="26"/>
      <c r="C165" s="26"/>
      <c r="D165" s="76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</row>
    <row r="166">
      <c r="A166" s="25"/>
      <c r="B166" s="26"/>
      <c r="C166" s="26"/>
      <c r="D166" s="76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</row>
    <row r="167">
      <c r="A167" s="25"/>
      <c r="B167" s="26"/>
      <c r="C167" s="26"/>
      <c r="D167" s="76"/>
      <c r="E167" s="76"/>
      <c r="F167" s="76"/>
      <c r="G167" s="76"/>
      <c r="H167" s="76"/>
      <c r="I167" s="27"/>
      <c r="J167" s="27"/>
      <c r="K167" s="27"/>
      <c r="L167" s="27"/>
      <c r="M167" s="27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</row>
    <row r="168">
      <c r="A168" s="25"/>
      <c r="B168" s="26"/>
      <c r="C168" s="26"/>
      <c r="D168" s="76"/>
      <c r="E168" s="76"/>
      <c r="F168" s="76"/>
      <c r="G168" s="76"/>
      <c r="H168" s="76"/>
      <c r="I168" s="27"/>
      <c r="J168" s="27"/>
      <c r="K168" s="27"/>
      <c r="L168" s="27"/>
      <c r="M168" s="27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</row>
    <row r="169">
      <c r="A169" s="25"/>
      <c r="B169" s="26"/>
      <c r="C169" s="26"/>
      <c r="D169" s="76"/>
      <c r="E169" s="76"/>
      <c r="F169" s="76"/>
      <c r="G169" s="76"/>
      <c r="H169" s="76"/>
    </row>
    <row r="170">
      <c r="A170" s="25"/>
      <c r="B170" s="26"/>
      <c r="C170" s="26"/>
      <c r="D170" s="76"/>
      <c r="E170" s="32" t="s">
        <v>203</v>
      </c>
      <c r="F170" s="33"/>
      <c r="G170" s="33"/>
      <c r="H170" s="34"/>
    </row>
    <row r="171">
      <c r="A171" s="25"/>
      <c r="B171" s="26"/>
      <c r="C171" s="26"/>
      <c r="D171" s="76"/>
      <c r="E171" s="76"/>
      <c r="F171" s="76"/>
      <c r="G171" s="76"/>
      <c r="H171" s="76"/>
      <c r="I171" s="41" t="s">
        <v>551</v>
      </c>
      <c r="J171" s="33"/>
      <c r="K171" s="33"/>
      <c r="L171" s="34"/>
      <c r="M171" s="27"/>
      <c r="N171" s="27"/>
      <c r="O171" s="27"/>
      <c r="P171" s="27"/>
      <c r="Q171" s="27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</row>
    <row r="172">
      <c r="A172" s="25"/>
      <c r="B172" s="26"/>
      <c r="C172" s="26"/>
      <c r="D172" s="27"/>
      <c r="E172" s="76"/>
      <c r="F172" s="76"/>
      <c r="G172" s="76"/>
      <c r="H172" s="76"/>
      <c r="I172" s="44" t="s">
        <v>47</v>
      </c>
      <c r="J172" s="44" t="s">
        <v>556</v>
      </c>
      <c r="K172" s="220">
        <f>1/96</f>
        <v>0.01041666667</v>
      </c>
      <c r="L172" s="220">
        <f t="shared" ref="L172:DB172" si="4">K172+1/96</f>
        <v>0.02083333333</v>
      </c>
      <c r="M172" s="220">
        <f t="shared" si="4"/>
        <v>0.03125</v>
      </c>
      <c r="N172" s="220">
        <f t="shared" si="4"/>
        <v>0.04166666667</v>
      </c>
      <c r="O172" s="220">
        <f t="shared" si="4"/>
        <v>0.05208333333</v>
      </c>
      <c r="P172" s="220">
        <f t="shared" si="4"/>
        <v>0.0625</v>
      </c>
      <c r="Q172" s="220">
        <f t="shared" si="4"/>
        <v>0.07291666667</v>
      </c>
      <c r="R172" s="220">
        <f t="shared" si="4"/>
        <v>0.08333333333</v>
      </c>
      <c r="S172" s="220">
        <f t="shared" si="4"/>
        <v>0.09375</v>
      </c>
      <c r="T172" s="220">
        <f t="shared" si="4"/>
        <v>0.1041666667</v>
      </c>
      <c r="U172" s="220">
        <f t="shared" si="4"/>
        <v>0.1145833333</v>
      </c>
      <c r="V172" s="220">
        <f t="shared" si="4"/>
        <v>0.125</v>
      </c>
      <c r="W172" s="220">
        <f t="shared" si="4"/>
        <v>0.1354166667</v>
      </c>
      <c r="X172" s="220">
        <f t="shared" si="4"/>
        <v>0.1458333333</v>
      </c>
      <c r="Y172" s="220">
        <f t="shared" si="4"/>
        <v>0.15625</v>
      </c>
      <c r="Z172" s="220">
        <f t="shared" si="4"/>
        <v>0.1666666667</v>
      </c>
      <c r="AA172" s="220">
        <f t="shared" si="4"/>
        <v>0.1770833333</v>
      </c>
      <c r="AB172" s="220">
        <f t="shared" si="4"/>
        <v>0.1875</v>
      </c>
      <c r="AC172" s="220">
        <f t="shared" si="4"/>
        <v>0.1979166667</v>
      </c>
      <c r="AD172" s="220">
        <f t="shared" si="4"/>
        <v>0.2083333333</v>
      </c>
      <c r="AE172" s="220">
        <f t="shared" si="4"/>
        <v>0.21875</v>
      </c>
      <c r="AF172" s="220">
        <f t="shared" si="4"/>
        <v>0.2291666667</v>
      </c>
      <c r="AG172" s="220">
        <f t="shared" si="4"/>
        <v>0.2395833333</v>
      </c>
      <c r="AH172" s="220">
        <f t="shared" si="4"/>
        <v>0.25</v>
      </c>
      <c r="AI172" s="220">
        <f t="shared" si="4"/>
        <v>0.2604166667</v>
      </c>
      <c r="AJ172" s="220">
        <f t="shared" si="4"/>
        <v>0.2708333333</v>
      </c>
      <c r="AK172" s="220">
        <f t="shared" si="4"/>
        <v>0.28125</v>
      </c>
      <c r="AL172" s="220">
        <f t="shared" si="4"/>
        <v>0.2916666667</v>
      </c>
      <c r="AM172" s="220">
        <f t="shared" si="4"/>
        <v>0.3020833333</v>
      </c>
      <c r="AN172" s="220">
        <f t="shared" si="4"/>
        <v>0.3125</v>
      </c>
      <c r="AO172" s="220">
        <f t="shared" si="4"/>
        <v>0.3229166667</v>
      </c>
      <c r="AP172" s="220">
        <f t="shared" si="4"/>
        <v>0.3333333333</v>
      </c>
      <c r="AQ172" s="220">
        <f t="shared" si="4"/>
        <v>0.34375</v>
      </c>
      <c r="AR172" s="220">
        <f t="shared" si="4"/>
        <v>0.3541666667</v>
      </c>
      <c r="AS172" s="220">
        <f t="shared" si="4"/>
        <v>0.3645833333</v>
      </c>
      <c r="AT172" s="220">
        <f t="shared" si="4"/>
        <v>0.375</v>
      </c>
      <c r="AU172" s="220">
        <f t="shared" si="4"/>
        <v>0.3854166667</v>
      </c>
      <c r="AV172" s="220">
        <f t="shared" si="4"/>
        <v>0.3958333333</v>
      </c>
      <c r="AW172" s="220">
        <f t="shared" si="4"/>
        <v>0.40625</v>
      </c>
      <c r="AX172" s="220">
        <f t="shared" si="4"/>
        <v>0.4166666667</v>
      </c>
      <c r="AY172" s="220">
        <f t="shared" si="4"/>
        <v>0.4270833333</v>
      </c>
      <c r="AZ172" s="220">
        <f t="shared" si="4"/>
        <v>0.4375</v>
      </c>
      <c r="BA172" s="220">
        <f t="shared" si="4"/>
        <v>0.4479166667</v>
      </c>
      <c r="BB172" s="220">
        <f t="shared" si="4"/>
        <v>0.4583333333</v>
      </c>
      <c r="BC172" s="220">
        <f t="shared" si="4"/>
        <v>0.46875</v>
      </c>
      <c r="BD172" s="220">
        <f t="shared" si="4"/>
        <v>0.4791666667</v>
      </c>
      <c r="BE172" s="220">
        <f t="shared" si="4"/>
        <v>0.4895833333</v>
      </c>
      <c r="BF172" s="220">
        <f t="shared" si="4"/>
        <v>0.5</v>
      </c>
      <c r="BG172" s="220">
        <f t="shared" si="4"/>
        <v>0.5104166667</v>
      </c>
      <c r="BH172" s="220">
        <f t="shared" si="4"/>
        <v>0.5208333333</v>
      </c>
      <c r="BI172" s="220">
        <f t="shared" si="4"/>
        <v>0.53125</v>
      </c>
      <c r="BJ172" s="220">
        <f t="shared" si="4"/>
        <v>0.5416666667</v>
      </c>
      <c r="BK172" s="220">
        <f t="shared" si="4"/>
        <v>0.5520833333</v>
      </c>
      <c r="BL172" s="220">
        <f t="shared" si="4"/>
        <v>0.5625</v>
      </c>
      <c r="BM172" s="220">
        <f t="shared" si="4"/>
        <v>0.5729166667</v>
      </c>
      <c r="BN172" s="220">
        <f t="shared" si="4"/>
        <v>0.5833333333</v>
      </c>
      <c r="BO172" s="220">
        <f t="shared" si="4"/>
        <v>0.59375</v>
      </c>
      <c r="BP172" s="220">
        <f t="shared" si="4"/>
        <v>0.6041666667</v>
      </c>
      <c r="BQ172" s="220">
        <f t="shared" si="4"/>
        <v>0.6145833333</v>
      </c>
      <c r="BR172" s="220">
        <f t="shared" si="4"/>
        <v>0.625</v>
      </c>
      <c r="BS172" s="220">
        <f t="shared" si="4"/>
        <v>0.6354166667</v>
      </c>
      <c r="BT172" s="220">
        <f t="shared" si="4"/>
        <v>0.6458333333</v>
      </c>
      <c r="BU172" s="220">
        <f t="shared" si="4"/>
        <v>0.65625</v>
      </c>
      <c r="BV172" s="220">
        <f t="shared" si="4"/>
        <v>0.6666666667</v>
      </c>
      <c r="BW172" s="220">
        <f t="shared" si="4"/>
        <v>0.6770833333</v>
      </c>
      <c r="BX172" s="220">
        <f t="shared" si="4"/>
        <v>0.6875</v>
      </c>
      <c r="BY172" s="220">
        <f t="shared" si="4"/>
        <v>0.6979166667</v>
      </c>
      <c r="BZ172" s="220">
        <f t="shared" si="4"/>
        <v>0.7083333333</v>
      </c>
      <c r="CA172" s="220">
        <f t="shared" si="4"/>
        <v>0.71875</v>
      </c>
      <c r="CB172" s="220">
        <f t="shared" si="4"/>
        <v>0.7291666667</v>
      </c>
      <c r="CC172" s="220">
        <f t="shared" si="4"/>
        <v>0.7395833333</v>
      </c>
      <c r="CD172" s="220">
        <f t="shared" si="4"/>
        <v>0.75</v>
      </c>
      <c r="CE172" s="220">
        <f t="shared" si="4"/>
        <v>0.7604166667</v>
      </c>
      <c r="CF172" s="220">
        <f t="shared" si="4"/>
        <v>0.7708333333</v>
      </c>
      <c r="CG172" s="220">
        <f t="shared" si="4"/>
        <v>0.78125</v>
      </c>
      <c r="CH172" s="220">
        <f t="shared" si="4"/>
        <v>0.7916666667</v>
      </c>
      <c r="CI172" s="220">
        <f t="shared" si="4"/>
        <v>0.8020833333</v>
      </c>
      <c r="CJ172" s="220">
        <f t="shared" si="4"/>
        <v>0.8125</v>
      </c>
      <c r="CK172" s="220">
        <f t="shared" si="4"/>
        <v>0.8229166667</v>
      </c>
      <c r="CL172" s="220">
        <f t="shared" si="4"/>
        <v>0.8333333333</v>
      </c>
      <c r="CM172" s="220">
        <f t="shared" si="4"/>
        <v>0.84375</v>
      </c>
      <c r="CN172" s="220">
        <f t="shared" si="4"/>
        <v>0.8541666667</v>
      </c>
      <c r="CO172" s="220">
        <f t="shared" si="4"/>
        <v>0.8645833333</v>
      </c>
      <c r="CP172" s="220">
        <f t="shared" si="4"/>
        <v>0.875</v>
      </c>
      <c r="CQ172" s="220">
        <f t="shared" si="4"/>
        <v>0.8854166667</v>
      </c>
      <c r="CR172" s="220">
        <f t="shared" si="4"/>
        <v>0.8958333333</v>
      </c>
      <c r="CS172" s="220">
        <f t="shared" si="4"/>
        <v>0.90625</v>
      </c>
      <c r="CT172" s="220">
        <f t="shared" si="4"/>
        <v>0.9166666667</v>
      </c>
      <c r="CU172" s="220">
        <f t="shared" si="4"/>
        <v>0.9270833333</v>
      </c>
      <c r="CV172" s="220">
        <f t="shared" si="4"/>
        <v>0.9375</v>
      </c>
      <c r="CW172" s="220">
        <f t="shared" si="4"/>
        <v>0.9479166667</v>
      </c>
      <c r="CX172" s="220">
        <f t="shared" si="4"/>
        <v>0.9583333333</v>
      </c>
      <c r="CY172" s="220">
        <f t="shared" si="4"/>
        <v>0.96875</v>
      </c>
      <c r="CZ172" s="220">
        <f t="shared" si="4"/>
        <v>0.9791666667</v>
      </c>
      <c r="DA172" s="220">
        <f t="shared" si="4"/>
        <v>0.9895833333</v>
      </c>
      <c r="DB172" s="220">
        <f t="shared" si="4"/>
        <v>1</v>
      </c>
      <c r="DC172" s="220" t="s">
        <v>573</v>
      </c>
      <c r="DD172" s="220" t="s">
        <v>575</v>
      </c>
    </row>
    <row r="173">
      <c r="A173" s="25"/>
      <c r="B173" s="26"/>
      <c r="C173" s="26"/>
      <c r="D173" s="27"/>
      <c r="E173" s="76"/>
      <c r="F173" s="76"/>
      <c r="G173" s="76"/>
      <c r="H173" s="76"/>
      <c r="I173" s="126" t="s">
        <v>188</v>
      </c>
      <c r="J173" s="224">
        <v>64.0</v>
      </c>
      <c r="K173" s="225">
        <f t="shared" ref="K173:DA173" si="5">if($J173&gt;=round(K$172*MAX($J$173:$J$184),6),1/96*MAX($J$173:$J$184),"")</f>
        <v>0.8645833333</v>
      </c>
      <c r="L173" s="225">
        <f t="shared" si="5"/>
        <v>0.8645833333</v>
      </c>
      <c r="M173" s="225">
        <f t="shared" si="5"/>
        <v>0.8645833333</v>
      </c>
      <c r="N173" s="225">
        <f t="shared" si="5"/>
        <v>0.8645833333</v>
      </c>
      <c r="O173" s="225">
        <f t="shared" si="5"/>
        <v>0.8645833333</v>
      </c>
      <c r="P173" s="225">
        <f t="shared" si="5"/>
        <v>0.8645833333</v>
      </c>
      <c r="Q173" s="225">
        <f t="shared" si="5"/>
        <v>0.8645833333</v>
      </c>
      <c r="R173" s="225">
        <f t="shared" si="5"/>
        <v>0.8645833333</v>
      </c>
      <c r="S173" s="225">
        <f t="shared" si="5"/>
        <v>0.8645833333</v>
      </c>
      <c r="T173" s="225">
        <f t="shared" si="5"/>
        <v>0.8645833333</v>
      </c>
      <c r="U173" s="225">
        <f t="shared" si="5"/>
        <v>0.8645833333</v>
      </c>
      <c r="V173" s="225">
        <f t="shared" si="5"/>
        <v>0.8645833333</v>
      </c>
      <c r="W173" s="225">
        <f t="shared" si="5"/>
        <v>0.8645833333</v>
      </c>
      <c r="X173" s="225">
        <f t="shared" si="5"/>
        <v>0.8645833333</v>
      </c>
      <c r="Y173" s="225">
        <f t="shared" si="5"/>
        <v>0.8645833333</v>
      </c>
      <c r="Z173" s="225">
        <f t="shared" si="5"/>
        <v>0.8645833333</v>
      </c>
      <c r="AA173" s="225">
        <f t="shared" si="5"/>
        <v>0.8645833333</v>
      </c>
      <c r="AB173" s="225">
        <f t="shared" si="5"/>
        <v>0.8645833333</v>
      </c>
      <c r="AC173" s="225">
        <f t="shared" si="5"/>
        <v>0.8645833333</v>
      </c>
      <c r="AD173" s="225">
        <f t="shared" si="5"/>
        <v>0.8645833333</v>
      </c>
      <c r="AE173" s="225">
        <f t="shared" si="5"/>
        <v>0.8645833333</v>
      </c>
      <c r="AF173" s="225">
        <f t="shared" si="5"/>
        <v>0.8645833333</v>
      </c>
      <c r="AG173" s="225">
        <f t="shared" si="5"/>
        <v>0.8645833333</v>
      </c>
      <c r="AH173" s="225">
        <f t="shared" si="5"/>
        <v>0.8645833333</v>
      </c>
      <c r="AI173" s="225">
        <f t="shared" si="5"/>
        <v>0.8645833333</v>
      </c>
      <c r="AJ173" s="225">
        <f t="shared" si="5"/>
        <v>0.8645833333</v>
      </c>
      <c r="AK173" s="225">
        <f t="shared" si="5"/>
        <v>0.8645833333</v>
      </c>
      <c r="AL173" s="225">
        <f t="shared" si="5"/>
        <v>0.8645833333</v>
      </c>
      <c r="AM173" s="225">
        <f t="shared" si="5"/>
        <v>0.8645833333</v>
      </c>
      <c r="AN173" s="225">
        <f t="shared" si="5"/>
        <v>0.8645833333</v>
      </c>
      <c r="AO173" s="225">
        <f t="shared" si="5"/>
        <v>0.8645833333</v>
      </c>
      <c r="AP173" s="225">
        <f t="shared" si="5"/>
        <v>0.8645833333</v>
      </c>
      <c r="AQ173" s="225">
        <f t="shared" si="5"/>
        <v>0.8645833333</v>
      </c>
      <c r="AR173" s="225">
        <f t="shared" si="5"/>
        <v>0.8645833333</v>
      </c>
      <c r="AS173" s="225">
        <f t="shared" si="5"/>
        <v>0.8645833333</v>
      </c>
      <c r="AT173" s="225">
        <f t="shared" si="5"/>
        <v>0.8645833333</v>
      </c>
      <c r="AU173" s="225">
        <f t="shared" si="5"/>
        <v>0.8645833333</v>
      </c>
      <c r="AV173" s="225">
        <f t="shared" si="5"/>
        <v>0.8645833333</v>
      </c>
      <c r="AW173" s="225">
        <f t="shared" si="5"/>
        <v>0.8645833333</v>
      </c>
      <c r="AX173" s="225">
        <f t="shared" si="5"/>
        <v>0.8645833333</v>
      </c>
      <c r="AY173" s="225">
        <f t="shared" si="5"/>
        <v>0.8645833333</v>
      </c>
      <c r="AZ173" s="225">
        <f t="shared" si="5"/>
        <v>0.8645833333</v>
      </c>
      <c r="BA173" s="225">
        <f t="shared" si="5"/>
        <v>0.8645833333</v>
      </c>
      <c r="BB173" s="225">
        <f t="shared" si="5"/>
        <v>0.8645833333</v>
      </c>
      <c r="BC173" s="225">
        <f t="shared" si="5"/>
        <v>0.8645833333</v>
      </c>
      <c r="BD173" s="225">
        <f t="shared" si="5"/>
        <v>0.8645833333</v>
      </c>
      <c r="BE173" s="225">
        <f t="shared" si="5"/>
        <v>0.8645833333</v>
      </c>
      <c r="BF173" s="225">
        <f t="shared" si="5"/>
        <v>0.8645833333</v>
      </c>
      <c r="BG173" s="225">
        <f t="shared" si="5"/>
        <v>0.8645833333</v>
      </c>
      <c r="BH173" s="225">
        <f t="shared" si="5"/>
        <v>0.8645833333</v>
      </c>
      <c r="BI173" s="225">
        <f t="shared" si="5"/>
        <v>0.8645833333</v>
      </c>
      <c r="BJ173" s="225">
        <f t="shared" si="5"/>
        <v>0.8645833333</v>
      </c>
      <c r="BK173" s="225">
        <f t="shared" si="5"/>
        <v>0.8645833333</v>
      </c>
      <c r="BL173" s="225">
        <f t="shared" si="5"/>
        <v>0.8645833333</v>
      </c>
      <c r="BM173" s="225">
        <f t="shared" si="5"/>
        <v>0.8645833333</v>
      </c>
      <c r="BN173" s="225">
        <f t="shared" si="5"/>
        <v>0.8645833333</v>
      </c>
      <c r="BO173" s="225">
        <f t="shared" si="5"/>
        <v>0.8645833333</v>
      </c>
      <c r="BP173" s="225">
        <f t="shared" si="5"/>
        <v>0.8645833333</v>
      </c>
      <c r="BQ173" s="225">
        <f t="shared" si="5"/>
        <v>0.8645833333</v>
      </c>
      <c r="BR173" s="225">
        <f t="shared" si="5"/>
        <v>0.8645833333</v>
      </c>
      <c r="BS173" s="225">
        <f t="shared" si="5"/>
        <v>0.8645833333</v>
      </c>
      <c r="BT173" s="225">
        <f t="shared" si="5"/>
        <v>0.8645833333</v>
      </c>
      <c r="BU173" s="225">
        <f t="shared" si="5"/>
        <v>0.8645833333</v>
      </c>
      <c r="BV173" s="225">
        <f t="shared" si="5"/>
        <v>0.8645833333</v>
      </c>
      <c r="BW173" s="225">
        <f t="shared" si="5"/>
        <v>0.8645833333</v>
      </c>
      <c r="BX173" s="225">
        <f t="shared" si="5"/>
        <v>0.8645833333</v>
      </c>
      <c r="BY173" s="225">
        <f t="shared" si="5"/>
        <v>0.8645833333</v>
      </c>
      <c r="BZ173" s="225">
        <f t="shared" si="5"/>
        <v>0.8645833333</v>
      </c>
      <c r="CA173" s="225">
        <f t="shared" si="5"/>
        <v>0.8645833333</v>
      </c>
      <c r="CB173" s="225">
        <f t="shared" si="5"/>
        <v>0.8645833333</v>
      </c>
      <c r="CC173" s="225">
        <f t="shared" si="5"/>
        <v>0.8645833333</v>
      </c>
      <c r="CD173" s="225">
        <f t="shared" si="5"/>
        <v>0.8645833333</v>
      </c>
      <c r="CE173" s="225">
        <f t="shared" si="5"/>
        <v>0.8645833333</v>
      </c>
      <c r="CF173" s="225">
        <f t="shared" si="5"/>
        <v>0.8645833333</v>
      </c>
      <c r="CG173" s="225" t="str">
        <f t="shared" si="5"/>
        <v/>
      </c>
      <c r="CH173" s="225" t="str">
        <f t="shared" si="5"/>
        <v/>
      </c>
      <c r="CI173" s="225" t="str">
        <f t="shared" si="5"/>
        <v/>
      </c>
      <c r="CJ173" s="225" t="str">
        <f t="shared" si="5"/>
        <v/>
      </c>
      <c r="CK173" s="225" t="str">
        <f t="shared" si="5"/>
        <v/>
      </c>
      <c r="CL173" s="225" t="str">
        <f t="shared" si="5"/>
        <v/>
      </c>
      <c r="CM173" s="225" t="str">
        <f t="shared" si="5"/>
        <v/>
      </c>
      <c r="CN173" s="225" t="str">
        <f t="shared" si="5"/>
        <v/>
      </c>
      <c r="CO173" s="225" t="str">
        <f t="shared" si="5"/>
        <v/>
      </c>
      <c r="CP173" s="225" t="str">
        <f t="shared" si="5"/>
        <v/>
      </c>
      <c r="CQ173" s="225" t="str">
        <f t="shared" si="5"/>
        <v/>
      </c>
      <c r="CR173" s="225" t="str">
        <f t="shared" si="5"/>
        <v/>
      </c>
      <c r="CS173" s="225" t="str">
        <f t="shared" si="5"/>
        <v/>
      </c>
      <c r="CT173" s="225" t="str">
        <f t="shared" si="5"/>
        <v/>
      </c>
      <c r="CU173" s="225" t="str">
        <f t="shared" si="5"/>
        <v/>
      </c>
      <c r="CV173" s="225" t="str">
        <f t="shared" si="5"/>
        <v/>
      </c>
      <c r="CW173" s="225" t="str">
        <f t="shared" si="5"/>
        <v/>
      </c>
      <c r="CX173" s="225" t="str">
        <f t="shared" si="5"/>
        <v/>
      </c>
      <c r="CY173" s="225" t="str">
        <f t="shared" si="5"/>
        <v/>
      </c>
      <c r="CZ173" s="225" t="str">
        <f t="shared" si="5"/>
        <v/>
      </c>
      <c r="DA173" s="225" t="str">
        <f t="shared" si="5"/>
        <v/>
      </c>
      <c r="DB173" s="225">
        <v>0.0</v>
      </c>
      <c r="DC173" s="231" t="str">
        <f t="shared" ref="DC173:DC184" si="7">if(MIN($J$173:$J$184)=J173,J173,)</f>
        <v/>
      </c>
      <c r="DD173" s="231" t="str">
        <f t="shared" ref="DD173:DD184" si="8">if(MAX($J$173:$J$184)=J173,J173,)</f>
        <v/>
      </c>
    </row>
    <row r="174">
      <c r="A174" s="25"/>
      <c r="B174" s="26"/>
      <c r="C174" s="26"/>
      <c r="D174" s="27"/>
      <c r="E174" s="76"/>
      <c r="F174" s="76"/>
      <c r="G174" s="76"/>
      <c r="H174" s="76"/>
      <c r="I174" s="126" t="s">
        <v>193</v>
      </c>
      <c r="J174" s="224">
        <v>60.0</v>
      </c>
      <c r="K174" s="225">
        <f t="shared" ref="K174:DA174" si="6">if($J174&gt;=round(K$172*MAX($J$173:$J$184),6),1/96*MAX($J$173:$J$184),"")</f>
        <v>0.8645833333</v>
      </c>
      <c r="L174" s="225">
        <f t="shared" si="6"/>
        <v>0.8645833333</v>
      </c>
      <c r="M174" s="225">
        <f t="shared" si="6"/>
        <v>0.8645833333</v>
      </c>
      <c r="N174" s="225">
        <f t="shared" si="6"/>
        <v>0.8645833333</v>
      </c>
      <c r="O174" s="225">
        <f t="shared" si="6"/>
        <v>0.8645833333</v>
      </c>
      <c r="P174" s="225">
        <f t="shared" si="6"/>
        <v>0.8645833333</v>
      </c>
      <c r="Q174" s="225">
        <f t="shared" si="6"/>
        <v>0.8645833333</v>
      </c>
      <c r="R174" s="225">
        <f t="shared" si="6"/>
        <v>0.8645833333</v>
      </c>
      <c r="S174" s="225">
        <f t="shared" si="6"/>
        <v>0.8645833333</v>
      </c>
      <c r="T174" s="225">
        <f t="shared" si="6"/>
        <v>0.8645833333</v>
      </c>
      <c r="U174" s="225">
        <f t="shared" si="6"/>
        <v>0.8645833333</v>
      </c>
      <c r="V174" s="225">
        <f t="shared" si="6"/>
        <v>0.8645833333</v>
      </c>
      <c r="W174" s="225">
        <f t="shared" si="6"/>
        <v>0.8645833333</v>
      </c>
      <c r="X174" s="225">
        <f t="shared" si="6"/>
        <v>0.8645833333</v>
      </c>
      <c r="Y174" s="225">
        <f t="shared" si="6"/>
        <v>0.8645833333</v>
      </c>
      <c r="Z174" s="225">
        <f t="shared" si="6"/>
        <v>0.8645833333</v>
      </c>
      <c r="AA174" s="225">
        <f t="shared" si="6"/>
        <v>0.8645833333</v>
      </c>
      <c r="AB174" s="225">
        <f t="shared" si="6"/>
        <v>0.8645833333</v>
      </c>
      <c r="AC174" s="225">
        <f t="shared" si="6"/>
        <v>0.8645833333</v>
      </c>
      <c r="AD174" s="225">
        <f t="shared" si="6"/>
        <v>0.8645833333</v>
      </c>
      <c r="AE174" s="225">
        <f t="shared" si="6"/>
        <v>0.8645833333</v>
      </c>
      <c r="AF174" s="225">
        <f t="shared" si="6"/>
        <v>0.8645833333</v>
      </c>
      <c r="AG174" s="225">
        <f t="shared" si="6"/>
        <v>0.8645833333</v>
      </c>
      <c r="AH174" s="225">
        <f t="shared" si="6"/>
        <v>0.8645833333</v>
      </c>
      <c r="AI174" s="225">
        <f t="shared" si="6"/>
        <v>0.8645833333</v>
      </c>
      <c r="AJ174" s="225">
        <f t="shared" si="6"/>
        <v>0.8645833333</v>
      </c>
      <c r="AK174" s="225">
        <f t="shared" si="6"/>
        <v>0.8645833333</v>
      </c>
      <c r="AL174" s="225">
        <f t="shared" si="6"/>
        <v>0.8645833333</v>
      </c>
      <c r="AM174" s="225">
        <f t="shared" si="6"/>
        <v>0.8645833333</v>
      </c>
      <c r="AN174" s="225">
        <f t="shared" si="6"/>
        <v>0.8645833333</v>
      </c>
      <c r="AO174" s="225">
        <f t="shared" si="6"/>
        <v>0.8645833333</v>
      </c>
      <c r="AP174" s="225">
        <f t="shared" si="6"/>
        <v>0.8645833333</v>
      </c>
      <c r="AQ174" s="225">
        <f t="shared" si="6"/>
        <v>0.8645833333</v>
      </c>
      <c r="AR174" s="225">
        <f t="shared" si="6"/>
        <v>0.8645833333</v>
      </c>
      <c r="AS174" s="225">
        <f t="shared" si="6"/>
        <v>0.8645833333</v>
      </c>
      <c r="AT174" s="225">
        <f t="shared" si="6"/>
        <v>0.8645833333</v>
      </c>
      <c r="AU174" s="225">
        <f t="shared" si="6"/>
        <v>0.8645833333</v>
      </c>
      <c r="AV174" s="225">
        <f t="shared" si="6"/>
        <v>0.8645833333</v>
      </c>
      <c r="AW174" s="225">
        <f t="shared" si="6"/>
        <v>0.8645833333</v>
      </c>
      <c r="AX174" s="225">
        <f t="shared" si="6"/>
        <v>0.8645833333</v>
      </c>
      <c r="AY174" s="225">
        <f t="shared" si="6"/>
        <v>0.8645833333</v>
      </c>
      <c r="AZ174" s="225">
        <f t="shared" si="6"/>
        <v>0.8645833333</v>
      </c>
      <c r="BA174" s="225">
        <f t="shared" si="6"/>
        <v>0.8645833333</v>
      </c>
      <c r="BB174" s="225">
        <f t="shared" si="6"/>
        <v>0.8645833333</v>
      </c>
      <c r="BC174" s="225">
        <f t="shared" si="6"/>
        <v>0.8645833333</v>
      </c>
      <c r="BD174" s="225">
        <f t="shared" si="6"/>
        <v>0.8645833333</v>
      </c>
      <c r="BE174" s="225">
        <f t="shared" si="6"/>
        <v>0.8645833333</v>
      </c>
      <c r="BF174" s="225">
        <f t="shared" si="6"/>
        <v>0.8645833333</v>
      </c>
      <c r="BG174" s="225">
        <f t="shared" si="6"/>
        <v>0.8645833333</v>
      </c>
      <c r="BH174" s="225">
        <f t="shared" si="6"/>
        <v>0.8645833333</v>
      </c>
      <c r="BI174" s="225">
        <f t="shared" si="6"/>
        <v>0.8645833333</v>
      </c>
      <c r="BJ174" s="225">
        <f t="shared" si="6"/>
        <v>0.8645833333</v>
      </c>
      <c r="BK174" s="225">
        <f t="shared" si="6"/>
        <v>0.8645833333</v>
      </c>
      <c r="BL174" s="225">
        <f t="shared" si="6"/>
        <v>0.8645833333</v>
      </c>
      <c r="BM174" s="225">
        <f t="shared" si="6"/>
        <v>0.8645833333</v>
      </c>
      <c r="BN174" s="225">
        <f t="shared" si="6"/>
        <v>0.8645833333</v>
      </c>
      <c r="BO174" s="225">
        <f t="shared" si="6"/>
        <v>0.8645833333</v>
      </c>
      <c r="BP174" s="225">
        <f t="shared" si="6"/>
        <v>0.8645833333</v>
      </c>
      <c r="BQ174" s="225">
        <f t="shared" si="6"/>
        <v>0.8645833333</v>
      </c>
      <c r="BR174" s="225">
        <f t="shared" si="6"/>
        <v>0.8645833333</v>
      </c>
      <c r="BS174" s="225">
        <f t="shared" si="6"/>
        <v>0.8645833333</v>
      </c>
      <c r="BT174" s="225">
        <f t="shared" si="6"/>
        <v>0.8645833333</v>
      </c>
      <c r="BU174" s="225">
        <f t="shared" si="6"/>
        <v>0.8645833333</v>
      </c>
      <c r="BV174" s="225">
        <f t="shared" si="6"/>
        <v>0.8645833333</v>
      </c>
      <c r="BW174" s="225">
        <f t="shared" si="6"/>
        <v>0.8645833333</v>
      </c>
      <c r="BX174" s="225">
        <f t="shared" si="6"/>
        <v>0.8645833333</v>
      </c>
      <c r="BY174" s="225">
        <f t="shared" si="6"/>
        <v>0.8645833333</v>
      </c>
      <c r="BZ174" s="225">
        <f t="shared" si="6"/>
        <v>0.8645833333</v>
      </c>
      <c r="CA174" s="225">
        <f t="shared" si="6"/>
        <v>0.8645833333</v>
      </c>
      <c r="CB174" s="225" t="str">
        <f t="shared" si="6"/>
        <v/>
      </c>
      <c r="CC174" s="225" t="str">
        <f t="shared" si="6"/>
        <v/>
      </c>
      <c r="CD174" s="225" t="str">
        <f t="shared" si="6"/>
        <v/>
      </c>
      <c r="CE174" s="225" t="str">
        <f t="shared" si="6"/>
        <v/>
      </c>
      <c r="CF174" s="225" t="str">
        <f t="shared" si="6"/>
        <v/>
      </c>
      <c r="CG174" s="225" t="str">
        <f t="shared" si="6"/>
        <v/>
      </c>
      <c r="CH174" s="225" t="str">
        <f t="shared" si="6"/>
        <v/>
      </c>
      <c r="CI174" s="225" t="str">
        <f t="shared" si="6"/>
        <v/>
      </c>
      <c r="CJ174" s="225" t="str">
        <f t="shared" si="6"/>
        <v/>
      </c>
      <c r="CK174" s="225" t="str">
        <f t="shared" si="6"/>
        <v/>
      </c>
      <c r="CL174" s="225" t="str">
        <f t="shared" si="6"/>
        <v/>
      </c>
      <c r="CM174" s="225" t="str">
        <f t="shared" si="6"/>
        <v/>
      </c>
      <c r="CN174" s="225" t="str">
        <f t="shared" si="6"/>
        <v/>
      </c>
      <c r="CO174" s="225" t="str">
        <f t="shared" si="6"/>
        <v/>
      </c>
      <c r="CP174" s="225" t="str">
        <f t="shared" si="6"/>
        <v/>
      </c>
      <c r="CQ174" s="225" t="str">
        <f t="shared" si="6"/>
        <v/>
      </c>
      <c r="CR174" s="225" t="str">
        <f t="shared" si="6"/>
        <v/>
      </c>
      <c r="CS174" s="225" t="str">
        <f t="shared" si="6"/>
        <v/>
      </c>
      <c r="CT174" s="225" t="str">
        <f t="shared" si="6"/>
        <v/>
      </c>
      <c r="CU174" s="225" t="str">
        <f t="shared" si="6"/>
        <v/>
      </c>
      <c r="CV174" s="225" t="str">
        <f t="shared" si="6"/>
        <v/>
      </c>
      <c r="CW174" s="225" t="str">
        <f t="shared" si="6"/>
        <v/>
      </c>
      <c r="CX174" s="225" t="str">
        <f t="shared" si="6"/>
        <v/>
      </c>
      <c r="CY174" s="225" t="str">
        <f t="shared" si="6"/>
        <v/>
      </c>
      <c r="CZ174" s="225" t="str">
        <f t="shared" si="6"/>
        <v/>
      </c>
      <c r="DA174" s="225" t="str">
        <f t="shared" si="6"/>
        <v/>
      </c>
      <c r="DB174" s="225">
        <v>0.0</v>
      </c>
      <c r="DC174" s="231" t="str">
        <f t="shared" si="7"/>
        <v/>
      </c>
      <c r="DD174" s="231" t="str">
        <f t="shared" si="8"/>
        <v/>
      </c>
    </row>
    <row r="175">
      <c r="A175" s="25"/>
      <c r="B175" s="26"/>
      <c r="C175" s="26"/>
      <c r="D175" s="27"/>
      <c r="E175" s="76"/>
      <c r="F175" s="76"/>
      <c r="G175" s="76"/>
      <c r="H175" s="76"/>
      <c r="I175" s="126" t="s">
        <v>195</v>
      </c>
      <c r="J175" s="224">
        <v>61.0</v>
      </c>
      <c r="K175" s="225">
        <f t="shared" ref="K175:DA175" si="9">if($J175&gt;=round(K$172*MAX($J$173:$J$184),6),1/96*MAX($J$173:$J$184),"")</f>
        <v>0.8645833333</v>
      </c>
      <c r="L175" s="225">
        <f t="shared" si="9"/>
        <v>0.8645833333</v>
      </c>
      <c r="M175" s="225">
        <f t="shared" si="9"/>
        <v>0.8645833333</v>
      </c>
      <c r="N175" s="225">
        <f t="shared" si="9"/>
        <v>0.8645833333</v>
      </c>
      <c r="O175" s="225">
        <f t="shared" si="9"/>
        <v>0.8645833333</v>
      </c>
      <c r="P175" s="225">
        <f t="shared" si="9"/>
        <v>0.8645833333</v>
      </c>
      <c r="Q175" s="225">
        <f t="shared" si="9"/>
        <v>0.8645833333</v>
      </c>
      <c r="R175" s="225">
        <f t="shared" si="9"/>
        <v>0.8645833333</v>
      </c>
      <c r="S175" s="225">
        <f t="shared" si="9"/>
        <v>0.8645833333</v>
      </c>
      <c r="T175" s="225">
        <f t="shared" si="9"/>
        <v>0.8645833333</v>
      </c>
      <c r="U175" s="225">
        <f t="shared" si="9"/>
        <v>0.8645833333</v>
      </c>
      <c r="V175" s="225">
        <f t="shared" si="9"/>
        <v>0.8645833333</v>
      </c>
      <c r="W175" s="225">
        <f t="shared" si="9"/>
        <v>0.8645833333</v>
      </c>
      <c r="X175" s="225">
        <f t="shared" si="9"/>
        <v>0.8645833333</v>
      </c>
      <c r="Y175" s="225">
        <f t="shared" si="9"/>
        <v>0.8645833333</v>
      </c>
      <c r="Z175" s="225">
        <f t="shared" si="9"/>
        <v>0.8645833333</v>
      </c>
      <c r="AA175" s="225">
        <f t="shared" si="9"/>
        <v>0.8645833333</v>
      </c>
      <c r="AB175" s="225">
        <f t="shared" si="9"/>
        <v>0.8645833333</v>
      </c>
      <c r="AC175" s="225">
        <f t="shared" si="9"/>
        <v>0.8645833333</v>
      </c>
      <c r="AD175" s="225">
        <f t="shared" si="9"/>
        <v>0.8645833333</v>
      </c>
      <c r="AE175" s="225">
        <f t="shared" si="9"/>
        <v>0.8645833333</v>
      </c>
      <c r="AF175" s="225">
        <f t="shared" si="9"/>
        <v>0.8645833333</v>
      </c>
      <c r="AG175" s="225">
        <f t="shared" si="9"/>
        <v>0.8645833333</v>
      </c>
      <c r="AH175" s="225">
        <f t="shared" si="9"/>
        <v>0.8645833333</v>
      </c>
      <c r="AI175" s="225">
        <f t="shared" si="9"/>
        <v>0.8645833333</v>
      </c>
      <c r="AJ175" s="225">
        <f t="shared" si="9"/>
        <v>0.8645833333</v>
      </c>
      <c r="AK175" s="225">
        <f t="shared" si="9"/>
        <v>0.8645833333</v>
      </c>
      <c r="AL175" s="225">
        <f t="shared" si="9"/>
        <v>0.8645833333</v>
      </c>
      <c r="AM175" s="225">
        <f t="shared" si="9"/>
        <v>0.8645833333</v>
      </c>
      <c r="AN175" s="225">
        <f t="shared" si="9"/>
        <v>0.8645833333</v>
      </c>
      <c r="AO175" s="225">
        <f t="shared" si="9"/>
        <v>0.8645833333</v>
      </c>
      <c r="AP175" s="225">
        <f t="shared" si="9"/>
        <v>0.8645833333</v>
      </c>
      <c r="AQ175" s="225">
        <f t="shared" si="9"/>
        <v>0.8645833333</v>
      </c>
      <c r="AR175" s="225">
        <f t="shared" si="9"/>
        <v>0.8645833333</v>
      </c>
      <c r="AS175" s="225">
        <f t="shared" si="9"/>
        <v>0.8645833333</v>
      </c>
      <c r="AT175" s="225">
        <f t="shared" si="9"/>
        <v>0.8645833333</v>
      </c>
      <c r="AU175" s="225">
        <f t="shared" si="9"/>
        <v>0.8645833333</v>
      </c>
      <c r="AV175" s="225">
        <f t="shared" si="9"/>
        <v>0.8645833333</v>
      </c>
      <c r="AW175" s="225">
        <f t="shared" si="9"/>
        <v>0.8645833333</v>
      </c>
      <c r="AX175" s="225">
        <f t="shared" si="9"/>
        <v>0.8645833333</v>
      </c>
      <c r="AY175" s="225">
        <f t="shared" si="9"/>
        <v>0.8645833333</v>
      </c>
      <c r="AZ175" s="225">
        <f t="shared" si="9"/>
        <v>0.8645833333</v>
      </c>
      <c r="BA175" s="225">
        <f t="shared" si="9"/>
        <v>0.8645833333</v>
      </c>
      <c r="BB175" s="225">
        <f t="shared" si="9"/>
        <v>0.8645833333</v>
      </c>
      <c r="BC175" s="225">
        <f t="shared" si="9"/>
        <v>0.8645833333</v>
      </c>
      <c r="BD175" s="225">
        <f t="shared" si="9"/>
        <v>0.8645833333</v>
      </c>
      <c r="BE175" s="225">
        <f t="shared" si="9"/>
        <v>0.8645833333</v>
      </c>
      <c r="BF175" s="225">
        <f t="shared" si="9"/>
        <v>0.8645833333</v>
      </c>
      <c r="BG175" s="225">
        <f t="shared" si="9"/>
        <v>0.8645833333</v>
      </c>
      <c r="BH175" s="225">
        <f t="shared" si="9"/>
        <v>0.8645833333</v>
      </c>
      <c r="BI175" s="225">
        <f t="shared" si="9"/>
        <v>0.8645833333</v>
      </c>
      <c r="BJ175" s="225">
        <f t="shared" si="9"/>
        <v>0.8645833333</v>
      </c>
      <c r="BK175" s="225">
        <f t="shared" si="9"/>
        <v>0.8645833333</v>
      </c>
      <c r="BL175" s="225">
        <f t="shared" si="9"/>
        <v>0.8645833333</v>
      </c>
      <c r="BM175" s="225">
        <f t="shared" si="9"/>
        <v>0.8645833333</v>
      </c>
      <c r="BN175" s="225">
        <f t="shared" si="9"/>
        <v>0.8645833333</v>
      </c>
      <c r="BO175" s="225">
        <f t="shared" si="9"/>
        <v>0.8645833333</v>
      </c>
      <c r="BP175" s="225">
        <f t="shared" si="9"/>
        <v>0.8645833333</v>
      </c>
      <c r="BQ175" s="225">
        <f t="shared" si="9"/>
        <v>0.8645833333</v>
      </c>
      <c r="BR175" s="225">
        <f t="shared" si="9"/>
        <v>0.8645833333</v>
      </c>
      <c r="BS175" s="225">
        <f t="shared" si="9"/>
        <v>0.8645833333</v>
      </c>
      <c r="BT175" s="225">
        <f t="shared" si="9"/>
        <v>0.8645833333</v>
      </c>
      <c r="BU175" s="225">
        <f t="shared" si="9"/>
        <v>0.8645833333</v>
      </c>
      <c r="BV175" s="225">
        <f t="shared" si="9"/>
        <v>0.8645833333</v>
      </c>
      <c r="BW175" s="225">
        <f t="shared" si="9"/>
        <v>0.8645833333</v>
      </c>
      <c r="BX175" s="225">
        <f t="shared" si="9"/>
        <v>0.8645833333</v>
      </c>
      <c r="BY175" s="225">
        <f t="shared" si="9"/>
        <v>0.8645833333</v>
      </c>
      <c r="BZ175" s="225">
        <f t="shared" si="9"/>
        <v>0.8645833333</v>
      </c>
      <c r="CA175" s="225">
        <f t="shared" si="9"/>
        <v>0.8645833333</v>
      </c>
      <c r="CB175" s="225">
        <f t="shared" si="9"/>
        <v>0.8645833333</v>
      </c>
      <c r="CC175" s="225" t="str">
        <f t="shared" si="9"/>
        <v/>
      </c>
      <c r="CD175" s="225" t="str">
        <f t="shared" si="9"/>
        <v/>
      </c>
      <c r="CE175" s="225" t="str">
        <f t="shared" si="9"/>
        <v/>
      </c>
      <c r="CF175" s="225" t="str">
        <f t="shared" si="9"/>
        <v/>
      </c>
      <c r="CG175" s="225" t="str">
        <f t="shared" si="9"/>
        <v/>
      </c>
      <c r="CH175" s="225" t="str">
        <f t="shared" si="9"/>
        <v/>
      </c>
      <c r="CI175" s="225" t="str">
        <f t="shared" si="9"/>
        <v/>
      </c>
      <c r="CJ175" s="225" t="str">
        <f t="shared" si="9"/>
        <v/>
      </c>
      <c r="CK175" s="225" t="str">
        <f t="shared" si="9"/>
        <v/>
      </c>
      <c r="CL175" s="225" t="str">
        <f t="shared" si="9"/>
        <v/>
      </c>
      <c r="CM175" s="225" t="str">
        <f t="shared" si="9"/>
        <v/>
      </c>
      <c r="CN175" s="225" t="str">
        <f t="shared" si="9"/>
        <v/>
      </c>
      <c r="CO175" s="225" t="str">
        <f t="shared" si="9"/>
        <v/>
      </c>
      <c r="CP175" s="225" t="str">
        <f t="shared" si="9"/>
        <v/>
      </c>
      <c r="CQ175" s="225" t="str">
        <f t="shared" si="9"/>
        <v/>
      </c>
      <c r="CR175" s="225" t="str">
        <f t="shared" si="9"/>
        <v/>
      </c>
      <c r="CS175" s="225" t="str">
        <f t="shared" si="9"/>
        <v/>
      </c>
      <c r="CT175" s="225" t="str">
        <f t="shared" si="9"/>
        <v/>
      </c>
      <c r="CU175" s="225" t="str">
        <f t="shared" si="9"/>
        <v/>
      </c>
      <c r="CV175" s="225" t="str">
        <f t="shared" si="9"/>
        <v/>
      </c>
      <c r="CW175" s="225" t="str">
        <f t="shared" si="9"/>
        <v/>
      </c>
      <c r="CX175" s="225" t="str">
        <f t="shared" si="9"/>
        <v/>
      </c>
      <c r="CY175" s="225" t="str">
        <f t="shared" si="9"/>
        <v/>
      </c>
      <c r="CZ175" s="225" t="str">
        <f t="shared" si="9"/>
        <v/>
      </c>
      <c r="DA175" s="225" t="str">
        <f t="shared" si="9"/>
        <v/>
      </c>
      <c r="DB175" s="225">
        <v>0.0</v>
      </c>
      <c r="DC175" s="231" t="str">
        <f t="shared" si="7"/>
        <v/>
      </c>
      <c r="DD175" s="231" t="str">
        <f t="shared" si="8"/>
        <v/>
      </c>
    </row>
    <row r="176">
      <c r="A176" s="25"/>
      <c r="B176" s="26"/>
      <c r="C176" s="26"/>
      <c r="D176" s="27"/>
      <c r="E176" s="76"/>
      <c r="F176" s="76"/>
      <c r="G176" s="76"/>
      <c r="H176" s="76"/>
      <c r="I176" s="126" t="s">
        <v>197</v>
      </c>
      <c r="J176" s="224">
        <v>53.0</v>
      </c>
      <c r="K176" s="225">
        <f t="shared" ref="K176:DA176" si="10">if($J176&gt;=round(K$172*MAX($J$173:$J$184),6),1/96*MAX($J$173:$J$184),"")</f>
        <v>0.8645833333</v>
      </c>
      <c r="L176" s="225">
        <f t="shared" si="10"/>
        <v>0.8645833333</v>
      </c>
      <c r="M176" s="225">
        <f t="shared" si="10"/>
        <v>0.8645833333</v>
      </c>
      <c r="N176" s="225">
        <f t="shared" si="10"/>
        <v>0.8645833333</v>
      </c>
      <c r="O176" s="225">
        <f t="shared" si="10"/>
        <v>0.8645833333</v>
      </c>
      <c r="P176" s="225">
        <f t="shared" si="10"/>
        <v>0.8645833333</v>
      </c>
      <c r="Q176" s="225">
        <f t="shared" si="10"/>
        <v>0.8645833333</v>
      </c>
      <c r="R176" s="225">
        <f t="shared" si="10"/>
        <v>0.8645833333</v>
      </c>
      <c r="S176" s="225">
        <f t="shared" si="10"/>
        <v>0.8645833333</v>
      </c>
      <c r="T176" s="225">
        <f t="shared" si="10"/>
        <v>0.8645833333</v>
      </c>
      <c r="U176" s="225">
        <f t="shared" si="10"/>
        <v>0.8645833333</v>
      </c>
      <c r="V176" s="225">
        <f t="shared" si="10"/>
        <v>0.8645833333</v>
      </c>
      <c r="W176" s="225">
        <f t="shared" si="10"/>
        <v>0.8645833333</v>
      </c>
      <c r="X176" s="225">
        <f t="shared" si="10"/>
        <v>0.8645833333</v>
      </c>
      <c r="Y176" s="225">
        <f t="shared" si="10"/>
        <v>0.8645833333</v>
      </c>
      <c r="Z176" s="225">
        <f t="shared" si="10"/>
        <v>0.8645833333</v>
      </c>
      <c r="AA176" s="225">
        <f t="shared" si="10"/>
        <v>0.8645833333</v>
      </c>
      <c r="AB176" s="225">
        <f t="shared" si="10"/>
        <v>0.8645833333</v>
      </c>
      <c r="AC176" s="225">
        <f t="shared" si="10"/>
        <v>0.8645833333</v>
      </c>
      <c r="AD176" s="225">
        <f t="shared" si="10"/>
        <v>0.8645833333</v>
      </c>
      <c r="AE176" s="225">
        <f t="shared" si="10"/>
        <v>0.8645833333</v>
      </c>
      <c r="AF176" s="225">
        <f t="shared" si="10"/>
        <v>0.8645833333</v>
      </c>
      <c r="AG176" s="225">
        <f t="shared" si="10"/>
        <v>0.8645833333</v>
      </c>
      <c r="AH176" s="225">
        <f t="shared" si="10"/>
        <v>0.8645833333</v>
      </c>
      <c r="AI176" s="225">
        <f t="shared" si="10"/>
        <v>0.8645833333</v>
      </c>
      <c r="AJ176" s="225">
        <f t="shared" si="10"/>
        <v>0.8645833333</v>
      </c>
      <c r="AK176" s="225">
        <f t="shared" si="10"/>
        <v>0.8645833333</v>
      </c>
      <c r="AL176" s="225">
        <f t="shared" si="10"/>
        <v>0.8645833333</v>
      </c>
      <c r="AM176" s="225">
        <f t="shared" si="10"/>
        <v>0.8645833333</v>
      </c>
      <c r="AN176" s="225">
        <f t="shared" si="10"/>
        <v>0.8645833333</v>
      </c>
      <c r="AO176" s="225">
        <f t="shared" si="10"/>
        <v>0.8645833333</v>
      </c>
      <c r="AP176" s="225">
        <f t="shared" si="10"/>
        <v>0.8645833333</v>
      </c>
      <c r="AQ176" s="225">
        <f t="shared" si="10"/>
        <v>0.8645833333</v>
      </c>
      <c r="AR176" s="225">
        <f t="shared" si="10"/>
        <v>0.8645833333</v>
      </c>
      <c r="AS176" s="225">
        <f t="shared" si="10"/>
        <v>0.8645833333</v>
      </c>
      <c r="AT176" s="225">
        <f t="shared" si="10"/>
        <v>0.8645833333</v>
      </c>
      <c r="AU176" s="225">
        <f t="shared" si="10"/>
        <v>0.8645833333</v>
      </c>
      <c r="AV176" s="225">
        <f t="shared" si="10"/>
        <v>0.8645833333</v>
      </c>
      <c r="AW176" s="225">
        <f t="shared" si="10"/>
        <v>0.8645833333</v>
      </c>
      <c r="AX176" s="225">
        <f t="shared" si="10"/>
        <v>0.8645833333</v>
      </c>
      <c r="AY176" s="225">
        <f t="shared" si="10"/>
        <v>0.8645833333</v>
      </c>
      <c r="AZ176" s="225">
        <f t="shared" si="10"/>
        <v>0.8645833333</v>
      </c>
      <c r="BA176" s="225">
        <f t="shared" si="10"/>
        <v>0.8645833333</v>
      </c>
      <c r="BB176" s="225">
        <f t="shared" si="10"/>
        <v>0.8645833333</v>
      </c>
      <c r="BC176" s="225">
        <f t="shared" si="10"/>
        <v>0.8645833333</v>
      </c>
      <c r="BD176" s="225">
        <f t="shared" si="10"/>
        <v>0.8645833333</v>
      </c>
      <c r="BE176" s="225">
        <f t="shared" si="10"/>
        <v>0.8645833333</v>
      </c>
      <c r="BF176" s="225">
        <f t="shared" si="10"/>
        <v>0.8645833333</v>
      </c>
      <c r="BG176" s="225">
        <f t="shared" si="10"/>
        <v>0.8645833333</v>
      </c>
      <c r="BH176" s="225">
        <f t="shared" si="10"/>
        <v>0.8645833333</v>
      </c>
      <c r="BI176" s="225">
        <f t="shared" si="10"/>
        <v>0.8645833333</v>
      </c>
      <c r="BJ176" s="225">
        <f t="shared" si="10"/>
        <v>0.8645833333</v>
      </c>
      <c r="BK176" s="225">
        <f t="shared" si="10"/>
        <v>0.8645833333</v>
      </c>
      <c r="BL176" s="225">
        <f t="shared" si="10"/>
        <v>0.8645833333</v>
      </c>
      <c r="BM176" s="225">
        <f t="shared" si="10"/>
        <v>0.8645833333</v>
      </c>
      <c r="BN176" s="225">
        <f t="shared" si="10"/>
        <v>0.8645833333</v>
      </c>
      <c r="BO176" s="225">
        <f t="shared" si="10"/>
        <v>0.8645833333</v>
      </c>
      <c r="BP176" s="225">
        <f t="shared" si="10"/>
        <v>0.8645833333</v>
      </c>
      <c r="BQ176" s="225">
        <f t="shared" si="10"/>
        <v>0.8645833333</v>
      </c>
      <c r="BR176" s="225">
        <f t="shared" si="10"/>
        <v>0.8645833333</v>
      </c>
      <c r="BS176" s="225">
        <f t="shared" si="10"/>
        <v>0.8645833333</v>
      </c>
      <c r="BT176" s="225" t="str">
        <f t="shared" si="10"/>
        <v/>
      </c>
      <c r="BU176" s="225" t="str">
        <f t="shared" si="10"/>
        <v/>
      </c>
      <c r="BV176" s="225" t="str">
        <f t="shared" si="10"/>
        <v/>
      </c>
      <c r="BW176" s="225" t="str">
        <f t="shared" si="10"/>
        <v/>
      </c>
      <c r="BX176" s="225" t="str">
        <f t="shared" si="10"/>
        <v/>
      </c>
      <c r="BY176" s="225" t="str">
        <f t="shared" si="10"/>
        <v/>
      </c>
      <c r="BZ176" s="225" t="str">
        <f t="shared" si="10"/>
        <v/>
      </c>
      <c r="CA176" s="225" t="str">
        <f t="shared" si="10"/>
        <v/>
      </c>
      <c r="CB176" s="225" t="str">
        <f t="shared" si="10"/>
        <v/>
      </c>
      <c r="CC176" s="225" t="str">
        <f t="shared" si="10"/>
        <v/>
      </c>
      <c r="CD176" s="225" t="str">
        <f t="shared" si="10"/>
        <v/>
      </c>
      <c r="CE176" s="225" t="str">
        <f t="shared" si="10"/>
        <v/>
      </c>
      <c r="CF176" s="225" t="str">
        <f t="shared" si="10"/>
        <v/>
      </c>
      <c r="CG176" s="225" t="str">
        <f t="shared" si="10"/>
        <v/>
      </c>
      <c r="CH176" s="225" t="str">
        <f t="shared" si="10"/>
        <v/>
      </c>
      <c r="CI176" s="225" t="str">
        <f t="shared" si="10"/>
        <v/>
      </c>
      <c r="CJ176" s="225" t="str">
        <f t="shared" si="10"/>
        <v/>
      </c>
      <c r="CK176" s="225" t="str">
        <f t="shared" si="10"/>
        <v/>
      </c>
      <c r="CL176" s="225" t="str">
        <f t="shared" si="10"/>
        <v/>
      </c>
      <c r="CM176" s="225" t="str">
        <f t="shared" si="10"/>
        <v/>
      </c>
      <c r="CN176" s="225" t="str">
        <f t="shared" si="10"/>
        <v/>
      </c>
      <c r="CO176" s="225" t="str">
        <f t="shared" si="10"/>
        <v/>
      </c>
      <c r="CP176" s="225" t="str">
        <f t="shared" si="10"/>
        <v/>
      </c>
      <c r="CQ176" s="225" t="str">
        <f t="shared" si="10"/>
        <v/>
      </c>
      <c r="CR176" s="225" t="str">
        <f t="shared" si="10"/>
        <v/>
      </c>
      <c r="CS176" s="225" t="str">
        <f t="shared" si="10"/>
        <v/>
      </c>
      <c r="CT176" s="225" t="str">
        <f t="shared" si="10"/>
        <v/>
      </c>
      <c r="CU176" s="225" t="str">
        <f t="shared" si="10"/>
        <v/>
      </c>
      <c r="CV176" s="225" t="str">
        <f t="shared" si="10"/>
        <v/>
      </c>
      <c r="CW176" s="225" t="str">
        <f t="shared" si="10"/>
        <v/>
      </c>
      <c r="CX176" s="225" t="str">
        <f t="shared" si="10"/>
        <v/>
      </c>
      <c r="CY176" s="225" t="str">
        <f t="shared" si="10"/>
        <v/>
      </c>
      <c r="CZ176" s="225" t="str">
        <f t="shared" si="10"/>
        <v/>
      </c>
      <c r="DA176" s="225" t="str">
        <f t="shared" si="10"/>
        <v/>
      </c>
      <c r="DB176" s="225">
        <v>0.0</v>
      </c>
      <c r="DC176" s="231" t="str">
        <f t="shared" si="7"/>
        <v/>
      </c>
      <c r="DD176" s="231" t="str">
        <f t="shared" si="8"/>
        <v/>
      </c>
    </row>
    <row r="177">
      <c r="A177" s="25"/>
      <c r="B177" s="26"/>
      <c r="C177" s="26"/>
      <c r="D177" s="27"/>
      <c r="E177" s="76"/>
      <c r="F177" s="76"/>
      <c r="G177" s="76"/>
      <c r="H177" s="76"/>
      <c r="I177" s="126" t="s">
        <v>57</v>
      </c>
      <c r="J177" s="224">
        <v>71.0</v>
      </c>
      <c r="K177" s="225">
        <f t="shared" ref="K177:DA177" si="11">if($J177&gt;=round(K$172*MAX($J$173:$J$184),6),1/96*MAX($J$173:$J$184),"")</f>
        <v>0.8645833333</v>
      </c>
      <c r="L177" s="225">
        <f t="shared" si="11"/>
        <v>0.8645833333</v>
      </c>
      <c r="M177" s="225">
        <f t="shared" si="11"/>
        <v>0.8645833333</v>
      </c>
      <c r="N177" s="225">
        <f t="shared" si="11"/>
        <v>0.8645833333</v>
      </c>
      <c r="O177" s="225">
        <f t="shared" si="11"/>
        <v>0.8645833333</v>
      </c>
      <c r="P177" s="225">
        <f t="shared" si="11"/>
        <v>0.8645833333</v>
      </c>
      <c r="Q177" s="225">
        <f t="shared" si="11"/>
        <v>0.8645833333</v>
      </c>
      <c r="R177" s="225">
        <f t="shared" si="11"/>
        <v>0.8645833333</v>
      </c>
      <c r="S177" s="225">
        <f t="shared" si="11"/>
        <v>0.8645833333</v>
      </c>
      <c r="T177" s="225">
        <f t="shared" si="11"/>
        <v>0.8645833333</v>
      </c>
      <c r="U177" s="225">
        <f t="shared" si="11"/>
        <v>0.8645833333</v>
      </c>
      <c r="V177" s="225">
        <f t="shared" si="11"/>
        <v>0.8645833333</v>
      </c>
      <c r="W177" s="225">
        <f t="shared" si="11"/>
        <v>0.8645833333</v>
      </c>
      <c r="X177" s="225">
        <f t="shared" si="11"/>
        <v>0.8645833333</v>
      </c>
      <c r="Y177" s="225">
        <f t="shared" si="11"/>
        <v>0.8645833333</v>
      </c>
      <c r="Z177" s="225">
        <f t="shared" si="11"/>
        <v>0.8645833333</v>
      </c>
      <c r="AA177" s="225">
        <f t="shared" si="11"/>
        <v>0.8645833333</v>
      </c>
      <c r="AB177" s="225">
        <f t="shared" si="11"/>
        <v>0.8645833333</v>
      </c>
      <c r="AC177" s="225">
        <f t="shared" si="11"/>
        <v>0.8645833333</v>
      </c>
      <c r="AD177" s="225">
        <f t="shared" si="11"/>
        <v>0.8645833333</v>
      </c>
      <c r="AE177" s="225">
        <f t="shared" si="11"/>
        <v>0.8645833333</v>
      </c>
      <c r="AF177" s="225">
        <f t="shared" si="11"/>
        <v>0.8645833333</v>
      </c>
      <c r="AG177" s="225">
        <f t="shared" si="11"/>
        <v>0.8645833333</v>
      </c>
      <c r="AH177" s="225">
        <f t="shared" si="11"/>
        <v>0.8645833333</v>
      </c>
      <c r="AI177" s="225">
        <f t="shared" si="11"/>
        <v>0.8645833333</v>
      </c>
      <c r="AJ177" s="225">
        <f t="shared" si="11"/>
        <v>0.8645833333</v>
      </c>
      <c r="AK177" s="225">
        <f t="shared" si="11"/>
        <v>0.8645833333</v>
      </c>
      <c r="AL177" s="225">
        <f t="shared" si="11"/>
        <v>0.8645833333</v>
      </c>
      <c r="AM177" s="225">
        <f t="shared" si="11"/>
        <v>0.8645833333</v>
      </c>
      <c r="AN177" s="225">
        <f t="shared" si="11"/>
        <v>0.8645833333</v>
      </c>
      <c r="AO177" s="225">
        <f t="shared" si="11"/>
        <v>0.8645833333</v>
      </c>
      <c r="AP177" s="225">
        <f t="shared" si="11"/>
        <v>0.8645833333</v>
      </c>
      <c r="AQ177" s="225">
        <f t="shared" si="11"/>
        <v>0.8645833333</v>
      </c>
      <c r="AR177" s="225">
        <f t="shared" si="11"/>
        <v>0.8645833333</v>
      </c>
      <c r="AS177" s="225">
        <f t="shared" si="11"/>
        <v>0.8645833333</v>
      </c>
      <c r="AT177" s="225">
        <f t="shared" si="11"/>
        <v>0.8645833333</v>
      </c>
      <c r="AU177" s="225">
        <f t="shared" si="11"/>
        <v>0.8645833333</v>
      </c>
      <c r="AV177" s="225">
        <f t="shared" si="11"/>
        <v>0.8645833333</v>
      </c>
      <c r="AW177" s="225">
        <f t="shared" si="11"/>
        <v>0.8645833333</v>
      </c>
      <c r="AX177" s="225">
        <f t="shared" si="11"/>
        <v>0.8645833333</v>
      </c>
      <c r="AY177" s="225">
        <f t="shared" si="11"/>
        <v>0.8645833333</v>
      </c>
      <c r="AZ177" s="225">
        <f t="shared" si="11"/>
        <v>0.8645833333</v>
      </c>
      <c r="BA177" s="225">
        <f t="shared" si="11"/>
        <v>0.8645833333</v>
      </c>
      <c r="BB177" s="225">
        <f t="shared" si="11"/>
        <v>0.8645833333</v>
      </c>
      <c r="BC177" s="225">
        <f t="shared" si="11"/>
        <v>0.8645833333</v>
      </c>
      <c r="BD177" s="225">
        <f t="shared" si="11"/>
        <v>0.8645833333</v>
      </c>
      <c r="BE177" s="225">
        <f t="shared" si="11"/>
        <v>0.8645833333</v>
      </c>
      <c r="BF177" s="225">
        <f t="shared" si="11"/>
        <v>0.8645833333</v>
      </c>
      <c r="BG177" s="225">
        <f t="shared" si="11"/>
        <v>0.8645833333</v>
      </c>
      <c r="BH177" s="225">
        <f t="shared" si="11"/>
        <v>0.8645833333</v>
      </c>
      <c r="BI177" s="225">
        <f t="shared" si="11"/>
        <v>0.8645833333</v>
      </c>
      <c r="BJ177" s="225">
        <f t="shared" si="11"/>
        <v>0.8645833333</v>
      </c>
      <c r="BK177" s="225">
        <f t="shared" si="11"/>
        <v>0.8645833333</v>
      </c>
      <c r="BL177" s="225">
        <f t="shared" si="11"/>
        <v>0.8645833333</v>
      </c>
      <c r="BM177" s="225">
        <f t="shared" si="11"/>
        <v>0.8645833333</v>
      </c>
      <c r="BN177" s="225">
        <f t="shared" si="11"/>
        <v>0.8645833333</v>
      </c>
      <c r="BO177" s="225">
        <f t="shared" si="11"/>
        <v>0.8645833333</v>
      </c>
      <c r="BP177" s="225">
        <f t="shared" si="11"/>
        <v>0.8645833333</v>
      </c>
      <c r="BQ177" s="225">
        <f t="shared" si="11"/>
        <v>0.8645833333</v>
      </c>
      <c r="BR177" s="225">
        <f t="shared" si="11"/>
        <v>0.8645833333</v>
      </c>
      <c r="BS177" s="225">
        <f t="shared" si="11"/>
        <v>0.8645833333</v>
      </c>
      <c r="BT177" s="225">
        <f t="shared" si="11"/>
        <v>0.8645833333</v>
      </c>
      <c r="BU177" s="225">
        <f t="shared" si="11"/>
        <v>0.8645833333</v>
      </c>
      <c r="BV177" s="225">
        <f t="shared" si="11"/>
        <v>0.8645833333</v>
      </c>
      <c r="BW177" s="225">
        <f t="shared" si="11"/>
        <v>0.8645833333</v>
      </c>
      <c r="BX177" s="225">
        <f t="shared" si="11"/>
        <v>0.8645833333</v>
      </c>
      <c r="BY177" s="225">
        <f t="shared" si="11"/>
        <v>0.8645833333</v>
      </c>
      <c r="BZ177" s="225">
        <f t="shared" si="11"/>
        <v>0.8645833333</v>
      </c>
      <c r="CA177" s="225">
        <f t="shared" si="11"/>
        <v>0.8645833333</v>
      </c>
      <c r="CB177" s="225">
        <f t="shared" si="11"/>
        <v>0.8645833333</v>
      </c>
      <c r="CC177" s="225">
        <f t="shared" si="11"/>
        <v>0.8645833333</v>
      </c>
      <c r="CD177" s="225">
        <f t="shared" si="11"/>
        <v>0.8645833333</v>
      </c>
      <c r="CE177" s="225">
        <f t="shared" si="11"/>
        <v>0.8645833333</v>
      </c>
      <c r="CF177" s="225">
        <f t="shared" si="11"/>
        <v>0.8645833333</v>
      </c>
      <c r="CG177" s="225">
        <f t="shared" si="11"/>
        <v>0.8645833333</v>
      </c>
      <c r="CH177" s="225">
        <f t="shared" si="11"/>
        <v>0.8645833333</v>
      </c>
      <c r="CI177" s="225">
        <f t="shared" si="11"/>
        <v>0.8645833333</v>
      </c>
      <c r="CJ177" s="225">
        <f t="shared" si="11"/>
        <v>0.8645833333</v>
      </c>
      <c r="CK177" s="225">
        <f t="shared" si="11"/>
        <v>0.8645833333</v>
      </c>
      <c r="CL177" s="225">
        <f t="shared" si="11"/>
        <v>0.8645833333</v>
      </c>
      <c r="CM177" s="225">
        <f t="shared" si="11"/>
        <v>0.8645833333</v>
      </c>
      <c r="CN177" s="225">
        <f t="shared" si="11"/>
        <v>0.8645833333</v>
      </c>
      <c r="CO177" s="225" t="str">
        <f t="shared" si="11"/>
        <v/>
      </c>
      <c r="CP177" s="225" t="str">
        <f t="shared" si="11"/>
        <v/>
      </c>
      <c r="CQ177" s="225" t="str">
        <f t="shared" si="11"/>
        <v/>
      </c>
      <c r="CR177" s="225" t="str">
        <f t="shared" si="11"/>
        <v/>
      </c>
      <c r="CS177" s="225" t="str">
        <f t="shared" si="11"/>
        <v/>
      </c>
      <c r="CT177" s="225" t="str">
        <f t="shared" si="11"/>
        <v/>
      </c>
      <c r="CU177" s="225" t="str">
        <f t="shared" si="11"/>
        <v/>
      </c>
      <c r="CV177" s="225" t="str">
        <f t="shared" si="11"/>
        <v/>
      </c>
      <c r="CW177" s="225" t="str">
        <f t="shared" si="11"/>
        <v/>
      </c>
      <c r="CX177" s="225" t="str">
        <f t="shared" si="11"/>
        <v/>
      </c>
      <c r="CY177" s="225" t="str">
        <f t="shared" si="11"/>
        <v/>
      </c>
      <c r="CZ177" s="225" t="str">
        <f t="shared" si="11"/>
        <v/>
      </c>
      <c r="DA177" s="225" t="str">
        <f t="shared" si="11"/>
        <v/>
      </c>
      <c r="DB177" s="225">
        <v>0.0</v>
      </c>
      <c r="DC177" s="231" t="str">
        <f t="shared" si="7"/>
        <v/>
      </c>
      <c r="DD177" s="231" t="str">
        <f t="shared" si="8"/>
        <v/>
      </c>
    </row>
    <row r="178">
      <c r="A178" s="25"/>
      <c r="B178" s="26"/>
      <c r="C178" s="26"/>
      <c r="D178" s="27"/>
      <c r="E178" s="27"/>
      <c r="F178" s="27"/>
      <c r="G178" s="27"/>
      <c r="H178" s="27"/>
      <c r="I178" s="126" t="s">
        <v>200</v>
      </c>
      <c r="J178" s="224">
        <v>83.0</v>
      </c>
      <c r="K178" s="225">
        <f t="shared" ref="K178:DA178" si="12">if($J178&gt;=round(K$172*MAX($J$173:$J$184),6),1/96*MAX($J$173:$J$184),"")</f>
        <v>0.8645833333</v>
      </c>
      <c r="L178" s="225">
        <f t="shared" si="12"/>
        <v>0.8645833333</v>
      </c>
      <c r="M178" s="225">
        <f t="shared" si="12"/>
        <v>0.8645833333</v>
      </c>
      <c r="N178" s="225">
        <f t="shared" si="12"/>
        <v>0.8645833333</v>
      </c>
      <c r="O178" s="225">
        <f t="shared" si="12"/>
        <v>0.8645833333</v>
      </c>
      <c r="P178" s="225">
        <f t="shared" si="12"/>
        <v>0.8645833333</v>
      </c>
      <c r="Q178" s="225">
        <f t="shared" si="12"/>
        <v>0.8645833333</v>
      </c>
      <c r="R178" s="225">
        <f t="shared" si="12"/>
        <v>0.8645833333</v>
      </c>
      <c r="S178" s="225">
        <f t="shared" si="12"/>
        <v>0.8645833333</v>
      </c>
      <c r="T178" s="225">
        <f t="shared" si="12"/>
        <v>0.8645833333</v>
      </c>
      <c r="U178" s="225">
        <f t="shared" si="12"/>
        <v>0.8645833333</v>
      </c>
      <c r="V178" s="225">
        <f t="shared" si="12"/>
        <v>0.8645833333</v>
      </c>
      <c r="W178" s="225">
        <f t="shared" si="12"/>
        <v>0.8645833333</v>
      </c>
      <c r="X178" s="225">
        <f t="shared" si="12"/>
        <v>0.8645833333</v>
      </c>
      <c r="Y178" s="225">
        <f t="shared" si="12"/>
        <v>0.8645833333</v>
      </c>
      <c r="Z178" s="225">
        <f t="shared" si="12"/>
        <v>0.8645833333</v>
      </c>
      <c r="AA178" s="225">
        <f t="shared" si="12"/>
        <v>0.8645833333</v>
      </c>
      <c r="AB178" s="225">
        <f t="shared" si="12"/>
        <v>0.8645833333</v>
      </c>
      <c r="AC178" s="225">
        <f t="shared" si="12"/>
        <v>0.8645833333</v>
      </c>
      <c r="AD178" s="225">
        <f t="shared" si="12"/>
        <v>0.8645833333</v>
      </c>
      <c r="AE178" s="225">
        <f t="shared" si="12"/>
        <v>0.8645833333</v>
      </c>
      <c r="AF178" s="225">
        <f t="shared" si="12"/>
        <v>0.8645833333</v>
      </c>
      <c r="AG178" s="225">
        <f t="shared" si="12"/>
        <v>0.8645833333</v>
      </c>
      <c r="AH178" s="225">
        <f t="shared" si="12"/>
        <v>0.8645833333</v>
      </c>
      <c r="AI178" s="225">
        <f t="shared" si="12"/>
        <v>0.8645833333</v>
      </c>
      <c r="AJ178" s="225">
        <f t="shared" si="12"/>
        <v>0.8645833333</v>
      </c>
      <c r="AK178" s="225">
        <f t="shared" si="12"/>
        <v>0.8645833333</v>
      </c>
      <c r="AL178" s="225">
        <f t="shared" si="12"/>
        <v>0.8645833333</v>
      </c>
      <c r="AM178" s="225">
        <f t="shared" si="12"/>
        <v>0.8645833333</v>
      </c>
      <c r="AN178" s="225">
        <f t="shared" si="12"/>
        <v>0.8645833333</v>
      </c>
      <c r="AO178" s="225">
        <f t="shared" si="12"/>
        <v>0.8645833333</v>
      </c>
      <c r="AP178" s="225">
        <f t="shared" si="12"/>
        <v>0.8645833333</v>
      </c>
      <c r="AQ178" s="225">
        <f t="shared" si="12"/>
        <v>0.8645833333</v>
      </c>
      <c r="AR178" s="225">
        <f t="shared" si="12"/>
        <v>0.8645833333</v>
      </c>
      <c r="AS178" s="225">
        <f t="shared" si="12"/>
        <v>0.8645833333</v>
      </c>
      <c r="AT178" s="225">
        <f t="shared" si="12"/>
        <v>0.8645833333</v>
      </c>
      <c r="AU178" s="225">
        <f t="shared" si="12"/>
        <v>0.8645833333</v>
      </c>
      <c r="AV178" s="225">
        <f t="shared" si="12"/>
        <v>0.8645833333</v>
      </c>
      <c r="AW178" s="225">
        <f t="shared" si="12"/>
        <v>0.8645833333</v>
      </c>
      <c r="AX178" s="225">
        <f t="shared" si="12"/>
        <v>0.8645833333</v>
      </c>
      <c r="AY178" s="225">
        <f t="shared" si="12"/>
        <v>0.8645833333</v>
      </c>
      <c r="AZ178" s="225">
        <f t="shared" si="12"/>
        <v>0.8645833333</v>
      </c>
      <c r="BA178" s="225">
        <f t="shared" si="12"/>
        <v>0.8645833333</v>
      </c>
      <c r="BB178" s="225">
        <f t="shared" si="12"/>
        <v>0.8645833333</v>
      </c>
      <c r="BC178" s="225">
        <f t="shared" si="12"/>
        <v>0.8645833333</v>
      </c>
      <c r="BD178" s="225">
        <f t="shared" si="12"/>
        <v>0.8645833333</v>
      </c>
      <c r="BE178" s="225">
        <f t="shared" si="12"/>
        <v>0.8645833333</v>
      </c>
      <c r="BF178" s="225">
        <f t="shared" si="12"/>
        <v>0.8645833333</v>
      </c>
      <c r="BG178" s="225">
        <f t="shared" si="12"/>
        <v>0.8645833333</v>
      </c>
      <c r="BH178" s="225">
        <f t="shared" si="12"/>
        <v>0.8645833333</v>
      </c>
      <c r="BI178" s="225">
        <f t="shared" si="12"/>
        <v>0.8645833333</v>
      </c>
      <c r="BJ178" s="225">
        <f t="shared" si="12"/>
        <v>0.8645833333</v>
      </c>
      <c r="BK178" s="225">
        <f t="shared" si="12"/>
        <v>0.8645833333</v>
      </c>
      <c r="BL178" s="225">
        <f t="shared" si="12"/>
        <v>0.8645833333</v>
      </c>
      <c r="BM178" s="225">
        <f t="shared" si="12"/>
        <v>0.8645833333</v>
      </c>
      <c r="BN178" s="225">
        <f t="shared" si="12"/>
        <v>0.8645833333</v>
      </c>
      <c r="BO178" s="225">
        <f t="shared" si="12"/>
        <v>0.8645833333</v>
      </c>
      <c r="BP178" s="225">
        <f t="shared" si="12"/>
        <v>0.8645833333</v>
      </c>
      <c r="BQ178" s="225">
        <f t="shared" si="12"/>
        <v>0.8645833333</v>
      </c>
      <c r="BR178" s="225">
        <f t="shared" si="12"/>
        <v>0.8645833333</v>
      </c>
      <c r="BS178" s="225">
        <f t="shared" si="12"/>
        <v>0.8645833333</v>
      </c>
      <c r="BT178" s="225">
        <f t="shared" si="12"/>
        <v>0.8645833333</v>
      </c>
      <c r="BU178" s="225">
        <f t="shared" si="12"/>
        <v>0.8645833333</v>
      </c>
      <c r="BV178" s="225">
        <f t="shared" si="12"/>
        <v>0.8645833333</v>
      </c>
      <c r="BW178" s="225">
        <f t="shared" si="12"/>
        <v>0.8645833333</v>
      </c>
      <c r="BX178" s="225">
        <f t="shared" si="12"/>
        <v>0.8645833333</v>
      </c>
      <c r="BY178" s="225">
        <f t="shared" si="12"/>
        <v>0.8645833333</v>
      </c>
      <c r="BZ178" s="225">
        <f t="shared" si="12"/>
        <v>0.8645833333</v>
      </c>
      <c r="CA178" s="225">
        <f t="shared" si="12"/>
        <v>0.8645833333</v>
      </c>
      <c r="CB178" s="225">
        <f t="shared" si="12"/>
        <v>0.8645833333</v>
      </c>
      <c r="CC178" s="225">
        <f t="shared" si="12"/>
        <v>0.8645833333</v>
      </c>
      <c r="CD178" s="225">
        <f t="shared" si="12"/>
        <v>0.8645833333</v>
      </c>
      <c r="CE178" s="225">
        <f t="shared" si="12"/>
        <v>0.8645833333</v>
      </c>
      <c r="CF178" s="225">
        <f t="shared" si="12"/>
        <v>0.8645833333</v>
      </c>
      <c r="CG178" s="225">
        <f t="shared" si="12"/>
        <v>0.8645833333</v>
      </c>
      <c r="CH178" s="225">
        <f t="shared" si="12"/>
        <v>0.8645833333</v>
      </c>
      <c r="CI178" s="225">
        <f t="shared" si="12"/>
        <v>0.8645833333</v>
      </c>
      <c r="CJ178" s="225">
        <f t="shared" si="12"/>
        <v>0.8645833333</v>
      </c>
      <c r="CK178" s="225">
        <f t="shared" si="12"/>
        <v>0.8645833333</v>
      </c>
      <c r="CL178" s="225">
        <f t="shared" si="12"/>
        <v>0.8645833333</v>
      </c>
      <c r="CM178" s="225">
        <f t="shared" si="12"/>
        <v>0.8645833333</v>
      </c>
      <c r="CN178" s="225">
        <f t="shared" si="12"/>
        <v>0.8645833333</v>
      </c>
      <c r="CO178" s="225">
        <f t="shared" si="12"/>
        <v>0.8645833333</v>
      </c>
      <c r="CP178" s="225">
        <f t="shared" si="12"/>
        <v>0.8645833333</v>
      </c>
      <c r="CQ178" s="225">
        <f t="shared" si="12"/>
        <v>0.8645833333</v>
      </c>
      <c r="CR178" s="225">
        <f t="shared" si="12"/>
        <v>0.8645833333</v>
      </c>
      <c r="CS178" s="225">
        <f t="shared" si="12"/>
        <v>0.8645833333</v>
      </c>
      <c r="CT178" s="225">
        <f t="shared" si="12"/>
        <v>0.8645833333</v>
      </c>
      <c r="CU178" s="225">
        <f t="shared" si="12"/>
        <v>0.8645833333</v>
      </c>
      <c r="CV178" s="225">
        <f t="shared" si="12"/>
        <v>0.8645833333</v>
      </c>
      <c r="CW178" s="225">
        <f t="shared" si="12"/>
        <v>0.8645833333</v>
      </c>
      <c r="CX178" s="225">
        <f t="shared" si="12"/>
        <v>0.8645833333</v>
      </c>
      <c r="CY178" s="225">
        <f t="shared" si="12"/>
        <v>0.8645833333</v>
      </c>
      <c r="CZ178" s="225">
        <f t="shared" si="12"/>
        <v>0.8645833333</v>
      </c>
      <c r="DA178" s="225">
        <f t="shared" si="12"/>
        <v>0.8645833333</v>
      </c>
      <c r="DB178" s="225">
        <v>0.0</v>
      </c>
      <c r="DC178" s="231" t="str">
        <f t="shared" si="7"/>
        <v/>
      </c>
      <c r="DD178" s="231">
        <f t="shared" si="8"/>
        <v>83</v>
      </c>
    </row>
    <row r="179">
      <c r="A179" s="25"/>
      <c r="B179" s="26"/>
      <c r="C179" s="26"/>
      <c r="D179" s="27"/>
      <c r="E179" s="27"/>
      <c r="F179" s="27"/>
      <c r="G179" s="27"/>
      <c r="H179" s="27"/>
      <c r="I179" s="126" t="s">
        <v>202</v>
      </c>
      <c r="J179" s="224">
        <v>64.0</v>
      </c>
      <c r="K179" s="225">
        <f t="shared" ref="K179:DA179" si="13">if($J179&gt;=round(K$172*MAX($J$173:$J$184),6),1/96*MAX($J$173:$J$184),"")</f>
        <v>0.8645833333</v>
      </c>
      <c r="L179" s="225">
        <f t="shared" si="13"/>
        <v>0.8645833333</v>
      </c>
      <c r="M179" s="225">
        <f t="shared" si="13"/>
        <v>0.8645833333</v>
      </c>
      <c r="N179" s="225">
        <f t="shared" si="13"/>
        <v>0.8645833333</v>
      </c>
      <c r="O179" s="225">
        <f t="shared" si="13"/>
        <v>0.8645833333</v>
      </c>
      <c r="P179" s="225">
        <f t="shared" si="13"/>
        <v>0.8645833333</v>
      </c>
      <c r="Q179" s="225">
        <f t="shared" si="13"/>
        <v>0.8645833333</v>
      </c>
      <c r="R179" s="225">
        <f t="shared" si="13"/>
        <v>0.8645833333</v>
      </c>
      <c r="S179" s="225">
        <f t="shared" si="13"/>
        <v>0.8645833333</v>
      </c>
      <c r="T179" s="225">
        <f t="shared" si="13"/>
        <v>0.8645833333</v>
      </c>
      <c r="U179" s="225">
        <f t="shared" si="13"/>
        <v>0.8645833333</v>
      </c>
      <c r="V179" s="225">
        <f t="shared" si="13"/>
        <v>0.8645833333</v>
      </c>
      <c r="W179" s="225">
        <f t="shared" si="13"/>
        <v>0.8645833333</v>
      </c>
      <c r="X179" s="225">
        <f t="shared" si="13"/>
        <v>0.8645833333</v>
      </c>
      <c r="Y179" s="225">
        <f t="shared" si="13"/>
        <v>0.8645833333</v>
      </c>
      <c r="Z179" s="225">
        <f t="shared" si="13"/>
        <v>0.8645833333</v>
      </c>
      <c r="AA179" s="225">
        <f t="shared" si="13"/>
        <v>0.8645833333</v>
      </c>
      <c r="AB179" s="225">
        <f t="shared" si="13"/>
        <v>0.8645833333</v>
      </c>
      <c r="AC179" s="225">
        <f t="shared" si="13"/>
        <v>0.8645833333</v>
      </c>
      <c r="AD179" s="225">
        <f t="shared" si="13"/>
        <v>0.8645833333</v>
      </c>
      <c r="AE179" s="225">
        <f t="shared" si="13"/>
        <v>0.8645833333</v>
      </c>
      <c r="AF179" s="225">
        <f t="shared" si="13"/>
        <v>0.8645833333</v>
      </c>
      <c r="AG179" s="225">
        <f t="shared" si="13"/>
        <v>0.8645833333</v>
      </c>
      <c r="AH179" s="225">
        <f t="shared" si="13"/>
        <v>0.8645833333</v>
      </c>
      <c r="AI179" s="225">
        <f t="shared" si="13"/>
        <v>0.8645833333</v>
      </c>
      <c r="AJ179" s="225">
        <f t="shared" si="13"/>
        <v>0.8645833333</v>
      </c>
      <c r="AK179" s="225">
        <f t="shared" si="13"/>
        <v>0.8645833333</v>
      </c>
      <c r="AL179" s="225">
        <f t="shared" si="13"/>
        <v>0.8645833333</v>
      </c>
      <c r="AM179" s="225">
        <f t="shared" si="13"/>
        <v>0.8645833333</v>
      </c>
      <c r="AN179" s="225">
        <f t="shared" si="13"/>
        <v>0.8645833333</v>
      </c>
      <c r="AO179" s="225">
        <f t="shared" si="13"/>
        <v>0.8645833333</v>
      </c>
      <c r="AP179" s="225">
        <f t="shared" si="13"/>
        <v>0.8645833333</v>
      </c>
      <c r="AQ179" s="225">
        <f t="shared" si="13"/>
        <v>0.8645833333</v>
      </c>
      <c r="AR179" s="225">
        <f t="shared" si="13"/>
        <v>0.8645833333</v>
      </c>
      <c r="AS179" s="225">
        <f t="shared" si="13"/>
        <v>0.8645833333</v>
      </c>
      <c r="AT179" s="225">
        <f t="shared" si="13"/>
        <v>0.8645833333</v>
      </c>
      <c r="AU179" s="225">
        <f t="shared" si="13"/>
        <v>0.8645833333</v>
      </c>
      <c r="AV179" s="225">
        <f t="shared" si="13"/>
        <v>0.8645833333</v>
      </c>
      <c r="AW179" s="225">
        <f t="shared" si="13"/>
        <v>0.8645833333</v>
      </c>
      <c r="AX179" s="225">
        <f t="shared" si="13"/>
        <v>0.8645833333</v>
      </c>
      <c r="AY179" s="225">
        <f t="shared" si="13"/>
        <v>0.8645833333</v>
      </c>
      <c r="AZ179" s="225">
        <f t="shared" si="13"/>
        <v>0.8645833333</v>
      </c>
      <c r="BA179" s="225">
        <f t="shared" si="13"/>
        <v>0.8645833333</v>
      </c>
      <c r="BB179" s="225">
        <f t="shared" si="13"/>
        <v>0.8645833333</v>
      </c>
      <c r="BC179" s="225">
        <f t="shared" si="13"/>
        <v>0.8645833333</v>
      </c>
      <c r="BD179" s="225">
        <f t="shared" si="13"/>
        <v>0.8645833333</v>
      </c>
      <c r="BE179" s="225">
        <f t="shared" si="13"/>
        <v>0.8645833333</v>
      </c>
      <c r="BF179" s="225">
        <f t="shared" si="13"/>
        <v>0.8645833333</v>
      </c>
      <c r="BG179" s="225">
        <f t="shared" si="13"/>
        <v>0.8645833333</v>
      </c>
      <c r="BH179" s="225">
        <f t="shared" si="13"/>
        <v>0.8645833333</v>
      </c>
      <c r="BI179" s="225">
        <f t="shared" si="13"/>
        <v>0.8645833333</v>
      </c>
      <c r="BJ179" s="225">
        <f t="shared" si="13"/>
        <v>0.8645833333</v>
      </c>
      <c r="BK179" s="225">
        <f t="shared" si="13"/>
        <v>0.8645833333</v>
      </c>
      <c r="BL179" s="225">
        <f t="shared" si="13"/>
        <v>0.8645833333</v>
      </c>
      <c r="BM179" s="225">
        <f t="shared" si="13"/>
        <v>0.8645833333</v>
      </c>
      <c r="BN179" s="225">
        <f t="shared" si="13"/>
        <v>0.8645833333</v>
      </c>
      <c r="BO179" s="225">
        <f t="shared" si="13"/>
        <v>0.8645833333</v>
      </c>
      <c r="BP179" s="225">
        <f t="shared" si="13"/>
        <v>0.8645833333</v>
      </c>
      <c r="BQ179" s="225">
        <f t="shared" si="13"/>
        <v>0.8645833333</v>
      </c>
      <c r="BR179" s="225">
        <f t="shared" si="13"/>
        <v>0.8645833333</v>
      </c>
      <c r="BS179" s="225">
        <f t="shared" si="13"/>
        <v>0.8645833333</v>
      </c>
      <c r="BT179" s="225">
        <f t="shared" si="13"/>
        <v>0.8645833333</v>
      </c>
      <c r="BU179" s="225">
        <f t="shared" si="13"/>
        <v>0.8645833333</v>
      </c>
      <c r="BV179" s="225">
        <f t="shared" si="13"/>
        <v>0.8645833333</v>
      </c>
      <c r="BW179" s="225">
        <f t="shared" si="13"/>
        <v>0.8645833333</v>
      </c>
      <c r="BX179" s="225">
        <f t="shared" si="13"/>
        <v>0.8645833333</v>
      </c>
      <c r="BY179" s="225">
        <f t="shared" si="13"/>
        <v>0.8645833333</v>
      </c>
      <c r="BZ179" s="225">
        <f t="shared" si="13"/>
        <v>0.8645833333</v>
      </c>
      <c r="CA179" s="225">
        <f t="shared" si="13"/>
        <v>0.8645833333</v>
      </c>
      <c r="CB179" s="225">
        <f t="shared" si="13"/>
        <v>0.8645833333</v>
      </c>
      <c r="CC179" s="225">
        <f t="shared" si="13"/>
        <v>0.8645833333</v>
      </c>
      <c r="CD179" s="225">
        <f t="shared" si="13"/>
        <v>0.8645833333</v>
      </c>
      <c r="CE179" s="225">
        <f t="shared" si="13"/>
        <v>0.8645833333</v>
      </c>
      <c r="CF179" s="225">
        <f t="shared" si="13"/>
        <v>0.8645833333</v>
      </c>
      <c r="CG179" s="225" t="str">
        <f t="shared" si="13"/>
        <v/>
      </c>
      <c r="CH179" s="225" t="str">
        <f t="shared" si="13"/>
        <v/>
      </c>
      <c r="CI179" s="225" t="str">
        <f t="shared" si="13"/>
        <v/>
      </c>
      <c r="CJ179" s="225" t="str">
        <f t="shared" si="13"/>
        <v/>
      </c>
      <c r="CK179" s="225" t="str">
        <f t="shared" si="13"/>
        <v/>
      </c>
      <c r="CL179" s="225" t="str">
        <f t="shared" si="13"/>
        <v/>
      </c>
      <c r="CM179" s="225" t="str">
        <f t="shared" si="13"/>
        <v/>
      </c>
      <c r="CN179" s="225" t="str">
        <f t="shared" si="13"/>
        <v/>
      </c>
      <c r="CO179" s="225" t="str">
        <f t="shared" si="13"/>
        <v/>
      </c>
      <c r="CP179" s="225" t="str">
        <f t="shared" si="13"/>
        <v/>
      </c>
      <c r="CQ179" s="225" t="str">
        <f t="shared" si="13"/>
        <v/>
      </c>
      <c r="CR179" s="225" t="str">
        <f t="shared" si="13"/>
        <v/>
      </c>
      <c r="CS179" s="225" t="str">
        <f t="shared" si="13"/>
        <v/>
      </c>
      <c r="CT179" s="225" t="str">
        <f t="shared" si="13"/>
        <v/>
      </c>
      <c r="CU179" s="225" t="str">
        <f t="shared" si="13"/>
        <v/>
      </c>
      <c r="CV179" s="225" t="str">
        <f t="shared" si="13"/>
        <v/>
      </c>
      <c r="CW179" s="225" t="str">
        <f t="shared" si="13"/>
        <v/>
      </c>
      <c r="CX179" s="225" t="str">
        <f t="shared" si="13"/>
        <v/>
      </c>
      <c r="CY179" s="225" t="str">
        <f t="shared" si="13"/>
        <v/>
      </c>
      <c r="CZ179" s="225" t="str">
        <f t="shared" si="13"/>
        <v/>
      </c>
      <c r="DA179" s="225" t="str">
        <f t="shared" si="13"/>
        <v/>
      </c>
      <c r="DB179" s="225">
        <v>0.0</v>
      </c>
      <c r="DC179" s="231" t="str">
        <f t="shared" si="7"/>
        <v/>
      </c>
      <c r="DD179" s="231" t="str">
        <f t="shared" si="8"/>
        <v/>
      </c>
    </row>
    <row r="180">
      <c r="A180" s="25"/>
      <c r="B180" s="26"/>
      <c r="C180" s="26"/>
      <c r="D180" s="27"/>
      <c r="E180" s="27"/>
      <c r="F180" s="27"/>
      <c r="G180" s="27"/>
      <c r="H180" s="27"/>
      <c r="I180" s="126" t="s">
        <v>204</v>
      </c>
      <c r="J180" s="224">
        <v>55.0</v>
      </c>
      <c r="K180" s="225">
        <f t="shared" ref="K180:DA180" si="14">if($J180&gt;=round(K$172*MAX($J$173:$J$184),6),1/96*MAX($J$173:$J$184),"")</f>
        <v>0.8645833333</v>
      </c>
      <c r="L180" s="225">
        <f t="shared" si="14"/>
        <v>0.8645833333</v>
      </c>
      <c r="M180" s="225">
        <f t="shared" si="14"/>
        <v>0.8645833333</v>
      </c>
      <c r="N180" s="225">
        <f t="shared" si="14"/>
        <v>0.8645833333</v>
      </c>
      <c r="O180" s="225">
        <f t="shared" si="14"/>
        <v>0.8645833333</v>
      </c>
      <c r="P180" s="225">
        <f t="shared" si="14"/>
        <v>0.8645833333</v>
      </c>
      <c r="Q180" s="225">
        <f t="shared" si="14"/>
        <v>0.8645833333</v>
      </c>
      <c r="R180" s="225">
        <f t="shared" si="14"/>
        <v>0.8645833333</v>
      </c>
      <c r="S180" s="225">
        <f t="shared" si="14"/>
        <v>0.8645833333</v>
      </c>
      <c r="T180" s="225">
        <f t="shared" si="14"/>
        <v>0.8645833333</v>
      </c>
      <c r="U180" s="225">
        <f t="shared" si="14"/>
        <v>0.8645833333</v>
      </c>
      <c r="V180" s="225">
        <f t="shared" si="14"/>
        <v>0.8645833333</v>
      </c>
      <c r="W180" s="225">
        <f t="shared" si="14"/>
        <v>0.8645833333</v>
      </c>
      <c r="X180" s="225">
        <f t="shared" si="14"/>
        <v>0.8645833333</v>
      </c>
      <c r="Y180" s="225">
        <f t="shared" si="14"/>
        <v>0.8645833333</v>
      </c>
      <c r="Z180" s="225">
        <f t="shared" si="14"/>
        <v>0.8645833333</v>
      </c>
      <c r="AA180" s="225">
        <f t="shared" si="14"/>
        <v>0.8645833333</v>
      </c>
      <c r="AB180" s="225">
        <f t="shared" si="14"/>
        <v>0.8645833333</v>
      </c>
      <c r="AC180" s="225">
        <f t="shared" si="14"/>
        <v>0.8645833333</v>
      </c>
      <c r="AD180" s="225">
        <f t="shared" si="14"/>
        <v>0.8645833333</v>
      </c>
      <c r="AE180" s="225">
        <f t="shared" si="14"/>
        <v>0.8645833333</v>
      </c>
      <c r="AF180" s="225">
        <f t="shared" si="14"/>
        <v>0.8645833333</v>
      </c>
      <c r="AG180" s="225">
        <f t="shared" si="14"/>
        <v>0.8645833333</v>
      </c>
      <c r="AH180" s="225">
        <f t="shared" si="14"/>
        <v>0.8645833333</v>
      </c>
      <c r="AI180" s="225">
        <f t="shared" si="14"/>
        <v>0.8645833333</v>
      </c>
      <c r="AJ180" s="225">
        <f t="shared" si="14"/>
        <v>0.8645833333</v>
      </c>
      <c r="AK180" s="225">
        <f t="shared" si="14"/>
        <v>0.8645833333</v>
      </c>
      <c r="AL180" s="225">
        <f t="shared" si="14"/>
        <v>0.8645833333</v>
      </c>
      <c r="AM180" s="225">
        <f t="shared" si="14"/>
        <v>0.8645833333</v>
      </c>
      <c r="AN180" s="225">
        <f t="shared" si="14"/>
        <v>0.8645833333</v>
      </c>
      <c r="AO180" s="225">
        <f t="shared" si="14"/>
        <v>0.8645833333</v>
      </c>
      <c r="AP180" s="225">
        <f t="shared" si="14"/>
        <v>0.8645833333</v>
      </c>
      <c r="AQ180" s="225">
        <f t="shared" si="14"/>
        <v>0.8645833333</v>
      </c>
      <c r="AR180" s="225">
        <f t="shared" si="14"/>
        <v>0.8645833333</v>
      </c>
      <c r="AS180" s="225">
        <f t="shared" si="14"/>
        <v>0.8645833333</v>
      </c>
      <c r="AT180" s="225">
        <f t="shared" si="14"/>
        <v>0.8645833333</v>
      </c>
      <c r="AU180" s="225">
        <f t="shared" si="14"/>
        <v>0.8645833333</v>
      </c>
      <c r="AV180" s="225">
        <f t="shared" si="14"/>
        <v>0.8645833333</v>
      </c>
      <c r="AW180" s="225">
        <f t="shared" si="14"/>
        <v>0.8645833333</v>
      </c>
      <c r="AX180" s="225">
        <f t="shared" si="14"/>
        <v>0.8645833333</v>
      </c>
      <c r="AY180" s="225">
        <f t="shared" si="14"/>
        <v>0.8645833333</v>
      </c>
      <c r="AZ180" s="225">
        <f t="shared" si="14"/>
        <v>0.8645833333</v>
      </c>
      <c r="BA180" s="225">
        <f t="shared" si="14"/>
        <v>0.8645833333</v>
      </c>
      <c r="BB180" s="225">
        <f t="shared" si="14"/>
        <v>0.8645833333</v>
      </c>
      <c r="BC180" s="225">
        <f t="shared" si="14"/>
        <v>0.8645833333</v>
      </c>
      <c r="BD180" s="225">
        <f t="shared" si="14"/>
        <v>0.8645833333</v>
      </c>
      <c r="BE180" s="225">
        <f t="shared" si="14"/>
        <v>0.8645833333</v>
      </c>
      <c r="BF180" s="225">
        <f t="shared" si="14"/>
        <v>0.8645833333</v>
      </c>
      <c r="BG180" s="225">
        <f t="shared" si="14"/>
        <v>0.8645833333</v>
      </c>
      <c r="BH180" s="225">
        <f t="shared" si="14"/>
        <v>0.8645833333</v>
      </c>
      <c r="BI180" s="225">
        <f t="shared" si="14"/>
        <v>0.8645833333</v>
      </c>
      <c r="BJ180" s="225">
        <f t="shared" si="14"/>
        <v>0.8645833333</v>
      </c>
      <c r="BK180" s="225">
        <f t="shared" si="14"/>
        <v>0.8645833333</v>
      </c>
      <c r="BL180" s="225">
        <f t="shared" si="14"/>
        <v>0.8645833333</v>
      </c>
      <c r="BM180" s="225">
        <f t="shared" si="14"/>
        <v>0.8645833333</v>
      </c>
      <c r="BN180" s="225">
        <f t="shared" si="14"/>
        <v>0.8645833333</v>
      </c>
      <c r="BO180" s="225">
        <f t="shared" si="14"/>
        <v>0.8645833333</v>
      </c>
      <c r="BP180" s="225">
        <f t="shared" si="14"/>
        <v>0.8645833333</v>
      </c>
      <c r="BQ180" s="225">
        <f t="shared" si="14"/>
        <v>0.8645833333</v>
      </c>
      <c r="BR180" s="225">
        <f t="shared" si="14"/>
        <v>0.8645833333</v>
      </c>
      <c r="BS180" s="225">
        <f t="shared" si="14"/>
        <v>0.8645833333</v>
      </c>
      <c r="BT180" s="225">
        <f t="shared" si="14"/>
        <v>0.8645833333</v>
      </c>
      <c r="BU180" s="225">
        <f t="shared" si="14"/>
        <v>0.8645833333</v>
      </c>
      <c r="BV180" s="225" t="str">
        <f t="shared" si="14"/>
        <v/>
      </c>
      <c r="BW180" s="225" t="str">
        <f t="shared" si="14"/>
        <v/>
      </c>
      <c r="BX180" s="225" t="str">
        <f t="shared" si="14"/>
        <v/>
      </c>
      <c r="BY180" s="225" t="str">
        <f t="shared" si="14"/>
        <v/>
      </c>
      <c r="BZ180" s="225" t="str">
        <f t="shared" si="14"/>
        <v/>
      </c>
      <c r="CA180" s="225" t="str">
        <f t="shared" si="14"/>
        <v/>
      </c>
      <c r="CB180" s="225" t="str">
        <f t="shared" si="14"/>
        <v/>
      </c>
      <c r="CC180" s="225" t="str">
        <f t="shared" si="14"/>
        <v/>
      </c>
      <c r="CD180" s="225" t="str">
        <f t="shared" si="14"/>
        <v/>
      </c>
      <c r="CE180" s="225" t="str">
        <f t="shared" si="14"/>
        <v/>
      </c>
      <c r="CF180" s="225" t="str">
        <f t="shared" si="14"/>
        <v/>
      </c>
      <c r="CG180" s="225" t="str">
        <f t="shared" si="14"/>
        <v/>
      </c>
      <c r="CH180" s="225" t="str">
        <f t="shared" si="14"/>
        <v/>
      </c>
      <c r="CI180" s="225" t="str">
        <f t="shared" si="14"/>
        <v/>
      </c>
      <c r="CJ180" s="225" t="str">
        <f t="shared" si="14"/>
        <v/>
      </c>
      <c r="CK180" s="225" t="str">
        <f t="shared" si="14"/>
        <v/>
      </c>
      <c r="CL180" s="225" t="str">
        <f t="shared" si="14"/>
        <v/>
      </c>
      <c r="CM180" s="225" t="str">
        <f t="shared" si="14"/>
        <v/>
      </c>
      <c r="CN180" s="225" t="str">
        <f t="shared" si="14"/>
        <v/>
      </c>
      <c r="CO180" s="225" t="str">
        <f t="shared" si="14"/>
        <v/>
      </c>
      <c r="CP180" s="225" t="str">
        <f t="shared" si="14"/>
        <v/>
      </c>
      <c r="CQ180" s="225" t="str">
        <f t="shared" si="14"/>
        <v/>
      </c>
      <c r="CR180" s="225" t="str">
        <f t="shared" si="14"/>
        <v/>
      </c>
      <c r="CS180" s="225" t="str">
        <f t="shared" si="14"/>
        <v/>
      </c>
      <c r="CT180" s="225" t="str">
        <f t="shared" si="14"/>
        <v/>
      </c>
      <c r="CU180" s="225" t="str">
        <f t="shared" si="14"/>
        <v/>
      </c>
      <c r="CV180" s="225" t="str">
        <f t="shared" si="14"/>
        <v/>
      </c>
      <c r="CW180" s="225" t="str">
        <f t="shared" si="14"/>
        <v/>
      </c>
      <c r="CX180" s="225" t="str">
        <f t="shared" si="14"/>
        <v/>
      </c>
      <c r="CY180" s="225" t="str">
        <f t="shared" si="14"/>
        <v/>
      </c>
      <c r="CZ180" s="225" t="str">
        <f t="shared" si="14"/>
        <v/>
      </c>
      <c r="DA180" s="225" t="str">
        <f t="shared" si="14"/>
        <v/>
      </c>
      <c r="DB180" s="225">
        <v>0.0</v>
      </c>
      <c r="DC180" s="231" t="str">
        <f t="shared" si="7"/>
        <v/>
      </c>
      <c r="DD180" s="231" t="str">
        <f t="shared" si="8"/>
        <v/>
      </c>
    </row>
    <row r="181">
      <c r="A181" s="25"/>
      <c r="B181" s="26"/>
      <c r="C181" s="26"/>
      <c r="D181" s="27"/>
      <c r="E181" s="27"/>
      <c r="F181" s="27"/>
      <c r="G181" s="27"/>
      <c r="H181" s="27"/>
      <c r="I181" s="126" t="s">
        <v>205</v>
      </c>
      <c r="J181" s="224">
        <v>58.0</v>
      </c>
      <c r="K181" s="225">
        <f t="shared" ref="K181:DA181" si="15">if($J181&gt;=round(K$172*MAX($J$173:$J$184),6),1/96*MAX($J$173:$J$184),"")</f>
        <v>0.8645833333</v>
      </c>
      <c r="L181" s="225">
        <f t="shared" si="15"/>
        <v>0.8645833333</v>
      </c>
      <c r="M181" s="225">
        <f t="shared" si="15"/>
        <v>0.8645833333</v>
      </c>
      <c r="N181" s="225">
        <f t="shared" si="15"/>
        <v>0.8645833333</v>
      </c>
      <c r="O181" s="225">
        <f t="shared" si="15"/>
        <v>0.8645833333</v>
      </c>
      <c r="P181" s="225">
        <f t="shared" si="15"/>
        <v>0.8645833333</v>
      </c>
      <c r="Q181" s="225">
        <f t="shared" si="15"/>
        <v>0.8645833333</v>
      </c>
      <c r="R181" s="225">
        <f t="shared" si="15"/>
        <v>0.8645833333</v>
      </c>
      <c r="S181" s="225">
        <f t="shared" si="15"/>
        <v>0.8645833333</v>
      </c>
      <c r="T181" s="225">
        <f t="shared" si="15"/>
        <v>0.8645833333</v>
      </c>
      <c r="U181" s="225">
        <f t="shared" si="15"/>
        <v>0.8645833333</v>
      </c>
      <c r="V181" s="225">
        <f t="shared" si="15"/>
        <v>0.8645833333</v>
      </c>
      <c r="W181" s="225">
        <f t="shared" si="15"/>
        <v>0.8645833333</v>
      </c>
      <c r="X181" s="225">
        <f t="shared" si="15"/>
        <v>0.8645833333</v>
      </c>
      <c r="Y181" s="225">
        <f t="shared" si="15"/>
        <v>0.8645833333</v>
      </c>
      <c r="Z181" s="225">
        <f t="shared" si="15"/>
        <v>0.8645833333</v>
      </c>
      <c r="AA181" s="225">
        <f t="shared" si="15"/>
        <v>0.8645833333</v>
      </c>
      <c r="AB181" s="225">
        <f t="shared" si="15"/>
        <v>0.8645833333</v>
      </c>
      <c r="AC181" s="225">
        <f t="shared" si="15"/>
        <v>0.8645833333</v>
      </c>
      <c r="AD181" s="225">
        <f t="shared" si="15"/>
        <v>0.8645833333</v>
      </c>
      <c r="AE181" s="225">
        <f t="shared" si="15"/>
        <v>0.8645833333</v>
      </c>
      <c r="AF181" s="225">
        <f t="shared" si="15"/>
        <v>0.8645833333</v>
      </c>
      <c r="AG181" s="225">
        <f t="shared" si="15"/>
        <v>0.8645833333</v>
      </c>
      <c r="AH181" s="225">
        <f t="shared" si="15"/>
        <v>0.8645833333</v>
      </c>
      <c r="AI181" s="225">
        <f t="shared" si="15"/>
        <v>0.8645833333</v>
      </c>
      <c r="AJ181" s="225">
        <f t="shared" si="15"/>
        <v>0.8645833333</v>
      </c>
      <c r="AK181" s="225">
        <f t="shared" si="15"/>
        <v>0.8645833333</v>
      </c>
      <c r="AL181" s="225">
        <f t="shared" si="15"/>
        <v>0.8645833333</v>
      </c>
      <c r="AM181" s="225">
        <f t="shared" si="15"/>
        <v>0.8645833333</v>
      </c>
      <c r="AN181" s="225">
        <f t="shared" si="15"/>
        <v>0.8645833333</v>
      </c>
      <c r="AO181" s="225">
        <f t="shared" si="15"/>
        <v>0.8645833333</v>
      </c>
      <c r="AP181" s="225">
        <f t="shared" si="15"/>
        <v>0.8645833333</v>
      </c>
      <c r="AQ181" s="225">
        <f t="shared" si="15"/>
        <v>0.8645833333</v>
      </c>
      <c r="AR181" s="225">
        <f t="shared" si="15"/>
        <v>0.8645833333</v>
      </c>
      <c r="AS181" s="225">
        <f t="shared" si="15"/>
        <v>0.8645833333</v>
      </c>
      <c r="AT181" s="225">
        <f t="shared" si="15"/>
        <v>0.8645833333</v>
      </c>
      <c r="AU181" s="225">
        <f t="shared" si="15"/>
        <v>0.8645833333</v>
      </c>
      <c r="AV181" s="225">
        <f t="shared" si="15"/>
        <v>0.8645833333</v>
      </c>
      <c r="AW181" s="225">
        <f t="shared" si="15"/>
        <v>0.8645833333</v>
      </c>
      <c r="AX181" s="225">
        <f t="shared" si="15"/>
        <v>0.8645833333</v>
      </c>
      <c r="AY181" s="225">
        <f t="shared" si="15"/>
        <v>0.8645833333</v>
      </c>
      <c r="AZ181" s="225">
        <f t="shared" si="15"/>
        <v>0.8645833333</v>
      </c>
      <c r="BA181" s="225">
        <f t="shared" si="15"/>
        <v>0.8645833333</v>
      </c>
      <c r="BB181" s="225">
        <f t="shared" si="15"/>
        <v>0.8645833333</v>
      </c>
      <c r="BC181" s="225">
        <f t="shared" si="15"/>
        <v>0.8645833333</v>
      </c>
      <c r="BD181" s="225">
        <f t="shared" si="15"/>
        <v>0.8645833333</v>
      </c>
      <c r="BE181" s="225">
        <f t="shared" si="15"/>
        <v>0.8645833333</v>
      </c>
      <c r="BF181" s="225">
        <f t="shared" si="15"/>
        <v>0.8645833333</v>
      </c>
      <c r="BG181" s="225">
        <f t="shared" si="15"/>
        <v>0.8645833333</v>
      </c>
      <c r="BH181" s="225">
        <f t="shared" si="15"/>
        <v>0.8645833333</v>
      </c>
      <c r="BI181" s="225">
        <f t="shared" si="15"/>
        <v>0.8645833333</v>
      </c>
      <c r="BJ181" s="225">
        <f t="shared" si="15"/>
        <v>0.8645833333</v>
      </c>
      <c r="BK181" s="225">
        <f t="shared" si="15"/>
        <v>0.8645833333</v>
      </c>
      <c r="BL181" s="225">
        <f t="shared" si="15"/>
        <v>0.8645833333</v>
      </c>
      <c r="BM181" s="225">
        <f t="shared" si="15"/>
        <v>0.8645833333</v>
      </c>
      <c r="BN181" s="225">
        <f t="shared" si="15"/>
        <v>0.8645833333</v>
      </c>
      <c r="BO181" s="225">
        <f t="shared" si="15"/>
        <v>0.8645833333</v>
      </c>
      <c r="BP181" s="225">
        <f t="shared" si="15"/>
        <v>0.8645833333</v>
      </c>
      <c r="BQ181" s="225">
        <f t="shared" si="15"/>
        <v>0.8645833333</v>
      </c>
      <c r="BR181" s="225">
        <f t="shared" si="15"/>
        <v>0.8645833333</v>
      </c>
      <c r="BS181" s="225">
        <f t="shared" si="15"/>
        <v>0.8645833333</v>
      </c>
      <c r="BT181" s="225">
        <f t="shared" si="15"/>
        <v>0.8645833333</v>
      </c>
      <c r="BU181" s="225">
        <f t="shared" si="15"/>
        <v>0.8645833333</v>
      </c>
      <c r="BV181" s="225">
        <f t="shared" si="15"/>
        <v>0.8645833333</v>
      </c>
      <c r="BW181" s="225">
        <f t="shared" si="15"/>
        <v>0.8645833333</v>
      </c>
      <c r="BX181" s="225">
        <f t="shared" si="15"/>
        <v>0.8645833333</v>
      </c>
      <c r="BY181" s="225">
        <f t="shared" si="15"/>
        <v>0.8645833333</v>
      </c>
      <c r="BZ181" s="225" t="str">
        <f t="shared" si="15"/>
        <v/>
      </c>
      <c r="CA181" s="225" t="str">
        <f t="shared" si="15"/>
        <v/>
      </c>
      <c r="CB181" s="225" t="str">
        <f t="shared" si="15"/>
        <v/>
      </c>
      <c r="CC181" s="225" t="str">
        <f t="shared" si="15"/>
        <v/>
      </c>
      <c r="CD181" s="225" t="str">
        <f t="shared" si="15"/>
        <v/>
      </c>
      <c r="CE181" s="225" t="str">
        <f t="shared" si="15"/>
        <v/>
      </c>
      <c r="CF181" s="225" t="str">
        <f t="shared" si="15"/>
        <v/>
      </c>
      <c r="CG181" s="225" t="str">
        <f t="shared" si="15"/>
        <v/>
      </c>
      <c r="CH181" s="225" t="str">
        <f t="shared" si="15"/>
        <v/>
      </c>
      <c r="CI181" s="225" t="str">
        <f t="shared" si="15"/>
        <v/>
      </c>
      <c r="CJ181" s="225" t="str">
        <f t="shared" si="15"/>
        <v/>
      </c>
      <c r="CK181" s="225" t="str">
        <f t="shared" si="15"/>
        <v/>
      </c>
      <c r="CL181" s="225" t="str">
        <f t="shared" si="15"/>
        <v/>
      </c>
      <c r="CM181" s="225" t="str">
        <f t="shared" si="15"/>
        <v/>
      </c>
      <c r="CN181" s="225" t="str">
        <f t="shared" si="15"/>
        <v/>
      </c>
      <c r="CO181" s="225" t="str">
        <f t="shared" si="15"/>
        <v/>
      </c>
      <c r="CP181" s="225" t="str">
        <f t="shared" si="15"/>
        <v/>
      </c>
      <c r="CQ181" s="225" t="str">
        <f t="shared" si="15"/>
        <v/>
      </c>
      <c r="CR181" s="225" t="str">
        <f t="shared" si="15"/>
        <v/>
      </c>
      <c r="CS181" s="225" t="str">
        <f t="shared" si="15"/>
        <v/>
      </c>
      <c r="CT181" s="225" t="str">
        <f t="shared" si="15"/>
        <v/>
      </c>
      <c r="CU181" s="225" t="str">
        <f t="shared" si="15"/>
        <v/>
      </c>
      <c r="CV181" s="225" t="str">
        <f t="shared" si="15"/>
        <v/>
      </c>
      <c r="CW181" s="225" t="str">
        <f t="shared" si="15"/>
        <v/>
      </c>
      <c r="CX181" s="225" t="str">
        <f t="shared" si="15"/>
        <v/>
      </c>
      <c r="CY181" s="225" t="str">
        <f t="shared" si="15"/>
        <v/>
      </c>
      <c r="CZ181" s="225" t="str">
        <f t="shared" si="15"/>
        <v/>
      </c>
      <c r="DA181" s="225" t="str">
        <f t="shared" si="15"/>
        <v/>
      </c>
      <c r="DB181" s="225">
        <v>0.0</v>
      </c>
      <c r="DC181" s="231" t="str">
        <f t="shared" si="7"/>
        <v/>
      </c>
      <c r="DD181" s="231" t="str">
        <f t="shared" si="8"/>
        <v/>
      </c>
    </row>
    <row r="182">
      <c r="A182" s="25"/>
      <c r="B182" s="26"/>
      <c r="C182" s="26"/>
      <c r="D182" s="27"/>
      <c r="E182" s="27"/>
      <c r="F182" s="27"/>
      <c r="G182" s="27"/>
      <c r="H182" s="27"/>
      <c r="I182" s="126" t="s">
        <v>207</v>
      </c>
      <c r="J182" s="224">
        <v>63.0</v>
      </c>
      <c r="K182" s="225">
        <f t="shared" ref="K182:DA182" si="16">if($J182&gt;=round(K$172*MAX($J$173:$J$184),6),1/96*MAX($J$173:$J$184),"")</f>
        <v>0.8645833333</v>
      </c>
      <c r="L182" s="225">
        <f t="shared" si="16"/>
        <v>0.8645833333</v>
      </c>
      <c r="M182" s="225">
        <f t="shared" si="16"/>
        <v>0.8645833333</v>
      </c>
      <c r="N182" s="225">
        <f t="shared" si="16"/>
        <v>0.8645833333</v>
      </c>
      <c r="O182" s="225">
        <f t="shared" si="16"/>
        <v>0.8645833333</v>
      </c>
      <c r="P182" s="225">
        <f t="shared" si="16"/>
        <v>0.8645833333</v>
      </c>
      <c r="Q182" s="225">
        <f t="shared" si="16"/>
        <v>0.8645833333</v>
      </c>
      <c r="R182" s="225">
        <f t="shared" si="16"/>
        <v>0.8645833333</v>
      </c>
      <c r="S182" s="225">
        <f t="shared" si="16"/>
        <v>0.8645833333</v>
      </c>
      <c r="T182" s="225">
        <f t="shared" si="16"/>
        <v>0.8645833333</v>
      </c>
      <c r="U182" s="225">
        <f t="shared" si="16"/>
        <v>0.8645833333</v>
      </c>
      <c r="V182" s="225">
        <f t="shared" si="16"/>
        <v>0.8645833333</v>
      </c>
      <c r="W182" s="225">
        <f t="shared" si="16"/>
        <v>0.8645833333</v>
      </c>
      <c r="X182" s="225">
        <f t="shared" si="16"/>
        <v>0.8645833333</v>
      </c>
      <c r="Y182" s="225">
        <f t="shared" si="16"/>
        <v>0.8645833333</v>
      </c>
      <c r="Z182" s="225">
        <f t="shared" si="16"/>
        <v>0.8645833333</v>
      </c>
      <c r="AA182" s="225">
        <f t="shared" si="16"/>
        <v>0.8645833333</v>
      </c>
      <c r="AB182" s="225">
        <f t="shared" si="16"/>
        <v>0.8645833333</v>
      </c>
      <c r="AC182" s="225">
        <f t="shared" si="16"/>
        <v>0.8645833333</v>
      </c>
      <c r="AD182" s="225">
        <f t="shared" si="16"/>
        <v>0.8645833333</v>
      </c>
      <c r="AE182" s="225">
        <f t="shared" si="16"/>
        <v>0.8645833333</v>
      </c>
      <c r="AF182" s="225">
        <f t="shared" si="16"/>
        <v>0.8645833333</v>
      </c>
      <c r="AG182" s="225">
        <f t="shared" si="16"/>
        <v>0.8645833333</v>
      </c>
      <c r="AH182" s="225">
        <f t="shared" si="16"/>
        <v>0.8645833333</v>
      </c>
      <c r="AI182" s="225">
        <f t="shared" si="16"/>
        <v>0.8645833333</v>
      </c>
      <c r="AJ182" s="225">
        <f t="shared" si="16"/>
        <v>0.8645833333</v>
      </c>
      <c r="AK182" s="225">
        <f t="shared" si="16"/>
        <v>0.8645833333</v>
      </c>
      <c r="AL182" s="225">
        <f t="shared" si="16"/>
        <v>0.8645833333</v>
      </c>
      <c r="AM182" s="225">
        <f t="shared" si="16"/>
        <v>0.8645833333</v>
      </c>
      <c r="AN182" s="225">
        <f t="shared" si="16"/>
        <v>0.8645833333</v>
      </c>
      <c r="AO182" s="225">
        <f t="shared" si="16"/>
        <v>0.8645833333</v>
      </c>
      <c r="AP182" s="225">
        <f t="shared" si="16"/>
        <v>0.8645833333</v>
      </c>
      <c r="AQ182" s="225">
        <f t="shared" si="16"/>
        <v>0.8645833333</v>
      </c>
      <c r="AR182" s="225">
        <f t="shared" si="16"/>
        <v>0.8645833333</v>
      </c>
      <c r="AS182" s="225">
        <f t="shared" si="16"/>
        <v>0.8645833333</v>
      </c>
      <c r="AT182" s="225">
        <f t="shared" si="16"/>
        <v>0.8645833333</v>
      </c>
      <c r="AU182" s="225">
        <f t="shared" si="16"/>
        <v>0.8645833333</v>
      </c>
      <c r="AV182" s="225">
        <f t="shared" si="16"/>
        <v>0.8645833333</v>
      </c>
      <c r="AW182" s="225">
        <f t="shared" si="16"/>
        <v>0.8645833333</v>
      </c>
      <c r="AX182" s="225">
        <f t="shared" si="16"/>
        <v>0.8645833333</v>
      </c>
      <c r="AY182" s="225">
        <f t="shared" si="16"/>
        <v>0.8645833333</v>
      </c>
      <c r="AZ182" s="225">
        <f t="shared" si="16"/>
        <v>0.8645833333</v>
      </c>
      <c r="BA182" s="225">
        <f t="shared" si="16"/>
        <v>0.8645833333</v>
      </c>
      <c r="BB182" s="225">
        <f t="shared" si="16"/>
        <v>0.8645833333</v>
      </c>
      <c r="BC182" s="225">
        <f t="shared" si="16"/>
        <v>0.8645833333</v>
      </c>
      <c r="BD182" s="225">
        <f t="shared" si="16"/>
        <v>0.8645833333</v>
      </c>
      <c r="BE182" s="225">
        <f t="shared" si="16"/>
        <v>0.8645833333</v>
      </c>
      <c r="BF182" s="225">
        <f t="shared" si="16"/>
        <v>0.8645833333</v>
      </c>
      <c r="BG182" s="225">
        <f t="shared" si="16"/>
        <v>0.8645833333</v>
      </c>
      <c r="BH182" s="225">
        <f t="shared" si="16"/>
        <v>0.8645833333</v>
      </c>
      <c r="BI182" s="225">
        <f t="shared" si="16"/>
        <v>0.8645833333</v>
      </c>
      <c r="BJ182" s="225">
        <f t="shared" si="16"/>
        <v>0.8645833333</v>
      </c>
      <c r="BK182" s="225">
        <f t="shared" si="16"/>
        <v>0.8645833333</v>
      </c>
      <c r="BL182" s="225">
        <f t="shared" si="16"/>
        <v>0.8645833333</v>
      </c>
      <c r="BM182" s="225">
        <f t="shared" si="16"/>
        <v>0.8645833333</v>
      </c>
      <c r="BN182" s="225">
        <f t="shared" si="16"/>
        <v>0.8645833333</v>
      </c>
      <c r="BO182" s="225">
        <f t="shared" si="16"/>
        <v>0.8645833333</v>
      </c>
      <c r="BP182" s="225">
        <f t="shared" si="16"/>
        <v>0.8645833333</v>
      </c>
      <c r="BQ182" s="225">
        <f t="shared" si="16"/>
        <v>0.8645833333</v>
      </c>
      <c r="BR182" s="225">
        <f t="shared" si="16"/>
        <v>0.8645833333</v>
      </c>
      <c r="BS182" s="225">
        <f t="shared" si="16"/>
        <v>0.8645833333</v>
      </c>
      <c r="BT182" s="225">
        <f t="shared" si="16"/>
        <v>0.8645833333</v>
      </c>
      <c r="BU182" s="225">
        <f t="shared" si="16"/>
        <v>0.8645833333</v>
      </c>
      <c r="BV182" s="225">
        <f t="shared" si="16"/>
        <v>0.8645833333</v>
      </c>
      <c r="BW182" s="225">
        <f t="shared" si="16"/>
        <v>0.8645833333</v>
      </c>
      <c r="BX182" s="225">
        <f t="shared" si="16"/>
        <v>0.8645833333</v>
      </c>
      <c r="BY182" s="225">
        <f t="shared" si="16"/>
        <v>0.8645833333</v>
      </c>
      <c r="BZ182" s="225">
        <f t="shared" si="16"/>
        <v>0.8645833333</v>
      </c>
      <c r="CA182" s="225">
        <f t="shared" si="16"/>
        <v>0.8645833333</v>
      </c>
      <c r="CB182" s="225">
        <f t="shared" si="16"/>
        <v>0.8645833333</v>
      </c>
      <c r="CC182" s="225">
        <f t="shared" si="16"/>
        <v>0.8645833333</v>
      </c>
      <c r="CD182" s="225">
        <f t="shared" si="16"/>
        <v>0.8645833333</v>
      </c>
      <c r="CE182" s="225" t="str">
        <f t="shared" si="16"/>
        <v/>
      </c>
      <c r="CF182" s="225" t="str">
        <f t="shared" si="16"/>
        <v/>
      </c>
      <c r="CG182" s="225" t="str">
        <f t="shared" si="16"/>
        <v/>
      </c>
      <c r="CH182" s="225" t="str">
        <f t="shared" si="16"/>
        <v/>
      </c>
      <c r="CI182" s="225" t="str">
        <f t="shared" si="16"/>
        <v/>
      </c>
      <c r="CJ182" s="225" t="str">
        <f t="shared" si="16"/>
        <v/>
      </c>
      <c r="CK182" s="225" t="str">
        <f t="shared" si="16"/>
        <v/>
      </c>
      <c r="CL182" s="225" t="str">
        <f t="shared" si="16"/>
        <v/>
      </c>
      <c r="CM182" s="225" t="str">
        <f t="shared" si="16"/>
        <v/>
      </c>
      <c r="CN182" s="225" t="str">
        <f t="shared" si="16"/>
        <v/>
      </c>
      <c r="CO182" s="225" t="str">
        <f t="shared" si="16"/>
        <v/>
      </c>
      <c r="CP182" s="225" t="str">
        <f t="shared" si="16"/>
        <v/>
      </c>
      <c r="CQ182" s="225" t="str">
        <f t="shared" si="16"/>
        <v/>
      </c>
      <c r="CR182" s="225" t="str">
        <f t="shared" si="16"/>
        <v/>
      </c>
      <c r="CS182" s="225" t="str">
        <f t="shared" si="16"/>
        <v/>
      </c>
      <c r="CT182" s="225" t="str">
        <f t="shared" si="16"/>
        <v/>
      </c>
      <c r="CU182" s="225" t="str">
        <f t="shared" si="16"/>
        <v/>
      </c>
      <c r="CV182" s="225" t="str">
        <f t="shared" si="16"/>
        <v/>
      </c>
      <c r="CW182" s="225" t="str">
        <f t="shared" si="16"/>
        <v/>
      </c>
      <c r="CX182" s="225" t="str">
        <f t="shared" si="16"/>
        <v/>
      </c>
      <c r="CY182" s="225" t="str">
        <f t="shared" si="16"/>
        <v/>
      </c>
      <c r="CZ182" s="225" t="str">
        <f t="shared" si="16"/>
        <v/>
      </c>
      <c r="DA182" s="225" t="str">
        <f t="shared" si="16"/>
        <v/>
      </c>
      <c r="DB182" s="225">
        <v>0.0</v>
      </c>
      <c r="DC182" s="231" t="str">
        <f t="shared" si="7"/>
        <v/>
      </c>
      <c r="DD182" s="231" t="str">
        <f t="shared" si="8"/>
        <v/>
      </c>
    </row>
    <row r="183">
      <c r="A183" s="25"/>
      <c r="B183" s="26"/>
      <c r="C183" s="26"/>
      <c r="D183" s="27"/>
      <c r="E183" s="27"/>
      <c r="F183" s="27"/>
      <c r="G183" s="27"/>
      <c r="H183" s="27"/>
      <c r="I183" s="126" t="s">
        <v>209</v>
      </c>
      <c r="J183" s="224">
        <v>51.0</v>
      </c>
      <c r="K183" s="225">
        <f t="shared" ref="K183:DA183" si="17">if($J183&gt;=round(K$172*MAX($J$173:$J$184),6),1/96*MAX($J$173:$J$184),"")</f>
        <v>0.8645833333</v>
      </c>
      <c r="L183" s="225">
        <f t="shared" si="17"/>
        <v>0.8645833333</v>
      </c>
      <c r="M183" s="225">
        <f t="shared" si="17"/>
        <v>0.8645833333</v>
      </c>
      <c r="N183" s="225">
        <f t="shared" si="17"/>
        <v>0.8645833333</v>
      </c>
      <c r="O183" s="225">
        <f t="shared" si="17"/>
        <v>0.8645833333</v>
      </c>
      <c r="P183" s="225">
        <f t="shared" si="17"/>
        <v>0.8645833333</v>
      </c>
      <c r="Q183" s="225">
        <f t="shared" si="17"/>
        <v>0.8645833333</v>
      </c>
      <c r="R183" s="225">
        <f t="shared" si="17"/>
        <v>0.8645833333</v>
      </c>
      <c r="S183" s="225">
        <f t="shared" si="17"/>
        <v>0.8645833333</v>
      </c>
      <c r="T183" s="225">
        <f t="shared" si="17"/>
        <v>0.8645833333</v>
      </c>
      <c r="U183" s="225">
        <f t="shared" si="17"/>
        <v>0.8645833333</v>
      </c>
      <c r="V183" s="225">
        <f t="shared" si="17"/>
        <v>0.8645833333</v>
      </c>
      <c r="W183" s="225">
        <f t="shared" si="17"/>
        <v>0.8645833333</v>
      </c>
      <c r="X183" s="225">
        <f t="shared" si="17"/>
        <v>0.8645833333</v>
      </c>
      <c r="Y183" s="225">
        <f t="shared" si="17"/>
        <v>0.8645833333</v>
      </c>
      <c r="Z183" s="225">
        <f t="shared" si="17"/>
        <v>0.8645833333</v>
      </c>
      <c r="AA183" s="225">
        <f t="shared" si="17"/>
        <v>0.8645833333</v>
      </c>
      <c r="AB183" s="225">
        <f t="shared" si="17"/>
        <v>0.8645833333</v>
      </c>
      <c r="AC183" s="225">
        <f t="shared" si="17"/>
        <v>0.8645833333</v>
      </c>
      <c r="AD183" s="225">
        <f t="shared" si="17"/>
        <v>0.8645833333</v>
      </c>
      <c r="AE183" s="225">
        <f t="shared" si="17"/>
        <v>0.8645833333</v>
      </c>
      <c r="AF183" s="225">
        <f t="shared" si="17"/>
        <v>0.8645833333</v>
      </c>
      <c r="AG183" s="225">
        <f t="shared" si="17"/>
        <v>0.8645833333</v>
      </c>
      <c r="AH183" s="225">
        <f t="shared" si="17"/>
        <v>0.8645833333</v>
      </c>
      <c r="AI183" s="225">
        <f t="shared" si="17"/>
        <v>0.8645833333</v>
      </c>
      <c r="AJ183" s="225">
        <f t="shared" si="17"/>
        <v>0.8645833333</v>
      </c>
      <c r="AK183" s="225">
        <f t="shared" si="17"/>
        <v>0.8645833333</v>
      </c>
      <c r="AL183" s="225">
        <f t="shared" si="17"/>
        <v>0.8645833333</v>
      </c>
      <c r="AM183" s="225">
        <f t="shared" si="17"/>
        <v>0.8645833333</v>
      </c>
      <c r="AN183" s="225">
        <f t="shared" si="17"/>
        <v>0.8645833333</v>
      </c>
      <c r="AO183" s="225">
        <f t="shared" si="17"/>
        <v>0.8645833333</v>
      </c>
      <c r="AP183" s="225">
        <f t="shared" si="17"/>
        <v>0.8645833333</v>
      </c>
      <c r="AQ183" s="225">
        <f t="shared" si="17"/>
        <v>0.8645833333</v>
      </c>
      <c r="AR183" s="225">
        <f t="shared" si="17"/>
        <v>0.8645833333</v>
      </c>
      <c r="AS183" s="225">
        <f t="shared" si="17"/>
        <v>0.8645833333</v>
      </c>
      <c r="AT183" s="225">
        <f t="shared" si="17"/>
        <v>0.8645833333</v>
      </c>
      <c r="AU183" s="225">
        <f t="shared" si="17"/>
        <v>0.8645833333</v>
      </c>
      <c r="AV183" s="225">
        <f t="shared" si="17"/>
        <v>0.8645833333</v>
      </c>
      <c r="AW183" s="225">
        <f t="shared" si="17"/>
        <v>0.8645833333</v>
      </c>
      <c r="AX183" s="225">
        <f t="shared" si="17"/>
        <v>0.8645833333</v>
      </c>
      <c r="AY183" s="225">
        <f t="shared" si="17"/>
        <v>0.8645833333</v>
      </c>
      <c r="AZ183" s="225">
        <f t="shared" si="17"/>
        <v>0.8645833333</v>
      </c>
      <c r="BA183" s="225">
        <f t="shared" si="17"/>
        <v>0.8645833333</v>
      </c>
      <c r="BB183" s="225">
        <f t="shared" si="17"/>
        <v>0.8645833333</v>
      </c>
      <c r="BC183" s="225">
        <f t="shared" si="17"/>
        <v>0.8645833333</v>
      </c>
      <c r="BD183" s="225">
        <f t="shared" si="17"/>
        <v>0.8645833333</v>
      </c>
      <c r="BE183" s="225">
        <f t="shared" si="17"/>
        <v>0.8645833333</v>
      </c>
      <c r="BF183" s="225">
        <f t="shared" si="17"/>
        <v>0.8645833333</v>
      </c>
      <c r="BG183" s="225">
        <f t="shared" si="17"/>
        <v>0.8645833333</v>
      </c>
      <c r="BH183" s="225">
        <f t="shared" si="17"/>
        <v>0.8645833333</v>
      </c>
      <c r="BI183" s="225">
        <f t="shared" si="17"/>
        <v>0.8645833333</v>
      </c>
      <c r="BJ183" s="225">
        <f t="shared" si="17"/>
        <v>0.8645833333</v>
      </c>
      <c r="BK183" s="225">
        <f t="shared" si="17"/>
        <v>0.8645833333</v>
      </c>
      <c r="BL183" s="225">
        <f t="shared" si="17"/>
        <v>0.8645833333</v>
      </c>
      <c r="BM183" s="225">
        <f t="shared" si="17"/>
        <v>0.8645833333</v>
      </c>
      <c r="BN183" s="225">
        <f t="shared" si="17"/>
        <v>0.8645833333</v>
      </c>
      <c r="BO183" s="225">
        <f t="shared" si="17"/>
        <v>0.8645833333</v>
      </c>
      <c r="BP183" s="225">
        <f t="shared" si="17"/>
        <v>0.8645833333</v>
      </c>
      <c r="BQ183" s="225" t="str">
        <f t="shared" si="17"/>
        <v/>
      </c>
      <c r="BR183" s="225" t="str">
        <f t="shared" si="17"/>
        <v/>
      </c>
      <c r="BS183" s="225" t="str">
        <f t="shared" si="17"/>
        <v/>
      </c>
      <c r="BT183" s="225" t="str">
        <f t="shared" si="17"/>
        <v/>
      </c>
      <c r="BU183" s="225" t="str">
        <f t="shared" si="17"/>
        <v/>
      </c>
      <c r="BV183" s="225" t="str">
        <f t="shared" si="17"/>
        <v/>
      </c>
      <c r="BW183" s="225" t="str">
        <f t="shared" si="17"/>
        <v/>
      </c>
      <c r="BX183" s="225" t="str">
        <f t="shared" si="17"/>
        <v/>
      </c>
      <c r="BY183" s="225" t="str">
        <f t="shared" si="17"/>
        <v/>
      </c>
      <c r="BZ183" s="225" t="str">
        <f t="shared" si="17"/>
        <v/>
      </c>
      <c r="CA183" s="225" t="str">
        <f t="shared" si="17"/>
        <v/>
      </c>
      <c r="CB183" s="225" t="str">
        <f t="shared" si="17"/>
        <v/>
      </c>
      <c r="CC183" s="225" t="str">
        <f t="shared" si="17"/>
        <v/>
      </c>
      <c r="CD183" s="225" t="str">
        <f t="shared" si="17"/>
        <v/>
      </c>
      <c r="CE183" s="225" t="str">
        <f t="shared" si="17"/>
        <v/>
      </c>
      <c r="CF183" s="225" t="str">
        <f t="shared" si="17"/>
        <v/>
      </c>
      <c r="CG183" s="225" t="str">
        <f t="shared" si="17"/>
        <v/>
      </c>
      <c r="CH183" s="225" t="str">
        <f t="shared" si="17"/>
        <v/>
      </c>
      <c r="CI183" s="225" t="str">
        <f t="shared" si="17"/>
        <v/>
      </c>
      <c r="CJ183" s="225" t="str">
        <f t="shared" si="17"/>
        <v/>
      </c>
      <c r="CK183" s="225" t="str">
        <f t="shared" si="17"/>
        <v/>
      </c>
      <c r="CL183" s="225" t="str">
        <f t="shared" si="17"/>
        <v/>
      </c>
      <c r="CM183" s="225" t="str">
        <f t="shared" si="17"/>
        <v/>
      </c>
      <c r="CN183" s="225" t="str">
        <f t="shared" si="17"/>
        <v/>
      </c>
      <c r="CO183" s="225" t="str">
        <f t="shared" si="17"/>
        <v/>
      </c>
      <c r="CP183" s="225" t="str">
        <f t="shared" si="17"/>
        <v/>
      </c>
      <c r="CQ183" s="225" t="str">
        <f t="shared" si="17"/>
        <v/>
      </c>
      <c r="CR183" s="225" t="str">
        <f t="shared" si="17"/>
        <v/>
      </c>
      <c r="CS183" s="225" t="str">
        <f t="shared" si="17"/>
        <v/>
      </c>
      <c r="CT183" s="225" t="str">
        <f t="shared" si="17"/>
        <v/>
      </c>
      <c r="CU183" s="225" t="str">
        <f t="shared" si="17"/>
        <v/>
      </c>
      <c r="CV183" s="225" t="str">
        <f t="shared" si="17"/>
        <v/>
      </c>
      <c r="CW183" s="225" t="str">
        <f t="shared" si="17"/>
        <v/>
      </c>
      <c r="CX183" s="225" t="str">
        <f t="shared" si="17"/>
        <v/>
      </c>
      <c r="CY183" s="225" t="str">
        <f t="shared" si="17"/>
        <v/>
      </c>
      <c r="CZ183" s="225" t="str">
        <f t="shared" si="17"/>
        <v/>
      </c>
      <c r="DA183" s="225" t="str">
        <f t="shared" si="17"/>
        <v/>
      </c>
      <c r="DB183" s="225">
        <v>0.0</v>
      </c>
      <c r="DC183" s="231">
        <f t="shared" si="7"/>
        <v>51</v>
      </c>
      <c r="DD183" s="231" t="str">
        <f t="shared" si="8"/>
        <v/>
      </c>
    </row>
    <row r="184">
      <c r="A184" s="25"/>
      <c r="B184" s="26"/>
      <c r="C184" s="26"/>
      <c r="D184" s="27"/>
      <c r="E184" s="27"/>
      <c r="F184" s="27"/>
      <c r="G184" s="27"/>
      <c r="H184" s="27"/>
      <c r="I184" s="126" t="s">
        <v>210</v>
      </c>
      <c r="J184" s="224">
        <v>77.0</v>
      </c>
      <c r="K184" s="225">
        <f t="shared" ref="K184:DA184" si="18">if($J184&gt;=round(K$172*MAX($J$173:$J$184),6),1/96*MAX($J$173:$J$184),"")</f>
        <v>0.8645833333</v>
      </c>
      <c r="L184" s="225">
        <f t="shared" si="18"/>
        <v>0.8645833333</v>
      </c>
      <c r="M184" s="225">
        <f t="shared" si="18"/>
        <v>0.8645833333</v>
      </c>
      <c r="N184" s="225">
        <f t="shared" si="18"/>
        <v>0.8645833333</v>
      </c>
      <c r="O184" s="225">
        <f t="shared" si="18"/>
        <v>0.8645833333</v>
      </c>
      <c r="P184" s="225">
        <f t="shared" si="18"/>
        <v>0.8645833333</v>
      </c>
      <c r="Q184" s="225">
        <f t="shared" si="18"/>
        <v>0.8645833333</v>
      </c>
      <c r="R184" s="225">
        <f t="shared" si="18"/>
        <v>0.8645833333</v>
      </c>
      <c r="S184" s="225">
        <f t="shared" si="18"/>
        <v>0.8645833333</v>
      </c>
      <c r="T184" s="225">
        <f t="shared" si="18"/>
        <v>0.8645833333</v>
      </c>
      <c r="U184" s="225">
        <f t="shared" si="18"/>
        <v>0.8645833333</v>
      </c>
      <c r="V184" s="225">
        <f t="shared" si="18"/>
        <v>0.8645833333</v>
      </c>
      <c r="W184" s="225">
        <f t="shared" si="18"/>
        <v>0.8645833333</v>
      </c>
      <c r="X184" s="225">
        <f t="shared" si="18"/>
        <v>0.8645833333</v>
      </c>
      <c r="Y184" s="225">
        <f t="shared" si="18"/>
        <v>0.8645833333</v>
      </c>
      <c r="Z184" s="225">
        <f t="shared" si="18"/>
        <v>0.8645833333</v>
      </c>
      <c r="AA184" s="225">
        <f t="shared" si="18"/>
        <v>0.8645833333</v>
      </c>
      <c r="AB184" s="225">
        <f t="shared" si="18"/>
        <v>0.8645833333</v>
      </c>
      <c r="AC184" s="225">
        <f t="shared" si="18"/>
        <v>0.8645833333</v>
      </c>
      <c r="AD184" s="225">
        <f t="shared" si="18"/>
        <v>0.8645833333</v>
      </c>
      <c r="AE184" s="225">
        <f t="shared" si="18"/>
        <v>0.8645833333</v>
      </c>
      <c r="AF184" s="225">
        <f t="shared" si="18"/>
        <v>0.8645833333</v>
      </c>
      <c r="AG184" s="225">
        <f t="shared" si="18"/>
        <v>0.8645833333</v>
      </c>
      <c r="AH184" s="225">
        <f t="shared" si="18"/>
        <v>0.8645833333</v>
      </c>
      <c r="AI184" s="225">
        <f t="shared" si="18"/>
        <v>0.8645833333</v>
      </c>
      <c r="AJ184" s="225">
        <f t="shared" si="18"/>
        <v>0.8645833333</v>
      </c>
      <c r="AK184" s="225">
        <f t="shared" si="18"/>
        <v>0.8645833333</v>
      </c>
      <c r="AL184" s="225">
        <f t="shared" si="18"/>
        <v>0.8645833333</v>
      </c>
      <c r="AM184" s="225">
        <f t="shared" si="18"/>
        <v>0.8645833333</v>
      </c>
      <c r="AN184" s="225">
        <f t="shared" si="18"/>
        <v>0.8645833333</v>
      </c>
      <c r="AO184" s="225">
        <f t="shared" si="18"/>
        <v>0.8645833333</v>
      </c>
      <c r="AP184" s="225">
        <f t="shared" si="18"/>
        <v>0.8645833333</v>
      </c>
      <c r="AQ184" s="225">
        <f t="shared" si="18"/>
        <v>0.8645833333</v>
      </c>
      <c r="AR184" s="225">
        <f t="shared" si="18"/>
        <v>0.8645833333</v>
      </c>
      <c r="AS184" s="225">
        <f t="shared" si="18"/>
        <v>0.8645833333</v>
      </c>
      <c r="AT184" s="225">
        <f t="shared" si="18"/>
        <v>0.8645833333</v>
      </c>
      <c r="AU184" s="225">
        <f t="shared" si="18"/>
        <v>0.8645833333</v>
      </c>
      <c r="AV184" s="225">
        <f t="shared" si="18"/>
        <v>0.8645833333</v>
      </c>
      <c r="AW184" s="225">
        <f t="shared" si="18"/>
        <v>0.8645833333</v>
      </c>
      <c r="AX184" s="225">
        <f t="shared" si="18"/>
        <v>0.8645833333</v>
      </c>
      <c r="AY184" s="225">
        <f t="shared" si="18"/>
        <v>0.8645833333</v>
      </c>
      <c r="AZ184" s="225">
        <f t="shared" si="18"/>
        <v>0.8645833333</v>
      </c>
      <c r="BA184" s="225">
        <f t="shared" si="18"/>
        <v>0.8645833333</v>
      </c>
      <c r="BB184" s="225">
        <f t="shared" si="18"/>
        <v>0.8645833333</v>
      </c>
      <c r="BC184" s="225">
        <f t="shared" si="18"/>
        <v>0.8645833333</v>
      </c>
      <c r="BD184" s="225">
        <f t="shared" si="18"/>
        <v>0.8645833333</v>
      </c>
      <c r="BE184" s="225">
        <f t="shared" si="18"/>
        <v>0.8645833333</v>
      </c>
      <c r="BF184" s="225">
        <f t="shared" si="18"/>
        <v>0.8645833333</v>
      </c>
      <c r="BG184" s="225">
        <f t="shared" si="18"/>
        <v>0.8645833333</v>
      </c>
      <c r="BH184" s="225">
        <f t="shared" si="18"/>
        <v>0.8645833333</v>
      </c>
      <c r="BI184" s="225">
        <f t="shared" si="18"/>
        <v>0.8645833333</v>
      </c>
      <c r="BJ184" s="225">
        <f t="shared" si="18"/>
        <v>0.8645833333</v>
      </c>
      <c r="BK184" s="225">
        <f t="shared" si="18"/>
        <v>0.8645833333</v>
      </c>
      <c r="BL184" s="225">
        <f t="shared" si="18"/>
        <v>0.8645833333</v>
      </c>
      <c r="BM184" s="225">
        <f t="shared" si="18"/>
        <v>0.8645833333</v>
      </c>
      <c r="BN184" s="225">
        <f t="shared" si="18"/>
        <v>0.8645833333</v>
      </c>
      <c r="BO184" s="225">
        <f t="shared" si="18"/>
        <v>0.8645833333</v>
      </c>
      <c r="BP184" s="225">
        <f t="shared" si="18"/>
        <v>0.8645833333</v>
      </c>
      <c r="BQ184" s="225">
        <f t="shared" si="18"/>
        <v>0.8645833333</v>
      </c>
      <c r="BR184" s="225">
        <f t="shared" si="18"/>
        <v>0.8645833333</v>
      </c>
      <c r="BS184" s="225">
        <f t="shared" si="18"/>
        <v>0.8645833333</v>
      </c>
      <c r="BT184" s="225">
        <f t="shared" si="18"/>
        <v>0.8645833333</v>
      </c>
      <c r="BU184" s="225">
        <f t="shared" si="18"/>
        <v>0.8645833333</v>
      </c>
      <c r="BV184" s="225">
        <f t="shared" si="18"/>
        <v>0.8645833333</v>
      </c>
      <c r="BW184" s="225">
        <f t="shared" si="18"/>
        <v>0.8645833333</v>
      </c>
      <c r="BX184" s="225">
        <f t="shared" si="18"/>
        <v>0.8645833333</v>
      </c>
      <c r="BY184" s="225">
        <f t="shared" si="18"/>
        <v>0.8645833333</v>
      </c>
      <c r="BZ184" s="225">
        <f t="shared" si="18"/>
        <v>0.8645833333</v>
      </c>
      <c r="CA184" s="225">
        <f t="shared" si="18"/>
        <v>0.8645833333</v>
      </c>
      <c r="CB184" s="225">
        <f t="shared" si="18"/>
        <v>0.8645833333</v>
      </c>
      <c r="CC184" s="225">
        <f t="shared" si="18"/>
        <v>0.8645833333</v>
      </c>
      <c r="CD184" s="225">
        <f t="shared" si="18"/>
        <v>0.8645833333</v>
      </c>
      <c r="CE184" s="225">
        <f t="shared" si="18"/>
        <v>0.8645833333</v>
      </c>
      <c r="CF184" s="225">
        <f t="shared" si="18"/>
        <v>0.8645833333</v>
      </c>
      <c r="CG184" s="225">
        <f t="shared" si="18"/>
        <v>0.8645833333</v>
      </c>
      <c r="CH184" s="225">
        <f t="shared" si="18"/>
        <v>0.8645833333</v>
      </c>
      <c r="CI184" s="225">
        <f t="shared" si="18"/>
        <v>0.8645833333</v>
      </c>
      <c r="CJ184" s="225">
        <f t="shared" si="18"/>
        <v>0.8645833333</v>
      </c>
      <c r="CK184" s="225">
        <f t="shared" si="18"/>
        <v>0.8645833333</v>
      </c>
      <c r="CL184" s="225">
        <f t="shared" si="18"/>
        <v>0.8645833333</v>
      </c>
      <c r="CM184" s="225">
        <f t="shared" si="18"/>
        <v>0.8645833333</v>
      </c>
      <c r="CN184" s="225">
        <f t="shared" si="18"/>
        <v>0.8645833333</v>
      </c>
      <c r="CO184" s="225">
        <f t="shared" si="18"/>
        <v>0.8645833333</v>
      </c>
      <c r="CP184" s="225">
        <f t="shared" si="18"/>
        <v>0.8645833333</v>
      </c>
      <c r="CQ184" s="225">
        <f t="shared" si="18"/>
        <v>0.8645833333</v>
      </c>
      <c r="CR184" s="225">
        <f t="shared" si="18"/>
        <v>0.8645833333</v>
      </c>
      <c r="CS184" s="225">
        <f t="shared" si="18"/>
        <v>0.8645833333</v>
      </c>
      <c r="CT184" s="225">
        <f t="shared" si="18"/>
        <v>0.8645833333</v>
      </c>
      <c r="CU184" s="225">
        <f t="shared" si="18"/>
        <v>0.8645833333</v>
      </c>
      <c r="CV184" s="225" t="str">
        <f t="shared" si="18"/>
        <v/>
      </c>
      <c r="CW184" s="225" t="str">
        <f t="shared" si="18"/>
        <v/>
      </c>
      <c r="CX184" s="225" t="str">
        <f t="shared" si="18"/>
        <v/>
      </c>
      <c r="CY184" s="225" t="str">
        <f t="shared" si="18"/>
        <v/>
      </c>
      <c r="CZ184" s="225" t="str">
        <f t="shared" si="18"/>
        <v/>
      </c>
      <c r="DA184" s="225" t="str">
        <f t="shared" si="18"/>
        <v/>
      </c>
      <c r="DB184" s="225">
        <v>0.0</v>
      </c>
      <c r="DC184" s="231" t="str">
        <f t="shared" si="7"/>
        <v/>
      </c>
      <c r="DD184" s="231" t="str">
        <f t="shared" si="8"/>
        <v/>
      </c>
    </row>
    <row r="185">
      <c r="A185" s="25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</row>
    <row r="186">
      <c r="A186" s="25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</row>
    <row r="187">
      <c r="A187" s="25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</row>
    <row r="188">
      <c r="A188" s="25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</row>
    <row r="189">
      <c r="A189" s="25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</row>
    <row r="190">
      <c r="A190" s="25"/>
      <c r="B190" s="48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</row>
    <row r="191">
      <c r="A191" s="25"/>
      <c r="B191" s="48"/>
      <c r="C191" s="26"/>
      <c r="D191" s="27"/>
      <c r="E191" s="32" t="s">
        <v>745</v>
      </c>
      <c r="F191" s="33"/>
      <c r="G191" s="33"/>
      <c r="H191" s="34"/>
      <c r="I191" s="27"/>
      <c r="J191" s="27"/>
      <c r="K191" s="27"/>
      <c r="L191" s="27"/>
      <c r="M191" s="27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</row>
    <row r="192">
      <c r="A192" s="25"/>
      <c r="B192" s="48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</row>
    <row r="193">
      <c r="A193" s="25"/>
      <c r="B193" s="26"/>
      <c r="C193" s="26"/>
      <c r="D193" s="76"/>
      <c r="E193" s="27"/>
      <c r="F193" s="27"/>
      <c r="G193" s="27"/>
      <c r="H193" s="27"/>
      <c r="I193" s="41" t="s">
        <v>746</v>
      </c>
      <c r="J193" s="33"/>
      <c r="K193" s="33"/>
      <c r="L193" s="34"/>
      <c r="M193" s="27"/>
      <c r="N193" s="27"/>
      <c r="O193" s="27"/>
      <c r="P193" s="27"/>
      <c r="Q193" s="27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</row>
    <row r="194">
      <c r="A194" s="25"/>
      <c r="B194" s="26"/>
      <c r="C194" s="26"/>
      <c r="D194" s="76"/>
      <c r="E194" s="27"/>
      <c r="F194" s="27"/>
      <c r="G194" s="27"/>
      <c r="H194" s="27"/>
      <c r="I194" s="44" t="s">
        <v>47</v>
      </c>
      <c r="J194" s="44" t="s">
        <v>747</v>
      </c>
      <c r="K194" s="57" t="s">
        <v>748</v>
      </c>
      <c r="L194" s="220">
        <v>-1.0</v>
      </c>
      <c r="M194" s="220">
        <f t="shared" ref="M194:DB194" si="19">L194+2/94</f>
        <v>-0.9787234043</v>
      </c>
      <c r="N194" s="220">
        <f t="shared" si="19"/>
        <v>-0.9574468085</v>
      </c>
      <c r="O194" s="220">
        <f t="shared" si="19"/>
        <v>-0.9361702128</v>
      </c>
      <c r="P194" s="220">
        <f t="shared" si="19"/>
        <v>-0.914893617</v>
      </c>
      <c r="Q194" s="220">
        <f t="shared" si="19"/>
        <v>-0.8936170213</v>
      </c>
      <c r="R194" s="220">
        <f t="shared" si="19"/>
        <v>-0.8723404255</v>
      </c>
      <c r="S194" s="220">
        <f t="shared" si="19"/>
        <v>-0.8510638298</v>
      </c>
      <c r="T194" s="220">
        <f t="shared" si="19"/>
        <v>-0.829787234</v>
      </c>
      <c r="U194" s="220">
        <f t="shared" si="19"/>
        <v>-0.8085106383</v>
      </c>
      <c r="V194" s="220">
        <f t="shared" si="19"/>
        <v>-0.7872340426</v>
      </c>
      <c r="W194" s="220">
        <f t="shared" si="19"/>
        <v>-0.7659574468</v>
      </c>
      <c r="X194" s="220">
        <f t="shared" si="19"/>
        <v>-0.7446808511</v>
      </c>
      <c r="Y194" s="220">
        <f t="shared" si="19"/>
        <v>-0.7234042553</v>
      </c>
      <c r="Z194" s="220">
        <f t="shared" si="19"/>
        <v>-0.7021276596</v>
      </c>
      <c r="AA194" s="220">
        <f t="shared" si="19"/>
        <v>-0.6808510638</v>
      </c>
      <c r="AB194" s="220">
        <f t="shared" si="19"/>
        <v>-0.6595744681</v>
      </c>
      <c r="AC194" s="220">
        <f t="shared" si="19"/>
        <v>-0.6382978723</v>
      </c>
      <c r="AD194" s="220">
        <f t="shared" si="19"/>
        <v>-0.6170212766</v>
      </c>
      <c r="AE194" s="220">
        <f t="shared" si="19"/>
        <v>-0.5957446809</v>
      </c>
      <c r="AF194" s="220">
        <f t="shared" si="19"/>
        <v>-0.5744680851</v>
      </c>
      <c r="AG194" s="220">
        <f t="shared" si="19"/>
        <v>-0.5531914894</v>
      </c>
      <c r="AH194" s="220">
        <f t="shared" si="19"/>
        <v>-0.5319148936</v>
      </c>
      <c r="AI194" s="220">
        <f t="shared" si="19"/>
        <v>-0.5106382979</v>
      </c>
      <c r="AJ194" s="220">
        <f t="shared" si="19"/>
        <v>-0.4893617021</v>
      </c>
      <c r="AK194" s="220">
        <f t="shared" si="19"/>
        <v>-0.4680851064</v>
      </c>
      <c r="AL194" s="220">
        <f t="shared" si="19"/>
        <v>-0.4468085106</v>
      </c>
      <c r="AM194" s="220">
        <f t="shared" si="19"/>
        <v>-0.4255319149</v>
      </c>
      <c r="AN194" s="220">
        <f t="shared" si="19"/>
        <v>-0.4042553191</v>
      </c>
      <c r="AO194" s="220">
        <f t="shared" si="19"/>
        <v>-0.3829787234</v>
      </c>
      <c r="AP194" s="220">
        <f t="shared" si="19"/>
        <v>-0.3617021277</v>
      </c>
      <c r="AQ194" s="220">
        <f t="shared" si="19"/>
        <v>-0.3404255319</v>
      </c>
      <c r="AR194" s="220">
        <f t="shared" si="19"/>
        <v>-0.3191489362</v>
      </c>
      <c r="AS194" s="220">
        <f t="shared" si="19"/>
        <v>-0.2978723404</v>
      </c>
      <c r="AT194" s="220">
        <f t="shared" si="19"/>
        <v>-0.2765957447</v>
      </c>
      <c r="AU194" s="220">
        <f t="shared" si="19"/>
        <v>-0.2553191489</v>
      </c>
      <c r="AV194" s="220">
        <f t="shared" si="19"/>
        <v>-0.2340425532</v>
      </c>
      <c r="AW194" s="220">
        <f t="shared" si="19"/>
        <v>-0.2127659574</v>
      </c>
      <c r="AX194" s="220">
        <f t="shared" si="19"/>
        <v>-0.1914893617</v>
      </c>
      <c r="AY194" s="220">
        <f t="shared" si="19"/>
        <v>-0.170212766</v>
      </c>
      <c r="AZ194" s="220">
        <f t="shared" si="19"/>
        <v>-0.1489361702</v>
      </c>
      <c r="BA194" s="220">
        <f t="shared" si="19"/>
        <v>-0.1276595745</v>
      </c>
      <c r="BB194" s="220">
        <f t="shared" si="19"/>
        <v>-0.1063829787</v>
      </c>
      <c r="BC194" s="220">
        <f t="shared" si="19"/>
        <v>-0.08510638298</v>
      </c>
      <c r="BD194" s="220">
        <f t="shared" si="19"/>
        <v>-0.06382978723</v>
      </c>
      <c r="BE194" s="220">
        <f t="shared" si="19"/>
        <v>-0.04255319149</v>
      </c>
      <c r="BF194" s="220">
        <f t="shared" si="19"/>
        <v>-0.02127659574</v>
      </c>
      <c r="BG194" s="220">
        <f t="shared" si="19"/>
        <v>0</v>
      </c>
      <c r="BH194" s="220">
        <f t="shared" si="19"/>
        <v>0.02127659574</v>
      </c>
      <c r="BI194" s="220">
        <f t="shared" si="19"/>
        <v>0.04255319149</v>
      </c>
      <c r="BJ194" s="220">
        <f t="shared" si="19"/>
        <v>0.06382978723</v>
      </c>
      <c r="BK194" s="220">
        <f t="shared" si="19"/>
        <v>0.08510638298</v>
      </c>
      <c r="BL194" s="220">
        <f t="shared" si="19"/>
        <v>0.1063829787</v>
      </c>
      <c r="BM194" s="220">
        <f t="shared" si="19"/>
        <v>0.1276595745</v>
      </c>
      <c r="BN194" s="220">
        <f t="shared" si="19"/>
        <v>0.1489361702</v>
      </c>
      <c r="BO194" s="220">
        <f t="shared" si="19"/>
        <v>0.170212766</v>
      </c>
      <c r="BP194" s="220">
        <f t="shared" si="19"/>
        <v>0.1914893617</v>
      </c>
      <c r="BQ194" s="220">
        <f t="shared" si="19"/>
        <v>0.2127659574</v>
      </c>
      <c r="BR194" s="220">
        <f t="shared" si="19"/>
        <v>0.2340425532</v>
      </c>
      <c r="BS194" s="220">
        <f t="shared" si="19"/>
        <v>0.2553191489</v>
      </c>
      <c r="BT194" s="220">
        <f t="shared" si="19"/>
        <v>0.2765957447</v>
      </c>
      <c r="BU194" s="220">
        <f t="shared" si="19"/>
        <v>0.2978723404</v>
      </c>
      <c r="BV194" s="220">
        <f t="shared" si="19"/>
        <v>0.3191489362</v>
      </c>
      <c r="BW194" s="220">
        <f t="shared" si="19"/>
        <v>0.3404255319</v>
      </c>
      <c r="BX194" s="220">
        <f t="shared" si="19"/>
        <v>0.3617021277</v>
      </c>
      <c r="BY194" s="220">
        <f t="shared" si="19"/>
        <v>0.3829787234</v>
      </c>
      <c r="BZ194" s="220">
        <f t="shared" si="19"/>
        <v>0.4042553191</v>
      </c>
      <c r="CA194" s="220">
        <f t="shared" si="19"/>
        <v>0.4255319149</v>
      </c>
      <c r="CB194" s="220">
        <f t="shared" si="19"/>
        <v>0.4468085106</v>
      </c>
      <c r="CC194" s="220">
        <f t="shared" si="19"/>
        <v>0.4680851064</v>
      </c>
      <c r="CD194" s="220">
        <f t="shared" si="19"/>
        <v>0.4893617021</v>
      </c>
      <c r="CE194" s="220">
        <f t="shared" si="19"/>
        <v>0.5106382979</v>
      </c>
      <c r="CF194" s="220">
        <f t="shared" si="19"/>
        <v>0.5319148936</v>
      </c>
      <c r="CG194" s="220">
        <f t="shared" si="19"/>
        <v>0.5531914894</v>
      </c>
      <c r="CH194" s="220">
        <f t="shared" si="19"/>
        <v>0.5744680851</v>
      </c>
      <c r="CI194" s="220">
        <f t="shared" si="19"/>
        <v>0.5957446809</v>
      </c>
      <c r="CJ194" s="220">
        <f t="shared" si="19"/>
        <v>0.6170212766</v>
      </c>
      <c r="CK194" s="220">
        <f t="shared" si="19"/>
        <v>0.6382978723</v>
      </c>
      <c r="CL194" s="220">
        <f t="shared" si="19"/>
        <v>0.6595744681</v>
      </c>
      <c r="CM194" s="220">
        <f t="shared" si="19"/>
        <v>0.6808510638</v>
      </c>
      <c r="CN194" s="220">
        <f t="shared" si="19"/>
        <v>0.7021276596</v>
      </c>
      <c r="CO194" s="220">
        <f t="shared" si="19"/>
        <v>0.7234042553</v>
      </c>
      <c r="CP194" s="220">
        <f t="shared" si="19"/>
        <v>0.7446808511</v>
      </c>
      <c r="CQ194" s="220">
        <f t="shared" si="19"/>
        <v>0.7659574468</v>
      </c>
      <c r="CR194" s="220">
        <f t="shared" si="19"/>
        <v>0.7872340426</v>
      </c>
      <c r="CS194" s="220">
        <f t="shared" si="19"/>
        <v>0.8085106383</v>
      </c>
      <c r="CT194" s="220">
        <f t="shared" si="19"/>
        <v>0.829787234</v>
      </c>
      <c r="CU194" s="220">
        <f t="shared" si="19"/>
        <v>0.8510638298</v>
      </c>
      <c r="CV194" s="220">
        <f t="shared" si="19"/>
        <v>0.8723404255</v>
      </c>
      <c r="CW194" s="220">
        <f t="shared" si="19"/>
        <v>0.8936170213</v>
      </c>
      <c r="CX194" s="220">
        <f t="shared" si="19"/>
        <v>0.914893617</v>
      </c>
      <c r="CY194" s="220">
        <f t="shared" si="19"/>
        <v>0.9361702128</v>
      </c>
      <c r="CZ194" s="220">
        <f t="shared" si="19"/>
        <v>0.9574468085</v>
      </c>
      <c r="DA194" s="220">
        <f t="shared" si="19"/>
        <v>0.9787234043</v>
      </c>
      <c r="DB194" s="220">
        <f t="shared" si="19"/>
        <v>1</v>
      </c>
      <c r="DC194" s="220" t="s">
        <v>573</v>
      </c>
      <c r="DD194" s="220" t="s">
        <v>575</v>
      </c>
    </row>
    <row r="195">
      <c r="A195" s="25"/>
      <c r="B195" s="26"/>
      <c r="C195" s="26"/>
      <c r="D195" s="76"/>
      <c r="E195" s="27"/>
      <c r="F195" s="27"/>
      <c r="G195" s="27"/>
      <c r="H195" s="27"/>
      <c r="I195" s="126" t="s">
        <v>188</v>
      </c>
      <c r="J195" s="216">
        <v>-64.0</v>
      </c>
      <c r="K195" s="313"/>
      <c r="L195" s="313">
        <v>0.0</v>
      </c>
      <c r="M195" s="225">
        <f t="shared" ref="M195:BF195" si="20">if(M$194&gt;=0,
if($J195&gt;=M$194*MAX($J$195:$J$206),2/94*MAX($J$195:$J$206),""),
if($J195&lt;=-M$194*MIN($J$195:$J$206),2/94*MIN($J$195:$J$206),""))</f>
        <v>-1.361702128</v>
      </c>
      <c r="N195" s="225">
        <f t="shared" si="20"/>
        <v>-1.361702128</v>
      </c>
      <c r="O195" s="225">
        <f t="shared" si="20"/>
        <v>-1.361702128</v>
      </c>
      <c r="P195" s="225">
        <f t="shared" si="20"/>
        <v>-1.361702128</v>
      </c>
      <c r="Q195" s="225">
        <f t="shared" si="20"/>
        <v>-1.361702128</v>
      </c>
      <c r="R195" s="225">
        <f t="shared" si="20"/>
        <v>-1.361702128</v>
      </c>
      <c r="S195" s="225">
        <f t="shared" si="20"/>
        <v>-1.361702128</v>
      </c>
      <c r="T195" s="225">
        <f t="shared" si="20"/>
        <v>-1.361702128</v>
      </c>
      <c r="U195" s="225">
        <f t="shared" si="20"/>
        <v>-1.361702128</v>
      </c>
      <c r="V195" s="225">
        <f t="shared" si="20"/>
        <v>-1.361702128</v>
      </c>
      <c r="W195" s="225">
        <f t="shared" si="20"/>
        <v>-1.361702128</v>
      </c>
      <c r="X195" s="225">
        <f t="shared" si="20"/>
        <v>-1.361702128</v>
      </c>
      <c r="Y195" s="225">
        <f t="shared" si="20"/>
        <v>-1.361702128</v>
      </c>
      <c r="Z195" s="225">
        <f t="shared" si="20"/>
        <v>-1.361702128</v>
      </c>
      <c r="AA195" s="225">
        <f t="shared" si="20"/>
        <v>-1.361702128</v>
      </c>
      <c r="AB195" s="225">
        <f t="shared" si="20"/>
        <v>-1.361702128</v>
      </c>
      <c r="AC195" s="225">
        <f t="shared" si="20"/>
        <v>-1.361702128</v>
      </c>
      <c r="AD195" s="225">
        <f t="shared" si="20"/>
        <v>-1.361702128</v>
      </c>
      <c r="AE195" s="225">
        <f t="shared" si="20"/>
        <v>-1.361702128</v>
      </c>
      <c r="AF195" s="225">
        <f t="shared" si="20"/>
        <v>-1.361702128</v>
      </c>
      <c r="AG195" s="225">
        <f t="shared" si="20"/>
        <v>-1.361702128</v>
      </c>
      <c r="AH195" s="225">
        <f t="shared" si="20"/>
        <v>-1.361702128</v>
      </c>
      <c r="AI195" s="225">
        <f t="shared" si="20"/>
        <v>-1.361702128</v>
      </c>
      <c r="AJ195" s="225">
        <f t="shared" si="20"/>
        <v>-1.361702128</v>
      </c>
      <c r="AK195" s="225">
        <f t="shared" si="20"/>
        <v>-1.361702128</v>
      </c>
      <c r="AL195" s="225">
        <f t="shared" si="20"/>
        <v>-1.361702128</v>
      </c>
      <c r="AM195" s="225">
        <f t="shared" si="20"/>
        <v>-1.361702128</v>
      </c>
      <c r="AN195" s="225">
        <f t="shared" si="20"/>
        <v>-1.361702128</v>
      </c>
      <c r="AO195" s="225">
        <f t="shared" si="20"/>
        <v>-1.361702128</v>
      </c>
      <c r="AP195" s="225">
        <f t="shared" si="20"/>
        <v>-1.361702128</v>
      </c>
      <c r="AQ195" s="225">
        <f t="shared" si="20"/>
        <v>-1.361702128</v>
      </c>
      <c r="AR195" s="225">
        <f t="shared" si="20"/>
        <v>-1.361702128</v>
      </c>
      <c r="AS195" s="225">
        <f t="shared" si="20"/>
        <v>-1.361702128</v>
      </c>
      <c r="AT195" s="225">
        <f t="shared" si="20"/>
        <v>-1.361702128</v>
      </c>
      <c r="AU195" s="225">
        <f t="shared" si="20"/>
        <v>-1.361702128</v>
      </c>
      <c r="AV195" s="225">
        <f t="shared" si="20"/>
        <v>-1.361702128</v>
      </c>
      <c r="AW195" s="225">
        <f t="shared" si="20"/>
        <v>-1.361702128</v>
      </c>
      <c r="AX195" s="225">
        <f t="shared" si="20"/>
        <v>-1.361702128</v>
      </c>
      <c r="AY195" s="225">
        <f t="shared" si="20"/>
        <v>-1.361702128</v>
      </c>
      <c r="AZ195" s="225">
        <f t="shared" si="20"/>
        <v>-1.361702128</v>
      </c>
      <c r="BA195" s="225">
        <f t="shared" si="20"/>
        <v>-1.361702128</v>
      </c>
      <c r="BB195" s="225">
        <f t="shared" si="20"/>
        <v>-1.361702128</v>
      </c>
      <c r="BC195" s="225">
        <f t="shared" si="20"/>
        <v>-1.361702128</v>
      </c>
      <c r="BD195" s="225">
        <f t="shared" si="20"/>
        <v>-1.361702128</v>
      </c>
      <c r="BE195" s="225">
        <f t="shared" si="20"/>
        <v>-1.361702128</v>
      </c>
      <c r="BF195" s="225">
        <f t="shared" si="20"/>
        <v>-1.361702128</v>
      </c>
      <c r="BG195" s="225">
        <f t="shared" ref="BG195:BG206" si="23">-sum(L195:BF195,BH195:DB195)+J195</f>
        <v>-1.361702128</v>
      </c>
      <c r="BH195" s="225" t="str">
        <f t="shared" ref="BH195:DA195" si="21">if(BH$194&gt;=0,
if($J195&gt;=BH$194*MAX($J$195:$J$206),2/94*MAX($J$195:$J$206),""),
if($J195&lt;=-BH$194*MIN($J$195:$J$206),2/94*MIN($J$195:$J$206),""))</f>
        <v/>
      </c>
      <c r="BI195" s="225" t="str">
        <f t="shared" si="21"/>
        <v/>
      </c>
      <c r="BJ195" s="225" t="str">
        <f t="shared" si="21"/>
        <v/>
      </c>
      <c r="BK195" s="225" t="str">
        <f t="shared" si="21"/>
        <v/>
      </c>
      <c r="BL195" s="225" t="str">
        <f t="shared" si="21"/>
        <v/>
      </c>
      <c r="BM195" s="225" t="str">
        <f t="shared" si="21"/>
        <v/>
      </c>
      <c r="BN195" s="225" t="str">
        <f t="shared" si="21"/>
        <v/>
      </c>
      <c r="BO195" s="225" t="str">
        <f t="shared" si="21"/>
        <v/>
      </c>
      <c r="BP195" s="225" t="str">
        <f t="shared" si="21"/>
        <v/>
      </c>
      <c r="BQ195" s="225" t="str">
        <f t="shared" si="21"/>
        <v/>
      </c>
      <c r="BR195" s="225" t="str">
        <f t="shared" si="21"/>
        <v/>
      </c>
      <c r="BS195" s="225" t="str">
        <f t="shared" si="21"/>
        <v/>
      </c>
      <c r="BT195" s="225" t="str">
        <f t="shared" si="21"/>
        <v/>
      </c>
      <c r="BU195" s="225" t="str">
        <f t="shared" si="21"/>
        <v/>
      </c>
      <c r="BV195" s="225" t="str">
        <f t="shared" si="21"/>
        <v/>
      </c>
      <c r="BW195" s="225" t="str">
        <f t="shared" si="21"/>
        <v/>
      </c>
      <c r="BX195" s="225" t="str">
        <f t="shared" si="21"/>
        <v/>
      </c>
      <c r="BY195" s="225" t="str">
        <f t="shared" si="21"/>
        <v/>
      </c>
      <c r="BZ195" s="225" t="str">
        <f t="shared" si="21"/>
        <v/>
      </c>
      <c r="CA195" s="225" t="str">
        <f t="shared" si="21"/>
        <v/>
      </c>
      <c r="CB195" s="225" t="str">
        <f t="shared" si="21"/>
        <v/>
      </c>
      <c r="CC195" s="225" t="str">
        <f t="shared" si="21"/>
        <v/>
      </c>
      <c r="CD195" s="225" t="str">
        <f t="shared" si="21"/>
        <v/>
      </c>
      <c r="CE195" s="225" t="str">
        <f t="shared" si="21"/>
        <v/>
      </c>
      <c r="CF195" s="225" t="str">
        <f t="shared" si="21"/>
        <v/>
      </c>
      <c r="CG195" s="225" t="str">
        <f t="shared" si="21"/>
        <v/>
      </c>
      <c r="CH195" s="225" t="str">
        <f t="shared" si="21"/>
        <v/>
      </c>
      <c r="CI195" s="225" t="str">
        <f t="shared" si="21"/>
        <v/>
      </c>
      <c r="CJ195" s="225" t="str">
        <f t="shared" si="21"/>
        <v/>
      </c>
      <c r="CK195" s="225" t="str">
        <f t="shared" si="21"/>
        <v/>
      </c>
      <c r="CL195" s="225" t="str">
        <f t="shared" si="21"/>
        <v/>
      </c>
      <c r="CM195" s="225" t="str">
        <f t="shared" si="21"/>
        <v/>
      </c>
      <c r="CN195" s="225" t="str">
        <f t="shared" si="21"/>
        <v/>
      </c>
      <c r="CO195" s="225" t="str">
        <f t="shared" si="21"/>
        <v/>
      </c>
      <c r="CP195" s="225" t="str">
        <f t="shared" si="21"/>
        <v/>
      </c>
      <c r="CQ195" s="225" t="str">
        <f t="shared" si="21"/>
        <v/>
      </c>
      <c r="CR195" s="225" t="str">
        <f t="shared" si="21"/>
        <v/>
      </c>
      <c r="CS195" s="225" t="str">
        <f t="shared" si="21"/>
        <v/>
      </c>
      <c r="CT195" s="225" t="str">
        <f t="shared" si="21"/>
        <v/>
      </c>
      <c r="CU195" s="225" t="str">
        <f t="shared" si="21"/>
        <v/>
      </c>
      <c r="CV195" s="225" t="str">
        <f t="shared" si="21"/>
        <v/>
      </c>
      <c r="CW195" s="225" t="str">
        <f t="shared" si="21"/>
        <v/>
      </c>
      <c r="CX195" s="225" t="str">
        <f t="shared" si="21"/>
        <v/>
      </c>
      <c r="CY195" s="225" t="str">
        <f t="shared" si="21"/>
        <v/>
      </c>
      <c r="CZ195" s="225" t="str">
        <f t="shared" si="21"/>
        <v/>
      </c>
      <c r="DA195" s="225" t="str">
        <f t="shared" si="21"/>
        <v/>
      </c>
      <c r="DB195" s="313"/>
      <c r="DC195" s="225">
        <f t="shared" ref="DC195:DC206" si="25">if(MIN($J$195:$J$206)=J195,J195,)</f>
        <v>-64</v>
      </c>
      <c r="DD195" s="225" t="str">
        <f t="shared" ref="DD195:DD206" si="26">if(MAX($J$195:$J$206)=J195,J195,)</f>
        <v/>
      </c>
    </row>
    <row r="196">
      <c r="A196" s="25"/>
      <c r="B196" s="26"/>
      <c r="C196" s="26"/>
      <c r="D196" s="76"/>
      <c r="E196" s="27"/>
      <c r="F196" s="27"/>
      <c r="G196" s="27"/>
      <c r="H196" s="27"/>
      <c r="I196" s="126" t="s">
        <v>193</v>
      </c>
      <c r="J196" s="216">
        <v>-30.0</v>
      </c>
      <c r="K196" s="313"/>
      <c r="L196" s="313">
        <v>0.0</v>
      </c>
      <c r="M196" s="225" t="str">
        <f t="shared" ref="M196:BF196" si="22">if(M$194&gt;=0,
if($J196&gt;=M$194*MAX($J$195:$J$206),2/94*MAX($J$195:$J$206),""),
if($J196&lt;=-M$194*MIN($J$195:$J$206),2/94*MIN($J$195:$J$206),""))</f>
        <v/>
      </c>
      <c r="N196" s="225" t="str">
        <f t="shared" si="22"/>
        <v/>
      </c>
      <c r="O196" s="225" t="str">
        <f t="shared" si="22"/>
        <v/>
      </c>
      <c r="P196" s="225" t="str">
        <f t="shared" si="22"/>
        <v/>
      </c>
      <c r="Q196" s="225" t="str">
        <f t="shared" si="22"/>
        <v/>
      </c>
      <c r="R196" s="225" t="str">
        <f t="shared" si="22"/>
        <v/>
      </c>
      <c r="S196" s="225" t="str">
        <f t="shared" si="22"/>
        <v/>
      </c>
      <c r="T196" s="225" t="str">
        <f t="shared" si="22"/>
        <v/>
      </c>
      <c r="U196" s="225" t="str">
        <f t="shared" si="22"/>
        <v/>
      </c>
      <c r="V196" s="225" t="str">
        <f t="shared" si="22"/>
        <v/>
      </c>
      <c r="W196" s="225" t="str">
        <f t="shared" si="22"/>
        <v/>
      </c>
      <c r="X196" s="225" t="str">
        <f t="shared" si="22"/>
        <v/>
      </c>
      <c r="Y196" s="225" t="str">
        <f t="shared" si="22"/>
        <v/>
      </c>
      <c r="Z196" s="225" t="str">
        <f t="shared" si="22"/>
        <v/>
      </c>
      <c r="AA196" s="225" t="str">
        <f t="shared" si="22"/>
        <v/>
      </c>
      <c r="AB196" s="225" t="str">
        <f t="shared" si="22"/>
        <v/>
      </c>
      <c r="AC196" s="225" t="str">
        <f t="shared" si="22"/>
        <v/>
      </c>
      <c r="AD196" s="225" t="str">
        <f t="shared" si="22"/>
        <v/>
      </c>
      <c r="AE196" s="225" t="str">
        <f t="shared" si="22"/>
        <v/>
      </c>
      <c r="AF196" s="225" t="str">
        <f t="shared" si="22"/>
        <v/>
      </c>
      <c r="AG196" s="225" t="str">
        <f t="shared" si="22"/>
        <v/>
      </c>
      <c r="AH196" s="225" t="str">
        <f t="shared" si="22"/>
        <v/>
      </c>
      <c r="AI196" s="225" t="str">
        <f t="shared" si="22"/>
        <v/>
      </c>
      <c r="AJ196" s="225" t="str">
        <f t="shared" si="22"/>
        <v/>
      </c>
      <c r="AK196" s="225">
        <f t="shared" si="22"/>
        <v>-1.361702128</v>
      </c>
      <c r="AL196" s="225">
        <f t="shared" si="22"/>
        <v>-1.361702128</v>
      </c>
      <c r="AM196" s="225">
        <f t="shared" si="22"/>
        <v>-1.361702128</v>
      </c>
      <c r="AN196" s="225">
        <f t="shared" si="22"/>
        <v>-1.361702128</v>
      </c>
      <c r="AO196" s="225">
        <f t="shared" si="22"/>
        <v>-1.361702128</v>
      </c>
      <c r="AP196" s="225">
        <f t="shared" si="22"/>
        <v>-1.361702128</v>
      </c>
      <c r="AQ196" s="225">
        <f t="shared" si="22"/>
        <v>-1.361702128</v>
      </c>
      <c r="AR196" s="225">
        <f t="shared" si="22"/>
        <v>-1.361702128</v>
      </c>
      <c r="AS196" s="225">
        <f t="shared" si="22"/>
        <v>-1.361702128</v>
      </c>
      <c r="AT196" s="225">
        <f t="shared" si="22"/>
        <v>-1.361702128</v>
      </c>
      <c r="AU196" s="225">
        <f t="shared" si="22"/>
        <v>-1.361702128</v>
      </c>
      <c r="AV196" s="225">
        <f t="shared" si="22"/>
        <v>-1.361702128</v>
      </c>
      <c r="AW196" s="225">
        <f t="shared" si="22"/>
        <v>-1.361702128</v>
      </c>
      <c r="AX196" s="225">
        <f t="shared" si="22"/>
        <v>-1.361702128</v>
      </c>
      <c r="AY196" s="225">
        <f t="shared" si="22"/>
        <v>-1.361702128</v>
      </c>
      <c r="AZ196" s="225">
        <f t="shared" si="22"/>
        <v>-1.361702128</v>
      </c>
      <c r="BA196" s="225">
        <f t="shared" si="22"/>
        <v>-1.361702128</v>
      </c>
      <c r="BB196" s="225">
        <f t="shared" si="22"/>
        <v>-1.361702128</v>
      </c>
      <c r="BC196" s="225">
        <f t="shared" si="22"/>
        <v>-1.361702128</v>
      </c>
      <c r="BD196" s="225">
        <f t="shared" si="22"/>
        <v>-1.361702128</v>
      </c>
      <c r="BE196" s="225">
        <f t="shared" si="22"/>
        <v>-1.361702128</v>
      </c>
      <c r="BF196" s="225">
        <f t="shared" si="22"/>
        <v>-1.361702128</v>
      </c>
      <c r="BG196" s="225">
        <f t="shared" si="23"/>
        <v>-0.04255319149</v>
      </c>
      <c r="BH196" s="225" t="str">
        <f t="shared" ref="BH196:DA196" si="24">if(BH$194&gt;=0,
if($J196&gt;=BH$194*MAX($J$195:$J$206),2/94*MAX($J$195:$J$206),""),
if($J196&lt;=-BH$194*MIN($J$195:$J$206),2/94*MIN($J$195:$J$206),""))</f>
        <v/>
      </c>
      <c r="BI196" s="225" t="str">
        <f t="shared" si="24"/>
        <v/>
      </c>
      <c r="BJ196" s="225" t="str">
        <f t="shared" si="24"/>
        <v/>
      </c>
      <c r="BK196" s="225" t="str">
        <f t="shared" si="24"/>
        <v/>
      </c>
      <c r="BL196" s="225" t="str">
        <f t="shared" si="24"/>
        <v/>
      </c>
      <c r="BM196" s="225" t="str">
        <f t="shared" si="24"/>
        <v/>
      </c>
      <c r="BN196" s="225" t="str">
        <f t="shared" si="24"/>
        <v/>
      </c>
      <c r="BO196" s="225" t="str">
        <f t="shared" si="24"/>
        <v/>
      </c>
      <c r="BP196" s="225" t="str">
        <f t="shared" si="24"/>
        <v/>
      </c>
      <c r="BQ196" s="225" t="str">
        <f t="shared" si="24"/>
        <v/>
      </c>
      <c r="BR196" s="225" t="str">
        <f t="shared" si="24"/>
        <v/>
      </c>
      <c r="BS196" s="225" t="str">
        <f t="shared" si="24"/>
        <v/>
      </c>
      <c r="BT196" s="225" t="str">
        <f t="shared" si="24"/>
        <v/>
      </c>
      <c r="BU196" s="225" t="str">
        <f t="shared" si="24"/>
        <v/>
      </c>
      <c r="BV196" s="225" t="str">
        <f t="shared" si="24"/>
        <v/>
      </c>
      <c r="BW196" s="225" t="str">
        <f t="shared" si="24"/>
        <v/>
      </c>
      <c r="BX196" s="225" t="str">
        <f t="shared" si="24"/>
        <v/>
      </c>
      <c r="BY196" s="225" t="str">
        <f t="shared" si="24"/>
        <v/>
      </c>
      <c r="BZ196" s="225" t="str">
        <f t="shared" si="24"/>
        <v/>
      </c>
      <c r="CA196" s="225" t="str">
        <f t="shared" si="24"/>
        <v/>
      </c>
      <c r="CB196" s="225" t="str">
        <f t="shared" si="24"/>
        <v/>
      </c>
      <c r="CC196" s="225" t="str">
        <f t="shared" si="24"/>
        <v/>
      </c>
      <c r="CD196" s="225" t="str">
        <f t="shared" si="24"/>
        <v/>
      </c>
      <c r="CE196" s="225" t="str">
        <f t="shared" si="24"/>
        <v/>
      </c>
      <c r="CF196" s="225" t="str">
        <f t="shared" si="24"/>
        <v/>
      </c>
      <c r="CG196" s="225" t="str">
        <f t="shared" si="24"/>
        <v/>
      </c>
      <c r="CH196" s="225" t="str">
        <f t="shared" si="24"/>
        <v/>
      </c>
      <c r="CI196" s="225" t="str">
        <f t="shared" si="24"/>
        <v/>
      </c>
      <c r="CJ196" s="225" t="str">
        <f t="shared" si="24"/>
        <v/>
      </c>
      <c r="CK196" s="225" t="str">
        <f t="shared" si="24"/>
        <v/>
      </c>
      <c r="CL196" s="225" t="str">
        <f t="shared" si="24"/>
        <v/>
      </c>
      <c r="CM196" s="225" t="str">
        <f t="shared" si="24"/>
        <v/>
      </c>
      <c r="CN196" s="225" t="str">
        <f t="shared" si="24"/>
        <v/>
      </c>
      <c r="CO196" s="225" t="str">
        <f t="shared" si="24"/>
        <v/>
      </c>
      <c r="CP196" s="225" t="str">
        <f t="shared" si="24"/>
        <v/>
      </c>
      <c r="CQ196" s="225" t="str">
        <f t="shared" si="24"/>
        <v/>
      </c>
      <c r="CR196" s="225" t="str">
        <f t="shared" si="24"/>
        <v/>
      </c>
      <c r="CS196" s="225" t="str">
        <f t="shared" si="24"/>
        <v/>
      </c>
      <c r="CT196" s="225" t="str">
        <f t="shared" si="24"/>
        <v/>
      </c>
      <c r="CU196" s="225" t="str">
        <f t="shared" si="24"/>
        <v/>
      </c>
      <c r="CV196" s="225" t="str">
        <f t="shared" si="24"/>
        <v/>
      </c>
      <c r="CW196" s="225" t="str">
        <f t="shared" si="24"/>
        <v/>
      </c>
      <c r="CX196" s="225" t="str">
        <f t="shared" si="24"/>
        <v/>
      </c>
      <c r="CY196" s="225" t="str">
        <f t="shared" si="24"/>
        <v/>
      </c>
      <c r="CZ196" s="225" t="str">
        <f t="shared" si="24"/>
        <v/>
      </c>
      <c r="DA196" s="225" t="str">
        <f t="shared" si="24"/>
        <v/>
      </c>
      <c r="DB196" s="313"/>
      <c r="DC196" s="225" t="str">
        <f t="shared" si="25"/>
        <v/>
      </c>
      <c r="DD196" s="225" t="str">
        <f t="shared" si="26"/>
        <v/>
      </c>
    </row>
    <row r="197">
      <c r="A197" s="25"/>
      <c r="B197" s="26"/>
      <c r="C197" s="26"/>
      <c r="D197" s="76"/>
      <c r="E197" s="27"/>
      <c r="F197" s="27"/>
      <c r="G197" s="27"/>
      <c r="H197" s="27"/>
      <c r="I197" s="126" t="s">
        <v>195</v>
      </c>
      <c r="J197" s="216">
        <v>-40.0</v>
      </c>
      <c r="K197" s="313"/>
      <c r="L197" s="313">
        <v>0.0</v>
      </c>
      <c r="M197" s="225" t="str">
        <f t="shared" ref="M197:BF197" si="27">if(M$194&gt;=0,
if($J197&gt;=M$194*MAX($J$195:$J$206),2/94*MAX($J$195:$J$206),""),
if($J197&lt;=-M$194*MIN($J$195:$J$206),2/94*MIN($J$195:$J$206),""))</f>
        <v/>
      </c>
      <c r="N197" s="225" t="str">
        <f t="shared" si="27"/>
        <v/>
      </c>
      <c r="O197" s="225" t="str">
        <f t="shared" si="27"/>
        <v/>
      </c>
      <c r="P197" s="225" t="str">
        <f t="shared" si="27"/>
        <v/>
      </c>
      <c r="Q197" s="225" t="str">
        <f t="shared" si="27"/>
        <v/>
      </c>
      <c r="R197" s="225" t="str">
        <f t="shared" si="27"/>
        <v/>
      </c>
      <c r="S197" s="225" t="str">
        <f t="shared" si="27"/>
        <v/>
      </c>
      <c r="T197" s="225" t="str">
        <f t="shared" si="27"/>
        <v/>
      </c>
      <c r="U197" s="225" t="str">
        <f t="shared" si="27"/>
        <v/>
      </c>
      <c r="V197" s="225" t="str">
        <f t="shared" si="27"/>
        <v/>
      </c>
      <c r="W197" s="225" t="str">
        <f t="shared" si="27"/>
        <v/>
      </c>
      <c r="X197" s="225" t="str">
        <f t="shared" si="27"/>
        <v/>
      </c>
      <c r="Y197" s="225" t="str">
        <f t="shared" si="27"/>
        <v/>
      </c>
      <c r="Z197" s="225" t="str">
        <f t="shared" si="27"/>
        <v/>
      </c>
      <c r="AA197" s="225" t="str">
        <f t="shared" si="27"/>
        <v/>
      </c>
      <c r="AB197" s="225" t="str">
        <f t="shared" si="27"/>
        <v/>
      </c>
      <c r="AC197" s="225" t="str">
        <f t="shared" si="27"/>
        <v/>
      </c>
      <c r="AD197" s="225">
        <f t="shared" si="27"/>
        <v>-1.361702128</v>
      </c>
      <c r="AE197" s="225">
        <f t="shared" si="27"/>
        <v>-1.361702128</v>
      </c>
      <c r="AF197" s="225">
        <f t="shared" si="27"/>
        <v>-1.361702128</v>
      </c>
      <c r="AG197" s="225">
        <f t="shared" si="27"/>
        <v>-1.361702128</v>
      </c>
      <c r="AH197" s="225">
        <f t="shared" si="27"/>
        <v>-1.361702128</v>
      </c>
      <c r="AI197" s="225">
        <f t="shared" si="27"/>
        <v>-1.361702128</v>
      </c>
      <c r="AJ197" s="225">
        <f t="shared" si="27"/>
        <v>-1.361702128</v>
      </c>
      <c r="AK197" s="225">
        <f t="shared" si="27"/>
        <v>-1.361702128</v>
      </c>
      <c r="AL197" s="225">
        <f t="shared" si="27"/>
        <v>-1.361702128</v>
      </c>
      <c r="AM197" s="225">
        <f t="shared" si="27"/>
        <v>-1.361702128</v>
      </c>
      <c r="AN197" s="225">
        <f t="shared" si="27"/>
        <v>-1.361702128</v>
      </c>
      <c r="AO197" s="225">
        <f t="shared" si="27"/>
        <v>-1.361702128</v>
      </c>
      <c r="AP197" s="225">
        <f t="shared" si="27"/>
        <v>-1.361702128</v>
      </c>
      <c r="AQ197" s="225">
        <f t="shared" si="27"/>
        <v>-1.361702128</v>
      </c>
      <c r="AR197" s="225">
        <f t="shared" si="27"/>
        <v>-1.361702128</v>
      </c>
      <c r="AS197" s="225">
        <f t="shared" si="27"/>
        <v>-1.361702128</v>
      </c>
      <c r="AT197" s="225">
        <f t="shared" si="27"/>
        <v>-1.361702128</v>
      </c>
      <c r="AU197" s="225">
        <f t="shared" si="27"/>
        <v>-1.361702128</v>
      </c>
      <c r="AV197" s="225">
        <f t="shared" si="27"/>
        <v>-1.361702128</v>
      </c>
      <c r="AW197" s="225">
        <f t="shared" si="27"/>
        <v>-1.361702128</v>
      </c>
      <c r="AX197" s="225">
        <f t="shared" si="27"/>
        <v>-1.361702128</v>
      </c>
      <c r="AY197" s="225">
        <f t="shared" si="27"/>
        <v>-1.361702128</v>
      </c>
      <c r="AZ197" s="225">
        <f t="shared" si="27"/>
        <v>-1.361702128</v>
      </c>
      <c r="BA197" s="225">
        <f t="shared" si="27"/>
        <v>-1.361702128</v>
      </c>
      <c r="BB197" s="225">
        <f t="shared" si="27"/>
        <v>-1.361702128</v>
      </c>
      <c r="BC197" s="225">
        <f t="shared" si="27"/>
        <v>-1.361702128</v>
      </c>
      <c r="BD197" s="225">
        <f t="shared" si="27"/>
        <v>-1.361702128</v>
      </c>
      <c r="BE197" s="225">
        <f t="shared" si="27"/>
        <v>-1.361702128</v>
      </c>
      <c r="BF197" s="225">
        <f t="shared" si="27"/>
        <v>-1.361702128</v>
      </c>
      <c r="BG197" s="225">
        <f t="shared" si="23"/>
        <v>-0.5106382979</v>
      </c>
      <c r="BH197" s="225" t="str">
        <f t="shared" ref="BH197:DA197" si="28">if(BH$194&gt;=0,
if($J197&gt;=BH$194*MAX($J$195:$J$206),2/94*MAX($J$195:$J$206),""),
if($J197&lt;=-BH$194*MIN($J$195:$J$206),2/94*MIN($J$195:$J$206),""))</f>
        <v/>
      </c>
      <c r="BI197" s="225" t="str">
        <f t="shared" si="28"/>
        <v/>
      </c>
      <c r="BJ197" s="225" t="str">
        <f t="shared" si="28"/>
        <v/>
      </c>
      <c r="BK197" s="225" t="str">
        <f t="shared" si="28"/>
        <v/>
      </c>
      <c r="BL197" s="225" t="str">
        <f t="shared" si="28"/>
        <v/>
      </c>
      <c r="BM197" s="225" t="str">
        <f t="shared" si="28"/>
        <v/>
      </c>
      <c r="BN197" s="225" t="str">
        <f t="shared" si="28"/>
        <v/>
      </c>
      <c r="BO197" s="225" t="str">
        <f t="shared" si="28"/>
        <v/>
      </c>
      <c r="BP197" s="225" t="str">
        <f t="shared" si="28"/>
        <v/>
      </c>
      <c r="BQ197" s="225" t="str">
        <f t="shared" si="28"/>
        <v/>
      </c>
      <c r="BR197" s="225" t="str">
        <f t="shared" si="28"/>
        <v/>
      </c>
      <c r="BS197" s="225" t="str">
        <f t="shared" si="28"/>
        <v/>
      </c>
      <c r="BT197" s="225" t="str">
        <f t="shared" si="28"/>
        <v/>
      </c>
      <c r="BU197" s="225" t="str">
        <f t="shared" si="28"/>
        <v/>
      </c>
      <c r="BV197" s="225" t="str">
        <f t="shared" si="28"/>
        <v/>
      </c>
      <c r="BW197" s="225" t="str">
        <f t="shared" si="28"/>
        <v/>
      </c>
      <c r="BX197" s="225" t="str">
        <f t="shared" si="28"/>
        <v/>
      </c>
      <c r="BY197" s="225" t="str">
        <f t="shared" si="28"/>
        <v/>
      </c>
      <c r="BZ197" s="225" t="str">
        <f t="shared" si="28"/>
        <v/>
      </c>
      <c r="CA197" s="225" t="str">
        <f t="shared" si="28"/>
        <v/>
      </c>
      <c r="CB197" s="225" t="str">
        <f t="shared" si="28"/>
        <v/>
      </c>
      <c r="CC197" s="225" t="str">
        <f t="shared" si="28"/>
        <v/>
      </c>
      <c r="CD197" s="225" t="str">
        <f t="shared" si="28"/>
        <v/>
      </c>
      <c r="CE197" s="225" t="str">
        <f t="shared" si="28"/>
        <v/>
      </c>
      <c r="CF197" s="225" t="str">
        <f t="shared" si="28"/>
        <v/>
      </c>
      <c r="CG197" s="225" t="str">
        <f t="shared" si="28"/>
        <v/>
      </c>
      <c r="CH197" s="225" t="str">
        <f t="shared" si="28"/>
        <v/>
      </c>
      <c r="CI197" s="225" t="str">
        <f t="shared" si="28"/>
        <v/>
      </c>
      <c r="CJ197" s="225" t="str">
        <f t="shared" si="28"/>
        <v/>
      </c>
      <c r="CK197" s="225" t="str">
        <f t="shared" si="28"/>
        <v/>
      </c>
      <c r="CL197" s="225" t="str">
        <f t="shared" si="28"/>
        <v/>
      </c>
      <c r="CM197" s="225" t="str">
        <f t="shared" si="28"/>
        <v/>
      </c>
      <c r="CN197" s="225" t="str">
        <f t="shared" si="28"/>
        <v/>
      </c>
      <c r="CO197" s="225" t="str">
        <f t="shared" si="28"/>
        <v/>
      </c>
      <c r="CP197" s="225" t="str">
        <f t="shared" si="28"/>
        <v/>
      </c>
      <c r="CQ197" s="225" t="str">
        <f t="shared" si="28"/>
        <v/>
      </c>
      <c r="CR197" s="225" t="str">
        <f t="shared" si="28"/>
        <v/>
      </c>
      <c r="CS197" s="225" t="str">
        <f t="shared" si="28"/>
        <v/>
      </c>
      <c r="CT197" s="225" t="str">
        <f t="shared" si="28"/>
        <v/>
      </c>
      <c r="CU197" s="225" t="str">
        <f t="shared" si="28"/>
        <v/>
      </c>
      <c r="CV197" s="225" t="str">
        <f t="shared" si="28"/>
        <v/>
      </c>
      <c r="CW197" s="225" t="str">
        <f t="shared" si="28"/>
        <v/>
      </c>
      <c r="CX197" s="225" t="str">
        <f t="shared" si="28"/>
        <v/>
      </c>
      <c r="CY197" s="225" t="str">
        <f t="shared" si="28"/>
        <v/>
      </c>
      <c r="CZ197" s="225" t="str">
        <f t="shared" si="28"/>
        <v/>
      </c>
      <c r="DA197" s="225" t="str">
        <f t="shared" si="28"/>
        <v/>
      </c>
      <c r="DB197" s="313"/>
      <c r="DC197" s="225" t="str">
        <f t="shared" si="25"/>
        <v/>
      </c>
      <c r="DD197" s="225" t="str">
        <f t="shared" si="26"/>
        <v/>
      </c>
    </row>
    <row r="198">
      <c r="A198" s="25"/>
      <c r="B198" s="26"/>
      <c r="C198" s="26"/>
      <c r="D198" s="76"/>
      <c r="E198" s="27"/>
      <c r="F198" s="27"/>
      <c r="G198" s="27"/>
      <c r="H198" s="27"/>
      <c r="I198" s="126" t="s">
        <v>197</v>
      </c>
      <c r="J198" s="216">
        <v>-15.0</v>
      </c>
      <c r="K198" s="313"/>
      <c r="L198" s="313">
        <v>0.0</v>
      </c>
      <c r="M198" s="225" t="str">
        <f t="shared" ref="M198:BF198" si="29">if(M$194&gt;=0,
if($J198&gt;=M$194*MAX($J$195:$J$206),2/94*MAX($J$195:$J$206),""),
if($J198&lt;=-M$194*MIN($J$195:$J$206),2/94*MIN($J$195:$J$206),""))</f>
        <v/>
      </c>
      <c r="N198" s="225" t="str">
        <f t="shared" si="29"/>
        <v/>
      </c>
      <c r="O198" s="225" t="str">
        <f t="shared" si="29"/>
        <v/>
      </c>
      <c r="P198" s="225" t="str">
        <f t="shared" si="29"/>
        <v/>
      </c>
      <c r="Q198" s="225" t="str">
        <f t="shared" si="29"/>
        <v/>
      </c>
      <c r="R198" s="225" t="str">
        <f t="shared" si="29"/>
        <v/>
      </c>
      <c r="S198" s="225" t="str">
        <f t="shared" si="29"/>
        <v/>
      </c>
      <c r="T198" s="225" t="str">
        <f t="shared" si="29"/>
        <v/>
      </c>
      <c r="U198" s="225" t="str">
        <f t="shared" si="29"/>
        <v/>
      </c>
      <c r="V198" s="225" t="str">
        <f t="shared" si="29"/>
        <v/>
      </c>
      <c r="W198" s="225" t="str">
        <f t="shared" si="29"/>
        <v/>
      </c>
      <c r="X198" s="225" t="str">
        <f t="shared" si="29"/>
        <v/>
      </c>
      <c r="Y198" s="225" t="str">
        <f t="shared" si="29"/>
        <v/>
      </c>
      <c r="Z198" s="225" t="str">
        <f t="shared" si="29"/>
        <v/>
      </c>
      <c r="AA198" s="225" t="str">
        <f t="shared" si="29"/>
        <v/>
      </c>
      <c r="AB198" s="225" t="str">
        <f t="shared" si="29"/>
        <v/>
      </c>
      <c r="AC198" s="225" t="str">
        <f t="shared" si="29"/>
        <v/>
      </c>
      <c r="AD198" s="225" t="str">
        <f t="shared" si="29"/>
        <v/>
      </c>
      <c r="AE198" s="225" t="str">
        <f t="shared" si="29"/>
        <v/>
      </c>
      <c r="AF198" s="225" t="str">
        <f t="shared" si="29"/>
        <v/>
      </c>
      <c r="AG198" s="225" t="str">
        <f t="shared" si="29"/>
        <v/>
      </c>
      <c r="AH198" s="225" t="str">
        <f t="shared" si="29"/>
        <v/>
      </c>
      <c r="AI198" s="225" t="str">
        <f t="shared" si="29"/>
        <v/>
      </c>
      <c r="AJ198" s="225" t="str">
        <f t="shared" si="29"/>
        <v/>
      </c>
      <c r="AK198" s="225" t="str">
        <f t="shared" si="29"/>
        <v/>
      </c>
      <c r="AL198" s="225" t="str">
        <f t="shared" si="29"/>
        <v/>
      </c>
      <c r="AM198" s="225" t="str">
        <f t="shared" si="29"/>
        <v/>
      </c>
      <c r="AN198" s="225" t="str">
        <f t="shared" si="29"/>
        <v/>
      </c>
      <c r="AO198" s="225" t="str">
        <f t="shared" si="29"/>
        <v/>
      </c>
      <c r="AP198" s="225" t="str">
        <f t="shared" si="29"/>
        <v/>
      </c>
      <c r="AQ198" s="225" t="str">
        <f t="shared" si="29"/>
        <v/>
      </c>
      <c r="AR198" s="225" t="str">
        <f t="shared" si="29"/>
        <v/>
      </c>
      <c r="AS198" s="225" t="str">
        <f t="shared" si="29"/>
        <v/>
      </c>
      <c r="AT198" s="225" t="str">
        <f t="shared" si="29"/>
        <v/>
      </c>
      <c r="AU198" s="225" t="str">
        <f t="shared" si="29"/>
        <v/>
      </c>
      <c r="AV198" s="225">
        <f t="shared" si="29"/>
        <v>-1.361702128</v>
      </c>
      <c r="AW198" s="225">
        <f t="shared" si="29"/>
        <v>-1.361702128</v>
      </c>
      <c r="AX198" s="225">
        <f t="shared" si="29"/>
        <v>-1.361702128</v>
      </c>
      <c r="AY198" s="225">
        <f t="shared" si="29"/>
        <v>-1.361702128</v>
      </c>
      <c r="AZ198" s="225">
        <f t="shared" si="29"/>
        <v>-1.361702128</v>
      </c>
      <c r="BA198" s="225">
        <f t="shared" si="29"/>
        <v>-1.361702128</v>
      </c>
      <c r="BB198" s="225">
        <f t="shared" si="29"/>
        <v>-1.361702128</v>
      </c>
      <c r="BC198" s="225">
        <f t="shared" si="29"/>
        <v>-1.361702128</v>
      </c>
      <c r="BD198" s="225">
        <f t="shared" si="29"/>
        <v>-1.361702128</v>
      </c>
      <c r="BE198" s="225">
        <f t="shared" si="29"/>
        <v>-1.361702128</v>
      </c>
      <c r="BF198" s="225">
        <f t="shared" si="29"/>
        <v>-1.361702128</v>
      </c>
      <c r="BG198" s="225">
        <f t="shared" si="23"/>
        <v>-0.02127659574</v>
      </c>
      <c r="BH198" s="225" t="str">
        <f t="shared" ref="BH198:DA198" si="30">if(BH$194&gt;=0,
if($J198&gt;=BH$194*MAX($J$195:$J$206),2/94*MAX($J$195:$J$206),""),
if($J198&lt;=-BH$194*MIN($J$195:$J$206),2/94*MIN($J$195:$J$206),""))</f>
        <v/>
      </c>
      <c r="BI198" s="225" t="str">
        <f t="shared" si="30"/>
        <v/>
      </c>
      <c r="BJ198" s="225" t="str">
        <f t="shared" si="30"/>
        <v/>
      </c>
      <c r="BK198" s="225" t="str">
        <f t="shared" si="30"/>
        <v/>
      </c>
      <c r="BL198" s="225" t="str">
        <f t="shared" si="30"/>
        <v/>
      </c>
      <c r="BM198" s="225" t="str">
        <f t="shared" si="30"/>
        <v/>
      </c>
      <c r="BN198" s="225" t="str">
        <f t="shared" si="30"/>
        <v/>
      </c>
      <c r="BO198" s="225" t="str">
        <f t="shared" si="30"/>
        <v/>
      </c>
      <c r="BP198" s="225" t="str">
        <f t="shared" si="30"/>
        <v/>
      </c>
      <c r="BQ198" s="225" t="str">
        <f t="shared" si="30"/>
        <v/>
      </c>
      <c r="BR198" s="225" t="str">
        <f t="shared" si="30"/>
        <v/>
      </c>
      <c r="BS198" s="225" t="str">
        <f t="shared" si="30"/>
        <v/>
      </c>
      <c r="BT198" s="225" t="str">
        <f t="shared" si="30"/>
        <v/>
      </c>
      <c r="BU198" s="225" t="str">
        <f t="shared" si="30"/>
        <v/>
      </c>
      <c r="BV198" s="225" t="str">
        <f t="shared" si="30"/>
        <v/>
      </c>
      <c r="BW198" s="225" t="str">
        <f t="shared" si="30"/>
        <v/>
      </c>
      <c r="BX198" s="225" t="str">
        <f t="shared" si="30"/>
        <v/>
      </c>
      <c r="BY198" s="225" t="str">
        <f t="shared" si="30"/>
        <v/>
      </c>
      <c r="BZ198" s="225" t="str">
        <f t="shared" si="30"/>
        <v/>
      </c>
      <c r="CA198" s="225" t="str">
        <f t="shared" si="30"/>
        <v/>
      </c>
      <c r="CB198" s="225" t="str">
        <f t="shared" si="30"/>
        <v/>
      </c>
      <c r="CC198" s="225" t="str">
        <f t="shared" si="30"/>
        <v/>
      </c>
      <c r="CD198" s="225" t="str">
        <f t="shared" si="30"/>
        <v/>
      </c>
      <c r="CE198" s="225" t="str">
        <f t="shared" si="30"/>
        <v/>
      </c>
      <c r="CF198" s="225" t="str">
        <f t="shared" si="30"/>
        <v/>
      </c>
      <c r="CG198" s="225" t="str">
        <f t="shared" si="30"/>
        <v/>
      </c>
      <c r="CH198" s="225" t="str">
        <f t="shared" si="30"/>
        <v/>
      </c>
      <c r="CI198" s="225" t="str">
        <f t="shared" si="30"/>
        <v/>
      </c>
      <c r="CJ198" s="225" t="str">
        <f t="shared" si="30"/>
        <v/>
      </c>
      <c r="CK198" s="225" t="str">
        <f t="shared" si="30"/>
        <v/>
      </c>
      <c r="CL198" s="225" t="str">
        <f t="shared" si="30"/>
        <v/>
      </c>
      <c r="CM198" s="225" t="str">
        <f t="shared" si="30"/>
        <v/>
      </c>
      <c r="CN198" s="225" t="str">
        <f t="shared" si="30"/>
        <v/>
      </c>
      <c r="CO198" s="225" t="str">
        <f t="shared" si="30"/>
        <v/>
      </c>
      <c r="CP198" s="225" t="str">
        <f t="shared" si="30"/>
        <v/>
      </c>
      <c r="CQ198" s="225" t="str">
        <f t="shared" si="30"/>
        <v/>
      </c>
      <c r="CR198" s="225" t="str">
        <f t="shared" si="30"/>
        <v/>
      </c>
      <c r="CS198" s="225" t="str">
        <f t="shared" si="30"/>
        <v/>
      </c>
      <c r="CT198" s="225" t="str">
        <f t="shared" si="30"/>
        <v/>
      </c>
      <c r="CU198" s="225" t="str">
        <f t="shared" si="30"/>
        <v/>
      </c>
      <c r="CV198" s="225" t="str">
        <f t="shared" si="30"/>
        <v/>
      </c>
      <c r="CW198" s="225" t="str">
        <f t="shared" si="30"/>
        <v/>
      </c>
      <c r="CX198" s="225" t="str">
        <f t="shared" si="30"/>
        <v/>
      </c>
      <c r="CY198" s="225" t="str">
        <f t="shared" si="30"/>
        <v/>
      </c>
      <c r="CZ198" s="225" t="str">
        <f t="shared" si="30"/>
        <v/>
      </c>
      <c r="DA198" s="225" t="str">
        <f t="shared" si="30"/>
        <v/>
      </c>
      <c r="DB198" s="313"/>
      <c r="DC198" s="225" t="str">
        <f t="shared" si="25"/>
        <v/>
      </c>
      <c r="DD198" s="225" t="str">
        <f t="shared" si="26"/>
        <v/>
      </c>
    </row>
    <row r="199">
      <c r="A199" s="25"/>
      <c r="B199" s="26"/>
      <c r="C199" s="26"/>
      <c r="D199" s="76"/>
      <c r="E199" s="27"/>
      <c r="F199" s="27"/>
      <c r="G199" s="27"/>
      <c r="H199" s="27"/>
      <c r="I199" s="126" t="s">
        <v>57</v>
      </c>
      <c r="J199" s="216">
        <v>50.0</v>
      </c>
      <c r="K199" s="313"/>
      <c r="L199" s="313">
        <v>0.0</v>
      </c>
      <c r="M199" s="225" t="str">
        <f t="shared" ref="M199:BF199" si="31">if(M$194&gt;=0,
if($J199&gt;=M$194*MAX($J$195:$J$206),2/94*MAX($J$195:$J$206),""),
if($J199&lt;=-M$194*MIN($J$195:$J$206),2/94*MIN($J$195:$J$206),""))</f>
        <v/>
      </c>
      <c r="N199" s="225" t="str">
        <f t="shared" si="31"/>
        <v/>
      </c>
      <c r="O199" s="225" t="str">
        <f t="shared" si="31"/>
        <v/>
      </c>
      <c r="P199" s="225" t="str">
        <f t="shared" si="31"/>
        <v/>
      </c>
      <c r="Q199" s="225" t="str">
        <f t="shared" si="31"/>
        <v/>
      </c>
      <c r="R199" s="225" t="str">
        <f t="shared" si="31"/>
        <v/>
      </c>
      <c r="S199" s="225" t="str">
        <f t="shared" si="31"/>
        <v/>
      </c>
      <c r="T199" s="225" t="str">
        <f t="shared" si="31"/>
        <v/>
      </c>
      <c r="U199" s="225" t="str">
        <f t="shared" si="31"/>
        <v/>
      </c>
      <c r="V199" s="225" t="str">
        <f t="shared" si="31"/>
        <v/>
      </c>
      <c r="W199" s="225" t="str">
        <f t="shared" si="31"/>
        <v/>
      </c>
      <c r="X199" s="225" t="str">
        <f t="shared" si="31"/>
        <v/>
      </c>
      <c r="Y199" s="225" t="str">
        <f t="shared" si="31"/>
        <v/>
      </c>
      <c r="Z199" s="225" t="str">
        <f t="shared" si="31"/>
        <v/>
      </c>
      <c r="AA199" s="225" t="str">
        <f t="shared" si="31"/>
        <v/>
      </c>
      <c r="AB199" s="225" t="str">
        <f t="shared" si="31"/>
        <v/>
      </c>
      <c r="AC199" s="225" t="str">
        <f t="shared" si="31"/>
        <v/>
      </c>
      <c r="AD199" s="225" t="str">
        <f t="shared" si="31"/>
        <v/>
      </c>
      <c r="AE199" s="225" t="str">
        <f t="shared" si="31"/>
        <v/>
      </c>
      <c r="AF199" s="225" t="str">
        <f t="shared" si="31"/>
        <v/>
      </c>
      <c r="AG199" s="225" t="str">
        <f t="shared" si="31"/>
        <v/>
      </c>
      <c r="AH199" s="225" t="str">
        <f t="shared" si="31"/>
        <v/>
      </c>
      <c r="AI199" s="225" t="str">
        <f t="shared" si="31"/>
        <v/>
      </c>
      <c r="AJ199" s="225" t="str">
        <f t="shared" si="31"/>
        <v/>
      </c>
      <c r="AK199" s="225" t="str">
        <f t="shared" si="31"/>
        <v/>
      </c>
      <c r="AL199" s="225" t="str">
        <f t="shared" si="31"/>
        <v/>
      </c>
      <c r="AM199" s="225" t="str">
        <f t="shared" si="31"/>
        <v/>
      </c>
      <c r="AN199" s="225" t="str">
        <f t="shared" si="31"/>
        <v/>
      </c>
      <c r="AO199" s="225" t="str">
        <f t="shared" si="31"/>
        <v/>
      </c>
      <c r="AP199" s="225" t="str">
        <f t="shared" si="31"/>
        <v/>
      </c>
      <c r="AQ199" s="225" t="str">
        <f t="shared" si="31"/>
        <v/>
      </c>
      <c r="AR199" s="225" t="str">
        <f t="shared" si="31"/>
        <v/>
      </c>
      <c r="AS199" s="225" t="str">
        <f t="shared" si="31"/>
        <v/>
      </c>
      <c r="AT199" s="225" t="str">
        <f t="shared" si="31"/>
        <v/>
      </c>
      <c r="AU199" s="225" t="str">
        <f t="shared" si="31"/>
        <v/>
      </c>
      <c r="AV199" s="225" t="str">
        <f t="shared" si="31"/>
        <v/>
      </c>
      <c r="AW199" s="225" t="str">
        <f t="shared" si="31"/>
        <v/>
      </c>
      <c r="AX199" s="225" t="str">
        <f t="shared" si="31"/>
        <v/>
      </c>
      <c r="AY199" s="225" t="str">
        <f t="shared" si="31"/>
        <v/>
      </c>
      <c r="AZ199" s="225" t="str">
        <f t="shared" si="31"/>
        <v/>
      </c>
      <c r="BA199" s="225" t="str">
        <f t="shared" si="31"/>
        <v/>
      </c>
      <c r="BB199" s="225" t="str">
        <f t="shared" si="31"/>
        <v/>
      </c>
      <c r="BC199" s="225" t="str">
        <f t="shared" si="31"/>
        <v/>
      </c>
      <c r="BD199" s="225" t="str">
        <f t="shared" si="31"/>
        <v/>
      </c>
      <c r="BE199" s="225" t="str">
        <f t="shared" si="31"/>
        <v/>
      </c>
      <c r="BF199" s="225" t="str">
        <f t="shared" si="31"/>
        <v/>
      </c>
      <c r="BG199" s="225">
        <f t="shared" si="23"/>
        <v>0.2127659574</v>
      </c>
      <c r="BH199" s="225">
        <f t="shared" ref="BH199:DA199" si="32">if(BH$194&gt;=0,
if($J199&gt;=BH$194*MAX($J$195:$J$206),2/94*MAX($J$195:$J$206),""),
if($J199&lt;=-BH$194*MIN($J$195:$J$206),2/94*MIN($J$195:$J$206),""))</f>
        <v>1.382978723</v>
      </c>
      <c r="BI199" s="225">
        <f t="shared" si="32"/>
        <v>1.382978723</v>
      </c>
      <c r="BJ199" s="225">
        <f t="shared" si="32"/>
        <v>1.382978723</v>
      </c>
      <c r="BK199" s="225">
        <f t="shared" si="32"/>
        <v>1.382978723</v>
      </c>
      <c r="BL199" s="225">
        <f t="shared" si="32"/>
        <v>1.382978723</v>
      </c>
      <c r="BM199" s="225">
        <f t="shared" si="32"/>
        <v>1.382978723</v>
      </c>
      <c r="BN199" s="225">
        <f t="shared" si="32"/>
        <v>1.382978723</v>
      </c>
      <c r="BO199" s="225">
        <f t="shared" si="32"/>
        <v>1.382978723</v>
      </c>
      <c r="BP199" s="225">
        <f t="shared" si="32"/>
        <v>1.382978723</v>
      </c>
      <c r="BQ199" s="225">
        <f t="shared" si="32"/>
        <v>1.382978723</v>
      </c>
      <c r="BR199" s="225">
        <f t="shared" si="32"/>
        <v>1.382978723</v>
      </c>
      <c r="BS199" s="225">
        <f t="shared" si="32"/>
        <v>1.382978723</v>
      </c>
      <c r="BT199" s="225">
        <f t="shared" si="32"/>
        <v>1.382978723</v>
      </c>
      <c r="BU199" s="225">
        <f t="shared" si="32"/>
        <v>1.382978723</v>
      </c>
      <c r="BV199" s="225">
        <f t="shared" si="32"/>
        <v>1.382978723</v>
      </c>
      <c r="BW199" s="225">
        <f t="shared" si="32"/>
        <v>1.382978723</v>
      </c>
      <c r="BX199" s="225">
        <f t="shared" si="32"/>
        <v>1.382978723</v>
      </c>
      <c r="BY199" s="225">
        <f t="shared" si="32"/>
        <v>1.382978723</v>
      </c>
      <c r="BZ199" s="225">
        <f t="shared" si="32"/>
        <v>1.382978723</v>
      </c>
      <c r="CA199" s="225">
        <f t="shared" si="32"/>
        <v>1.382978723</v>
      </c>
      <c r="CB199" s="225">
        <f t="shared" si="32"/>
        <v>1.382978723</v>
      </c>
      <c r="CC199" s="225">
        <f t="shared" si="32"/>
        <v>1.382978723</v>
      </c>
      <c r="CD199" s="225">
        <f t="shared" si="32"/>
        <v>1.382978723</v>
      </c>
      <c r="CE199" s="225">
        <f t="shared" si="32"/>
        <v>1.382978723</v>
      </c>
      <c r="CF199" s="225">
        <f t="shared" si="32"/>
        <v>1.382978723</v>
      </c>
      <c r="CG199" s="225">
        <f t="shared" si="32"/>
        <v>1.382978723</v>
      </c>
      <c r="CH199" s="225">
        <f t="shared" si="32"/>
        <v>1.382978723</v>
      </c>
      <c r="CI199" s="225">
        <f t="shared" si="32"/>
        <v>1.382978723</v>
      </c>
      <c r="CJ199" s="225">
        <f t="shared" si="32"/>
        <v>1.382978723</v>
      </c>
      <c r="CK199" s="225">
        <f t="shared" si="32"/>
        <v>1.382978723</v>
      </c>
      <c r="CL199" s="225">
        <f t="shared" si="32"/>
        <v>1.382978723</v>
      </c>
      <c r="CM199" s="225">
        <f t="shared" si="32"/>
        <v>1.382978723</v>
      </c>
      <c r="CN199" s="225">
        <f t="shared" si="32"/>
        <v>1.382978723</v>
      </c>
      <c r="CO199" s="225">
        <f t="shared" si="32"/>
        <v>1.382978723</v>
      </c>
      <c r="CP199" s="225">
        <f t="shared" si="32"/>
        <v>1.382978723</v>
      </c>
      <c r="CQ199" s="225">
        <f t="shared" si="32"/>
        <v>1.382978723</v>
      </c>
      <c r="CR199" s="225" t="str">
        <f t="shared" si="32"/>
        <v/>
      </c>
      <c r="CS199" s="225" t="str">
        <f t="shared" si="32"/>
        <v/>
      </c>
      <c r="CT199" s="225" t="str">
        <f t="shared" si="32"/>
        <v/>
      </c>
      <c r="CU199" s="225" t="str">
        <f t="shared" si="32"/>
        <v/>
      </c>
      <c r="CV199" s="225" t="str">
        <f t="shared" si="32"/>
        <v/>
      </c>
      <c r="CW199" s="225" t="str">
        <f t="shared" si="32"/>
        <v/>
      </c>
      <c r="CX199" s="225" t="str">
        <f t="shared" si="32"/>
        <v/>
      </c>
      <c r="CY199" s="225" t="str">
        <f t="shared" si="32"/>
        <v/>
      </c>
      <c r="CZ199" s="225" t="str">
        <f t="shared" si="32"/>
        <v/>
      </c>
      <c r="DA199" s="225" t="str">
        <f t="shared" si="32"/>
        <v/>
      </c>
      <c r="DB199" s="313"/>
      <c r="DC199" s="225" t="str">
        <f t="shared" si="25"/>
        <v/>
      </c>
      <c r="DD199" s="225" t="str">
        <f t="shared" si="26"/>
        <v/>
      </c>
    </row>
    <row r="200">
      <c r="A200" s="25"/>
      <c r="B200" s="26"/>
      <c r="C200" s="26"/>
      <c r="D200" s="76"/>
      <c r="E200" s="27"/>
      <c r="F200" s="27"/>
      <c r="G200" s="27"/>
      <c r="H200" s="27"/>
      <c r="I200" s="126" t="s">
        <v>200</v>
      </c>
      <c r="J200" s="216">
        <v>-15.0</v>
      </c>
      <c r="K200" s="313"/>
      <c r="L200" s="313">
        <v>0.0</v>
      </c>
      <c r="M200" s="225" t="str">
        <f t="shared" ref="M200:BF200" si="33">if(M$194&gt;=0,
if($J200&gt;=M$194*MAX($J$195:$J$206),2/94*MAX($J$195:$J$206),""),
if($J200&lt;=-M$194*MIN($J$195:$J$206),2/94*MIN($J$195:$J$206),""))</f>
        <v/>
      </c>
      <c r="N200" s="225" t="str">
        <f t="shared" si="33"/>
        <v/>
      </c>
      <c r="O200" s="225" t="str">
        <f t="shared" si="33"/>
        <v/>
      </c>
      <c r="P200" s="225" t="str">
        <f t="shared" si="33"/>
        <v/>
      </c>
      <c r="Q200" s="225" t="str">
        <f t="shared" si="33"/>
        <v/>
      </c>
      <c r="R200" s="225" t="str">
        <f t="shared" si="33"/>
        <v/>
      </c>
      <c r="S200" s="225" t="str">
        <f t="shared" si="33"/>
        <v/>
      </c>
      <c r="T200" s="225" t="str">
        <f t="shared" si="33"/>
        <v/>
      </c>
      <c r="U200" s="225" t="str">
        <f t="shared" si="33"/>
        <v/>
      </c>
      <c r="V200" s="225" t="str">
        <f t="shared" si="33"/>
        <v/>
      </c>
      <c r="W200" s="225" t="str">
        <f t="shared" si="33"/>
        <v/>
      </c>
      <c r="X200" s="225" t="str">
        <f t="shared" si="33"/>
        <v/>
      </c>
      <c r="Y200" s="225" t="str">
        <f t="shared" si="33"/>
        <v/>
      </c>
      <c r="Z200" s="225" t="str">
        <f t="shared" si="33"/>
        <v/>
      </c>
      <c r="AA200" s="225" t="str">
        <f t="shared" si="33"/>
        <v/>
      </c>
      <c r="AB200" s="225" t="str">
        <f t="shared" si="33"/>
        <v/>
      </c>
      <c r="AC200" s="225" t="str">
        <f t="shared" si="33"/>
        <v/>
      </c>
      <c r="AD200" s="225" t="str">
        <f t="shared" si="33"/>
        <v/>
      </c>
      <c r="AE200" s="225" t="str">
        <f t="shared" si="33"/>
        <v/>
      </c>
      <c r="AF200" s="225" t="str">
        <f t="shared" si="33"/>
        <v/>
      </c>
      <c r="AG200" s="225" t="str">
        <f t="shared" si="33"/>
        <v/>
      </c>
      <c r="AH200" s="225" t="str">
        <f t="shared" si="33"/>
        <v/>
      </c>
      <c r="AI200" s="225" t="str">
        <f t="shared" si="33"/>
        <v/>
      </c>
      <c r="AJ200" s="225" t="str">
        <f t="shared" si="33"/>
        <v/>
      </c>
      <c r="AK200" s="225" t="str">
        <f t="shared" si="33"/>
        <v/>
      </c>
      <c r="AL200" s="225" t="str">
        <f t="shared" si="33"/>
        <v/>
      </c>
      <c r="AM200" s="225" t="str">
        <f t="shared" si="33"/>
        <v/>
      </c>
      <c r="AN200" s="225" t="str">
        <f t="shared" si="33"/>
        <v/>
      </c>
      <c r="AO200" s="225" t="str">
        <f t="shared" si="33"/>
        <v/>
      </c>
      <c r="AP200" s="225" t="str">
        <f t="shared" si="33"/>
        <v/>
      </c>
      <c r="AQ200" s="225" t="str">
        <f t="shared" si="33"/>
        <v/>
      </c>
      <c r="AR200" s="225" t="str">
        <f t="shared" si="33"/>
        <v/>
      </c>
      <c r="AS200" s="225" t="str">
        <f t="shared" si="33"/>
        <v/>
      </c>
      <c r="AT200" s="225" t="str">
        <f t="shared" si="33"/>
        <v/>
      </c>
      <c r="AU200" s="225" t="str">
        <f t="shared" si="33"/>
        <v/>
      </c>
      <c r="AV200" s="225">
        <f t="shared" si="33"/>
        <v>-1.361702128</v>
      </c>
      <c r="AW200" s="225">
        <f t="shared" si="33"/>
        <v>-1.361702128</v>
      </c>
      <c r="AX200" s="225">
        <f t="shared" si="33"/>
        <v>-1.361702128</v>
      </c>
      <c r="AY200" s="225">
        <f t="shared" si="33"/>
        <v>-1.361702128</v>
      </c>
      <c r="AZ200" s="225">
        <f t="shared" si="33"/>
        <v>-1.361702128</v>
      </c>
      <c r="BA200" s="225">
        <f t="shared" si="33"/>
        <v>-1.361702128</v>
      </c>
      <c r="BB200" s="225">
        <f t="shared" si="33"/>
        <v>-1.361702128</v>
      </c>
      <c r="BC200" s="225">
        <f t="shared" si="33"/>
        <v>-1.361702128</v>
      </c>
      <c r="BD200" s="225">
        <f t="shared" si="33"/>
        <v>-1.361702128</v>
      </c>
      <c r="BE200" s="225">
        <f t="shared" si="33"/>
        <v>-1.361702128</v>
      </c>
      <c r="BF200" s="225">
        <f t="shared" si="33"/>
        <v>-1.361702128</v>
      </c>
      <c r="BG200" s="225">
        <f t="shared" si="23"/>
        <v>-0.02127659574</v>
      </c>
      <c r="BH200" s="225" t="str">
        <f t="shared" ref="BH200:DA200" si="34">if(BH$194&gt;=0,
if($J200&gt;=BH$194*MAX($J$195:$J$206),2/94*MAX($J$195:$J$206),""),
if($J200&lt;=-BH$194*MIN($J$195:$J$206),2/94*MIN($J$195:$J$206),""))</f>
        <v/>
      </c>
      <c r="BI200" s="225" t="str">
        <f t="shared" si="34"/>
        <v/>
      </c>
      <c r="BJ200" s="225" t="str">
        <f t="shared" si="34"/>
        <v/>
      </c>
      <c r="BK200" s="225" t="str">
        <f t="shared" si="34"/>
        <v/>
      </c>
      <c r="BL200" s="225" t="str">
        <f t="shared" si="34"/>
        <v/>
      </c>
      <c r="BM200" s="225" t="str">
        <f t="shared" si="34"/>
        <v/>
      </c>
      <c r="BN200" s="225" t="str">
        <f t="shared" si="34"/>
        <v/>
      </c>
      <c r="BO200" s="225" t="str">
        <f t="shared" si="34"/>
        <v/>
      </c>
      <c r="BP200" s="225" t="str">
        <f t="shared" si="34"/>
        <v/>
      </c>
      <c r="BQ200" s="225" t="str">
        <f t="shared" si="34"/>
        <v/>
      </c>
      <c r="BR200" s="225" t="str">
        <f t="shared" si="34"/>
        <v/>
      </c>
      <c r="BS200" s="225" t="str">
        <f t="shared" si="34"/>
        <v/>
      </c>
      <c r="BT200" s="225" t="str">
        <f t="shared" si="34"/>
        <v/>
      </c>
      <c r="BU200" s="225" t="str">
        <f t="shared" si="34"/>
        <v/>
      </c>
      <c r="BV200" s="225" t="str">
        <f t="shared" si="34"/>
        <v/>
      </c>
      <c r="BW200" s="225" t="str">
        <f t="shared" si="34"/>
        <v/>
      </c>
      <c r="BX200" s="225" t="str">
        <f t="shared" si="34"/>
        <v/>
      </c>
      <c r="BY200" s="225" t="str">
        <f t="shared" si="34"/>
        <v/>
      </c>
      <c r="BZ200" s="225" t="str">
        <f t="shared" si="34"/>
        <v/>
      </c>
      <c r="CA200" s="225" t="str">
        <f t="shared" si="34"/>
        <v/>
      </c>
      <c r="CB200" s="225" t="str">
        <f t="shared" si="34"/>
        <v/>
      </c>
      <c r="CC200" s="225" t="str">
        <f t="shared" si="34"/>
        <v/>
      </c>
      <c r="CD200" s="225" t="str">
        <f t="shared" si="34"/>
        <v/>
      </c>
      <c r="CE200" s="225" t="str">
        <f t="shared" si="34"/>
        <v/>
      </c>
      <c r="CF200" s="225" t="str">
        <f t="shared" si="34"/>
        <v/>
      </c>
      <c r="CG200" s="225" t="str">
        <f t="shared" si="34"/>
        <v/>
      </c>
      <c r="CH200" s="225" t="str">
        <f t="shared" si="34"/>
        <v/>
      </c>
      <c r="CI200" s="225" t="str">
        <f t="shared" si="34"/>
        <v/>
      </c>
      <c r="CJ200" s="225" t="str">
        <f t="shared" si="34"/>
        <v/>
      </c>
      <c r="CK200" s="225" t="str">
        <f t="shared" si="34"/>
        <v/>
      </c>
      <c r="CL200" s="225" t="str">
        <f t="shared" si="34"/>
        <v/>
      </c>
      <c r="CM200" s="225" t="str">
        <f t="shared" si="34"/>
        <v/>
      </c>
      <c r="CN200" s="225" t="str">
        <f t="shared" si="34"/>
        <v/>
      </c>
      <c r="CO200" s="225" t="str">
        <f t="shared" si="34"/>
        <v/>
      </c>
      <c r="CP200" s="225" t="str">
        <f t="shared" si="34"/>
        <v/>
      </c>
      <c r="CQ200" s="225" t="str">
        <f t="shared" si="34"/>
        <v/>
      </c>
      <c r="CR200" s="225" t="str">
        <f t="shared" si="34"/>
        <v/>
      </c>
      <c r="CS200" s="225" t="str">
        <f t="shared" si="34"/>
        <v/>
      </c>
      <c r="CT200" s="225" t="str">
        <f t="shared" si="34"/>
        <v/>
      </c>
      <c r="CU200" s="225" t="str">
        <f t="shared" si="34"/>
        <v/>
      </c>
      <c r="CV200" s="225" t="str">
        <f t="shared" si="34"/>
        <v/>
      </c>
      <c r="CW200" s="225" t="str">
        <f t="shared" si="34"/>
        <v/>
      </c>
      <c r="CX200" s="225" t="str">
        <f t="shared" si="34"/>
        <v/>
      </c>
      <c r="CY200" s="225" t="str">
        <f t="shared" si="34"/>
        <v/>
      </c>
      <c r="CZ200" s="225" t="str">
        <f t="shared" si="34"/>
        <v/>
      </c>
      <c r="DA200" s="225" t="str">
        <f t="shared" si="34"/>
        <v/>
      </c>
      <c r="DB200" s="313"/>
      <c r="DC200" s="225" t="str">
        <f t="shared" si="25"/>
        <v/>
      </c>
      <c r="DD200" s="225" t="str">
        <f t="shared" si="26"/>
        <v/>
      </c>
    </row>
    <row r="201">
      <c r="A201" s="25"/>
      <c r="B201" s="26"/>
      <c r="C201" s="26"/>
      <c r="D201" s="76"/>
      <c r="E201" s="27"/>
      <c r="F201" s="27"/>
      <c r="G201" s="27"/>
      <c r="H201" s="27"/>
      <c r="I201" s="126" t="s">
        <v>202</v>
      </c>
      <c r="J201" s="216">
        <v>19.0</v>
      </c>
      <c r="K201" s="313"/>
      <c r="L201" s="313">
        <v>0.0</v>
      </c>
      <c r="M201" s="225" t="str">
        <f t="shared" ref="M201:BF201" si="35">if(M$194&gt;=0,
if($J201&gt;=M$194*MAX($J$195:$J$206),2/94*MAX($J$195:$J$206),""),
if($J201&lt;=-M$194*MIN($J$195:$J$206),2/94*MIN($J$195:$J$206),""))</f>
        <v/>
      </c>
      <c r="N201" s="225" t="str">
        <f t="shared" si="35"/>
        <v/>
      </c>
      <c r="O201" s="225" t="str">
        <f t="shared" si="35"/>
        <v/>
      </c>
      <c r="P201" s="225" t="str">
        <f t="shared" si="35"/>
        <v/>
      </c>
      <c r="Q201" s="225" t="str">
        <f t="shared" si="35"/>
        <v/>
      </c>
      <c r="R201" s="225" t="str">
        <f t="shared" si="35"/>
        <v/>
      </c>
      <c r="S201" s="225" t="str">
        <f t="shared" si="35"/>
        <v/>
      </c>
      <c r="T201" s="225" t="str">
        <f t="shared" si="35"/>
        <v/>
      </c>
      <c r="U201" s="225" t="str">
        <f t="shared" si="35"/>
        <v/>
      </c>
      <c r="V201" s="225" t="str">
        <f t="shared" si="35"/>
        <v/>
      </c>
      <c r="W201" s="225" t="str">
        <f t="shared" si="35"/>
        <v/>
      </c>
      <c r="X201" s="225" t="str">
        <f t="shared" si="35"/>
        <v/>
      </c>
      <c r="Y201" s="225" t="str">
        <f t="shared" si="35"/>
        <v/>
      </c>
      <c r="Z201" s="225" t="str">
        <f t="shared" si="35"/>
        <v/>
      </c>
      <c r="AA201" s="225" t="str">
        <f t="shared" si="35"/>
        <v/>
      </c>
      <c r="AB201" s="225" t="str">
        <f t="shared" si="35"/>
        <v/>
      </c>
      <c r="AC201" s="225" t="str">
        <f t="shared" si="35"/>
        <v/>
      </c>
      <c r="AD201" s="225" t="str">
        <f t="shared" si="35"/>
        <v/>
      </c>
      <c r="AE201" s="225" t="str">
        <f t="shared" si="35"/>
        <v/>
      </c>
      <c r="AF201" s="225" t="str">
        <f t="shared" si="35"/>
        <v/>
      </c>
      <c r="AG201" s="225" t="str">
        <f t="shared" si="35"/>
        <v/>
      </c>
      <c r="AH201" s="225" t="str">
        <f t="shared" si="35"/>
        <v/>
      </c>
      <c r="AI201" s="225" t="str">
        <f t="shared" si="35"/>
        <v/>
      </c>
      <c r="AJ201" s="225" t="str">
        <f t="shared" si="35"/>
        <v/>
      </c>
      <c r="AK201" s="225" t="str">
        <f t="shared" si="35"/>
        <v/>
      </c>
      <c r="AL201" s="225" t="str">
        <f t="shared" si="35"/>
        <v/>
      </c>
      <c r="AM201" s="225" t="str">
        <f t="shared" si="35"/>
        <v/>
      </c>
      <c r="AN201" s="225" t="str">
        <f t="shared" si="35"/>
        <v/>
      </c>
      <c r="AO201" s="225" t="str">
        <f t="shared" si="35"/>
        <v/>
      </c>
      <c r="AP201" s="225" t="str">
        <f t="shared" si="35"/>
        <v/>
      </c>
      <c r="AQ201" s="225" t="str">
        <f t="shared" si="35"/>
        <v/>
      </c>
      <c r="AR201" s="225" t="str">
        <f t="shared" si="35"/>
        <v/>
      </c>
      <c r="AS201" s="225" t="str">
        <f t="shared" si="35"/>
        <v/>
      </c>
      <c r="AT201" s="225" t="str">
        <f t="shared" si="35"/>
        <v/>
      </c>
      <c r="AU201" s="225" t="str">
        <f t="shared" si="35"/>
        <v/>
      </c>
      <c r="AV201" s="225" t="str">
        <f t="shared" si="35"/>
        <v/>
      </c>
      <c r="AW201" s="225" t="str">
        <f t="shared" si="35"/>
        <v/>
      </c>
      <c r="AX201" s="225" t="str">
        <f t="shared" si="35"/>
        <v/>
      </c>
      <c r="AY201" s="225" t="str">
        <f t="shared" si="35"/>
        <v/>
      </c>
      <c r="AZ201" s="225" t="str">
        <f t="shared" si="35"/>
        <v/>
      </c>
      <c r="BA201" s="225" t="str">
        <f t="shared" si="35"/>
        <v/>
      </c>
      <c r="BB201" s="225" t="str">
        <f t="shared" si="35"/>
        <v/>
      </c>
      <c r="BC201" s="225" t="str">
        <f t="shared" si="35"/>
        <v/>
      </c>
      <c r="BD201" s="225" t="str">
        <f t="shared" si="35"/>
        <v/>
      </c>
      <c r="BE201" s="225" t="str">
        <f t="shared" si="35"/>
        <v/>
      </c>
      <c r="BF201" s="225" t="str">
        <f t="shared" si="35"/>
        <v/>
      </c>
      <c r="BG201" s="225">
        <f t="shared" si="23"/>
        <v>1.021276596</v>
      </c>
      <c r="BH201" s="225">
        <f t="shared" ref="BH201:DA201" si="36">if(BH$194&gt;=0,
if($J201&gt;=BH$194*MAX($J$195:$J$206),2/94*MAX($J$195:$J$206),""),
if($J201&lt;=-BH$194*MIN($J$195:$J$206),2/94*MIN($J$195:$J$206),""))</f>
        <v>1.382978723</v>
      </c>
      <c r="BI201" s="225">
        <f t="shared" si="36"/>
        <v>1.382978723</v>
      </c>
      <c r="BJ201" s="225">
        <f t="shared" si="36"/>
        <v>1.382978723</v>
      </c>
      <c r="BK201" s="225">
        <f t="shared" si="36"/>
        <v>1.382978723</v>
      </c>
      <c r="BL201" s="225">
        <f t="shared" si="36"/>
        <v>1.382978723</v>
      </c>
      <c r="BM201" s="225">
        <f t="shared" si="36"/>
        <v>1.382978723</v>
      </c>
      <c r="BN201" s="225">
        <f t="shared" si="36"/>
        <v>1.382978723</v>
      </c>
      <c r="BO201" s="225">
        <f t="shared" si="36"/>
        <v>1.382978723</v>
      </c>
      <c r="BP201" s="225">
        <f t="shared" si="36"/>
        <v>1.382978723</v>
      </c>
      <c r="BQ201" s="225">
        <f t="shared" si="36"/>
        <v>1.382978723</v>
      </c>
      <c r="BR201" s="225">
        <f t="shared" si="36"/>
        <v>1.382978723</v>
      </c>
      <c r="BS201" s="225">
        <f t="shared" si="36"/>
        <v>1.382978723</v>
      </c>
      <c r="BT201" s="225">
        <f t="shared" si="36"/>
        <v>1.382978723</v>
      </c>
      <c r="BU201" s="225" t="str">
        <f t="shared" si="36"/>
        <v/>
      </c>
      <c r="BV201" s="225" t="str">
        <f t="shared" si="36"/>
        <v/>
      </c>
      <c r="BW201" s="225" t="str">
        <f t="shared" si="36"/>
        <v/>
      </c>
      <c r="BX201" s="225" t="str">
        <f t="shared" si="36"/>
        <v/>
      </c>
      <c r="BY201" s="225" t="str">
        <f t="shared" si="36"/>
        <v/>
      </c>
      <c r="BZ201" s="225" t="str">
        <f t="shared" si="36"/>
        <v/>
      </c>
      <c r="CA201" s="225" t="str">
        <f t="shared" si="36"/>
        <v/>
      </c>
      <c r="CB201" s="225" t="str">
        <f t="shared" si="36"/>
        <v/>
      </c>
      <c r="CC201" s="225" t="str">
        <f t="shared" si="36"/>
        <v/>
      </c>
      <c r="CD201" s="225" t="str">
        <f t="shared" si="36"/>
        <v/>
      </c>
      <c r="CE201" s="225" t="str">
        <f t="shared" si="36"/>
        <v/>
      </c>
      <c r="CF201" s="225" t="str">
        <f t="shared" si="36"/>
        <v/>
      </c>
      <c r="CG201" s="225" t="str">
        <f t="shared" si="36"/>
        <v/>
      </c>
      <c r="CH201" s="225" t="str">
        <f t="shared" si="36"/>
        <v/>
      </c>
      <c r="CI201" s="225" t="str">
        <f t="shared" si="36"/>
        <v/>
      </c>
      <c r="CJ201" s="225" t="str">
        <f t="shared" si="36"/>
        <v/>
      </c>
      <c r="CK201" s="225" t="str">
        <f t="shared" si="36"/>
        <v/>
      </c>
      <c r="CL201" s="225" t="str">
        <f t="shared" si="36"/>
        <v/>
      </c>
      <c r="CM201" s="225" t="str">
        <f t="shared" si="36"/>
        <v/>
      </c>
      <c r="CN201" s="225" t="str">
        <f t="shared" si="36"/>
        <v/>
      </c>
      <c r="CO201" s="225" t="str">
        <f t="shared" si="36"/>
        <v/>
      </c>
      <c r="CP201" s="225" t="str">
        <f t="shared" si="36"/>
        <v/>
      </c>
      <c r="CQ201" s="225" t="str">
        <f t="shared" si="36"/>
        <v/>
      </c>
      <c r="CR201" s="225" t="str">
        <f t="shared" si="36"/>
        <v/>
      </c>
      <c r="CS201" s="225" t="str">
        <f t="shared" si="36"/>
        <v/>
      </c>
      <c r="CT201" s="225" t="str">
        <f t="shared" si="36"/>
        <v/>
      </c>
      <c r="CU201" s="225" t="str">
        <f t="shared" si="36"/>
        <v/>
      </c>
      <c r="CV201" s="225" t="str">
        <f t="shared" si="36"/>
        <v/>
      </c>
      <c r="CW201" s="225" t="str">
        <f t="shared" si="36"/>
        <v/>
      </c>
      <c r="CX201" s="225" t="str">
        <f t="shared" si="36"/>
        <v/>
      </c>
      <c r="CY201" s="225" t="str">
        <f t="shared" si="36"/>
        <v/>
      </c>
      <c r="CZ201" s="225" t="str">
        <f t="shared" si="36"/>
        <v/>
      </c>
      <c r="DA201" s="225" t="str">
        <f t="shared" si="36"/>
        <v/>
      </c>
      <c r="DB201" s="313"/>
      <c r="DC201" s="225" t="str">
        <f t="shared" si="25"/>
        <v/>
      </c>
      <c r="DD201" s="225" t="str">
        <f t="shared" si="26"/>
        <v/>
      </c>
    </row>
    <row r="202">
      <c r="A202" s="25"/>
      <c r="B202" s="26"/>
      <c r="C202" s="26"/>
      <c r="D202" s="76"/>
      <c r="E202" s="27"/>
      <c r="F202" s="27"/>
      <c r="G202" s="27"/>
      <c r="H202" s="27"/>
      <c r="I202" s="126" t="s">
        <v>204</v>
      </c>
      <c r="J202" s="216">
        <v>33.0</v>
      </c>
      <c r="K202" s="313"/>
      <c r="L202" s="313">
        <v>0.0</v>
      </c>
      <c r="M202" s="225" t="str">
        <f t="shared" ref="M202:BF202" si="37">if(M$194&gt;=0,
if($J202&gt;=M$194*MAX($J$195:$J$206),2/94*MAX($J$195:$J$206),""),
if($J202&lt;=-M$194*MIN($J$195:$J$206),2/94*MIN($J$195:$J$206),""))</f>
        <v/>
      </c>
      <c r="N202" s="225" t="str">
        <f t="shared" si="37"/>
        <v/>
      </c>
      <c r="O202" s="225" t="str">
        <f t="shared" si="37"/>
        <v/>
      </c>
      <c r="P202" s="225" t="str">
        <f t="shared" si="37"/>
        <v/>
      </c>
      <c r="Q202" s="225" t="str">
        <f t="shared" si="37"/>
        <v/>
      </c>
      <c r="R202" s="225" t="str">
        <f t="shared" si="37"/>
        <v/>
      </c>
      <c r="S202" s="225" t="str">
        <f t="shared" si="37"/>
        <v/>
      </c>
      <c r="T202" s="225" t="str">
        <f t="shared" si="37"/>
        <v/>
      </c>
      <c r="U202" s="225" t="str">
        <f t="shared" si="37"/>
        <v/>
      </c>
      <c r="V202" s="225" t="str">
        <f t="shared" si="37"/>
        <v/>
      </c>
      <c r="W202" s="225" t="str">
        <f t="shared" si="37"/>
        <v/>
      </c>
      <c r="X202" s="225" t="str">
        <f t="shared" si="37"/>
        <v/>
      </c>
      <c r="Y202" s="225" t="str">
        <f t="shared" si="37"/>
        <v/>
      </c>
      <c r="Z202" s="225" t="str">
        <f t="shared" si="37"/>
        <v/>
      </c>
      <c r="AA202" s="225" t="str">
        <f t="shared" si="37"/>
        <v/>
      </c>
      <c r="AB202" s="225" t="str">
        <f t="shared" si="37"/>
        <v/>
      </c>
      <c r="AC202" s="225" t="str">
        <f t="shared" si="37"/>
        <v/>
      </c>
      <c r="AD202" s="225" t="str">
        <f t="shared" si="37"/>
        <v/>
      </c>
      <c r="AE202" s="225" t="str">
        <f t="shared" si="37"/>
        <v/>
      </c>
      <c r="AF202" s="225" t="str">
        <f t="shared" si="37"/>
        <v/>
      </c>
      <c r="AG202" s="225" t="str">
        <f t="shared" si="37"/>
        <v/>
      </c>
      <c r="AH202" s="225" t="str">
        <f t="shared" si="37"/>
        <v/>
      </c>
      <c r="AI202" s="225" t="str">
        <f t="shared" si="37"/>
        <v/>
      </c>
      <c r="AJ202" s="225" t="str">
        <f t="shared" si="37"/>
        <v/>
      </c>
      <c r="AK202" s="225" t="str">
        <f t="shared" si="37"/>
        <v/>
      </c>
      <c r="AL202" s="225" t="str">
        <f t="shared" si="37"/>
        <v/>
      </c>
      <c r="AM202" s="225" t="str">
        <f t="shared" si="37"/>
        <v/>
      </c>
      <c r="AN202" s="225" t="str">
        <f t="shared" si="37"/>
        <v/>
      </c>
      <c r="AO202" s="225" t="str">
        <f t="shared" si="37"/>
        <v/>
      </c>
      <c r="AP202" s="225" t="str">
        <f t="shared" si="37"/>
        <v/>
      </c>
      <c r="AQ202" s="225" t="str">
        <f t="shared" si="37"/>
        <v/>
      </c>
      <c r="AR202" s="225" t="str">
        <f t="shared" si="37"/>
        <v/>
      </c>
      <c r="AS202" s="225" t="str">
        <f t="shared" si="37"/>
        <v/>
      </c>
      <c r="AT202" s="225" t="str">
        <f t="shared" si="37"/>
        <v/>
      </c>
      <c r="AU202" s="225" t="str">
        <f t="shared" si="37"/>
        <v/>
      </c>
      <c r="AV202" s="225" t="str">
        <f t="shared" si="37"/>
        <v/>
      </c>
      <c r="AW202" s="225" t="str">
        <f t="shared" si="37"/>
        <v/>
      </c>
      <c r="AX202" s="225" t="str">
        <f t="shared" si="37"/>
        <v/>
      </c>
      <c r="AY202" s="225" t="str">
        <f t="shared" si="37"/>
        <v/>
      </c>
      <c r="AZ202" s="225" t="str">
        <f t="shared" si="37"/>
        <v/>
      </c>
      <c r="BA202" s="225" t="str">
        <f t="shared" si="37"/>
        <v/>
      </c>
      <c r="BB202" s="225" t="str">
        <f t="shared" si="37"/>
        <v/>
      </c>
      <c r="BC202" s="225" t="str">
        <f t="shared" si="37"/>
        <v/>
      </c>
      <c r="BD202" s="225" t="str">
        <f t="shared" si="37"/>
        <v/>
      </c>
      <c r="BE202" s="225" t="str">
        <f t="shared" si="37"/>
        <v/>
      </c>
      <c r="BF202" s="225" t="str">
        <f t="shared" si="37"/>
        <v/>
      </c>
      <c r="BG202" s="225">
        <f t="shared" si="23"/>
        <v>1.191489362</v>
      </c>
      <c r="BH202" s="225">
        <f t="shared" ref="BH202:DA202" si="38">if(BH$194&gt;=0,
if($J202&gt;=BH$194*MAX($J$195:$J$206),2/94*MAX($J$195:$J$206),""),
if($J202&lt;=-BH$194*MIN($J$195:$J$206),2/94*MIN($J$195:$J$206),""))</f>
        <v>1.382978723</v>
      </c>
      <c r="BI202" s="225">
        <f t="shared" si="38"/>
        <v>1.382978723</v>
      </c>
      <c r="BJ202" s="225">
        <f t="shared" si="38"/>
        <v>1.382978723</v>
      </c>
      <c r="BK202" s="225">
        <f t="shared" si="38"/>
        <v>1.382978723</v>
      </c>
      <c r="BL202" s="225">
        <f t="shared" si="38"/>
        <v>1.382978723</v>
      </c>
      <c r="BM202" s="225">
        <f t="shared" si="38"/>
        <v>1.382978723</v>
      </c>
      <c r="BN202" s="225">
        <f t="shared" si="38"/>
        <v>1.382978723</v>
      </c>
      <c r="BO202" s="225">
        <f t="shared" si="38"/>
        <v>1.382978723</v>
      </c>
      <c r="BP202" s="225">
        <f t="shared" si="38"/>
        <v>1.382978723</v>
      </c>
      <c r="BQ202" s="225">
        <f t="shared" si="38"/>
        <v>1.382978723</v>
      </c>
      <c r="BR202" s="225">
        <f t="shared" si="38"/>
        <v>1.382978723</v>
      </c>
      <c r="BS202" s="225">
        <f t="shared" si="38"/>
        <v>1.382978723</v>
      </c>
      <c r="BT202" s="225">
        <f t="shared" si="38"/>
        <v>1.382978723</v>
      </c>
      <c r="BU202" s="225">
        <f t="shared" si="38"/>
        <v>1.382978723</v>
      </c>
      <c r="BV202" s="225">
        <f t="shared" si="38"/>
        <v>1.382978723</v>
      </c>
      <c r="BW202" s="225">
        <f t="shared" si="38"/>
        <v>1.382978723</v>
      </c>
      <c r="BX202" s="225">
        <f t="shared" si="38"/>
        <v>1.382978723</v>
      </c>
      <c r="BY202" s="225">
        <f t="shared" si="38"/>
        <v>1.382978723</v>
      </c>
      <c r="BZ202" s="225">
        <f t="shared" si="38"/>
        <v>1.382978723</v>
      </c>
      <c r="CA202" s="225">
        <f t="shared" si="38"/>
        <v>1.382978723</v>
      </c>
      <c r="CB202" s="225">
        <f t="shared" si="38"/>
        <v>1.382978723</v>
      </c>
      <c r="CC202" s="225">
        <f t="shared" si="38"/>
        <v>1.382978723</v>
      </c>
      <c r="CD202" s="225">
        <f t="shared" si="38"/>
        <v>1.382978723</v>
      </c>
      <c r="CE202" s="225" t="str">
        <f t="shared" si="38"/>
        <v/>
      </c>
      <c r="CF202" s="225" t="str">
        <f t="shared" si="38"/>
        <v/>
      </c>
      <c r="CG202" s="225" t="str">
        <f t="shared" si="38"/>
        <v/>
      </c>
      <c r="CH202" s="225" t="str">
        <f t="shared" si="38"/>
        <v/>
      </c>
      <c r="CI202" s="225" t="str">
        <f t="shared" si="38"/>
        <v/>
      </c>
      <c r="CJ202" s="225" t="str">
        <f t="shared" si="38"/>
        <v/>
      </c>
      <c r="CK202" s="225" t="str">
        <f t="shared" si="38"/>
        <v/>
      </c>
      <c r="CL202" s="225" t="str">
        <f t="shared" si="38"/>
        <v/>
      </c>
      <c r="CM202" s="225" t="str">
        <f t="shared" si="38"/>
        <v/>
      </c>
      <c r="CN202" s="225" t="str">
        <f t="shared" si="38"/>
        <v/>
      </c>
      <c r="CO202" s="225" t="str">
        <f t="shared" si="38"/>
        <v/>
      </c>
      <c r="CP202" s="225" t="str">
        <f t="shared" si="38"/>
        <v/>
      </c>
      <c r="CQ202" s="225" t="str">
        <f t="shared" si="38"/>
        <v/>
      </c>
      <c r="CR202" s="225" t="str">
        <f t="shared" si="38"/>
        <v/>
      </c>
      <c r="CS202" s="225" t="str">
        <f t="shared" si="38"/>
        <v/>
      </c>
      <c r="CT202" s="225" t="str">
        <f t="shared" si="38"/>
        <v/>
      </c>
      <c r="CU202" s="225" t="str">
        <f t="shared" si="38"/>
        <v/>
      </c>
      <c r="CV202" s="225" t="str">
        <f t="shared" si="38"/>
        <v/>
      </c>
      <c r="CW202" s="225" t="str">
        <f t="shared" si="38"/>
        <v/>
      </c>
      <c r="CX202" s="225" t="str">
        <f t="shared" si="38"/>
        <v/>
      </c>
      <c r="CY202" s="225" t="str">
        <f t="shared" si="38"/>
        <v/>
      </c>
      <c r="CZ202" s="225" t="str">
        <f t="shared" si="38"/>
        <v/>
      </c>
      <c r="DA202" s="225" t="str">
        <f t="shared" si="38"/>
        <v/>
      </c>
      <c r="DB202" s="313"/>
      <c r="DC202" s="225" t="str">
        <f t="shared" si="25"/>
        <v/>
      </c>
      <c r="DD202" s="225" t="str">
        <f t="shared" si="26"/>
        <v/>
      </c>
    </row>
    <row r="203">
      <c r="A203" s="25"/>
      <c r="B203" s="26"/>
      <c r="C203" s="26"/>
      <c r="D203" s="76"/>
      <c r="E203" s="27"/>
      <c r="F203" s="27"/>
      <c r="G203" s="27"/>
      <c r="H203" s="27"/>
      <c r="I203" s="126" t="s">
        <v>205</v>
      </c>
      <c r="J203" s="216">
        <v>15.0</v>
      </c>
      <c r="K203" s="313"/>
      <c r="L203" s="313">
        <v>0.0</v>
      </c>
      <c r="M203" s="225" t="str">
        <f t="shared" ref="M203:BF203" si="39">if(M$194&gt;=0,
if($J203&gt;=M$194*MAX($J$195:$J$206),2/94*MAX($J$195:$J$206),""),
if($J203&lt;=-M$194*MIN($J$195:$J$206),2/94*MIN($J$195:$J$206),""))</f>
        <v/>
      </c>
      <c r="N203" s="225" t="str">
        <f t="shared" si="39"/>
        <v/>
      </c>
      <c r="O203" s="225" t="str">
        <f t="shared" si="39"/>
        <v/>
      </c>
      <c r="P203" s="225" t="str">
        <f t="shared" si="39"/>
        <v/>
      </c>
      <c r="Q203" s="225" t="str">
        <f t="shared" si="39"/>
        <v/>
      </c>
      <c r="R203" s="225" t="str">
        <f t="shared" si="39"/>
        <v/>
      </c>
      <c r="S203" s="225" t="str">
        <f t="shared" si="39"/>
        <v/>
      </c>
      <c r="T203" s="225" t="str">
        <f t="shared" si="39"/>
        <v/>
      </c>
      <c r="U203" s="225" t="str">
        <f t="shared" si="39"/>
        <v/>
      </c>
      <c r="V203" s="225" t="str">
        <f t="shared" si="39"/>
        <v/>
      </c>
      <c r="W203" s="225" t="str">
        <f t="shared" si="39"/>
        <v/>
      </c>
      <c r="X203" s="225" t="str">
        <f t="shared" si="39"/>
        <v/>
      </c>
      <c r="Y203" s="225" t="str">
        <f t="shared" si="39"/>
        <v/>
      </c>
      <c r="Z203" s="225" t="str">
        <f t="shared" si="39"/>
        <v/>
      </c>
      <c r="AA203" s="225" t="str">
        <f t="shared" si="39"/>
        <v/>
      </c>
      <c r="AB203" s="225" t="str">
        <f t="shared" si="39"/>
        <v/>
      </c>
      <c r="AC203" s="225" t="str">
        <f t="shared" si="39"/>
        <v/>
      </c>
      <c r="AD203" s="225" t="str">
        <f t="shared" si="39"/>
        <v/>
      </c>
      <c r="AE203" s="225" t="str">
        <f t="shared" si="39"/>
        <v/>
      </c>
      <c r="AF203" s="225" t="str">
        <f t="shared" si="39"/>
        <v/>
      </c>
      <c r="AG203" s="225" t="str">
        <f t="shared" si="39"/>
        <v/>
      </c>
      <c r="AH203" s="225" t="str">
        <f t="shared" si="39"/>
        <v/>
      </c>
      <c r="AI203" s="225" t="str">
        <f t="shared" si="39"/>
        <v/>
      </c>
      <c r="AJ203" s="225" t="str">
        <f t="shared" si="39"/>
        <v/>
      </c>
      <c r="AK203" s="225" t="str">
        <f t="shared" si="39"/>
        <v/>
      </c>
      <c r="AL203" s="225" t="str">
        <f t="shared" si="39"/>
        <v/>
      </c>
      <c r="AM203" s="225" t="str">
        <f t="shared" si="39"/>
        <v/>
      </c>
      <c r="AN203" s="225" t="str">
        <f t="shared" si="39"/>
        <v/>
      </c>
      <c r="AO203" s="225" t="str">
        <f t="shared" si="39"/>
        <v/>
      </c>
      <c r="AP203" s="225" t="str">
        <f t="shared" si="39"/>
        <v/>
      </c>
      <c r="AQ203" s="225" t="str">
        <f t="shared" si="39"/>
        <v/>
      </c>
      <c r="AR203" s="225" t="str">
        <f t="shared" si="39"/>
        <v/>
      </c>
      <c r="AS203" s="225" t="str">
        <f t="shared" si="39"/>
        <v/>
      </c>
      <c r="AT203" s="225" t="str">
        <f t="shared" si="39"/>
        <v/>
      </c>
      <c r="AU203" s="225" t="str">
        <f t="shared" si="39"/>
        <v/>
      </c>
      <c r="AV203" s="225" t="str">
        <f t="shared" si="39"/>
        <v/>
      </c>
      <c r="AW203" s="225" t="str">
        <f t="shared" si="39"/>
        <v/>
      </c>
      <c r="AX203" s="225" t="str">
        <f t="shared" si="39"/>
        <v/>
      </c>
      <c r="AY203" s="225" t="str">
        <f t="shared" si="39"/>
        <v/>
      </c>
      <c r="AZ203" s="225" t="str">
        <f t="shared" si="39"/>
        <v/>
      </c>
      <c r="BA203" s="225" t="str">
        <f t="shared" si="39"/>
        <v/>
      </c>
      <c r="BB203" s="225" t="str">
        <f t="shared" si="39"/>
        <v/>
      </c>
      <c r="BC203" s="225" t="str">
        <f t="shared" si="39"/>
        <v/>
      </c>
      <c r="BD203" s="225" t="str">
        <f t="shared" si="39"/>
        <v/>
      </c>
      <c r="BE203" s="225" t="str">
        <f t="shared" si="39"/>
        <v/>
      </c>
      <c r="BF203" s="225" t="str">
        <f t="shared" si="39"/>
        <v/>
      </c>
      <c r="BG203" s="225">
        <f t="shared" si="23"/>
        <v>1.170212766</v>
      </c>
      <c r="BH203" s="225">
        <f t="shared" ref="BH203:DA203" si="40">if(BH$194&gt;=0,
if($J203&gt;=BH$194*MAX($J$195:$J$206),2/94*MAX($J$195:$J$206),""),
if($J203&lt;=-BH$194*MIN($J$195:$J$206),2/94*MIN($J$195:$J$206),""))</f>
        <v>1.382978723</v>
      </c>
      <c r="BI203" s="225">
        <f t="shared" si="40"/>
        <v>1.382978723</v>
      </c>
      <c r="BJ203" s="225">
        <f t="shared" si="40"/>
        <v>1.382978723</v>
      </c>
      <c r="BK203" s="225">
        <f t="shared" si="40"/>
        <v>1.382978723</v>
      </c>
      <c r="BL203" s="225">
        <f t="shared" si="40"/>
        <v>1.382978723</v>
      </c>
      <c r="BM203" s="225">
        <f t="shared" si="40"/>
        <v>1.382978723</v>
      </c>
      <c r="BN203" s="225">
        <f t="shared" si="40"/>
        <v>1.382978723</v>
      </c>
      <c r="BO203" s="225">
        <f t="shared" si="40"/>
        <v>1.382978723</v>
      </c>
      <c r="BP203" s="225">
        <f t="shared" si="40"/>
        <v>1.382978723</v>
      </c>
      <c r="BQ203" s="225">
        <f t="shared" si="40"/>
        <v>1.382978723</v>
      </c>
      <c r="BR203" s="225" t="str">
        <f t="shared" si="40"/>
        <v/>
      </c>
      <c r="BS203" s="225" t="str">
        <f t="shared" si="40"/>
        <v/>
      </c>
      <c r="BT203" s="225" t="str">
        <f t="shared" si="40"/>
        <v/>
      </c>
      <c r="BU203" s="225" t="str">
        <f t="shared" si="40"/>
        <v/>
      </c>
      <c r="BV203" s="225" t="str">
        <f t="shared" si="40"/>
        <v/>
      </c>
      <c r="BW203" s="225" t="str">
        <f t="shared" si="40"/>
        <v/>
      </c>
      <c r="BX203" s="225" t="str">
        <f t="shared" si="40"/>
        <v/>
      </c>
      <c r="BY203" s="225" t="str">
        <f t="shared" si="40"/>
        <v/>
      </c>
      <c r="BZ203" s="225" t="str">
        <f t="shared" si="40"/>
        <v/>
      </c>
      <c r="CA203" s="225" t="str">
        <f t="shared" si="40"/>
        <v/>
      </c>
      <c r="CB203" s="225" t="str">
        <f t="shared" si="40"/>
        <v/>
      </c>
      <c r="CC203" s="225" t="str">
        <f t="shared" si="40"/>
        <v/>
      </c>
      <c r="CD203" s="225" t="str">
        <f t="shared" si="40"/>
        <v/>
      </c>
      <c r="CE203" s="225" t="str">
        <f t="shared" si="40"/>
        <v/>
      </c>
      <c r="CF203" s="225" t="str">
        <f t="shared" si="40"/>
        <v/>
      </c>
      <c r="CG203" s="225" t="str">
        <f t="shared" si="40"/>
        <v/>
      </c>
      <c r="CH203" s="225" t="str">
        <f t="shared" si="40"/>
        <v/>
      </c>
      <c r="CI203" s="225" t="str">
        <f t="shared" si="40"/>
        <v/>
      </c>
      <c r="CJ203" s="225" t="str">
        <f t="shared" si="40"/>
        <v/>
      </c>
      <c r="CK203" s="225" t="str">
        <f t="shared" si="40"/>
        <v/>
      </c>
      <c r="CL203" s="225" t="str">
        <f t="shared" si="40"/>
        <v/>
      </c>
      <c r="CM203" s="225" t="str">
        <f t="shared" si="40"/>
        <v/>
      </c>
      <c r="CN203" s="225" t="str">
        <f t="shared" si="40"/>
        <v/>
      </c>
      <c r="CO203" s="225" t="str">
        <f t="shared" si="40"/>
        <v/>
      </c>
      <c r="CP203" s="225" t="str">
        <f t="shared" si="40"/>
        <v/>
      </c>
      <c r="CQ203" s="225" t="str">
        <f t="shared" si="40"/>
        <v/>
      </c>
      <c r="CR203" s="225" t="str">
        <f t="shared" si="40"/>
        <v/>
      </c>
      <c r="CS203" s="225" t="str">
        <f t="shared" si="40"/>
        <v/>
      </c>
      <c r="CT203" s="225" t="str">
        <f t="shared" si="40"/>
        <v/>
      </c>
      <c r="CU203" s="225" t="str">
        <f t="shared" si="40"/>
        <v/>
      </c>
      <c r="CV203" s="225" t="str">
        <f t="shared" si="40"/>
        <v/>
      </c>
      <c r="CW203" s="225" t="str">
        <f t="shared" si="40"/>
        <v/>
      </c>
      <c r="CX203" s="225" t="str">
        <f t="shared" si="40"/>
        <v/>
      </c>
      <c r="CY203" s="225" t="str">
        <f t="shared" si="40"/>
        <v/>
      </c>
      <c r="CZ203" s="225" t="str">
        <f t="shared" si="40"/>
        <v/>
      </c>
      <c r="DA203" s="225" t="str">
        <f t="shared" si="40"/>
        <v/>
      </c>
      <c r="DB203" s="313"/>
      <c r="DC203" s="225" t="str">
        <f t="shared" si="25"/>
        <v/>
      </c>
      <c r="DD203" s="225" t="str">
        <f t="shared" si="26"/>
        <v/>
      </c>
    </row>
    <row r="204">
      <c r="A204" s="25"/>
      <c r="B204" s="26"/>
      <c r="C204" s="26"/>
      <c r="D204" s="76"/>
      <c r="E204" s="27"/>
      <c r="F204" s="27"/>
      <c r="G204" s="27"/>
      <c r="H204" s="27"/>
      <c r="I204" s="126" t="s">
        <v>207</v>
      </c>
      <c r="J204" s="216">
        <v>-20.0</v>
      </c>
      <c r="K204" s="313"/>
      <c r="L204" s="313">
        <v>0.0</v>
      </c>
      <c r="M204" s="225" t="str">
        <f t="shared" ref="M204:BF204" si="41">if(M$194&gt;=0,
if($J204&gt;=M$194*MAX($J$195:$J$206),2/94*MAX($J$195:$J$206),""),
if($J204&lt;=-M$194*MIN($J$195:$J$206),2/94*MIN($J$195:$J$206),""))</f>
        <v/>
      </c>
      <c r="N204" s="225" t="str">
        <f t="shared" si="41"/>
        <v/>
      </c>
      <c r="O204" s="225" t="str">
        <f t="shared" si="41"/>
        <v/>
      </c>
      <c r="P204" s="225" t="str">
        <f t="shared" si="41"/>
        <v/>
      </c>
      <c r="Q204" s="225" t="str">
        <f t="shared" si="41"/>
        <v/>
      </c>
      <c r="R204" s="225" t="str">
        <f t="shared" si="41"/>
        <v/>
      </c>
      <c r="S204" s="225" t="str">
        <f t="shared" si="41"/>
        <v/>
      </c>
      <c r="T204" s="225" t="str">
        <f t="shared" si="41"/>
        <v/>
      </c>
      <c r="U204" s="225" t="str">
        <f t="shared" si="41"/>
        <v/>
      </c>
      <c r="V204" s="225" t="str">
        <f t="shared" si="41"/>
        <v/>
      </c>
      <c r="W204" s="225" t="str">
        <f t="shared" si="41"/>
        <v/>
      </c>
      <c r="X204" s="225" t="str">
        <f t="shared" si="41"/>
        <v/>
      </c>
      <c r="Y204" s="225" t="str">
        <f t="shared" si="41"/>
        <v/>
      </c>
      <c r="Z204" s="225" t="str">
        <f t="shared" si="41"/>
        <v/>
      </c>
      <c r="AA204" s="225" t="str">
        <f t="shared" si="41"/>
        <v/>
      </c>
      <c r="AB204" s="225" t="str">
        <f t="shared" si="41"/>
        <v/>
      </c>
      <c r="AC204" s="225" t="str">
        <f t="shared" si="41"/>
        <v/>
      </c>
      <c r="AD204" s="225" t="str">
        <f t="shared" si="41"/>
        <v/>
      </c>
      <c r="AE204" s="225" t="str">
        <f t="shared" si="41"/>
        <v/>
      </c>
      <c r="AF204" s="225" t="str">
        <f t="shared" si="41"/>
        <v/>
      </c>
      <c r="AG204" s="225" t="str">
        <f t="shared" si="41"/>
        <v/>
      </c>
      <c r="AH204" s="225" t="str">
        <f t="shared" si="41"/>
        <v/>
      </c>
      <c r="AI204" s="225" t="str">
        <f t="shared" si="41"/>
        <v/>
      </c>
      <c r="AJ204" s="225" t="str">
        <f t="shared" si="41"/>
        <v/>
      </c>
      <c r="AK204" s="225" t="str">
        <f t="shared" si="41"/>
        <v/>
      </c>
      <c r="AL204" s="225" t="str">
        <f t="shared" si="41"/>
        <v/>
      </c>
      <c r="AM204" s="225" t="str">
        <f t="shared" si="41"/>
        <v/>
      </c>
      <c r="AN204" s="225" t="str">
        <f t="shared" si="41"/>
        <v/>
      </c>
      <c r="AO204" s="225" t="str">
        <f t="shared" si="41"/>
        <v/>
      </c>
      <c r="AP204" s="225" t="str">
        <f t="shared" si="41"/>
        <v/>
      </c>
      <c r="AQ204" s="225" t="str">
        <f t="shared" si="41"/>
        <v/>
      </c>
      <c r="AR204" s="225" t="str">
        <f t="shared" si="41"/>
        <v/>
      </c>
      <c r="AS204" s="225">
        <f t="shared" si="41"/>
        <v>-1.361702128</v>
      </c>
      <c r="AT204" s="225">
        <f t="shared" si="41"/>
        <v>-1.361702128</v>
      </c>
      <c r="AU204" s="225">
        <f t="shared" si="41"/>
        <v>-1.361702128</v>
      </c>
      <c r="AV204" s="225">
        <f t="shared" si="41"/>
        <v>-1.361702128</v>
      </c>
      <c r="AW204" s="225">
        <f t="shared" si="41"/>
        <v>-1.361702128</v>
      </c>
      <c r="AX204" s="225">
        <f t="shared" si="41"/>
        <v>-1.361702128</v>
      </c>
      <c r="AY204" s="225">
        <f t="shared" si="41"/>
        <v>-1.361702128</v>
      </c>
      <c r="AZ204" s="225">
        <f t="shared" si="41"/>
        <v>-1.361702128</v>
      </c>
      <c r="BA204" s="225">
        <f t="shared" si="41"/>
        <v>-1.361702128</v>
      </c>
      <c r="BB204" s="225">
        <f t="shared" si="41"/>
        <v>-1.361702128</v>
      </c>
      <c r="BC204" s="225">
        <f t="shared" si="41"/>
        <v>-1.361702128</v>
      </c>
      <c r="BD204" s="225">
        <f t="shared" si="41"/>
        <v>-1.361702128</v>
      </c>
      <c r="BE204" s="225">
        <f t="shared" si="41"/>
        <v>-1.361702128</v>
      </c>
      <c r="BF204" s="225">
        <f t="shared" si="41"/>
        <v>-1.361702128</v>
      </c>
      <c r="BG204" s="225">
        <f t="shared" si="23"/>
        <v>-0.9361702128</v>
      </c>
      <c r="BH204" s="225" t="str">
        <f t="shared" ref="BH204:DA204" si="42">if(BH$194&gt;=0,
if($J204&gt;=BH$194*MAX($J$195:$J$206),2/94*MAX($J$195:$J$206),""),
if($J204&lt;=-BH$194*MIN($J$195:$J$206),2/94*MIN($J$195:$J$206),""))</f>
        <v/>
      </c>
      <c r="BI204" s="225" t="str">
        <f t="shared" si="42"/>
        <v/>
      </c>
      <c r="BJ204" s="225" t="str">
        <f t="shared" si="42"/>
        <v/>
      </c>
      <c r="BK204" s="225" t="str">
        <f t="shared" si="42"/>
        <v/>
      </c>
      <c r="BL204" s="225" t="str">
        <f t="shared" si="42"/>
        <v/>
      </c>
      <c r="BM204" s="225" t="str">
        <f t="shared" si="42"/>
        <v/>
      </c>
      <c r="BN204" s="225" t="str">
        <f t="shared" si="42"/>
        <v/>
      </c>
      <c r="BO204" s="225" t="str">
        <f t="shared" si="42"/>
        <v/>
      </c>
      <c r="BP204" s="225" t="str">
        <f t="shared" si="42"/>
        <v/>
      </c>
      <c r="BQ204" s="225" t="str">
        <f t="shared" si="42"/>
        <v/>
      </c>
      <c r="BR204" s="225" t="str">
        <f t="shared" si="42"/>
        <v/>
      </c>
      <c r="BS204" s="225" t="str">
        <f t="shared" si="42"/>
        <v/>
      </c>
      <c r="BT204" s="225" t="str">
        <f t="shared" si="42"/>
        <v/>
      </c>
      <c r="BU204" s="225" t="str">
        <f t="shared" si="42"/>
        <v/>
      </c>
      <c r="BV204" s="225" t="str">
        <f t="shared" si="42"/>
        <v/>
      </c>
      <c r="BW204" s="225" t="str">
        <f t="shared" si="42"/>
        <v/>
      </c>
      <c r="BX204" s="225" t="str">
        <f t="shared" si="42"/>
        <v/>
      </c>
      <c r="BY204" s="225" t="str">
        <f t="shared" si="42"/>
        <v/>
      </c>
      <c r="BZ204" s="225" t="str">
        <f t="shared" si="42"/>
        <v/>
      </c>
      <c r="CA204" s="225" t="str">
        <f t="shared" si="42"/>
        <v/>
      </c>
      <c r="CB204" s="225" t="str">
        <f t="shared" si="42"/>
        <v/>
      </c>
      <c r="CC204" s="225" t="str">
        <f t="shared" si="42"/>
        <v/>
      </c>
      <c r="CD204" s="225" t="str">
        <f t="shared" si="42"/>
        <v/>
      </c>
      <c r="CE204" s="225" t="str">
        <f t="shared" si="42"/>
        <v/>
      </c>
      <c r="CF204" s="225" t="str">
        <f t="shared" si="42"/>
        <v/>
      </c>
      <c r="CG204" s="225" t="str">
        <f t="shared" si="42"/>
        <v/>
      </c>
      <c r="CH204" s="225" t="str">
        <f t="shared" si="42"/>
        <v/>
      </c>
      <c r="CI204" s="225" t="str">
        <f t="shared" si="42"/>
        <v/>
      </c>
      <c r="CJ204" s="225" t="str">
        <f t="shared" si="42"/>
        <v/>
      </c>
      <c r="CK204" s="225" t="str">
        <f t="shared" si="42"/>
        <v/>
      </c>
      <c r="CL204" s="225" t="str">
        <f t="shared" si="42"/>
        <v/>
      </c>
      <c r="CM204" s="225" t="str">
        <f t="shared" si="42"/>
        <v/>
      </c>
      <c r="CN204" s="225" t="str">
        <f t="shared" si="42"/>
        <v/>
      </c>
      <c r="CO204" s="225" t="str">
        <f t="shared" si="42"/>
        <v/>
      </c>
      <c r="CP204" s="225" t="str">
        <f t="shared" si="42"/>
        <v/>
      </c>
      <c r="CQ204" s="225" t="str">
        <f t="shared" si="42"/>
        <v/>
      </c>
      <c r="CR204" s="225" t="str">
        <f t="shared" si="42"/>
        <v/>
      </c>
      <c r="CS204" s="225" t="str">
        <f t="shared" si="42"/>
        <v/>
      </c>
      <c r="CT204" s="225" t="str">
        <f t="shared" si="42"/>
        <v/>
      </c>
      <c r="CU204" s="225" t="str">
        <f t="shared" si="42"/>
        <v/>
      </c>
      <c r="CV204" s="225" t="str">
        <f t="shared" si="42"/>
        <v/>
      </c>
      <c r="CW204" s="225" t="str">
        <f t="shared" si="42"/>
        <v/>
      </c>
      <c r="CX204" s="225" t="str">
        <f t="shared" si="42"/>
        <v/>
      </c>
      <c r="CY204" s="225" t="str">
        <f t="shared" si="42"/>
        <v/>
      </c>
      <c r="CZ204" s="225" t="str">
        <f t="shared" si="42"/>
        <v/>
      </c>
      <c r="DA204" s="225" t="str">
        <f t="shared" si="42"/>
        <v/>
      </c>
      <c r="DB204" s="313"/>
      <c r="DC204" s="225" t="str">
        <f t="shared" si="25"/>
        <v/>
      </c>
      <c r="DD204" s="225" t="str">
        <f t="shared" si="26"/>
        <v/>
      </c>
    </row>
    <row r="205">
      <c r="A205" s="25"/>
      <c r="B205" s="26"/>
      <c r="C205" s="26"/>
      <c r="D205" s="76"/>
      <c r="E205" s="27"/>
      <c r="F205" s="27"/>
      <c r="G205" s="27"/>
      <c r="H205" s="27"/>
      <c r="I205" s="126" t="s">
        <v>209</v>
      </c>
      <c r="J205" s="216">
        <v>65.0</v>
      </c>
      <c r="K205" s="313"/>
      <c r="L205" s="313">
        <v>0.0</v>
      </c>
      <c r="M205" s="225" t="str">
        <f t="shared" ref="M205:BF205" si="43">if(M$194&gt;=0,
if($J205&gt;=M$194*MAX($J$195:$J$206),2/94*MAX($J$195:$J$206),""),
if($J205&lt;=-M$194*MIN($J$195:$J$206),2/94*MIN($J$195:$J$206),""))</f>
        <v/>
      </c>
      <c r="N205" s="225" t="str">
        <f t="shared" si="43"/>
        <v/>
      </c>
      <c r="O205" s="225" t="str">
        <f t="shared" si="43"/>
        <v/>
      </c>
      <c r="P205" s="225" t="str">
        <f t="shared" si="43"/>
        <v/>
      </c>
      <c r="Q205" s="225" t="str">
        <f t="shared" si="43"/>
        <v/>
      </c>
      <c r="R205" s="225" t="str">
        <f t="shared" si="43"/>
        <v/>
      </c>
      <c r="S205" s="225" t="str">
        <f t="shared" si="43"/>
        <v/>
      </c>
      <c r="T205" s="225" t="str">
        <f t="shared" si="43"/>
        <v/>
      </c>
      <c r="U205" s="225" t="str">
        <f t="shared" si="43"/>
        <v/>
      </c>
      <c r="V205" s="225" t="str">
        <f t="shared" si="43"/>
        <v/>
      </c>
      <c r="W205" s="225" t="str">
        <f t="shared" si="43"/>
        <v/>
      </c>
      <c r="X205" s="225" t="str">
        <f t="shared" si="43"/>
        <v/>
      </c>
      <c r="Y205" s="225" t="str">
        <f t="shared" si="43"/>
        <v/>
      </c>
      <c r="Z205" s="225" t="str">
        <f t="shared" si="43"/>
        <v/>
      </c>
      <c r="AA205" s="225" t="str">
        <f t="shared" si="43"/>
        <v/>
      </c>
      <c r="AB205" s="225" t="str">
        <f t="shared" si="43"/>
        <v/>
      </c>
      <c r="AC205" s="225" t="str">
        <f t="shared" si="43"/>
        <v/>
      </c>
      <c r="AD205" s="225" t="str">
        <f t="shared" si="43"/>
        <v/>
      </c>
      <c r="AE205" s="225" t="str">
        <f t="shared" si="43"/>
        <v/>
      </c>
      <c r="AF205" s="225" t="str">
        <f t="shared" si="43"/>
        <v/>
      </c>
      <c r="AG205" s="225" t="str">
        <f t="shared" si="43"/>
        <v/>
      </c>
      <c r="AH205" s="225" t="str">
        <f t="shared" si="43"/>
        <v/>
      </c>
      <c r="AI205" s="225" t="str">
        <f t="shared" si="43"/>
        <v/>
      </c>
      <c r="AJ205" s="225" t="str">
        <f t="shared" si="43"/>
        <v/>
      </c>
      <c r="AK205" s="225" t="str">
        <f t="shared" si="43"/>
        <v/>
      </c>
      <c r="AL205" s="225" t="str">
        <f t="shared" si="43"/>
        <v/>
      </c>
      <c r="AM205" s="225" t="str">
        <f t="shared" si="43"/>
        <v/>
      </c>
      <c r="AN205" s="225" t="str">
        <f t="shared" si="43"/>
        <v/>
      </c>
      <c r="AO205" s="225" t="str">
        <f t="shared" si="43"/>
        <v/>
      </c>
      <c r="AP205" s="225" t="str">
        <f t="shared" si="43"/>
        <v/>
      </c>
      <c r="AQ205" s="225" t="str">
        <f t="shared" si="43"/>
        <v/>
      </c>
      <c r="AR205" s="225" t="str">
        <f t="shared" si="43"/>
        <v/>
      </c>
      <c r="AS205" s="225" t="str">
        <f t="shared" si="43"/>
        <v/>
      </c>
      <c r="AT205" s="225" t="str">
        <f t="shared" si="43"/>
        <v/>
      </c>
      <c r="AU205" s="225" t="str">
        <f t="shared" si="43"/>
        <v/>
      </c>
      <c r="AV205" s="225" t="str">
        <f t="shared" si="43"/>
        <v/>
      </c>
      <c r="AW205" s="225" t="str">
        <f t="shared" si="43"/>
        <v/>
      </c>
      <c r="AX205" s="225" t="str">
        <f t="shared" si="43"/>
        <v/>
      </c>
      <c r="AY205" s="225" t="str">
        <f t="shared" si="43"/>
        <v/>
      </c>
      <c r="AZ205" s="225" t="str">
        <f t="shared" si="43"/>
        <v/>
      </c>
      <c r="BA205" s="225" t="str">
        <f t="shared" si="43"/>
        <v/>
      </c>
      <c r="BB205" s="225" t="str">
        <f t="shared" si="43"/>
        <v/>
      </c>
      <c r="BC205" s="225" t="str">
        <f t="shared" si="43"/>
        <v/>
      </c>
      <c r="BD205" s="225" t="str">
        <f t="shared" si="43"/>
        <v/>
      </c>
      <c r="BE205" s="225" t="str">
        <f t="shared" si="43"/>
        <v/>
      </c>
      <c r="BF205" s="225" t="str">
        <f t="shared" si="43"/>
        <v/>
      </c>
      <c r="BG205" s="225">
        <f t="shared" si="23"/>
        <v>1.382978723</v>
      </c>
      <c r="BH205" s="225">
        <f t="shared" ref="BH205:DA205" si="44">if(BH$194&gt;=0,
if($J205&gt;=BH$194*MAX($J$195:$J$206),2/94*MAX($J$195:$J$206),""),
if($J205&lt;=-BH$194*MIN($J$195:$J$206),2/94*MIN($J$195:$J$206),""))</f>
        <v>1.382978723</v>
      </c>
      <c r="BI205" s="225">
        <f t="shared" si="44"/>
        <v>1.382978723</v>
      </c>
      <c r="BJ205" s="225">
        <f t="shared" si="44"/>
        <v>1.382978723</v>
      </c>
      <c r="BK205" s="225">
        <f t="shared" si="44"/>
        <v>1.382978723</v>
      </c>
      <c r="BL205" s="225">
        <f t="shared" si="44"/>
        <v>1.382978723</v>
      </c>
      <c r="BM205" s="225">
        <f t="shared" si="44"/>
        <v>1.382978723</v>
      </c>
      <c r="BN205" s="225">
        <f t="shared" si="44"/>
        <v>1.382978723</v>
      </c>
      <c r="BO205" s="225">
        <f t="shared" si="44"/>
        <v>1.382978723</v>
      </c>
      <c r="BP205" s="225">
        <f t="shared" si="44"/>
        <v>1.382978723</v>
      </c>
      <c r="BQ205" s="225">
        <f t="shared" si="44"/>
        <v>1.382978723</v>
      </c>
      <c r="BR205" s="225">
        <f t="shared" si="44"/>
        <v>1.382978723</v>
      </c>
      <c r="BS205" s="225">
        <f t="shared" si="44"/>
        <v>1.382978723</v>
      </c>
      <c r="BT205" s="225">
        <f t="shared" si="44"/>
        <v>1.382978723</v>
      </c>
      <c r="BU205" s="225">
        <f t="shared" si="44"/>
        <v>1.382978723</v>
      </c>
      <c r="BV205" s="225">
        <f t="shared" si="44"/>
        <v>1.382978723</v>
      </c>
      <c r="BW205" s="225">
        <f t="shared" si="44"/>
        <v>1.382978723</v>
      </c>
      <c r="BX205" s="225">
        <f t="shared" si="44"/>
        <v>1.382978723</v>
      </c>
      <c r="BY205" s="225">
        <f t="shared" si="44"/>
        <v>1.382978723</v>
      </c>
      <c r="BZ205" s="225">
        <f t="shared" si="44"/>
        <v>1.382978723</v>
      </c>
      <c r="CA205" s="225">
        <f t="shared" si="44"/>
        <v>1.382978723</v>
      </c>
      <c r="CB205" s="225">
        <f t="shared" si="44"/>
        <v>1.382978723</v>
      </c>
      <c r="CC205" s="225">
        <f t="shared" si="44"/>
        <v>1.382978723</v>
      </c>
      <c r="CD205" s="225">
        <f t="shared" si="44"/>
        <v>1.382978723</v>
      </c>
      <c r="CE205" s="225">
        <f t="shared" si="44"/>
        <v>1.382978723</v>
      </c>
      <c r="CF205" s="225">
        <f t="shared" si="44"/>
        <v>1.382978723</v>
      </c>
      <c r="CG205" s="225">
        <f t="shared" si="44"/>
        <v>1.382978723</v>
      </c>
      <c r="CH205" s="225">
        <f t="shared" si="44"/>
        <v>1.382978723</v>
      </c>
      <c r="CI205" s="225">
        <f t="shared" si="44"/>
        <v>1.382978723</v>
      </c>
      <c r="CJ205" s="225">
        <f t="shared" si="44"/>
        <v>1.382978723</v>
      </c>
      <c r="CK205" s="225">
        <f t="shared" si="44"/>
        <v>1.382978723</v>
      </c>
      <c r="CL205" s="225">
        <f t="shared" si="44"/>
        <v>1.382978723</v>
      </c>
      <c r="CM205" s="225">
        <f t="shared" si="44"/>
        <v>1.382978723</v>
      </c>
      <c r="CN205" s="225">
        <f t="shared" si="44"/>
        <v>1.382978723</v>
      </c>
      <c r="CO205" s="225">
        <f t="shared" si="44"/>
        <v>1.382978723</v>
      </c>
      <c r="CP205" s="225">
        <f t="shared" si="44"/>
        <v>1.382978723</v>
      </c>
      <c r="CQ205" s="225">
        <f t="shared" si="44"/>
        <v>1.382978723</v>
      </c>
      <c r="CR205" s="225">
        <f t="shared" si="44"/>
        <v>1.382978723</v>
      </c>
      <c r="CS205" s="225">
        <f t="shared" si="44"/>
        <v>1.382978723</v>
      </c>
      <c r="CT205" s="225">
        <f t="shared" si="44"/>
        <v>1.382978723</v>
      </c>
      <c r="CU205" s="225">
        <f t="shared" si="44"/>
        <v>1.382978723</v>
      </c>
      <c r="CV205" s="225">
        <f t="shared" si="44"/>
        <v>1.382978723</v>
      </c>
      <c r="CW205" s="225">
        <f t="shared" si="44"/>
        <v>1.382978723</v>
      </c>
      <c r="CX205" s="225">
        <f t="shared" si="44"/>
        <v>1.382978723</v>
      </c>
      <c r="CY205" s="225">
        <f t="shared" si="44"/>
        <v>1.382978723</v>
      </c>
      <c r="CZ205" s="225">
        <f t="shared" si="44"/>
        <v>1.382978723</v>
      </c>
      <c r="DA205" s="225">
        <f t="shared" si="44"/>
        <v>1.382978723</v>
      </c>
      <c r="DB205" s="313"/>
      <c r="DC205" s="225" t="str">
        <f t="shared" si="25"/>
        <v/>
      </c>
      <c r="DD205" s="225">
        <f t="shared" si="26"/>
        <v>65</v>
      </c>
    </row>
    <row r="206">
      <c r="A206" s="25"/>
      <c r="B206" s="26"/>
      <c r="C206" s="26"/>
      <c r="D206" s="76"/>
      <c r="E206" s="27"/>
      <c r="F206" s="27"/>
      <c r="G206" s="27"/>
      <c r="H206" s="27"/>
      <c r="I206" s="126" t="s">
        <v>210</v>
      </c>
      <c r="J206" s="216">
        <v>55.0</v>
      </c>
      <c r="K206" s="313"/>
      <c r="L206" s="313">
        <v>0.0</v>
      </c>
      <c r="M206" s="225" t="str">
        <f t="shared" ref="M206:BF206" si="45">if(M$194&gt;=0,
if($J206&gt;=M$194*MAX($J$195:$J$206),2/94*MAX($J$195:$J$206),""),
if($J206&lt;=-M$194*MIN($J$195:$J$206),2/94*MIN($J$195:$J$206),""))</f>
        <v/>
      </c>
      <c r="N206" s="225" t="str">
        <f t="shared" si="45"/>
        <v/>
      </c>
      <c r="O206" s="225" t="str">
        <f t="shared" si="45"/>
        <v/>
      </c>
      <c r="P206" s="225" t="str">
        <f t="shared" si="45"/>
        <v/>
      </c>
      <c r="Q206" s="225" t="str">
        <f t="shared" si="45"/>
        <v/>
      </c>
      <c r="R206" s="225" t="str">
        <f t="shared" si="45"/>
        <v/>
      </c>
      <c r="S206" s="225" t="str">
        <f t="shared" si="45"/>
        <v/>
      </c>
      <c r="T206" s="225" t="str">
        <f t="shared" si="45"/>
        <v/>
      </c>
      <c r="U206" s="225" t="str">
        <f t="shared" si="45"/>
        <v/>
      </c>
      <c r="V206" s="225" t="str">
        <f t="shared" si="45"/>
        <v/>
      </c>
      <c r="W206" s="225" t="str">
        <f t="shared" si="45"/>
        <v/>
      </c>
      <c r="X206" s="225" t="str">
        <f t="shared" si="45"/>
        <v/>
      </c>
      <c r="Y206" s="225" t="str">
        <f t="shared" si="45"/>
        <v/>
      </c>
      <c r="Z206" s="225" t="str">
        <f t="shared" si="45"/>
        <v/>
      </c>
      <c r="AA206" s="225" t="str">
        <f t="shared" si="45"/>
        <v/>
      </c>
      <c r="AB206" s="225" t="str">
        <f t="shared" si="45"/>
        <v/>
      </c>
      <c r="AC206" s="225" t="str">
        <f t="shared" si="45"/>
        <v/>
      </c>
      <c r="AD206" s="225" t="str">
        <f t="shared" si="45"/>
        <v/>
      </c>
      <c r="AE206" s="225" t="str">
        <f t="shared" si="45"/>
        <v/>
      </c>
      <c r="AF206" s="225" t="str">
        <f t="shared" si="45"/>
        <v/>
      </c>
      <c r="AG206" s="225" t="str">
        <f t="shared" si="45"/>
        <v/>
      </c>
      <c r="AH206" s="225" t="str">
        <f t="shared" si="45"/>
        <v/>
      </c>
      <c r="AI206" s="225" t="str">
        <f t="shared" si="45"/>
        <v/>
      </c>
      <c r="AJ206" s="225" t="str">
        <f t="shared" si="45"/>
        <v/>
      </c>
      <c r="AK206" s="225" t="str">
        <f t="shared" si="45"/>
        <v/>
      </c>
      <c r="AL206" s="225" t="str">
        <f t="shared" si="45"/>
        <v/>
      </c>
      <c r="AM206" s="225" t="str">
        <f t="shared" si="45"/>
        <v/>
      </c>
      <c r="AN206" s="225" t="str">
        <f t="shared" si="45"/>
        <v/>
      </c>
      <c r="AO206" s="225" t="str">
        <f t="shared" si="45"/>
        <v/>
      </c>
      <c r="AP206" s="225" t="str">
        <f t="shared" si="45"/>
        <v/>
      </c>
      <c r="AQ206" s="225" t="str">
        <f t="shared" si="45"/>
        <v/>
      </c>
      <c r="AR206" s="225" t="str">
        <f t="shared" si="45"/>
        <v/>
      </c>
      <c r="AS206" s="225" t="str">
        <f t="shared" si="45"/>
        <v/>
      </c>
      <c r="AT206" s="225" t="str">
        <f t="shared" si="45"/>
        <v/>
      </c>
      <c r="AU206" s="225" t="str">
        <f t="shared" si="45"/>
        <v/>
      </c>
      <c r="AV206" s="225" t="str">
        <f t="shared" si="45"/>
        <v/>
      </c>
      <c r="AW206" s="225" t="str">
        <f t="shared" si="45"/>
        <v/>
      </c>
      <c r="AX206" s="225" t="str">
        <f t="shared" si="45"/>
        <v/>
      </c>
      <c r="AY206" s="225" t="str">
        <f t="shared" si="45"/>
        <v/>
      </c>
      <c r="AZ206" s="225" t="str">
        <f t="shared" si="45"/>
        <v/>
      </c>
      <c r="BA206" s="225" t="str">
        <f t="shared" si="45"/>
        <v/>
      </c>
      <c r="BB206" s="225" t="str">
        <f t="shared" si="45"/>
        <v/>
      </c>
      <c r="BC206" s="225" t="str">
        <f t="shared" si="45"/>
        <v/>
      </c>
      <c r="BD206" s="225" t="str">
        <f t="shared" si="45"/>
        <v/>
      </c>
      <c r="BE206" s="225" t="str">
        <f t="shared" si="45"/>
        <v/>
      </c>
      <c r="BF206" s="225" t="str">
        <f t="shared" si="45"/>
        <v/>
      </c>
      <c r="BG206" s="225">
        <f t="shared" si="23"/>
        <v>1.063829787</v>
      </c>
      <c r="BH206" s="225">
        <f t="shared" ref="BH206:DA206" si="46">if(BH$194&gt;=0,
if($J206&gt;=BH$194*MAX($J$195:$J$206),2/94*MAX($J$195:$J$206),""),
if($J206&lt;=-BH$194*MIN($J$195:$J$206),2/94*MIN($J$195:$J$206),""))</f>
        <v>1.382978723</v>
      </c>
      <c r="BI206" s="225">
        <f t="shared" si="46"/>
        <v>1.382978723</v>
      </c>
      <c r="BJ206" s="225">
        <f t="shared" si="46"/>
        <v>1.382978723</v>
      </c>
      <c r="BK206" s="225">
        <f t="shared" si="46"/>
        <v>1.382978723</v>
      </c>
      <c r="BL206" s="225">
        <f t="shared" si="46"/>
        <v>1.382978723</v>
      </c>
      <c r="BM206" s="225">
        <f t="shared" si="46"/>
        <v>1.382978723</v>
      </c>
      <c r="BN206" s="225">
        <f t="shared" si="46"/>
        <v>1.382978723</v>
      </c>
      <c r="BO206" s="225">
        <f t="shared" si="46"/>
        <v>1.382978723</v>
      </c>
      <c r="BP206" s="225">
        <f t="shared" si="46"/>
        <v>1.382978723</v>
      </c>
      <c r="BQ206" s="225">
        <f t="shared" si="46"/>
        <v>1.382978723</v>
      </c>
      <c r="BR206" s="225">
        <f t="shared" si="46"/>
        <v>1.382978723</v>
      </c>
      <c r="BS206" s="225">
        <f t="shared" si="46"/>
        <v>1.382978723</v>
      </c>
      <c r="BT206" s="225">
        <f t="shared" si="46"/>
        <v>1.382978723</v>
      </c>
      <c r="BU206" s="225">
        <f t="shared" si="46"/>
        <v>1.382978723</v>
      </c>
      <c r="BV206" s="225">
        <f t="shared" si="46"/>
        <v>1.382978723</v>
      </c>
      <c r="BW206" s="225">
        <f t="shared" si="46"/>
        <v>1.382978723</v>
      </c>
      <c r="BX206" s="225">
        <f t="shared" si="46"/>
        <v>1.382978723</v>
      </c>
      <c r="BY206" s="225">
        <f t="shared" si="46"/>
        <v>1.382978723</v>
      </c>
      <c r="BZ206" s="225">
        <f t="shared" si="46"/>
        <v>1.382978723</v>
      </c>
      <c r="CA206" s="225">
        <f t="shared" si="46"/>
        <v>1.382978723</v>
      </c>
      <c r="CB206" s="225">
        <f t="shared" si="46"/>
        <v>1.382978723</v>
      </c>
      <c r="CC206" s="225">
        <f t="shared" si="46"/>
        <v>1.382978723</v>
      </c>
      <c r="CD206" s="225">
        <f t="shared" si="46"/>
        <v>1.382978723</v>
      </c>
      <c r="CE206" s="225">
        <f t="shared" si="46"/>
        <v>1.382978723</v>
      </c>
      <c r="CF206" s="225">
        <f t="shared" si="46"/>
        <v>1.382978723</v>
      </c>
      <c r="CG206" s="225">
        <f t="shared" si="46"/>
        <v>1.382978723</v>
      </c>
      <c r="CH206" s="225">
        <f t="shared" si="46"/>
        <v>1.382978723</v>
      </c>
      <c r="CI206" s="225">
        <f t="shared" si="46"/>
        <v>1.382978723</v>
      </c>
      <c r="CJ206" s="225">
        <f t="shared" si="46"/>
        <v>1.382978723</v>
      </c>
      <c r="CK206" s="225">
        <f t="shared" si="46"/>
        <v>1.382978723</v>
      </c>
      <c r="CL206" s="225">
        <f t="shared" si="46"/>
        <v>1.382978723</v>
      </c>
      <c r="CM206" s="225">
        <f t="shared" si="46"/>
        <v>1.382978723</v>
      </c>
      <c r="CN206" s="225">
        <f t="shared" si="46"/>
        <v>1.382978723</v>
      </c>
      <c r="CO206" s="225">
        <f t="shared" si="46"/>
        <v>1.382978723</v>
      </c>
      <c r="CP206" s="225">
        <f t="shared" si="46"/>
        <v>1.382978723</v>
      </c>
      <c r="CQ206" s="225">
        <f t="shared" si="46"/>
        <v>1.382978723</v>
      </c>
      <c r="CR206" s="225">
        <f t="shared" si="46"/>
        <v>1.382978723</v>
      </c>
      <c r="CS206" s="225">
        <f t="shared" si="46"/>
        <v>1.382978723</v>
      </c>
      <c r="CT206" s="225">
        <f t="shared" si="46"/>
        <v>1.382978723</v>
      </c>
      <c r="CU206" s="225" t="str">
        <f t="shared" si="46"/>
        <v/>
      </c>
      <c r="CV206" s="225" t="str">
        <f t="shared" si="46"/>
        <v/>
      </c>
      <c r="CW206" s="225" t="str">
        <f t="shared" si="46"/>
        <v/>
      </c>
      <c r="CX206" s="225" t="str">
        <f t="shared" si="46"/>
        <v/>
      </c>
      <c r="CY206" s="225" t="str">
        <f t="shared" si="46"/>
        <v/>
      </c>
      <c r="CZ206" s="225" t="str">
        <f t="shared" si="46"/>
        <v/>
      </c>
      <c r="DA206" s="225" t="str">
        <f t="shared" si="46"/>
        <v/>
      </c>
      <c r="DB206" s="313"/>
      <c r="DC206" s="225" t="str">
        <f t="shared" si="25"/>
        <v/>
      </c>
      <c r="DD206" s="225" t="str">
        <f t="shared" si="26"/>
        <v/>
      </c>
    </row>
    <row r="207">
      <c r="A207" s="25"/>
      <c r="B207" s="26"/>
      <c r="C207" s="26"/>
      <c r="D207" s="76"/>
      <c r="E207" s="27"/>
      <c r="F207" s="27"/>
      <c r="G207" s="27"/>
      <c r="H207" s="27"/>
    </row>
    <row r="208">
      <c r="A208" s="25"/>
      <c r="B208" s="26"/>
      <c r="C208" s="26"/>
      <c r="D208" s="76"/>
      <c r="E208" s="27"/>
      <c r="F208" s="27"/>
      <c r="G208" s="27"/>
      <c r="H208" s="27"/>
    </row>
    <row r="209">
      <c r="A209" s="25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</row>
    <row r="210">
      <c r="A210" s="25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</row>
    <row r="211">
      <c r="A211" s="25"/>
      <c r="B211" s="26"/>
      <c r="C211" s="26"/>
      <c r="D211" s="27"/>
      <c r="E211" s="27"/>
      <c r="F211" s="27"/>
      <c r="G211" s="27"/>
      <c r="H211" s="27"/>
      <c r="I211" s="27"/>
      <c r="J211" s="376"/>
      <c r="K211" s="37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</row>
    <row r="212">
      <c r="A212" s="25"/>
      <c r="B212" s="26"/>
      <c r="C212" s="26"/>
      <c r="D212" s="27"/>
      <c r="E212" s="32" t="s">
        <v>820</v>
      </c>
      <c r="F212" s="33"/>
      <c r="G212" s="33"/>
      <c r="H212" s="34"/>
      <c r="I212" s="41" t="s">
        <v>821</v>
      </c>
      <c r="J212" s="33"/>
      <c r="K212" s="33"/>
      <c r="L212" s="34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</row>
    <row r="213">
      <c r="A213" s="25"/>
      <c r="B213" s="26"/>
      <c r="C213" s="26"/>
      <c r="D213" s="27"/>
      <c r="E213" s="76"/>
      <c r="F213" s="76"/>
      <c r="G213" s="76"/>
      <c r="H213" s="76"/>
      <c r="I213" s="44" t="s">
        <v>824</v>
      </c>
      <c r="J213" s="378">
        <v>45292.0</v>
      </c>
      <c r="K213" s="379">
        <f t="shared" ref="K213:U213" si="47">EOMONTH(J213,0)+1</f>
        <v>45323</v>
      </c>
      <c r="L213" s="379">
        <f t="shared" si="47"/>
        <v>45352</v>
      </c>
      <c r="M213" s="379">
        <f t="shared" si="47"/>
        <v>45383</v>
      </c>
      <c r="N213" s="379">
        <f t="shared" si="47"/>
        <v>45413</v>
      </c>
      <c r="O213" s="379">
        <f t="shared" si="47"/>
        <v>45444</v>
      </c>
      <c r="P213" s="379">
        <f t="shared" si="47"/>
        <v>45474</v>
      </c>
      <c r="Q213" s="379">
        <f t="shared" si="47"/>
        <v>45505</v>
      </c>
      <c r="R213" s="379">
        <f t="shared" si="47"/>
        <v>45536</v>
      </c>
      <c r="S213" s="379">
        <f t="shared" si="47"/>
        <v>45566</v>
      </c>
      <c r="T213" s="379">
        <f t="shared" si="47"/>
        <v>45597</v>
      </c>
      <c r="U213" s="379">
        <f t="shared" si="47"/>
        <v>45627</v>
      </c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</row>
    <row r="214">
      <c r="A214" s="25"/>
      <c r="B214" s="26"/>
      <c r="C214" s="26"/>
      <c r="D214" s="27"/>
      <c r="E214" s="76"/>
      <c r="F214" s="76"/>
      <c r="G214" s="76"/>
      <c r="H214" s="76"/>
      <c r="I214" s="44" t="s">
        <v>825</v>
      </c>
      <c r="J214" s="379">
        <f t="shared" ref="J214:U214" si="48">EOMONTH(J213,0)+1</f>
        <v>45323</v>
      </c>
      <c r="K214" s="379">
        <f t="shared" si="48"/>
        <v>45352</v>
      </c>
      <c r="L214" s="379">
        <f t="shared" si="48"/>
        <v>45383</v>
      </c>
      <c r="M214" s="379">
        <f t="shared" si="48"/>
        <v>45413</v>
      </c>
      <c r="N214" s="379">
        <f t="shared" si="48"/>
        <v>45444</v>
      </c>
      <c r="O214" s="379">
        <f t="shared" si="48"/>
        <v>45474</v>
      </c>
      <c r="P214" s="379">
        <f t="shared" si="48"/>
        <v>45505</v>
      </c>
      <c r="Q214" s="379">
        <f t="shared" si="48"/>
        <v>45536</v>
      </c>
      <c r="R214" s="379">
        <f t="shared" si="48"/>
        <v>45566</v>
      </c>
      <c r="S214" s="379">
        <f t="shared" si="48"/>
        <v>45597</v>
      </c>
      <c r="T214" s="379">
        <f t="shared" si="48"/>
        <v>45627</v>
      </c>
      <c r="U214" s="379">
        <f t="shared" si="48"/>
        <v>45658</v>
      </c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</row>
    <row r="215">
      <c r="A215" s="25"/>
      <c r="B215" s="26"/>
      <c r="C215" s="26"/>
      <c r="D215" s="27"/>
      <c r="E215" s="76"/>
      <c r="F215" s="76"/>
      <c r="G215" s="76"/>
      <c r="H215" s="76"/>
      <c r="I215" s="44" t="s">
        <v>47</v>
      </c>
      <c r="J215" s="106" t="str">
        <f t="shared" ref="J215:U215" si="49">TEXT(J213,"Mmm")</f>
        <v>Jan</v>
      </c>
      <c r="K215" s="106" t="str">
        <f t="shared" si="49"/>
        <v>Feb</v>
      </c>
      <c r="L215" s="106" t="str">
        <f t="shared" si="49"/>
        <v>Mar</v>
      </c>
      <c r="M215" s="106" t="str">
        <f t="shared" si="49"/>
        <v>Apr</v>
      </c>
      <c r="N215" s="106" t="str">
        <f t="shared" si="49"/>
        <v>May</v>
      </c>
      <c r="O215" s="106" t="str">
        <f t="shared" si="49"/>
        <v>Jun</v>
      </c>
      <c r="P215" s="106" t="str">
        <f t="shared" si="49"/>
        <v>Jul</v>
      </c>
      <c r="Q215" s="106" t="str">
        <f t="shared" si="49"/>
        <v>Aug</v>
      </c>
      <c r="R215" s="106" t="str">
        <f t="shared" si="49"/>
        <v>Sep</v>
      </c>
      <c r="S215" s="106" t="str">
        <f t="shared" si="49"/>
        <v>Oct</v>
      </c>
      <c r="T215" s="106" t="str">
        <f t="shared" si="49"/>
        <v>Nov</v>
      </c>
      <c r="U215" s="106" t="str">
        <f t="shared" si="49"/>
        <v>Dec</v>
      </c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</row>
    <row r="216">
      <c r="A216" s="25"/>
      <c r="B216" s="26"/>
      <c r="C216" s="26"/>
      <c r="D216" s="27"/>
      <c r="E216" s="76"/>
      <c r="F216" s="76"/>
      <c r="G216" s="76"/>
      <c r="H216" s="76"/>
      <c r="I216" s="126" t="s">
        <v>827</v>
      </c>
      <c r="J216" s="380">
        <v>211000.0</v>
      </c>
      <c r="K216" s="380">
        <v>246900.0</v>
      </c>
      <c r="L216" s="380">
        <v>187300.0</v>
      </c>
      <c r="M216" s="380">
        <v>0.0</v>
      </c>
      <c r="N216" s="380">
        <v>63000.0</v>
      </c>
      <c r="O216" s="380">
        <v>200000.0</v>
      </c>
      <c r="P216" s="380">
        <v>0.0</v>
      </c>
      <c r="Q216" s="380">
        <v>66700.0</v>
      </c>
      <c r="R216" s="380">
        <v>300000.0</v>
      </c>
      <c r="S216" s="380">
        <v>0.0</v>
      </c>
      <c r="T216" s="380">
        <v>0.0</v>
      </c>
      <c r="U216" s="380">
        <v>0.0</v>
      </c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</row>
    <row r="217">
      <c r="A217" s="25"/>
      <c r="B217" s="26"/>
      <c r="C217" s="26"/>
      <c r="D217" s="27"/>
      <c r="E217" s="76"/>
      <c r="F217" s="76"/>
      <c r="G217" s="76"/>
      <c r="H217" s="76"/>
      <c r="I217" s="126" t="s">
        <v>829</v>
      </c>
      <c r="J217" s="380">
        <v>0.0</v>
      </c>
      <c r="K217" s="380">
        <v>300000.0</v>
      </c>
      <c r="L217" s="380">
        <v>0.0</v>
      </c>
      <c r="M217" s="380">
        <v>200000.0</v>
      </c>
      <c r="N217" s="380">
        <v>0.0</v>
      </c>
      <c r="O217" s="380">
        <v>0.0</v>
      </c>
      <c r="P217" s="380">
        <v>0.0</v>
      </c>
      <c r="Q217" s="380">
        <v>0.0</v>
      </c>
      <c r="R217" s="380">
        <v>500000.0</v>
      </c>
      <c r="S217" s="380">
        <v>0.0</v>
      </c>
      <c r="T217" s="380">
        <v>0.0</v>
      </c>
      <c r="U217" s="380">
        <v>0.0</v>
      </c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</row>
    <row r="218">
      <c r="A218" s="25"/>
      <c r="B218" s="26"/>
      <c r="C218" s="26"/>
      <c r="D218" s="76"/>
      <c r="E218" s="76"/>
      <c r="F218" s="76"/>
      <c r="G218" s="76"/>
      <c r="H218" s="76"/>
      <c r="I218" s="126" t="s">
        <v>831</v>
      </c>
      <c r="J218" s="380">
        <v>0.0</v>
      </c>
      <c r="K218" s="380">
        <v>0.0</v>
      </c>
      <c r="L218" s="380">
        <v>0.0</v>
      </c>
      <c r="M218" s="380">
        <v>0.0</v>
      </c>
      <c r="N218" s="380">
        <v>0.0</v>
      </c>
      <c r="O218" s="380">
        <v>0.0</v>
      </c>
      <c r="P218" s="380">
        <v>0.0</v>
      </c>
      <c r="Q218" s="380">
        <v>0.0</v>
      </c>
      <c r="R218" s="380">
        <v>0.0</v>
      </c>
      <c r="S218" s="380">
        <v>0.0</v>
      </c>
      <c r="T218" s="380">
        <v>0.0</v>
      </c>
      <c r="U218" s="380">
        <v>500000.0</v>
      </c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</row>
    <row r="219">
      <c r="A219" s="25"/>
      <c r="B219" s="26"/>
      <c r="C219" s="26"/>
      <c r="D219" s="76"/>
      <c r="E219" s="76"/>
      <c r="F219" s="76"/>
      <c r="G219" s="76"/>
      <c r="H219" s="76"/>
      <c r="I219" s="126" t="s">
        <v>832</v>
      </c>
      <c r="J219" s="380">
        <v>0.0</v>
      </c>
      <c r="K219" s="380">
        <v>0.0</v>
      </c>
      <c r="L219" s="380">
        <v>30000.0</v>
      </c>
      <c r="M219" s="380">
        <v>50000.0</v>
      </c>
      <c r="N219" s="380">
        <v>0.0</v>
      </c>
      <c r="O219" s="380">
        <v>0.0</v>
      </c>
      <c r="P219" s="380">
        <v>50000.0</v>
      </c>
      <c r="Q219" s="380">
        <v>0.0</v>
      </c>
      <c r="R219" s="380">
        <v>500000.0</v>
      </c>
      <c r="S219" s="380">
        <v>300000.0</v>
      </c>
      <c r="T219" s="380">
        <v>0.0</v>
      </c>
      <c r="U219" s="380">
        <v>0.0</v>
      </c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</row>
    <row r="220">
      <c r="A220" s="25"/>
      <c r="B220" s="26"/>
      <c r="C220" s="26"/>
      <c r="D220" s="27"/>
      <c r="E220" s="76"/>
      <c r="F220" s="76"/>
      <c r="G220" s="76"/>
      <c r="H220" s="76"/>
      <c r="I220" s="126" t="s">
        <v>833</v>
      </c>
      <c r="J220" s="380">
        <v>400000.0</v>
      </c>
      <c r="K220" s="380">
        <v>0.0</v>
      </c>
      <c r="L220" s="380">
        <v>0.0</v>
      </c>
      <c r="M220" s="380">
        <v>0.0</v>
      </c>
      <c r="N220" s="380">
        <v>0.0</v>
      </c>
      <c r="O220" s="380">
        <v>0.0</v>
      </c>
      <c r="P220" s="380">
        <v>0.0</v>
      </c>
      <c r="Q220" s="380">
        <v>500000.0</v>
      </c>
      <c r="R220" s="380">
        <v>0.0</v>
      </c>
      <c r="S220" s="380">
        <v>0.0</v>
      </c>
      <c r="T220" s="380">
        <v>0.0</v>
      </c>
      <c r="U220" s="380">
        <v>0.0</v>
      </c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</row>
    <row r="221">
      <c r="A221" s="25"/>
      <c r="B221" s="26"/>
      <c r="C221" s="26"/>
      <c r="D221" s="27"/>
      <c r="E221" s="76"/>
      <c r="F221" s="76"/>
      <c r="G221" s="76"/>
      <c r="H221" s="76"/>
      <c r="I221" s="126" t="s">
        <v>835</v>
      </c>
      <c r="J221" s="380">
        <v>0.0</v>
      </c>
      <c r="K221" s="380">
        <v>500000.0</v>
      </c>
      <c r="L221" s="380">
        <v>0.0</v>
      </c>
      <c r="M221" s="380">
        <v>0.0</v>
      </c>
      <c r="N221" s="380">
        <v>600000.0</v>
      </c>
      <c r="O221" s="380">
        <v>0.0</v>
      </c>
      <c r="P221" s="380">
        <v>0.0</v>
      </c>
      <c r="Q221" s="380">
        <v>0.0</v>
      </c>
      <c r="R221" s="380">
        <v>0.0</v>
      </c>
      <c r="S221" s="380">
        <v>0.0</v>
      </c>
      <c r="T221" s="380">
        <v>600000.0</v>
      </c>
      <c r="U221" s="380">
        <v>0.0</v>
      </c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</row>
    <row r="222">
      <c r="A222" s="25"/>
      <c r="B222" s="26"/>
      <c r="C222" s="26"/>
      <c r="D222" s="27"/>
      <c r="E222" s="76"/>
      <c r="F222" s="76"/>
      <c r="G222" s="76"/>
      <c r="H222" s="76"/>
      <c r="I222" s="126"/>
      <c r="J222" s="380"/>
      <c r="K222" s="380"/>
      <c r="L222" s="380"/>
      <c r="M222" s="380"/>
      <c r="N222" s="380"/>
      <c r="O222" s="380"/>
      <c r="P222" s="380"/>
      <c r="Q222" s="380"/>
      <c r="R222" s="380"/>
      <c r="S222" s="380"/>
      <c r="T222" s="380"/>
      <c r="U222" s="380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</row>
    <row r="223">
      <c r="A223" s="25"/>
      <c r="B223" s="26"/>
      <c r="C223" s="26"/>
      <c r="D223" s="27"/>
      <c r="E223" s="76"/>
      <c r="F223" s="76"/>
      <c r="G223" s="76"/>
      <c r="H223" s="76"/>
      <c r="I223" s="381" t="s">
        <v>316</v>
      </c>
      <c r="J223" s="382">
        <v>5500000.0</v>
      </c>
      <c r="K223" s="383">
        <f t="shared" ref="K223:U223" si="50">J223</f>
        <v>5500000</v>
      </c>
      <c r="L223" s="383">
        <f t="shared" si="50"/>
        <v>5500000</v>
      </c>
      <c r="M223" s="383">
        <f t="shared" si="50"/>
        <v>5500000</v>
      </c>
      <c r="N223" s="383">
        <f t="shared" si="50"/>
        <v>5500000</v>
      </c>
      <c r="O223" s="383">
        <f t="shared" si="50"/>
        <v>5500000</v>
      </c>
      <c r="P223" s="383">
        <f t="shared" si="50"/>
        <v>5500000</v>
      </c>
      <c r="Q223" s="383">
        <f t="shared" si="50"/>
        <v>5500000</v>
      </c>
      <c r="R223" s="383">
        <f t="shared" si="50"/>
        <v>5500000</v>
      </c>
      <c r="S223" s="383">
        <f t="shared" si="50"/>
        <v>5500000</v>
      </c>
      <c r="T223" s="383">
        <f t="shared" si="50"/>
        <v>5500000</v>
      </c>
      <c r="U223" s="383">
        <f t="shared" si="50"/>
        <v>5500000</v>
      </c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</row>
    <row r="224">
      <c r="A224" s="25"/>
      <c r="B224" s="26"/>
      <c r="C224" s="26"/>
      <c r="D224" s="27"/>
      <c r="E224" s="76"/>
      <c r="F224" s="76"/>
      <c r="G224" s="76"/>
      <c r="H224" s="76"/>
      <c r="I224" s="126"/>
      <c r="J224" s="380"/>
      <c r="K224" s="380"/>
      <c r="L224" s="380"/>
      <c r="M224" s="380"/>
      <c r="N224" s="380"/>
      <c r="O224" s="380"/>
      <c r="P224" s="380"/>
      <c r="Q224" s="380"/>
      <c r="R224" s="380"/>
      <c r="S224" s="380"/>
      <c r="T224" s="380"/>
      <c r="U224" s="380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</row>
    <row r="225">
      <c r="A225" s="25"/>
      <c r="B225" s="26"/>
      <c r="C225" s="26"/>
      <c r="D225" s="27"/>
      <c r="E225" s="27"/>
      <c r="F225" s="27"/>
      <c r="G225" s="27"/>
      <c r="H225" s="27"/>
      <c r="I225" s="384" t="s">
        <v>837</v>
      </c>
      <c r="J225" s="80">
        <f t="shared" ref="J225:U225" si="51">if(J$214="","",sum($J216:J216))</f>
        <v>211000</v>
      </c>
      <c r="K225" s="80">
        <f t="shared" si="51"/>
        <v>457900</v>
      </c>
      <c r="L225" s="80">
        <f t="shared" si="51"/>
        <v>645200</v>
      </c>
      <c r="M225" s="80">
        <f t="shared" si="51"/>
        <v>645200</v>
      </c>
      <c r="N225" s="80">
        <f t="shared" si="51"/>
        <v>708200</v>
      </c>
      <c r="O225" s="80">
        <f t="shared" si="51"/>
        <v>908200</v>
      </c>
      <c r="P225" s="80">
        <f t="shared" si="51"/>
        <v>908200</v>
      </c>
      <c r="Q225" s="80">
        <f t="shared" si="51"/>
        <v>974900</v>
      </c>
      <c r="R225" s="80">
        <f t="shared" si="51"/>
        <v>1274900</v>
      </c>
      <c r="S225" s="80">
        <f t="shared" si="51"/>
        <v>1274900</v>
      </c>
      <c r="T225" s="80">
        <f t="shared" si="51"/>
        <v>1274900</v>
      </c>
      <c r="U225" s="80">
        <f t="shared" si="51"/>
        <v>1274900</v>
      </c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</row>
    <row r="226">
      <c r="A226" s="25"/>
      <c r="B226" s="26"/>
      <c r="C226" s="26"/>
      <c r="D226" s="27"/>
      <c r="E226" s="27"/>
      <c r="F226" s="27"/>
      <c r="G226" s="27"/>
      <c r="H226" s="27"/>
      <c r="I226" s="384" t="str">
        <f t="shared" ref="I226:I230" si="53">if(I217="",,"Cumulative with "&amp;I217)</f>
        <v>Cumulative with Needs Analysis</v>
      </c>
      <c r="J226" s="80">
        <f t="shared" ref="J226:U226" si="52">if(J$214="","",sum($J217:J217)+J225)</f>
        <v>211000</v>
      </c>
      <c r="K226" s="80">
        <f t="shared" si="52"/>
        <v>757900</v>
      </c>
      <c r="L226" s="80">
        <f t="shared" si="52"/>
        <v>945200</v>
      </c>
      <c r="M226" s="80">
        <f t="shared" si="52"/>
        <v>1145200</v>
      </c>
      <c r="N226" s="80">
        <f t="shared" si="52"/>
        <v>1208200</v>
      </c>
      <c r="O226" s="80">
        <f t="shared" si="52"/>
        <v>1408200</v>
      </c>
      <c r="P226" s="80">
        <f t="shared" si="52"/>
        <v>1408200</v>
      </c>
      <c r="Q226" s="80">
        <f t="shared" si="52"/>
        <v>1474900</v>
      </c>
      <c r="R226" s="80">
        <f t="shared" si="52"/>
        <v>2274900</v>
      </c>
      <c r="S226" s="80">
        <f t="shared" si="52"/>
        <v>2274900</v>
      </c>
      <c r="T226" s="80">
        <f t="shared" si="52"/>
        <v>2274900</v>
      </c>
      <c r="U226" s="80">
        <f t="shared" si="52"/>
        <v>2274900</v>
      </c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</row>
    <row r="227">
      <c r="A227" s="25"/>
      <c r="B227" s="26"/>
      <c r="C227" s="26"/>
      <c r="D227" s="27"/>
      <c r="E227" s="27"/>
      <c r="F227" s="27"/>
      <c r="G227" s="27"/>
      <c r="H227" s="27"/>
      <c r="I227" s="384" t="str">
        <f t="shared" si="53"/>
        <v>Cumulative with Prospecting</v>
      </c>
      <c r="J227" s="80">
        <f t="shared" ref="J227:U227" si="54">if(J$214="","",sum($J218:J218)+J226)</f>
        <v>211000</v>
      </c>
      <c r="K227" s="80">
        <f t="shared" si="54"/>
        <v>757900</v>
      </c>
      <c r="L227" s="80">
        <f t="shared" si="54"/>
        <v>945200</v>
      </c>
      <c r="M227" s="80">
        <f t="shared" si="54"/>
        <v>1145200</v>
      </c>
      <c r="N227" s="80">
        <f t="shared" si="54"/>
        <v>1208200</v>
      </c>
      <c r="O227" s="80">
        <f t="shared" si="54"/>
        <v>1408200</v>
      </c>
      <c r="P227" s="80">
        <f t="shared" si="54"/>
        <v>1408200</v>
      </c>
      <c r="Q227" s="80">
        <f t="shared" si="54"/>
        <v>1474900</v>
      </c>
      <c r="R227" s="80">
        <f t="shared" si="54"/>
        <v>2274900</v>
      </c>
      <c r="S227" s="80">
        <f t="shared" si="54"/>
        <v>2274900</v>
      </c>
      <c r="T227" s="80">
        <f t="shared" si="54"/>
        <v>2274900</v>
      </c>
      <c r="U227" s="80">
        <f t="shared" si="54"/>
        <v>2774900</v>
      </c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</row>
    <row r="228">
      <c r="A228" s="25"/>
      <c r="B228" s="26"/>
      <c r="C228" s="26"/>
      <c r="D228" s="27"/>
      <c r="E228" s="27"/>
      <c r="F228" s="27"/>
      <c r="G228" s="27"/>
      <c r="H228" s="27"/>
      <c r="I228" s="384" t="str">
        <f t="shared" si="53"/>
        <v>Cumulative with Negotiation/Review</v>
      </c>
      <c r="J228" s="80">
        <f t="shared" ref="J228:U228" si="55">if(J$214="","",sum($J219:J219)+J227)</f>
        <v>211000</v>
      </c>
      <c r="K228" s="80">
        <f t="shared" si="55"/>
        <v>757900</v>
      </c>
      <c r="L228" s="80">
        <f t="shared" si="55"/>
        <v>975200</v>
      </c>
      <c r="M228" s="80">
        <f t="shared" si="55"/>
        <v>1225200</v>
      </c>
      <c r="N228" s="80">
        <f t="shared" si="55"/>
        <v>1288200</v>
      </c>
      <c r="O228" s="80">
        <f t="shared" si="55"/>
        <v>1488200</v>
      </c>
      <c r="P228" s="80">
        <f t="shared" si="55"/>
        <v>1538200</v>
      </c>
      <c r="Q228" s="80">
        <f t="shared" si="55"/>
        <v>1604900</v>
      </c>
      <c r="R228" s="80">
        <f t="shared" si="55"/>
        <v>2904900</v>
      </c>
      <c r="S228" s="80">
        <f t="shared" si="55"/>
        <v>3204900</v>
      </c>
      <c r="T228" s="80">
        <f t="shared" si="55"/>
        <v>3204900</v>
      </c>
      <c r="U228" s="80">
        <f t="shared" si="55"/>
        <v>3704900</v>
      </c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</row>
    <row r="229">
      <c r="A229" s="25"/>
      <c r="B229" s="26"/>
      <c r="C229" s="26"/>
      <c r="D229" s="27"/>
      <c r="E229" s="27"/>
      <c r="F229" s="27"/>
      <c r="G229" s="27"/>
      <c r="H229" s="27"/>
      <c r="I229" s="384" t="str">
        <f t="shared" si="53"/>
        <v>Cumulative with Proposal/Price Quote</v>
      </c>
      <c r="J229" s="80">
        <f t="shared" ref="J229:U229" si="56">if(J$214="","",sum($J220:J220)+J228)</f>
        <v>611000</v>
      </c>
      <c r="K229" s="80">
        <f t="shared" si="56"/>
        <v>1157900</v>
      </c>
      <c r="L229" s="80">
        <f t="shared" si="56"/>
        <v>1375200</v>
      </c>
      <c r="M229" s="80">
        <f t="shared" si="56"/>
        <v>1625200</v>
      </c>
      <c r="N229" s="80">
        <f t="shared" si="56"/>
        <v>1688200</v>
      </c>
      <c r="O229" s="80">
        <f t="shared" si="56"/>
        <v>1888200</v>
      </c>
      <c r="P229" s="80">
        <f t="shared" si="56"/>
        <v>1938200</v>
      </c>
      <c r="Q229" s="80">
        <f t="shared" si="56"/>
        <v>2504900</v>
      </c>
      <c r="R229" s="80">
        <f t="shared" si="56"/>
        <v>3804900</v>
      </c>
      <c r="S229" s="80">
        <f t="shared" si="56"/>
        <v>4104900</v>
      </c>
      <c r="T229" s="80">
        <f t="shared" si="56"/>
        <v>4104900</v>
      </c>
      <c r="U229" s="80">
        <f t="shared" si="56"/>
        <v>4604900</v>
      </c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</row>
    <row r="230">
      <c r="A230" s="217"/>
      <c r="B230" s="218"/>
      <c r="C230" s="218"/>
      <c r="D230" s="27"/>
      <c r="E230" s="27"/>
      <c r="F230" s="27"/>
      <c r="G230" s="27"/>
      <c r="H230" s="27"/>
      <c r="I230" s="384" t="str">
        <f t="shared" si="53"/>
        <v>Cumulative with Qualification</v>
      </c>
      <c r="J230" s="80">
        <f t="shared" ref="J230:U230" si="57">if(J$214="","",sum($J221:J221)+J229)</f>
        <v>611000</v>
      </c>
      <c r="K230" s="80">
        <f t="shared" si="57"/>
        <v>1657900</v>
      </c>
      <c r="L230" s="80">
        <f t="shared" si="57"/>
        <v>1875200</v>
      </c>
      <c r="M230" s="80">
        <f t="shared" si="57"/>
        <v>2125200</v>
      </c>
      <c r="N230" s="80">
        <f t="shared" si="57"/>
        <v>2788200</v>
      </c>
      <c r="O230" s="80">
        <f t="shared" si="57"/>
        <v>2988200</v>
      </c>
      <c r="P230" s="80">
        <f t="shared" si="57"/>
        <v>3038200</v>
      </c>
      <c r="Q230" s="80">
        <f t="shared" si="57"/>
        <v>3604900</v>
      </c>
      <c r="R230" s="80">
        <f t="shared" si="57"/>
        <v>4904900</v>
      </c>
      <c r="S230" s="80">
        <f t="shared" si="57"/>
        <v>5204900</v>
      </c>
      <c r="T230" s="80">
        <f t="shared" si="57"/>
        <v>5804900</v>
      </c>
      <c r="U230" s="80">
        <f t="shared" si="57"/>
        <v>6304900</v>
      </c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</row>
    <row r="231">
      <c r="A231" s="217"/>
      <c r="B231" s="218"/>
      <c r="C231" s="218"/>
      <c r="D231" s="27"/>
      <c r="E231" s="76"/>
      <c r="F231" s="76"/>
      <c r="G231" s="76"/>
      <c r="H231" s="76"/>
      <c r="I231" s="384" t="s">
        <v>842</v>
      </c>
      <c r="J231" s="80" t="str">
        <f t="shared" ref="J231:T231" si="58">if(or(J214="",right(K$232&amp;J$232,3)="Won",sum(K216:$U216)&gt;0,J225=I225),"",text(J225,"$#,##0.0,K ")&amp;iferror(text(J225/J$223,"(0.0%)")&amp;" Won",text(J225,"$#,#,#,K")))</f>
        <v/>
      </c>
      <c r="K231" s="80" t="str">
        <f t="shared" si="58"/>
        <v/>
      </c>
      <c r="L231" s="80" t="str">
        <f t="shared" si="58"/>
        <v/>
      </c>
      <c r="M231" s="80" t="str">
        <f t="shared" si="58"/>
        <v/>
      </c>
      <c r="N231" s="80" t="str">
        <f t="shared" si="58"/>
        <v/>
      </c>
      <c r="O231" s="80" t="str">
        <f t="shared" si="58"/>
        <v/>
      </c>
      <c r="P231" s="80" t="str">
        <f t="shared" si="58"/>
        <v/>
      </c>
      <c r="Q231" s="80" t="str">
        <f t="shared" si="58"/>
        <v/>
      </c>
      <c r="R231" s="80" t="str">
        <f t="shared" si="58"/>
        <v>$1,274.9K (23.2%) Won</v>
      </c>
      <c r="S231" s="80" t="str">
        <f t="shared" si="58"/>
        <v/>
      </c>
      <c r="T231" s="80" t="str">
        <f t="shared" si="58"/>
        <v/>
      </c>
      <c r="U231" s="80" t="str">
        <f>if(or(U214="",right(V$240&amp;U$232,3)="Won",sum(V224:$V224)&gt;0,U225=T225),"",text(U225,"$#,##0.0,K ")&amp;iferror(text(U225/U$223,"(0.0%)")&amp;" Won",text(U225,"$#,#,#,K")))</f>
        <v/>
      </c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</row>
    <row r="232">
      <c r="A232" s="217"/>
      <c r="B232" s="218"/>
      <c r="C232" s="218"/>
      <c r="D232" s="27"/>
      <c r="I232" s="384" t="str">
        <f t="shared" ref="I232:I239" si="60">if(I217="",,"Final Label-"&amp;I217)</f>
        <v>Final Label-Needs Analysis</v>
      </c>
      <c r="J232" s="80" t="str">
        <f t="shared" ref="J232:U232" si="59">if(or($I232="",J$214&lt;&gt;MAX($J$214:$U$214)),,text(J226,"$#,##0.0,K ")&amp;iferror("("&amp;text(J226/J$223,"#.0%")&amp;") ","")&amp;if(J226=J225,"Closed Won","with "&amp;$I217))</f>
        <v/>
      </c>
      <c r="K232" s="80" t="str">
        <f t="shared" si="59"/>
        <v/>
      </c>
      <c r="L232" s="80" t="str">
        <f t="shared" si="59"/>
        <v/>
      </c>
      <c r="M232" s="80" t="str">
        <f t="shared" si="59"/>
        <v/>
      </c>
      <c r="N232" s="80" t="str">
        <f t="shared" si="59"/>
        <v/>
      </c>
      <c r="O232" s="80" t="str">
        <f t="shared" si="59"/>
        <v/>
      </c>
      <c r="P232" s="80" t="str">
        <f t="shared" si="59"/>
        <v/>
      </c>
      <c r="Q232" s="80" t="str">
        <f t="shared" si="59"/>
        <v/>
      </c>
      <c r="R232" s="80" t="str">
        <f t="shared" si="59"/>
        <v/>
      </c>
      <c r="S232" s="80" t="str">
        <f t="shared" si="59"/>
        <v/>
      </c>
      <c r="T232" s="80" t="str">
        <f t="shared" si="59"/>
        <v/>
      </c>
      <c r="U232" s="80" t="str">
        <f t="shared" si="59"/>
        <v>$2,274.9K (41.4%) with Needs Analysis</v>
      </c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</row>
    <row r="233">
      <c r="A233" s="25"/>
      <c r="B233" s="26"/>
      <c r="C233" s="26"/>
      <c r="D233" s="27"/>
      <c r="E233" s="76"/>
      <c r="F233" s="76"/>
      <c r="G233" s="76"/>
      <c r="H233" s="76"/>
      <c r="I233" s="384" t="str">
        <f t="shared" si="60"/>
        <v>Final Label-Prospecting</v>
      </c>
      <c r="J233" s="80" t="str">
        <f t="shared" ref="J233:U233" si="61">if(or($I233="",J$214&lt;&gt;MAX($J$214:$U$214),J227=J226),,text(J227,"$#,##0.0,K ")&amp;iferror("("&amp;text(J227/J$223,"#.0%")&amp;") ","")&amp;if(J227=J226,"Closed Won","with "&amp;$I218))</f>
        <v/>
      </c>
      <c r="K233" s="80" t="str">
        <f t="shared" si="61"/>
        <v/>
      </c>
      <c r="L233" s="80" t="str">
        <f t="shared" si="61"/>
        <v/>
      </c>
      <c r="M233" s="80" t="str">
        <f t="shared" si="61"/>
        <v/>
      </c>
      <c r="N233" s="80" t="str">
        <f t="shared" si="61"/>
        <v/>
      </c>
      <c r="O233" s="80" t="str">
        <f t="shared" si="61"/>
        <v/>
      </c>
      <c r="P233" s="80" t="str">
        <f t="shared" si="61"/>
        <v/>
      </c>
      <c r="Q233" s="80" t="str">
        <f t="shared" si="61"/>
        <v/>
      </c>
      <c r="R233" s="80" t="str">
        <f t="shared" si="61"/>
        <v/>
      </c>
      <c r="S233" s="80" t="str">
        <f t="shared" si="61"/>
        <v/>
      </c>
      <c r="T233" s="80" t="str">
        <f t="shared" si="61"/>
        <v/>
      </c>
      <c r="U233" s="80" t="str">
        <f t="shared" si="61"/>
        <v>$2,774.9K (50.5%) with Prospecting</v>
      </c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</row>
    <row r="234">
      <c r="A234" s="25"/>
      <c r="B234" s="26"/>
      <c r="C234" s="26"/>
      <c r="D234" s="27"/>
      <c r="E234" s="76"/>
      <c r="F234" s="76"/>
      <c r="G234" s="76"/>
      <c r="H234" s="76"/>
      <c r="I234" s="384" t="str">
        <f t="shared" si="60"/>
        <v>Final Label-Negotiation/Review</v>
      </c>
      <c r="J234" s="80" t="str">
        <f t="shared" ref="J234:U234" si="62">if(or($I234="",J$214&lt;&gt;MAX($J$214:$U$214),J228=J227),,text(J228,"$#,##0.0,K ")&amp;iferror("("&amp;text(J228/J$223,"#.0%")&amp;") ","")&amp;if(J228=J227,"Closed Won","with "&amp;$I219))</f>
        <v/>
      </c>
      <c r="K234" s="80" t="str">
        <f t="shared" si="62"/>
        <v/>
      </c>
      <c r="L234" s="80" t="str">
        <f t="shared" si="62"/>
        <v/>
      </c>
      <c r="M234" s="80" t="str">
        <f t="shared" si="62"/>
        <v/>
      </c>
      <c r="N234" s="80" t="str">
        <f t="shared" si="62"/>
        <v/>
      </c>
      <c r="O234" s="80" t="str">
        <f t="shared" si="62"/>
        <v/>
      </c>
      <c r="P234" s="80" t="str">
        <f t="shared" si="62"/>
        <v/>
      </c>
      <c r="Q234" s="80" t="str">
        <f t="shared" si="62"/>
        <v/>
      </c>
      <c r="R234" s="80" t="str">
        <f t="shared" si="62"/>
        <v/>
      </c>
      <c r="S234" s="80" t="str">
        <f t="shared" si="62"/>
        <v/>
      </c>
      <c r="T234" s="80" t="str">
        <f t="shared" si="62"/>
        <v/>
      </c>
      <c r="U234" s="80" t="str">
        <f t="shared" si="62"/>
        <v>$3,704.9K (67.4%) with Negotiation/Review</v>
      </c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</row>
    <row r="235">
      <c r="A235" s="25"/>
      <c r="B235" s="26"/>
      <c r="C235" s="26"/>
      <c r="D235" s="27"/>
      <c r="E235" s="76"/>
      <c r="F235" s="76"/>
      <c r="G235" s="76"/>
      <c r="H235" s="76"/>
      <c r="I235" s="384" t="str">
        <f t="shared" si="60"/>
        <v>Final Label-Proposal/Price Quote</v>
      </c>
      <c r="J235" s="80" t="str">
        <f t="shared" ref="J235:U235" si="63">if(or($I235="",J$214&lt;&gt;MAX($J$214:$U$214),J229=J228),,text(J229,"$#,##0.0,K ")&amp;iferror("("&amp;text(J229/J$223,"#.0%")&amp;") ","")&amp;if(J229=J228,"Closed Won","with "&amp;$I220))</f>
        <v/>
      </c>
      <c r="K235" s="80" t="str">
        <f t="shared" si="63"/>
        <v/>
      </c>
      <c r="L235" s="80" t="str">
        <f t="shared" si="63"/>
        <v/>
      </c>
      <c r="M235" s="80" t="str">
        <f t="shared" si="63"/>
        <v/>
      </c>
      <c r="N235" s="80" t="str">
        <f t="shared" si="63"/>
        <v/>
      </c>
      <c r="O235" s="80" t="str">
        <f t="shared" si="63"/>
        <v/>
      </c>
      <c r="P235" s="80" t="str">
        <f t="shared" si="63"/>
        <v/>
      </c>
      <c r="Q235" s="80" t="str">
        <f t="shared" si="63"/>
        <v/>
      </c>
      <c r="R235" s="80" t="str">
        <f t="shared" si="63"/>
        <v/>
      </c>
      <c r="S235" s="80" t="str">
        <f t="shared" si="63"/>
        <v/>
      </c>
      <c r="T235" s="80" t="str">
        <f t="shared" si="63"/>
        <v/>
      </c>
      <c r="U235" s="80" t="str">
        <f t="shared" si="63"/>
        <v>$4,604.9K (83.7%) with Proposal/Price Quote</v>
      </c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</row>
    <row r="236">
      <c r="A236" s="25"/>
      <c r="B236" s="26"/>
      <c r="C236" s="26"/>
      <c r="D236" s="27"/>
      <c r="E236" s="76"/>
      <c r="F236" s="76"/>
      <c r="G236" s="76"/>
      <c r="H236" s="76"/>
      <c r="I236" s="384" t="str">
        <f t="shared" si="60"/>
        <v>Final Label-Qualification</v>
      </c>
      <c r="J236" s="80" t="str">
        <f t="shared" ref="J236:U236" si="64">if(or($I236="",J$214&lt;&gt;MAX($J$214:$U$214),J230=J229),,text(J230,"$#,##0.0,K ")&amp;iferror("("&amp;text(J230/J$223,"#.0%")&amp;") ","")&amp;if(J230=J229,"Closed Won","with "&amp;$I221))</f>
        <v/>
      </c>
      <c r="K236" s="80" t="str">
        <f t="shared" si="64"/>
        <v/>
      </c>
      <c r="L236" s="80" t="str">
        <f t="shared" si="64"/>
        <v/>
      </c>
      <c r="M236" s="80" t="str">
        <f t="shared" si="64"/>
        <v/>
      </c>
      <c r="N236" s="80" t="str">
        <f t="shared" si="64"/>
        <v/>
      </c>
      <c r="O236" s="80" t="str">
        <f t="shared" si="64"/>
        <v/>
      </c>
      <c r="P236" s="80" t="str">
        <f t="shared" si="64"/>
        <v/>
      </c>
      <c r="Q236" s="80" t="str">
        <f t="shared" si="64"/>
        <v/>
      </c>
      <c r="R236" s="80" t="str">
        <f t="shared" si="64"/>
        <v/>
      </c>
      <c r="S236" s="80" t="str">
        <f t="shared" si="64"/>
        <v/>
      </c>
      <c r="T236" s="80" t="str">
        <f t="shared" si="64"/>
        <v/>
      </c>
      <c r="U236" s="80" t="str">
        <f t="shared" si="64"/>
        <v>$6,304.9K (114.6%) with Qualification</v>
      </c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</row>
    <row r="237">
      <c r="A237" s="25"/>
      <c r="B237" s="26"/>
      <c r="C237" s="26"/>
      <c r="D237" s="27"/>
      <c r="E237" s="76"/>
      <c r="F237" s="76"/>
      <c r="G237" s="76"/>
      <c r="H237" s="76"/>
      <c r="I237" s="384" t="str">
        <f t="shared" si="60"/>
        <v/>
      </c>
      <c r="J237" s="80" t="str">
        <f t="shared" ref="J237:U237" si="65">if(or($I237="",J$214&lt;&gt;MAX($J$214:$U$214),J231=J230),,$I222&amp;text(J222," $#,##0.0,K"))</f>
        <v/>
      </c>
      <c r="K237" s="80" t="str">
        <f t="shared" si="65"/>
        <v/>
      </c>
      <c r="L237" s="80" t="str">
        <f t="shared" si="65"/>
        <v/>
      </c>
      <c r="M237" s="80" t="str">
        <f t="shared" si="65"/>
        <v/>
      </c>
      <c r="N237" s="80" t="str">
        <f t="shared" si="65"/>
        <v/>
      </c>
      <c r="O237" s="80" t="str">
        <f t="shared" si="65"/>
        <v/>
      </c>
      <c r="P237" s="80" t="str">
        <f t="shared" si="65"/>
        <v/>
      </c>
      <c r="Q237" s="80" t="str">
        <f t="shared" si="65"/>
        <v/>
      </c>
      <c r="R237" s="80" t="str">
        <f t="shared" si="65"/>
        <v/>
      </c>
      <c r="S237" s="80" t="str">
        <f t="shared" si="65"/>
        <v/>
      </c>
      <c r="T237" s="80" t="str">
        <f t="shared" si="65"/>
        <v/>
      </c>
      <c r="U237" s="80" t="str">
        <f t="shared" si="65"/>
        <v/>
      </c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</row>
    <row r="238">
      <c r="A238" s="25"/>
      <c r="B238" s="26"/>
      <c r="C238" s="26"/>
      <c r="D238" s="27"/>
      <c r="E238" s="76"/>
      <c r="F238" s="76"/>
      <c r="G238" s="76"/>
      <c r="H238" s="76"/>
      <c r="I238" s="384" t="str">
        <f t="shared" si="60"/>
        <v>Final Label-Target</v>
      </c>
      <c r="J238" s="80" t="str">
        <f t="shared" ref="J238:U238" si="66">if(or($I238="",J$214&lt;&gt;MAX($J$214:$U$214),J232=J231),,$I223&amp;text(J223," $#,##0.0,K"))</f>
        <v/>
      </c>
      <c r="K238" s="80" t="str">
        <f t="shared" si="66"/>
        <v/>
      </c>
      <c r="L238" s="80" t="str">
        <f t="shared" si="66"/>
        <v/>
      </c>
      <c r="M238" s="80" t="str">
        <f t="shared" si="66"/>
        <v/>
      </c>
      <c r="N238" s="80" t="str">
        <f t="shared" si="66"/>
        <v/>
      </c>
      <c r="O238" s="80" t="str">
        <f t="shared" si="66"/>
        <v/>
      </c>
      <c r="P238" s="80" t="str">
        <f t="shared" si="66"/>
        <v/>
      </c>
      <c r="Q238" s="80" t="str">
        <f t="shared" si="66"/>
        <v/>
      </c>
      <c r="R238" s="80" t="str">
        <f t="shared" si="66"/>
        <v/>
      </c>
      <c r="S238" s="80" t="str">
        <f t="shared" si="66"/>
        <v/>
      </c>
      <c r="T238" s="80" t="str">
        <f t="shared" si="66"/>
        <v/>
      </c>
      <c r="U238" s="80" t="str">
        <f t="shared" si="66"/>
        <v>Target $5,500.0K</v>
      </c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</row>
    <row r="239">
      <c r="A239" s="25"/>
      <c r="B239" s="26"/>
      <c r="C239" s="26"/>
      <c r="D239" s="27"/>
      <c r="E239" s="76"/>
      <c r="F239" s="76"/>
      <c r="G239" s="76"/>
      <c r="H239" s="76"/>
      <c r="I239" s="384" t="str">
        <f t="shared" si="60"/>
        <v/>
      </c>
      <c r="J239" s="80" t="str">
        <f t="shared" ref="J239:U239" si="67">if(or($I239="",J$214&lt;&gt;MAX($J$214:$U$214),J233=J232),,$I224&amp;text(J224," $#,##0.0,K"))</f>
        <v/>
      </c>
      <c r="K239" s="80" t="str">
        <f t="shared" si="67"/>
        <v/>
      </c>
      <c r="L239" s="80" t="str">
        <f t="shared" si="67"/>
        <v/>
      </c>
      <c r="M239" s="80" t="str">
        <f t="shared" si="67"/>
        <v/>
      </c>
      <c r="N239" s="80" t="str">
        <f t="shared" si="67"/>
        <v/>
      </c>
      <c r="O239" s="80" t="str">
        <f t="shared" si="67"/>
        <v/>
      </c>
      <c r="P239" s="80" t="str">
        <f t="shared" si="67"/>
        <v/>
      </c>
      <c r="Q239" s="80" t="str">
        <f t="shared" si="67"/>
        <v/>
      </c>
      <c r="R239" s="80" t="str">
        <f t="shared" si="67"/>
        <v/>
      </c>
      <c r="S239" s="80" t="str">
        <f t="shared" si="67"/>
        <v/>
      </c>
      <c r="T239" s="80" t="str">
        <f t="shared" si="67"/>
        <v/>
      </c>
      <c r="U239" s="80" t="str">
        <f t="shared" si="67"/>
        <v/>
      </c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</row>
    <row r="240">
      <c r="A240" s="25"/>
      <c r="B240" s="26"/>
      <c r="C240" s="26"/>
      <c r="D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</row>
    <row r="241">
      <c r="A241" s="25"/>
      <c r="B241" s="26"/>
      <c r="C241" s="26"/>
      <c r="D241" s="27"/>
      <c r="E241" s="76"/>
      <c r="F241" s="76"/>
      <c r="G241" s="76"/>
      <c r="H241" s="76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</row>
    <row r="242">
      <c r="A242" s="25"/>
      <c r="B242" s="26"/>
      <c r="C242" s="26"/>
      <c r="D242" s="27"/>
      <c r="E242" s="76"/>
      <c r="F242" s="76"/>
      <c r="G242" s="76"/>
      <c r="H242" s="76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</row>
    <row r="243">
      <c r="A243" s="25"/>
      <c r="B243" s="26"/>
      <c r="C243" s="26"/>
      <c r="D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</row>
    <row r="244">
      <c r="A244" s="25"/>
      <c r="B244" s="26"/>
      <c r="C244" s="26"/>
      <c r="D244" s="27"/>
      <c r="E244" s="32" t="s">
        <v>208</v>
      </c>
      <c r="F244" s="33"/>
      <c r="G244" s="33"/>
      <c r="H244" s="34"/>
      <c r="I244" s="342" t="s">
        <v>792</v>
      </c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</row>
    <row r="245">
      <c r="A245" s="25"/>
      <c r="B245" s="26"/>
      <c r="C245" s="26"/>
      <c r="D245" s="27"/>
      <c r="E245" s="76"/>
      <c r="F245" s="76"/>
      <c r="G245" s="76"/>
      <c r="H245" s="76"/>
      <c r="I245" s="41" t="s">
        <v>847</v>
      </c>
      <c r="J245" s="131"/>
      <c r="K245" s="131"/>
      <c r="L245" s="220" t="s">
        <v>848</v>
      </c>
      <c r="M245" s="220" t="s">
        <v>849</v>
      </c>
      <c r="N245" s="220" t="s">
        <v>850</v>
      </c>
      <c r="O245" s="220" t="s">
        <v>851</v>
      </c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</row>
    <row r="246">
      <c r="A246" s="25"/>
      <c r="B246" s="26"/>
      <c r="C246" s="26"/>
      <c r="D246" s="27"/>
      <c r="E246" s="76"/>
      <c r="F246" s="76"/>
      <c r="G246" s="76"/>
      <c r="H246" s="76"/>
      <c r="I246" s="44" t="s">
        <v>662</v>
      </c>
      <c r="J246" s="44" t="s">
        <v>400</v>
      </c>
      <c r="K246" s="44" t="s">
        <v>401</v>
      </c>
      <c r="L246" s="220"/>
      <c r="M246" s="220"/>
      <c r="N246" s="220"/>
      <c r="O246" s="220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</row>
    <row r="247">
      <c r="A247" s="25"/>
      <c r="B247" s="26"/>
      <c r="C247" s="26"/>
      <c r="D247" s="27"/>
      <c r="E247" s="76"/>
      <c r="F247" s="76"/>
      <c r="G247" s="76"/>
      <c r="H247" s="76"/>
      <c r="I247" s="385">
        <v>44927.0</v>
      </c>
      <c r="J247" s="380">
        <v>1075.0</v>
      </c>
      <c r="K247" s="380">
        <v>695.0</v>
      </c>
      <c r="L247" s="313">
        <f>IF(K247&lt;=J247,J247,)</f>
        <v>1075</v>
      </c>
      <c r="M247" s="313" t="str">
        <f>IF(K247&gt;=J247,K247,)</f>
        <v/>
      </c>
      <c r="N247" s="313" t="str">
        <f>IF(K247&gt;=J247,J247,)</f>
        <v/>
      </c>
      <c r="O247" s="313">
        <f>IF(K247&lt;=J247,K247,)</f>
        <v>695</v>
      </c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</row>
    <row r="248">
      <c r="A248" s="25"/>
      <c r="B248" s="26"/>
      <c r="C248" s="26"/>
      <c r="D248" s="27"/>
      <c r="E248" s="27"/>
      <c r="F248" s="27"/>
      <c r="G248" s="27"/>
      <c r="H248" s="27"/>
      <c r="I248" s="385">
        <v>44928.0</v>
      </c>
      <c r="J248" s="380">
        <v>1053.5</v>
      </c>
      <c r="K248" s="380">
        <v>695.0</v>
      </c>
      <c r="L248" s="313">
        <f t="shared" ref="L248:L336" si="68">IF(OR(K248&lt;=J248,AND(K248&gt;J248,K247&lt;=J247)),J248,)</f>
        <v>1053.5</v>
      </c>
      <c r="M248" s="313" t="str">
        <f t="shared" ref="M248:M336" si="69">IF(OR(K248&gt;=J248,AND(K248&lt;J248,K247&gt;=J247)),K248,)</f>
        <v/>
      </c>
      <c r="N248" s="313" t="str">
        <f t="shared" ref="N248:N336" si="70">IF(OR(K248&gt;=J248,AND(K248&lt;J248,K247&gt;=J247)),J248,)</f>
        <v/>
      </c>
      <c r="O248" s="313">
        <f t="shared" ref="O248:O336" si="71">IF(OR(K248&lt;=J248,AND(K248&gt;J248,K247&lt;=J247)),K248,)</f>
        <v>695</v>
      </c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</row>
    <row r="249">
      <c r="A249" s="25"/>
      <c r="B249" s="26"/>
      <c r="C249" s="26"/>
      <c r="D249" s="27"/>
      <c r="E249" s="27"/>
      <c r="F249" s="27"/>
      <c r="G249" s="27"/>
      <c r="H249" s="27"/>
      <c r="I249" s="385">
        <v>44929.0</v>
      </c>
      <c r="J249" s="380">
        <v>1021.895</v>
      </c>
      <c r="K249" s="380">
        <v>688.05</v>
      </c>
      <c r="L249" s="313">
        <f t="shared" si="68"/>
        <v>1021.895</v>
      </c>
      <c r="M249" s="313" t="str">
        <f t="shared" si="69"/>
        <v/>
      </c>
      <c r="N249" s="313" t="str">
        <f t="shared" si="70"/>
        <v/>
      </c>
      <c r="O249" s="313">
        <f t="shared" si="71"/>
        <v>688.05</v>
      </c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</row>
    <row r="250">
      <c r="A250" s="25"/>
      <c r="B250" s="26"/>
      <c r="C250" s="26"/>
      <c r="D250" s="27"/>
      <c r="E250" s="27"/>
      <c r="F250" s="27"/>
      <c r="G250" s="27"/>
      <c r="H250" s="27"/>
      <c r="I250" s="385">
        <v>44930.0</v>
      </c>
      <c r="J250" s="380">
        <v>1032.11395</v>
      </c>
      <c r="K250" s="380">
        <v>674.289</v>
      </c>
      <c r="L250" s="313">
        <f t="shared" si="68"/>
        <v>1032.11395</v>
      </c>
      <c r="M250" s="313" t="str">
        <f t="shared" si="69"/>
        <v/>
      </c>
      <c r="N250" s="313" t="str">
        <f t="shared" si="70"/>
        <v/>
      </c>
      <c r="O250" s="313">
        <f t="shared" si="71"/>
        <v>674.289</v>
      </c>
      <c r="P250" s="76"/>
      <c r="Q250" s="76"/>
      <c r="R250" s="76"/>
      <c r="S250" s="76"/>
      <c r="T250" s="233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</row>
    <row r="251">
      <c r="A251" s="25"/>
      <c r="B251" s="26"/>
      <c r="C251" s="26"/>
      <c r="D251" s="76"/>
      <c r="E251" s="27"/>
      <c r="F251" s="27"/>
      <c r="G251" s="27"/>
      <c r="H251" s="27"/>
      <c r="I251" s="385">
        <v>44931.0</v>
      </c>
      <c r="J251" s="380">
        <v>1042.4350894999998</v>
      </c>
      <c r="K251" s="380">
        <v>660.80322</v>
      </c>
      <c r="L251" s="313">
        <f t="shared" si="68"/>
        <v>1042.43509</v>
      </c>
      <c r="M251" s="313" t="str">
        <f t="shared" si="69"/>
        <v/>
      </c>
      <c r="N251" s="313" t="str">
        <f t="shared" si="70"/>
        <v/>
      </c>
      <c r="O251" s="313">
        <f t="shared" si="71"/>
        <v>660.80322</v>
      </c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</row>
    <row r="252">
      <c r="A252" s="25"/>
      <c r="B252" s="26"/>
      <c r="C252" s="26"/>
      <c r="D252" s="76"/>
      <c r="I252" s="385">
        <v>44932.0</v>
      </c>
      <c r="J252" s="380">
        <v>1052.8594403949999</v>
      </c>
      <c r="K252" s="380">
        <v>660.80322</v>
      </c>
      <c r="L252" s="313">
        <f t="shared" si="68"/>
        <v>1052.85944</v>
      </c>
      <c r="M252" s="313" t="str">
        <f t="shared" si="69"/>
        <v/>
      </c>
      <c r="N252" s="313" t="str">
        <f t="shared" si="70"/>
        <v/>
      </c>
      <c r="O252" s="313">
        <f t="shared" si="71"/>
        <v>660.80322</v>
      </c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</row>
    <row r="253">
      <c r="A253" s="25"/>
      <c r="B253" s="26"/>
      <c r="C253" s="26"/>
      <c r="D253" s="27"/>
      <c r="E253" s="27"/>
      <c r="F253" s="27"/>
      <c r="G253" s="27"/>
      <c r="H253" s="27"/>
      <c r="I253" s="385">
        <v>44933.0</v>
      </c>
      <c r="J253" s="380">
        <v>1042.33084599105</v>
      </c>
      <c r="K253" s="380">
        <v>647.5871556000001</v>
      </c>
      <c r="L253" s="313">
        <f t="shared" si="68"/>
        <v>1042.330846</v>
      </c>
      <c r="M253" s="313" t="str">
        <f t="shared" si="69"/>
        <v/>
      </c>
      <c r="N253" s="313" t="str">
        <f t="shared" si="70"/>
        <v/>
      </c>
      <c r="O253" s="313">
        <f t="shared" si="71"/>
        <v>647.5871556</v>
      </c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</row>
    <row r="254">
      <c r="A254" s="25"/>
      <c r="B254" s="26"/>
      <c r="C254" s="26"/>
      <c r="D254" s="27"/>
      <c r="E254" s="27"/>
      <c r="F254" s="27"/>
      <c r="G254" s="27"/>
      <c r="H254" s="27"/>
      <c r="I254" s="385">
        <v>44934.0</v>
      </c>
      <c r="J254" s="380">
        <v>1063.1774629108709</v>
      </c>
      <c r="K254" s="380">
        <v>634.635412488</v>
      </c>
      <c r="L254" s="313">
        <f t="shared" si="68"/>
        <v>1063.177463</v>
      </c>
      <c r="M254" s="313" t="str">
        <f t="shared" si="69"/>
        <v/>
      </c>
      <c r="N254" s="313" t="str">
        <f t="shared" si="70"/>
        <v/>
      </c>
      <c r="O254" s="313">
        <f t="shared" si="71"/>
        <v>634.6354125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</row>
    <row r="255">
      <c r="A255" s="25"/>
      <c r="B255" s="26"/>
      <c r="C255" s="26"/>
      <c r="D255" s="27"/>
      <c r="E255" s="27"/>
      <c r="F255" s="27"/>
      <c r="G255" s="27"/>
      <c r="H255" s="27"/>
      <c r="I255" s="385">
        <v>44935.0</v>
      </c>
      <c r="J255" s="380">
        <v>1052.545688281762</v>
      </c>
      <c r="K255" s="380">
        <v>628.28905836312</v>
      </c>
      <c r="L255" s="313">
        <f t="shared" si="68"/>
        <v>1052.545688</v>
      </c>
      <c r="M255" s="313" t="str">
        <f t="shared" si="69"/>
        <v/>
      </c>
      <c r="N255" s="313" t="str">
        <f t="shared" si="70"/>
        <v/>
      </c>
      <c r="O255" s="313">
        <f t="shared" si="71"/>
        <v>628.2890584</v>
      </c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</row>
    <row r="256">
      <c r="A256" s="25"/>
      <c r="B256" s="26"/>
      <c r="C256" s="26"/>
      <c r="D256" s="27"/>
      <c r="E256" s="27"/>
      <c r="F256" s="27"/>
      <c r="G256" s="27"/>
      <c r="H256" s="27"/>
      <c r="I256" s="385">
        <v>44936.0</v>
      </c>
      <c r="J256" s="380">
        <v>1042.0202313989444</v>
      </c>
      <c r="K256" s="380">
        <v>634.5719489467513</v>
      </c>
      <c r="L256" s="313">
        <f t="shared" si="68"/>
        <v>1042.020231</v>
      </c>
      <c r="M256" s="313" t="str">
        <f t="shared" si="69"/>
        <v/>
      </c>
      <c r="N256" s="313" t="str">
        <f t="shared" si="70"/>
        <v/>
      </c>
      <c r="O256" s="313">
        <f t="shared" si="71"/>
        <v>634.5719489</v>
      </c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</row>
    <row r="257">
      <c r="A257" s="25"/>
      <c r="B257" s="26"/>
      <c r="C257" s="26"/>
      <c r="D257" s="27"/>
      <c r="E257" s="27"/>
      <c r="F257" s="27"/>
      <c r="G257" s="27"/>
      <c r="H257" s="27"/>
      <c r="I257" s="385">
        <v>44937.0</v>
      </c>
      <c r="J257" s="380">
        <v>1031.600029084955</v>
      </c>
      <c r="K257" s="380">
        <v>621.8805099678162</v>
      </c>
      <c r="L257" s="313">
        <f t="shared" si="68"/>
        <v>1031.600029</v>
      </c>
      <c r="M257" s="313" t="str">
        <f t="shared" si="69"/>
        <v/>
      </c>
      <c r="N257" s="313" t="str">
        <f t="shared" si="70"/>
        <v/>
      </c>
      <c r="O257" s="313">
        <f t="shared" si="71"/>
        <v>621.88051</v>
      </c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</row>
    <row r="258">
      <c r="A258" s="25"/>
      <c r="B258" s="26"/>
      <c r="C258" s="26"/>
      <c r="D258" s="27"/>
      <c r="E258" s="27"/>
      <c r="F258" s="27"/>
      <c r="G258" s="27"/>
      <c r="H258" s="27"/>
      <c r="I258" s="385">
        <v>44938.0</v>
      </c>
      <c r="J258" s="380">
        <v>1000.6520282124063</v>
      </c>
      <c r="K258" s="380">
        <v>640.5369252668507</v>
      </c>
      <c r="L258" s="313">
        <f t="shared" si="68"/>
        <v>1000.652028</v>
      </c>
      <c r="M258" s="313" t="str">
        <f t="shared" si="69"/>
        <v/>
      </c>
      <c r="N258" s="313" t="str">
        <f t="shared" si="70"/>
        <v/>
      </c>
      <c r="O258" s="313">
        <f t="shared" si="71"/>
        <v>640.5369253</v>
      </c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</row>
    <row r="259">
      <c r="A259" s="25"/>
      <c r="B259" s="26"/>
      <c r="C259" s="26"/>
      <c r="D259" s="27"/>
      <c r="E259" s="27"/>
      <c r="F259" s="27"/>
      <c r="G259" s="27"/>
      <c r="H259" s="27"/>
      <c r="I259" s="385">
        <v>44939.0</v>
      </c>
      <c r="J259" s="380">
        <v>990.6455079302823</v>
      </c>
      <c r="K259" s="380">
        <v>627.7261867615138</v>
      </c>
      <c r="L259" s="313">
        <f t="shared" si="68"/>
        <v>990.6455079</v>
      </c>
      <c r="M259" s="313" t="str">
        <f t="shared" si="69"/>
        <v/>
      </c>
      <c r="N259" s="313" t="str">
        <f t="shared" si="70"/>
        <v/>
      </c>
      <c r="O259" s="313">
        <f t="shared" si="71"/>
        <v>627.7261868</v>
      </c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</row>
    <row r="260">
      <c r="A260" s="25"/>
      <c r="B260" s="26"/>
      <c r="C260" s="26"/>
      <c r="D260" s="27"/>
      <c r="E260" s="27"/>
      <c r="F260" s="27"/>
      <c r="G260" s="27"/>
      <c r="H260" s="27"/>
      <c r="I260" s="385">
        <v>44940.0</v>
      </c>
      <c r="J260" s="380">
        <v>980.7390528509795</v>
      </c>
      <c r="K260" s="380">
        <v>634.0034486291289</v>
      </c>
      <c r="L260" s="313">
        <f t="shared" si="68"/>
        <v>980.7390529</v>
      </c>
      <c r="M260" s="313" t="str">
        <f t="shared" si="69"/>
        <v/>
      </c>
      <c r="N260" s="313" t="str">
        <f t="shared" si="70"/>
        <v/>
      </c>
      <c r="O260" s="313">
        <f t="shared" si="71"/>
        <v>634.0034486</v>
      </c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</row>
    <row r="261">
      <c r="A261" s="25"/>
      <c r="B261" s="26"/>
      <c r="C261" s="26"/>
      <c r="D261" s="27"/>
      <c r="E261" s="27"/>
      <c r="F261" s="27"/>
      <c r="G261" s="27"/>
      <c r="H261" s="27"/>
      <c r="I261" s="385">
        <v>44941.0</v>
      </c>
      <c r="J261" s="380">
        <v>980.7390528509795</v>
      </c>
      <c r="K261" s="380">
        <v>646.6835176017115</v>
      </c>
      <c r="L261" s="313">
        <f t="shared" si="68"/>
        <v>980.7390529</v>
      </c>
      <c r="M261" s="313" t="str">
        <f t="shared" si="69"/>
        <v/>
      </c>
      <c r="N261" s="313" t="str">
        <f t="shared" si="70"/>
        <v/>
      </c>
      <c r="O261" s="313">
        <f t="shared" si="71"/>
        <v>646.6835176</v>
      </c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</row>
    <row r="262">
      <c r="A262" s="25"/>
      <c r="B262" s="26"/>
      <c r="C262" s="26"/>
      <c r="D262" s="27"/>
      <c r="E262" s="27"/>
      <c r="F262" s="27"/>
      <c r="G262" s="27"/>
      <c r="H262" s="27"/>
      <c r="I262" s="385">
        <v>44942.0</v>
      </c>
      <c r="J262" s="380">
        <v>951.3168812654502</v>
      </c>
      <c r="K262" s="380">
        <v>633.7498472496773</v>
      </c>
      <c r="L262" s="313">
        <f t="shared" si="68"/>
        <v>951.3168813</v>
      </c>
      <c r="M262" s="313" t="str">
        <f t="shared" si="69"/>
        <v/>
      </c>
      <c r="N262" s="313" t="str">
        <f t="shared" si="70"/>
        <v/>
      </c>
      <c r="O262" s="313">
        <f t="shared" si="71"/>
        <v>633.7498472</v>
      </c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</row>
    <row r="263">
      <c r="A263" s="25"/>
      <c r="B263" s="26"/>
      <c r="C263" s="26"/>
      <c r="D263" s="27"/>
      <c r="E263" s="27"/>
      <c r="F263" s="27"/>
      <c r="G263" s="27"/>
      <c r="H263" s="27"/>
      <c r="I263" s="385">
        <v>44943.0</v>
      </c>
      <c r="J263" s="380">
        <v>960.8300500781047</v>
      </c>
      <c r="K263" s="380">
        <v>633.7498472496773</v>
      </c>
      <c r="L263" s="313">
        <f t="shared" si="68"/>
        <v>960.8300501</v>
      </c>
      <c r="M263" s="313" t="str">
        <f t="shared" si="69"/>
        <v/>
      </c>
      <c r="N263" s="313" t="str">
        <f t="shared" si="70"/>
        <v/>
      </c>
      <c r="O263" s="313">
        <f t="shared" si="71"/>
        <v>633.7498472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</row>
    <row r="264">
      <c r="A264" s="25"/>
      <c r="B264" s="26"/>
      <c r="C264" s="26"/>
      <c r="D264" s="27"/>
      <c r="E264" s="27"/>
      <c r="F264" s="27"/>
      <c r="G264" s="27"/>
      <c r="H264" s="27"/>
      <c r="I264" s="385">
        <v>44944.0</v>
      </c>
      <c r="J264" s="380">
        <v>970.4383505788858</v>
      </c>
      <c r="K264" s="380">
        <v>652.7623426671676</v>
      </c>
      <c r="L264" s="313">
        <f t="shared" si="68"/>
        <v>970.4383506</v>
      </c>
      <c r="M264" s="313" t="str">
        <f t="shared" si="69"/>
        <v/>
      </c>
      <c r="N264" s="313" t="str">
        <f t="shared" si="70"/>
        <v/>
      </c>
      <c r="O264" s="313">
        <f t="shared" si="71"/>
        <v>652.7623427</v>
      </c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</row>
    <row r="265">
      <c r="A265" s="25"/>
      <c r="B265" s="26"/>
      <c r="C265" s="26"/>
      <c r="D265" s="27"/>
      <c r="E265" s="27"/>
      <c r="F265" s="27"/>
      <c r="G265" s="27"/>
      <c r="H265" s="27"/>
      <c r="I265" s="385">
        <v>44945.0</v>
      </c>
      <c r="J265" s="380">
        <v>960.7339670730969</v>
      </c>
      <c r="K265" s="380">
        <v>672.3452129471826</v>
      </c>
      <c r="L265" s="313">
        <f t="shared" si="68"/>
        <v>960.7339671</v>
      </c>
      <c r="M265" s="313" t="str">
        <f t="shared" si="69"/>
        <v/>
      </c>
      <c r="N265" s="313" t="str">
        <f t="shared" si="70"/>
        <v/>
      </c>
      <c r="O265" s="313">
        <f t="shared" si="71"/>
        <v>672.3452129</v>
      </c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</row>
    <row r="266">
      <c r="A266" s="25"/>
      <c r="B266" s="26"/>
      <c r="C266" s="26"/>
      <c r="D266" s="27"/>
      <c r="E266" s="27"/>
      <c r="F266" s="27"/>
      <c r="G266" s="27"/>
      <c r="H266" s="27"/>
      <c r="I266" s="385">
        <v>44946.0</v>
      </c>
      <c r="J266" s="380">
        <v>960.7339670730969</v>
      </c>
      <c r="K266" s="380">
        <v>672.3452129471826</v>
      </c>
      <c r="L266" s="313">
        <f t="shared" si="68"/>
        <v>960.7339671</v>
      </c>
      <c r="M266" s="313" t="str">
        <f t="shared" si="69"/>
        <v/>
      </c>
      <c r="N266" s="313" t="str">
        <f t="shared" si="70"/>
        <v/>
      </c>
      <c r="O266" s="313">
        <f t="shared" si="71"/>
        <v>672.3452129</v>
      </c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</row>
    <row r="267">
      <c r="A267" s="25"/>
      <c r="B267" s="26"/>
      <c r="C267" s="26"/>
      <c r="D267" s="27"/>
      <c r="E267" s="27"/>
      <c r="F267" s="27"/>
      <c r="G267" s="27"/>
      <c r="H267" s="27"/>
      <c r="I267" s="385">
        <v>44947.0</v>
      </c>
      <c r="J267" s="380">
        <v>941.519287731635</v>
      </c>
      <c r="K267" s="380">
        <v>692.5155693355981</v>
      </c>
      <c r="L267" s="313">
        <f t="shared" si="68"/>
        <v>941.5192877</v>
      </c>
      <c r="M267" s="313" t="str">
        <f t="shared" si="69"/>
        <v/>
      </c>
      <c r="N267" s="313" t="str">
        <f t="shared" si="70"/>
        <v/>
      </c>
      <c r="O267" s="313">
        <f t="shared" si="71"/>
        <v>692.5155693</v>
      </c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</row>
    <row r="268">
      <c r="A268" s="25"/>
      <c r="B268" s="26"/>
      <c r="C268" s="26"/>
      <c r="D268" s="27"/>
      <c r="E268" s="27"/>
      <c r="F268" s="27"/>
      <c r="G268" s="27"/>
      <c r="H268" s="27"/>
      <c r="I268" s="385">
        <v>44948.0</v>
      </c>
      <c r="J268" s="380">
        <v>922.6889019770024</v>
      </c>
      <c r="K268" s="380">
        <v>706.3658807223101</v>
      </c>
      <c r="L268" s="313">
        <f t="shared" si="68"/>
        <v>922.688902</v>
      </c>
      <c r="M268" s="313" t="str">
        <f t="shared" si="69"/>
        <v/>
      </c>
      <c r="N268" s="313" t="str">
        <f t="shared" si="70"/>
        <v/>
      </c>
      <c r="O268" s="313">
        <f t="shared" si="71"/>
        <v>706.3658807</v>
      </c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</row>
    <row r="269">
      <c r="A269" s="25"/>
      <c r="B269" s="26"/>
      <c r="C269" s="26"/>
      <c r="D269" s="27"/>
      <c r="E269" s="27"/>
      <c r="F269" s="27"/>
      <c r="G269" s="27"/>
      <c r="H269" s="27"/>
      <c r="I269" s="385">
        <v>44949.0</v>
      </c>
      <c r="J269" s="380">
        <v>922.6889019770024</v>
      </c>
      <c r="K269" s="380">
        <v>699.302221915087</v>
      </c>
      <c r="L269" s="313">
        <f t="shared" si="68"/>
        <v>922.688902</v>
      </c>
      <c r="M269" s="313" t="str">
        <f t="shared" si="69"/>
        <v/>
      </c>
      <c r="N269" s="313" t="str">
        <f t="shared" si="70"/>
        <v/>
      </c>
      <c r="O269" s="313">
        <f t="shared" si="71"/>
        <v>699.3022219</v>
      </c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</row>
    <row r="270">
      <c r="A270" s="25"/>
      <c r="B270" s="26"/>
      <c r="C270" s="26"/>
      <c r="D270" s="27"/>
      <c r="E270" s="27"/>
      <c r="F270" s="27"/>
      <c r="G270" s="27"/>
      <c r="H270" s="27"/>
      <c r="I270" s="385">
        <v>44950.0</v>
      </c>
      <c r="J270" s="380">
        <v>904.2351239374624</v>
      </c>
      <c r="K270" s="380">
        <v>713.2882663533887</v>
      </c>
      <c r="L270" s="313">
        <f t="shared" si="68"/>
        <v>904.2351239</v>
      </c>
      <c r="M270" s="313" t="str">
        <f t="shared" si="69"/>
        <v/>
      </c>
      <c r="N270" s="313" t="str">
        <f t="shared" si="70"/>
        <v/>
      </c>
      <c r="O270" s="313">
        <f t="shared" si="71"/>
        <v>713.2882664</v>
      </c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</row>
    <row r="271">
      <c r="A271" s="25"/>
      <c r="B271" s="26"/>
      <c r="C271" s="26"/>
      <c r="D271" s="27"/>
      <c r="E271" s="27"/>
      <c r="F271" s="27"/>
      <c r="G271" s="27"/>
      <c r="H271" s="27"/>
      <c r="I271" s="385">
        <v>44951.0</v>
      </c>
      <c r="J271" s="380">
        <v>877.1080702193385</v>
      </c>
      <c r="K271" s="380">
        <v>699.0225010263209</v>
      </c>
      <c r="L271" s="313">
        <f t="shared" si="68"/>
        <v>877.1080702</v>
      </c>
      <c r="M271" s="313" t="str">
        <f t="shared" si="69"/>
        <v/>
      </c>
      <c r="N271" s="313" t="str">
        <f t="shared" si="70"/>
        <v/>
      </c>
      <c r="O271" s="313">
        <f t="shared" si="71"/>
        <v>699.022501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</row>
    <row r="272">
      <c r="A272" s="25"/>
      <c r="B272" s="26"/>
      <c r="C272" s="26"/>
      <c r="D272" s="27"/>
      <c r="E272" s="27"/>
      <c r="F272" s="27"/>
      <c r="G272" s="27"/>
      <c r="H272" s="27"/>
      <c r="I272" s="385">
        <v>44952.0</v>
      </c>
      <c r="J272" s="380">
        <v>850.7948281127584</v>
      </c>
      <c r="K272" s="380">
        <v>699.0225010263209</v>
      </c>
      <c r="L272" s="313">
        <f t="shared" si="68"/>
        <v>850.7948281</v>
      </c>
      <c r="M272" s="313" t="str">
        <f t="shared" si="69"/>
        <v/>
      </c>
      <c r="N272" s="313" t="str">
        <f t="shared" si="70"/>
        <v/>
      </c>
      <c r="O272" s="313">
        <f t="shared" si="71"/>
        <v>699.022501</v>
      </c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</row>
    <row r="273">
      <c r="A273" s="25"/>
      <c r="B273" s="26"/>
      <c r="C273" s="26"/>
      <c r="D273" s="27"/>
      <c r="E273" s="27"/>
      <c r="F273" s="27"/>
      <c r="G273" s="27"/>
      <c r="H273" s="27"/>
      <c r="I273" s="385">
        <v>44953.0</v>
      </c>
      <c r="J273" s="380">
        <v>859.302776393886</v>
      </c>
      <c r="K273" s="380">
        <v>706.012726036584</v>
      </c>
      <c r="L273" s="313">
        <f t="shared" si="68"/>
        <v>859.3027764</v>
      </c>
      <c r="M273" s="313" t="str">
        <f t="shared" si="69"/>
        <v/>
      </c>
      <c r="N273" s="313" t="str">
        <f t="shared" si="70"/>
        <v/>
      </c>
      <c r="O273" s="313">
        <f t="shared" si="71"/>
        <v>706.012726</v>
      </c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</row>
    <row r="274">
      <c r="A274" s="25"/>
      <c r="B274" s="26"/>
      <c r="C274" s="26"/>
      <c r="D274" s="27"/>
      <c r="E274" s="27"/>
      <c r="F274" s="27"/>
      <c r="G274" s="27"/>
      <c r="H274" s="27"/>
      <c r="I274" s="385">
        <v>44954.0</v>
      </c>
      <c r="J274" s="380">
        <v>859.302776393886</v>
      </c>
      <c r="K274" s="380">
        <v>727.1931078176816</v>
      </c>
      <c r="L274" s="313">
        <f t="shared" si="68"/>
        <v>859.3027764</v>
      </c>
      <c r="M274" s="313" t="str">
        <f t="shared" si="69"/>
        <v/>
      </c>
      <c r="N274" s="313" t="str">
        <f t="shared" si="70"/>
        <v/>
      </c>
      <c r="O274" s="313">
        <f t="shared" si="71"/>
        <v>727.1931078</v>
      </c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</row>
    <row r="275">
      <c r="A275" s="25"/>
      <c r="B275" s="26"/>
      <c r="C275" s="26"/>
      <c r="D275" s="27"/>
      <c r="E275" s="27"/>
      <c r="F275" s="27"/>
      <c r="G275" s="27"/>
      <c r="H275" s="27"/>
      <c r="I275" s="385">
        <v>44955.0</v>
      </c>
      <c r="J275" s="380">
        <v>859.302776393886</v>
      </c>
      <c r="K275" s="380">
        <v>712.649245661328</v>
      </c>
      <c r="L275" s="313">
        <f t="shared" si="68"/>
        <v>859.3027764</v>
      </c>
      <c r="M275" s="313" t="str">
        <f t="shared" si="69"/>
        <v/>
      </c>
      <c r="N275" s="313" t="str">
        <f t="shared" si="70"/>
        <v/>
      </c>
      <c r="O275" s="313">
        <f t="shared" si="71"/>
        <v>712.6492457</v>
      </c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</row>
    <row r="276" collapsed="1">
      <c r="A276" s="25"/>
      <c r="B276" s="26"/>
      <c r="C276" s="26"/>
      <c r="D276" s="27"/>
      <c r="E276" s="27"/>
      <c r="F276" s="27"/>
      <c r="G276" s="27"/>
      <c r="H276" s="27"/>
      <c r="I276" s="385">
        <v>44956.0</v>
      </c>
      <c r="J276" s="380">
        <v>833.5236931020694</v>
      </c>
      <c r="K276" s="380">
        <v>712.649245661328</v>
      </c>
      <c r="L276" s="313">
        <f t="shared" si="68"/>
        <v>833.5236931</v>
      </c>
      <c r="M276" s="313" t="str">
        <f t="shared" si="69"/>
        <v/>
      </c>
      <c r="N276" s="313" t="str">
        <f t="shared" si="70"/>
        <v/>
      </c>
      <c r="O276" s="313">
        <f t="shared" si="71"/>
        <v>712.6492457</v>
      </c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</row>
    <row r="277" hidden="1" outlineLevel="1">
      <c r="A277" s="25"/>
      <c r="B277" s="26"/>
      <c r="C277" s="26"/>
      <c r="D277" s="27"/>
      <c r="E277" s="27"/>
      <c r="F277" s="27"/>
      <c r="G277" s="27"/>
      <c r="H277" s="27"/>
      <c r="I277" s="385">
        <v>44957.0</v>
      </c>
      <c r="J277" s="380">
        <v>825.1884561710488</v>
      </c>
      <c r="K277" s="380">
        <v>712.649245661328</v>
      </c>
      <c r="L277" s="313">
        <f t="shared" si="68"/>
        <v>825.1884562</v>
      </c>
      <c r="M277" s="313" t="str">
        <f t="shared" si="69"/>
        <v/>
      </c>
      <c r="N277" s="313" t="str">
        <f t="shared" si="70"/>
        <v/>
      </c>
      <c r="O277" s="313">
        <f t="shared" si="71"/>
        <v>712.6492457</v>
      </c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</row>
    <row r="278" hidden="1" outlineLevel="1">
      <c r="A278" s="25"/>
      <c r="B278" s="26"/>
      <c r="C278" s="26"/>
      <c r="D278" s="27"/>
      <c r="E278" s="27"/>
      <c r="F278" s="27"/>
      <c r="G278" s="27"/>
      <c r="H278" s="27"/>
      <c r="I278" s="385">
        <v>44958.0</v>
      </c>
      <c r="J278" s="380">
        <v>841.6922252944697</v>
      </c>
      <c r="K278" s="380">
        <v>726.9022305745546</v>
      </c>
      <c r="L278" s="313">
        <f t="shared" si="68"/>
        <v>841.6922253</v>
      </c>
      <c r="M278" s="313" t="str">
        <f t="shared" si="69"/>
        <v/>
      </c>
      <c r="N278" s="313" t="str">
        <f t="shared" si="70"/>
        <v/>
      </c>
      <c r="O278" s="313">
        <f t="shared" si="71"/>
        <v>726.9022306</v>
      </c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</row>
    <row r="279" hidden="1" outlineLevel="1">
      <c r="A279" s="25"/>
      <c r="B279" s="26"/>
      <c r="C279" s="26"/>
      <c r="D279" s="27"/>
      <c r="E279" s="27"/>
      <c r="F279" s="27"/>
      <c r="G279" s="27"/>
      <c r="H279" s="27"/>
      <c r="I279" s="385">
        <v>44959.0</v>
      </c>
      <c r="J279" s="380">
        <v>816.4414585356357</v>
      </c>
      <c r="K279" s="380">
        <v>748.7092974917912</v>
      </c>
      <c r="L279" s="313">
        <f t="shared" si="68"/>
        <v>816.4414585</v>
      </c>
      <c r="M279" s="313" t="str">
        <f t="shared" si="69"/>
        <v/>
      </c>
      <c r="N279" s="313" t="str">
        <f t="shared" si="70"/>
        <v/>
      </c>
      <c r="O279" s="313">
        <f t="shared" si="71"/>
        <v>748.7092975</v>
      </c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</row>
    <row r="280" hidden="1" outlineLevel="1">
      <c r="A280" s="25"/>
      <c r="B280" s="26"/>
      <c r="C280" s="26"/>
      <c r="D280" s="27"/>
      <c r="E280" s="27"/>
      <c r="F280" s="27"/>
      <c r="G280" s="27"/>
      <c r="H280" s="27"/>
      <c r="I280" s="385">
        <v>44960.0</v>
      </c>
      <c r="J280" s="380">
        <v>832.7702877063483</v>
      </c>
      <c r="K280" s="380">
        <v>763.683483441627</v>
      </c>
      <c r="L280" s="313">
        <f t="shared" si="68"/>
        <v>832.7702877</v>
      </c>
      <c r="M280" s="313" t="str">
        <f t="shared" si="69"/>
        <v/>
      </c>
      <c r="N280" s="313" t="str">
        <f t="shared" si="70"/>
        <v/>
      </c>
      <c r="O280" s="313">
        <f t="shared" si="71"/>
        <v>763.6834834</v>
      </c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</row>
    <row r="281" hidden="1" outlineLevel="1">
      <c r="A281" s="25"/>
      <c r="B281" s="26"/>
      <c r="C281" s="26"/>
      <c r="D281" s="27"/>
      <c r="E281" s="27"/>
      <c r="F281" s="27"/>
      <c r="G281" s="27"/>
      <c r="H281" s="27"/>
      <c r="I281" s="385">
        <v>44961.0</v>
      </c>
      <c r="J281" s="380">
        <v>816.1148819522214</v>
      </c>
      <c r="K281" s="380">
        <v>778.9571531104594</v>
      </c>
      <c r="L281" s="313">
        <f t="shared" si="68"/>
        <v>816.114882</v>
      </c>
      <c r="M281" s="313" t="str">
        <f t="shared" si="69"/>
        <v/>
      </c>
      <c r="N281" s="313" t="str">
        <f t="shared" si="70"/>
        <v/>
      </c>
      <c r="O281" s="313">
        <f t="shared" si="71"/>
        <v>778.9571531</v>
      </c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</row>
    <row r="282" hidden="1" outlineLevel="1">
      <c r="A282" s="25"/>
      <c r="B282" s="26"/>
      <c r="C282" s="26"/>
      <c r="D282" s="27"/>
      <c r="E282" s="27"/>
      <c r="F282" s="27"/>
      <c r="G282" s="27"/>
      <c r="H282" s="27"/>
      <c r="I282" s="385">
        <v>44962.0</v>
      </c>
      <c r="J282" s="380">
        <v>799.7925843131769</v>
      </c>
      <c r="K282" s="380">
        <v>802.3258677037733</v>
      </c>
      <c r="L282" s="313">
        <f t="shared" si="68"/>
        <v>799.7925843</v>
      </c>
      <c r="M282" s="313">
        <f t="shared" si="69"/>
        <v>802.3258677</v>
      </c>
      <c r="N282" s="313">
        <f t="shared" si="70"/>
        <v>799.7925843</v>
      </c>
      <c r="O282" s="313">
        <f t="shared" si="71"/>
        <v>802.3258677</v>
      </c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</row>
    <row r="283" hidden="1" outlineLevel="1">
      <c r="A283" s="25"/>
      <c r="B283" s="26"/>
      <c r="C283" s="26"/>
      <c r="D283" s="27"/>
      <c r="E283" s="27"/>
      <c r="F283" s="27"/>
      <c r="G283" s="27"/>
      <c r="H283" s="27"/>
      <c r="I283" s="385">
        <v>44963.0</v>
      </c>
      <c r="J283" s="380">
        <v>775.7988067837816</v>
      </c>
      <c r="K283" s="380">
        <v>818.3723850578488</v>
      </c>
      <c r="L283" s="313" t="str">
        <f t="shared" si="68"/>
        <v/>
      </c>
      <c r="M283" s="313">
        <f t="shared" si="69"/>
        <v>818.3723851</v>
      </c>
      <c r="N283" s="313">
        <f t="shared" si="70"/>
        <v>775.7988068</v>
      </c>
      <c r="O283" s="313" t="str">
        <f t="shared" si="71"/>
        <v/>
      </c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</row>
    <row r="284" hidden="1" outlineLevel="1">
      <c r="A284" s="25"/>
      <c r="B284" s="26"/>
      <c r="C284" s="26"/>
      <c r="D284" s="27"/>
      <c r="E284" s="27"/>
      <c r="F284" s="27"/>
      <c r="G284" s="27"/>
      <c r="H284" s="27"/>
      <c r="I284" s="385">
        <v>44964.0</v>
      </c>
      <c r="J284" s="380">
        <v>768.0408187159437</v>
      </c>
      <c r="K284" s="380">
        <v>810.1886612072703</v>
      </c>
      <c r="L284" s="313" t="str">
        <f t="shared" si="68"/>
        <v/>
      </c>
      <c r="M284" s="313">
        <f t="shared" si="69"/>
        <v>810.1886612</v>
      </c>
      <c r="N284" s="313">
        <f t="shared" si="70"/>
        <v>768.0408187</v>
      </c>
      <c r="O284" s="313" t="str">
        <f t="shared" si="71"/>
        <v/>
      </c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</row>
    <row r="285" hidden="1" outlineLevel="1">
      <c r="A285" s="25"/>
      <c r="B285" s="26"/>
      <c r="C285" s="26"/>
      <c r="D285" s="27"/>
      <c r="E285" s="27"/>
      <c r="F285" s="27"/>
      <c r="G285" s="27"/>
      <c r="H285" s="27"/>
      <c r="I285" s="385">
        <v>44965.0</v>
      </c>
      <c r="J285" s="380">
        <v>760.3604105287843</v>
      </c>
      <c r="K285" s="380">
        <v>834.4943210434884</v>
      </c>
      <c r="L285" s="313" t="str">
        <f t="shared" si="68"/>
        <v/>
      </c>
      <c r="M285" s="313">
        <f t="shared" si="69"/>
        <v>834.494321</v>
      </c>
      <c r="N285" s="313">
        <f t="shared" si="70"/>
        <v>760.3604105</v>
      </c>
      <c r="O285" s="313" t="str">
        <f t="shared" si="71"/>
        <v/>
      </c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</row>
    <row r="286" hidden="1" outlineLevel="1">
      <c r="A286" s="25"/>
      <c r="B286" s="26"/>
      <c r="C286" s="26"/>
      <c r="D286" s="27"/>
      <c r="E286" s="27"/>
      <c r="F286" s="27"/>
      <c r="G286" s="27"/>
      <c r="H286" s="27"/>
      <c r="I286" s="385">
        <v>44966.0</v>
      </c>
      <c r="J286" s="380">
        <v>767.9640146340722</v>
      </c>
      <c r="K286" s="380">
        <v>834.4943210434884</v>
      </c>
      <c r="L286" s="313" t="str">
        <f t="shared" si="68"/>
        <v/>
      </c>
      <c r="M286" s="313">
        <f t="shared" si="69"/>
        <v>834.494321</v>
      </c>
      <c r="N286" s="313">
        <f t="shared" si="70"/>
        <v>767.9640146</v>
      </c>
      <c r="O286" s="313" t="str">
        <f t="shared" si="71"/>
        <v/>
      </c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</row>
    <row r="287" hidden="1" outlineLevel="1">
      <c r="A287" s="25"/>
      <c r="B287" s="26"/>
      <c r="C287" s="26"/>
      <c r="D287" s="27"/>
      <c r="E287" s="27"/>
      <c r="F287" s="27"/>
      <c r="G287" s="27"/>
      <c r="H287" s="27"/>
      <c r="I287" s="385">
        <v>44967.0</v>
      </c>
      <c r="J287" s="380">
        <v>744.9250941950501</v>
      </c>
      <c r="K287" s="380">
        <v>851.1842074643582</v>
      </c>
      <c r="L287" s="313" t="str">
        <f t="shared" si="68"/>
        <v/>
      </c>
      <c r="M287" s="313">
        <f t="shared" si="69"/>
        <v>851.1842075</v>
      </c>
      <c r="N287" s="313">
        <f t="shared" si="70"/>
        <v>744.9250942</v>
      </c>
      <c r="O287" s="313" t="str">
        <f t="shared" si="71"/>
        <v/>
      </c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</row>
    <row r="288" hidden="1" outlineLevel="1">
      <c r="A288" s="25"/>
      <c r="B288" s="26"/>
      <c r="C288" s="26"/>
      <c r="D288" s="27"/>
      <c r="E288" s="27"/>
      <c r="F288" s="27"/>
      <c r="G288" s="27"/>
      <c r="H288" s="27"/>
      <c r="I288" s="385">
        <v>44968.0</v>
      </c>
      <c r="J288" s="380">
        <v>722.5773413691985</v>
      </c>
      <c r="K288" s="380">
        <v>868.2078916136453</v>
      </c>
      <c r="L288" s="313" t="str">
        <f t="shared" si="68"/>
        <v/>
      </c>
      <c r="M288" s="313">
        <f t="shared" si="69"/>
        <v>868.2078916</v>
      </c>
      <c r="N288" s="313">
        <f t="shared" si="70"/>
        <v>722.5773414</v>
      </c>
      <c r="O288" s="313" t="str">
        <f t="shared" si="71"/>
        <v/>
      </c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</row>
    <row r="289" hidden="1" outlineLevel="1">
      <c r="A289" s="25"/>
      <c r="B289" s="26"/>
      <c r="C289" s="26"/>
      <c r="D289" s="27"/>
      <c r="E289" s="27"/>
      <c r="F289" s="27"/>
      <c r="G289" s="27"/>
      <c r="H289" s="27"/>
      <c r="I289" s="385">
        <v>44969.0</v>
      </c>
      <c r="J289" s="380">
        <v>708.1257945418146</v>
      </c>
      <c r="K289" s="380">
        <v>868.2078916136453</v>
      </c>
      <c r="L289" s="313" t="str">
        <f t="shared" si="68"/>
        <v/>
      </c>
      <c r="M289" s="313">
        <f t="shared" si="69"/>
        <v>868.2078916</v>
      </c>
      <c r="N289" s="313">
        <f t="shared" si="70"/>
        <v>708.1257945</v>
      </c>
      <c r="O289" s="313" t="str">
        <f t="shared" si="71"/>
        <v/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</row>
    <row r="290" hidden="1" outlineLevel="1">
      <c r="A290" s="25"/>
      <c r="B290" s="26"/>
      <c r="C290" s="26"/>
      <c r="D290" s="27"/>
      <c r="E290" s="27"/>
      <c r="F290" s="27"/>
      <c r="G290" s="27"/>
      <c r="H290" s="27"/>
      <c r="I290" s="385">
        <v>44970.0</v>
      </c>
      <c r="J290" s="380">
        <v>686.8820207055601</v>
      </c>
      <c r="K290" s="380">
        <v>894.2541283620546</v>
      </c>
      <c r="L290" s="313" t="str">
        <f t="shared" si="68"/>
        <v/>
      </c>
      <c r="M290" s="313">
        <f t="shared" si="69"/>
        <v>894.2541284</v>
      </c>
      <c r="N290" s="313">
        <f t="shared" si="70"/>
        <v>686.8820207</v>
      </c>
      <c r="O290" s="313" t="str">
        <f t="shared" si="71"/>
        <v/>
      </c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</row>
    <row r="291" hidden="1" outlineLevel="1">
      <c r="A291" s="25"/>
      <c r="B291" s="26"/>
      <c r="C291" s="26"/>
      <c r="D291" s="27"/>
      <c r="E291" s="27"/>
      <c r="F291" s="27"/>
      <c r="G291" s="27"/>
      <c r="H291" s="27"/>
      <c r="I291" s="385">
        <v>44971.0</v>
      </c>
      <c r="J291" s="380">
        <v>700.6196611196713</v>
      </c>
      <c r="K291" s="380">
        <v>903.1966696456751</v>
      </c>
      <c r="L291" s="313" t="str">
        <f t="shared" si="68"/>
        <v/>
      </c>
      <c r="M291" s="313">
        <f t="shared" si="69"/>
        <v>903.1966696</v>
      </c>
      <c r="N291" s="313">
        <f t="shared" si="70"/>
        <v>700.6196611</v>
      </c>
      <c r="O291" s="313" t="str">
        <f t="shared" si="71"/>
        <v/>
      </c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</row>
    <row r="292" hidden="1" outlineLevel="1">
      <c r="A292" s="25"/>
      <c r="B292" s="26"/>
      <c r="C292" s="26"/>
      <c r="D292" s="27"/>
      <c r="E292" s="27"/>
      <c r="F292" s="27"/>
      <c r="G292" s="27"/>
      <c r="H292" s="27"/>
      <c r="I292" s="385">
        <v>44972.0</v>
      </c>
      <c r="J292" s="380">
        <v>700.6196611196713</v>
      </c>
      <c r="K292" s="380">
        <v>894.1647029492183</v>
      </c>
      <c r="L292" s="313" t="str">
        <f t="shared" si="68"/>
        <v/>
      </c>
      <c r="M292" s="313">
        <f t="shared" si="69"/>
        <v>894.1647029</v>
      </c>
      <c r="N292" s="313">
        <f t="shared" si="70"/>
        <v>700.6196611</v>
      </c>
      <c r="O292" s="313" t="str">
        <f t="shared" si="71"/>
        <v/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</row>
    <row r="293" hidden="1" outlineLevel="1">
      <c r="A293" s="25"/>
      <c r="B293" s="26"/>
      <c r="C293" s="26"/>
      <c r="D293" s="27"/>
      <c r="E293" s="27"/>
      <c r="F293" s="27"/>
      <c r="G293" s="27"/>
      <c r="H293" s="27"/>
      <c r="I293" s="385">
        <v>44973.0</v>
      </c>
      <c r="J293" s="380">
        <v>679.6010712860812</v>
      </c>
      <c r="K293" s="380">
        <v>912.0479970082026</v>
      </c>
      <c r="L293" s="313" t="str">
        <f t="shared" si="68"/>
        <v/>
      </c>
      <c r="M293" s="313">
        <f t="shared" si="69"/>
        <v>912.047997</v>
      </c>
      <c r="N293" s="313">
        <f t="shared" si="70"/>
        <v>679.6010713</v>
      </c>
      <c r="O293" s="313" t="str">
        <f t="shared" si="71"/>
        <v/>
      </c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</row>
    <row r="294" hidden="1" outlineLevel="1">
      <c r="A294" s="25"/>
      <c r="B294" s="26"/>
      <c r="C294" s="26"/>
      <c r="D294" s="27"/>
      <c r="E294" s="27"/>
      <c r="F294" s="27"/>
      <c r="G294" s="27"/>
      <c r="H294" s="27"/>
      <c r="I294" s="385">
        <v>44974.0</v>
      </c>
      <c r="J294" s="380">
        <v>693.1930927118027</v>
      </c>
      <c r="K294" s="380">
        <v>902.9275170381205</v>
      </c>
      <c r="L294" s="313" t="str">
        <f t="shared" si="68"/>
        <v/>
      </c>
      <c r="M294" s="313">
        <f t="shared" si="69"/>
        <v>902.927517</v>
      </c>
      <c r="N294" s="313">
        <f t="shared" si="70"/>
        <v>693.1930927</v>
      </c>
      <c r="O294" s="313" t="str">
        <f t="shared" si="71"/>
        <v/>
      </c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</row>
    <row r="295" hidden="1" outlineLevel="1">
      <c r="A295" s="25"/>
      <c r="B295" s="26"/>
      <c r="C295" s="26"/>
      <c r="D295" s="27"/>
      <c r="E295" s="27"/>
      <c r="F295" s="27"/>
      <c r="G295" s="27"/>
      <c r="H295" s="27"/>
      <c r="I295" s="385">
        <v>44975.0</v>
      </c>
      <c r="J295" s="380">
        <v>686.2611617846846</v>
      </c>
      <c r="K295" s="380">
        <v>893.8982418677392</v>
      </c>
      <c r="L295" s="313" t="str">
        <f t="shared" si="68"/>
        <v/>
      </c>
      <c r="M295" s="313">
        <f t="shared" si="69"/>
        <v>893.8982419</v>
      </c>
      <c r="N295" s="313">
        <f t="shared" si="70"/>
        <v>686.2611618</v>
      </c>
      <c r="O295" s="313" t="str">
        <f t="shared" si="71"/>
        <v/>
      </c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</row>
    <row r="296" hidden="1" outlineLevel="1">
      <c r="A296" s="25"/>
      <c r="B296" s="26"/>
      <c r="C296" s="26"/>
      <c r="D296" s="27"/>
      <c r="E296" s="27"/>
      <c r="F296" s="27"/>
      <c r="G296" s="27"/>
      <c r="H296" s="27"/>
      <c r="I296" s="385">
        <v>44976.0</v>
      </c>
      <c r="J296" s="380">
        <v>686.2611617846846</v>
      </c>
      <c r="K296" s="380">
        <v>902.8372242864166</v>
      </c>
      <c r="L296" s="313" t="str">
        <f t="shared" si="68"/>
        <v/>
      </c>
      <c r="M296" s="313">
        <f t="shared" si="69"/>
        <v>902.8372243</v>
      </c>
      <c r="N296" s="313">
        <f t="shared" si="70"/>
        <v>686.2611618</v>
      </c>
      <c r="O296" s="313" t="str">
        <f t="shared" si="71"/>
        <v/>
      </c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</row>
    <row r="297" hidden="1" outlineLevel="1">
      <c r="A297" s="25"/>
      <c r="B297" s="26"/>
      <c r="C297" s="26"/>
      <c r="D297" s="27"/>
      <c r="E297" s="27"/>
      <c r="F297" s="27"/>
      <c r="G297" s="27"/>
      <c r="H297" s="27"/>
      <c r="I297" s="385">
        <v>44977.0</v>
      </c>
      <c r="J297" s="380">
        <v>672.535938548991</v>
      </c>
      <c r="K297" s="380">
        <v>920.8939687721448</v>
      </c>
      <c r="L297" s="313" t="str">
        <f t="shared" si="68"/>
        <v/>
      </c>
      <c r="M297" s="313">
        <f t="shared" si="69"/>
        <v>920.8939688</v>
      </c>
      <c r="N297" s="313">
        <f t="shared" si="70"/>
        <v>672.5359385</v>
      </c>
      <c r="O297" s="313" t="str">
        <f t="shared" si="71"/>
        <v/>
      </c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</row>
    <row r="298" hidden="1" outlineLevel="1">
      <c r="A298" s="25"/>
      <c r="B298" s="26"/>
      <c r="C298" s="26"/>
      <c r="D298" s="27"/>
      <c r="E298" s="27"/>
      <c r="F298" s="27"/>
      <c r="G298" s="27"/>
      <c r="H298" s="27"/>
      <c r="I298" s="385">
        <v>44978.0</v>
      </c>
      <c r="J298" s="380">
        <v>659.0852197780113</v>
      </c>
      <c r="K298" s="380">
        <v>939.3118481475877</v>
      </c>
      <c r="L298" s="313" t="str">
        <f t="shared" si="68"/>
        <v/>
      </c>
      <c r="M298" s="313">
        <f t="shared" si="69"/>
        <v>939.3118481</v>
      </c>
      <c r="N298" s="313">
        <f t="shared" si="70"/>
        <v>659.0852198</v>
      </c>
      <c r="O298" s="313" t="str">
        <f t="shared" si="71"/>
        <v/>
      </c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</row>
    <row r="299" hidden="1" outlineLevel="1">
      <c r="A299" s="25"/>
      <c r="B299" s="26"/>
      <c r="C299" s="26"/>
      <c r="D299" s="27"/>
      <c r="E299" s="27"/>
      <c r="F299" s="27"/>
      <c r="G299" s="27"/>
      <c r="H299" s="27"/>
      <c r="I299" s="385">
        <v>44979.0</v>
      </c>
      <c r="J299" s="380">
        <v>652.4943675802311</v>
      </c>
      <c r="K299" s="380">
        <v>948.7049666290636</v>
      </c>
      <c r="L299" s="313" t="str">
        <f t="shared" si="68"/>
        <v/>
      </c>
      <c r="M299" s="313">
        <f t="shared" si="69"/>
        <v>948.7049666</v>
      </c>
      <c r="N299" s="313">
        <f t="shared" si="70"/>
        <v>652.4943676</v>
      </c>
      <c r="O299" s="313" t="str">
        <f t="shared" si="71"/>
        <v/>
      </c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</row>
    <row r="300" hidden="1" outlineLevel="1">
      <c r="A300" s="25"/>
      <c r="B300" s="26"/>
      <c r="C300" s="26"/>
      <c r="D300" s="27"/>
      <c r="E300" s="27"/>
      <c r="F300" s="27"/>
      <c r="G300" s="27"/>
      <c r="H300" s="27"/>
      <c r="I300" s="385">
        <v>44980.0</v>
      </c>
      <c r="J300" s="380">
        <v>645.9694239044288</v>
      </c>
      <c r="K300" s="380">
        <v>967.6790659616449</v>
      </c>
      <c r="L300" s="313" t="str">
        <f t="shared" si="68"/>
        <v/>
      </c>
      <c r="M300" s="313">
        <f t="shared" si="69"/>
        <v>967.679066</v>
      </c>
      <c r="N300" s="313">
        <f t="shared" si="70"/>
        <v>645.9694239</v>
      </c>
      <c r="O300" s="313" t="str">
        <f t="shared" si="71"/>
        <v/>
      </c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</row>
    <row r="301" hidden="1" outlineLevel="1">
      <c r="A301" s="25"/>
      <c r="B301" s="26"/>
      <c r="C301" s="26"/>
      <c r="D301" s="27"/>
      <c r="E301" s="27"/>
      <c r="F301" s="27"/>
      <c r="G301" s="27"/>
      <c r="H301" s="27"/>
      <c r="I301" s="385">
        <v>44981.0</v>
      </c>
      <c r="J301" s="380">
        <v>633.0500354263403</v>
      </c>
      <c r="K301" s="380">
        <v>977.3558566212613</v>
      </c>
      <c r="L301" s="313" t="str">
        <f t="shared" si="68"/>
        <v/>
      </c>
      <c r="M301" s="313">
        <f t="shared" si="69"/>
        <v>977.3558566</v>
      </c>
      <c r="N301" s="313">
        <f t="shared" si="70"/>
        <v>633.0500354</v>
      </c>
      <c r="O301" s="313" t="str">
        <f t="shared" si="71"/>
        <v/>
      </c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</row>
    <row r="302" hidden="1" outlineLevel="1">
      <c r="A302" s="25"/>
      <c r="B302" s="26"/>
      <c r="C302" s="26"/>
      <c r="D302" s="27"/>
      <c r="E302" s="27"/>
      <c r="F302" s="27"/>
      <c r="G302" s="27"/>
      <c r="H302" s="27"/>
      <c r="I302" s="385">
        <v>44982.0</v>
      </c>
      <c r="J302" s="380">
        <v>620.3890347178135</v>
      </c>
      <c r="K302" s="380">
        <v>967.5822980550488</v>
      </c>
      <c r="L302" s="313" t="str">
        <f t="shared" si="68"/>
        <v/>
      </c>
      <c r="M302" s="313">
        <f t="shared" si="69"/>
        <v>967.5822981</v>
      </c>
      <c r="N302" s="313">
        <f t="shared" si="70"/>
        <v>620.3890347</v>
      </c>
      <c r="O302" s="313" t="str">
        <f t="shared" si="71"/>
        <v/>
      </c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</row>
    <row r="303" hidden="1" outlineLevel="1">
      <c r="A303" s="25"/>
      <c r="B303" s="26"/>
      <c r="C303" s="26"/>
      <c r="D303" s="27"/>
      <c r="E303" s="27"/>
      <c r="F303" s="27"/>
      <c r="G303" s="27"/>
      <c r="H303" s="27"/>
      <c r="I303" s="385">
        <v>44983.0</v>
      </c>
      <c r="J303" s="380">
        <v>626.5929250649916</v>
      </c>
      <c r="K303" s="380">
        <v>948.2306520939478</v>
      </c>
      <c r="L303" s="313" t="str">
        <f t="shared" si="68"/>
        <v/>
      </c>
      <c r="M303" s="313">
        <f t="shared" si="69"/>
        <v>948.2306521</v>
      </c>
      <c r="N303" s="313">
        <f t="shared" si="70"/>
        <v>626.5929251</v>
      </c>
      <c r="O303" s="313" t="str">
        <f t="shared" si="71"/>
        <v/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</row>
    <row r="304" hidden="1" outlineLevel="1">
      <c r="A304" s="25"/>
      <c r="B304" s="26"/>
      <c r="C304" s="26"/>
      <c r="D304" s="27"/>
      <c r="E304" s="27"/>
      <c r="F304" s="27"/>
      <c r="G304" s="27"/>
      <c r="H304" s="27"/>
      <c r="I304" s="385">
        <v>44984.0</v>
      </c>
      <c r="J304" s="380">
        <v>632.8588543156416</v>
      </c>
      <c r="K304" s="380">
        <v>948.2306520939478</v>
      </c>
      <c r="L304" s="313" t="str">
        <f t="shared" si="68"/>
        <v/>
      </c>
      <c r="M304" s="313">
        <f t="shared" si="69"/>
        <v>948.2306521</v>
      </c>
      <c r="N304" s="313">
        <f t="shared" si="70"/>
        <v>632.8588543</v>
      </c>
      <c r="O304" s="313" t="str">
        <f t="shared" si="71"/>
        <v/>
      </c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</row>
    <row r="305" hidden="1" outlineLevel="1">
      <c r="A305" s="25"/>
      <c r="B305" s="26"/>
      <c r="C305" s="26"/>
      <c r="D305" s="27"/>
      <c r="E305" s="27"/>
      <c r="F305" s="27"/>
      <c r="G305" s="27"/>
      <c r="H305" s="27"/>
      <c r="I305" s="385">
        <v>44985.0</v>
      </c>
      <c r="J305" s="380">
        <v>626.5302657724851</v>
      </c>
      <c r="K305" s="380">
        <v>976.6775716567662</v>
      </c>
      <c r="L305" s="313" t="str">
        <f t="shared" si="68"/>
        <v/>
      </c>
      <c r="M305" s="313">
        <f t="shared" si="69"/>
        <v>976.6775717</v>
      </c>
      <c r="N305" s="313">
        <f t="shared" si="70"/>
        <v>626.5302658</v>
      </c>
      <c r="O305" s="313" t="str">
        <f t="shared" si="71"/>
        <v/>
      </c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</row>
    <row r="306" hidden="1" outlineLevel="1">
      <c r="A306" s="25"/>
      <c r="B306" s="26"/>
      <c r="C306" s="26"/>
      <c r="D306" s="27"/>
      <c r="E306" s="27"/>
      <c r="F306" s="27"/>
      <c r="G306" s="27"/>
      <c r="H306" s="27"/>
      <c r="I306" s="385">
        <v>44986.0</v>
      </c>
      <c r="J306" s="380">
        <v>639.0608710879347</v>
      </c>
      <c r="K306" s="380">
        <v>957.1440202236308</v>
      </c>
      <c r="L306" s="313" t="str">
        <f t="shared" si="68"/>
        <v/>
      </c>
      <c r="M306" s="313">
        <f t="shared" si="69"/>
        <v>957.1440202</v>
      </c>
      <c r="N306" s="313">
        <f t="shared" si="70"/>
        <v>639.0608711</v>
      </c>
      <c r="O306" s="313" t="str">
        <f t="shared" si="71"/>
        <v/>
      </c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</row>
    <row r="307" hidden="1" outlineLevel="1">
      <c r="A307" s="25"/>
      <c r="B307" s="26"/>
      <c r="C307" s="26"/>
      <c r="D307" s="27"/>
      <c r="E307" s="27"/>
      <c r="F307" s="27"/>
      <c r="G307" s="27"/>
      <c r="H307" s="27"/>
      <c r="I307" s="385">
        <v>44987.0</v>
      </c>
      <c r="J307" s="380">
        <v>645.4514797988141</v>
      </c>
      <c r="K307" s="380">
        <v>947.5725800213945</v>
      </c>
      <c r="L307" s="313" t="str">
        <f t="shared" si="68"/>
        <v/>
      </c>
      <c r="M307" s="313">
        <f t="shared" si="69"/>
        <v>947.57258</v>
      </c>
      <c r="N307" s="313">
        <f t="shared" si="70"/>
        <v>645.4514798</v>
      </c>
      <c r="O307" s="313" t="str">
        <f t="shared" si="71"/>
        <v/>
      </c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</row>
    <row r="308" hidden="1" outlineLevel="1">
      <c r="A308" s="25"/>
      <c r="B308" s="26"/>
      <c r="C308" s="26"/>
      <c r="D308" s="27"/>
      <c r="E308" s="27"/>
      <c r="F308" s="27"/>
      <c r="G308" s="27"/>
      <c r="H308" s="27"/>
      <c r="I308" s="385">
        <v>44988.0</v>
      </c>
      <c r="J308" s="380">
        <v>632.5424502028378</v>
      </c>
      <c r="K308" s="380">
        <v>975.9997574220364</v>
      </c>
      <c r="L308" s="313" t="str">
        <f t="shared" si="68"/>
        <v/>
      </c>
      <c r="M308" s="313">
        <f t="shared" si="69"/>
        <v>975.9997574</v>
      </c>
      <c r="N308" s="313">
        <f t="shared" si="70"/>
        <v>632.5424502</v>
      </c>
      <c r="O308" s="313" t="str">
        <f t="shared" si="71"/>
        <v/>
      </c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</row>
    <row r="309" hidden="1" outlineLevel="1">
      <c r="A309" s="25"/>
      <c r="B309" s="26"/>
      <c r="C309" s="26"/>
      <c r="D309" s="27"/>
      <c r="E309" s="27"/>
      <c r="F309" s="27"/>
      <c r="G309" s="27"/>
      <c r="H309" s="27"/>
      <c r="I309" s="385">
        <v>44989.0</v>
      </c>
      <c r="J309" s="380">
        <v>638.8678747048662</v>
      </c>
      <c r="K309" s="380">
        <v>995.5197525704772</v>
      </c>
      <c r="L309" s="313" t="str">
        <f t="shared" si="68"/>
        <v/>
      </c>
      <c r="M309" s="313">
        <f t="shared" si="69"/>
        <v>995.5197526</v>
      </c>
      <c r="N309" s="313">
        <f t="shared" si="70"/>
        <v>638.8678747</v>
      </c>
      <c r="O309" s="313" t="str">
        <f t="shared" si="71"/>
        <v/>
      </c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</row>
    <row r="310" hidden="1" outlineLevel="1">
      <c r="A310" s="25"/>
      <c r="B310" s="26"/>
      <c r="C310" s="26"/>
      <c r="D310" s="27"/>
      <c r="E310" s="27"/>
      <c r="F310" s="27"/>
      <c r="G310" s="27"/>
      <c r="H310" s="27"/>
      <c r="I310" s="385">
        <v>44990.0</v>
      </c>
      <c r="J310" s="380">
        <v>638.8678747048662</v>
      </c>
      <c r="K310" s="380">
        <v>1005.474950096182</v>
      </c>
      <c r="L310" s="313" t="str">
        <f t="shared" si="68"/>
        <v/>
      </c>
      <c r="M310" s="313">
        <f t="shared" si="69"/>
        <v>1005.47495</v>
      </c>
      <c r="N310" s="313">
        <f t="shared" si="70"/>
        <v>638.8678747</v>
      </c>
      <c r="O310" s="313" t="str">
        <f t="shared" si="71"/>
        <v/>
      </c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</row>
    <row r="311" hidden="1" outlineLevel="1">
      <c r="A311" s="25"/>
      <c r="B311" s="26"/>
      <c r="C311" s="26"/>
      <c r="D311" s="27"/>
      <c r="E311" s="27"/>
      <c r="F311" s="27"/>
      <c r="G311" s="27"/>
      <c r="H311" s="27"/>
      <c r="I311" s="385">
        <v>44991.0</v>
      </c>
      <c r="J311" s="380">
        <v>619.7018384637202</v>
      </c>
      <c r="K311" s="380">
        <v>995.4202005952202</v>
      </c>
      <c r="L311" s="313" t="str">
        <f t="shared" si="68"/>
        <v/>
      </c>
      <c r="M311" s="313">
        <f t="shared" si="69"/>
        <v>995.4202006</v>
      </c>
      <c r="N311" s="313">
        <f t="shared" si="70"/>
        <v>619.7018385</v>
      </c>
      <c r="O311" s="313" t="str">
        <f t="shared" si="71"/>
        <v/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</row>
    <row r="312" hidden="1" outlineLevel="1">
      <c r="A312" s="25"/>
      <c r="B312" s="26"/>
      <c r="C312" s="26"/>
      <c r="D312" s="27"/>
      <c r="E312" s="27"/>
      <c r="F312" s="27"/>
      <c r="G312" s="27"/>
      <c r="H312" s="27"/>
      <c r="I312" s="385">
        <v>44992.0</v>
      </c>
      <c r="J312" s="380">
        <v>625.8988568483574</v>
      </c>
      <c r="K312" s="380">
        <v>985.465998589268</v>
      </c>
      <c r="L312" s="313" t="str">
        <f t="shared" si="68"/>
        <v/>
      </c>
      <c r="M312" s="313">
        <f t="shared" si="69"/>
        <v>985.4659986</v>
      </c>
      <c r="N312" s="313">
        <f t="shared" si="70"/>
        <v>625.8988568</v>
      </c>
      <c r="O312" s="313" t="str">
        <f t="shared" si="71"/>
        <v/>
      </c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</row>
    <row r="313" hidden="1" outlineLevel="1">
      <c r="A313" s="25"/>
      <c r="B313" s="26"/>
      <c r="C313" s="26"/>
      <c r="D313" s="27"/>
      <c r="E313" s="27"/>
      <c r="F313" s="27"/>
      <c r="G313" s="27"/>
      <c r="H313" s="27"/>
      <c r="I313" s="385">
        <v>44993.0</v>
      </c>
      <c r="J313" s="380">
        <v>607.1218911429066</v>
      </c>
      <c r="K313" s="380">
        <v>985.465998589268</v>
      </c>
      <c r="L313" s="313" t="str">
        <f t="shared" si="68"/>
        <v/>
      </c>
      <c r="M313" s="313">
        <f t="shared" si="69"/>
        <v>985.4659986</v>
      </c>
      <c r="N313" s="313">
        <f t="shared" si="70"/>
        <v>607.1218911</v>
      </c>
      <c r="O313" s="313" t="str">
        <f t="shared" si="71"/>
        <v/>
      </c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</row>
    <row r="314" hidden="1" outlineLevel="1">
      <c r="A314" s="25"/>
      <c r="B314" s="26"/>
      <c r="C314" s="26"/>
      <c r="D314" s="27"/>
      <c r="E314" s="27"/>
      <c r="F314" s="27"/>
      <c r="G314" s="27"/>
      <c r="H314" s="27"/>
      <c r="I314" s="385">
        <v>44994.0</v>
      </c>
      <c r="J314" s="380">
        <v>601.0506722314776</v>
      </c>
      <c r="K314" s="380">
        <v>1005.1753185610535</v>
      </c>
      <c r="L314" s="313" t="str">
        <f t="shared" si="68"/>
        <v/>
      </c>
      <c r="M314" s="313">
        <f t="shared" si="69"/>
        <v>1005.175319</v>
      </c>
      <c r="N314" s="313">
        <f t="shared" si="70"/>
        <v>601.0506722</v>
      </c>
      <c r="O314" s="313" t="str">
        <f t="shared" si="71"/>
        <v/>
      </c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</row>
    <row r="315" hidden="1" outlineLevel="1">
      <c r="A315" s="25"/>
      <c r="B315" s="26"/>
      <c r="C315" s="26"/>
      <c r="D315" s="27"/>
      <c r="E315" s="27"/>
      <c r="F315" s="27"/>
      <c r="G315" s="27"/>
      <c r="H315" s="27"/>
      <c r="I315" s="385">
        <v>44995.0</v>
      </c>
      <c r="J315" s="380">
        <v>601.0506722314776</v>
      </c>
      <c r="K315" s="380">
        <v>985.0718121898324</v>
      </c>
      <c r="L315" s="313" t="str">
        <f t="shared" si="68"/>
        <v/>
      </c>
      <c r="M315" s="313">
        <f t="shared" si="69"/>
        <v>985.0718122</v>
      </c>
      <c r="N315" s="313">
        <f t="shared" si="70"/>
        <v>601.0506722</v>
      </c>
      <c r="O315" s="313" t="str">
        <f t="shared" si="71"/>
        <v/>
      </c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</row>
    <row r="316" hidden="1" outlineLevel="1">
      <c r="A316" s="25"/>
      <c r="B316" s="26"/>
      <c r="C316" s="26"/>
      <c r="D316" s="27"/>
      <c r="E316" s="27"/>
      <c r="F316" s="27"/>
      <c r="G316" s="27"/>
      <c r="H316" s="27"/>
      <c r="I316" s="385">
        <v>44996.0</v>
      </c>
      <c r="J316" s="380">
        <v>595.0401655091629</v>
      </c>
      <c r="K316" s="380">
        <v>1004.7732484336291</v>
      </c>
      <c r="L316" s="313" t="str">
        <f t="shared" si="68"/>
        <v/>
      </c>
      <c r="M316" s="313">
        <f t="shared" si="69"/>
        <v>1004.773248</v>
      </c>
      <c r="N316" s="313">
        <f t="shared" si="70"/>
        <v>595.0401655</v>
      </c>
      <c r="O316" s="313" t="str">
        <f t="shared" si="71"/>
        <v/>
      </c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</row>
    <row r="317" hidden="1" outlineLevel="1">
      <c r="A317" s="25"/>
      <c r="B317" s="26"/>
      <c r="C317" s="26"/>
      <c r="D317" s="27"/>
      <c r="E317" s="27"/>
      <c r="F317" s="27"/>
      <c r="G317" s="27"/>
      <c r="H317" s="27"/>
      <c r="I317" s="385">
        <v>44997.0</v>
      </c>
      <c r="J317" s="380">
        <v>589.0897638540713</v>
      </c>
      <c r="K317" s="380">
        <v>1034.916445886638</v>
      </c>
      <c r="L317" s="313" t="str">
        <f t="shared" si="68"/>
        <v/>
      </c>
      <c r="M317" s="313">
        <f t="shared" si="69"/>
        <v>1034.916446</v>
      </c>
      <c r="N317" s="313">
        <f t="shared" si="70"/>
        <v>589.0897639</v>
      </c>
      <c r="O317" s="313" t="str">
        <f t="shared" si="71"/>
        <v/>
      </c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</row>
    <row r="318" hidden="1" outlineLevel="1">
      <c r="A318" s="25"/>
      <c r="B318" s="26"/>
      <c r="C318" s="26"/>
      <c r="D318" s="27"/>
      <c r="E318" s="27"/>
      <c r="F318" s="27"/>
      <c r="G318" s="27"/>
      <c r="H318" s="27"/>
      <c r="I318" s="385">
        <v>44998.0</v>
      </c>
      <c r="J318" s="380">
        <v>571.4170709384492</v>
      </c>
      <c r="K318" s="380">
        <v>1024.5672814277716</v>
      </c>
      <c r="L318" s="313" t="str">
        <f t="shared" si="68"/>
        <v/>
      </c>
      <c r="M318" s="313">
        <f t="shared" si="69"/>
        <v>1024.567281</v>
      </c>
      <c r="N318" s="313">
        <f t="shared" si="70"/>
        <v>571.4170709</v>
      </c>
      <c r="O318" s="313" t="str">
        <f t="shared" si="71"/>
        <v/>
      </c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</row>
    <row r="319" hidden="1" outlineLevel="1">
      <c r="A319" s="25"/>
      <c r="B319" s="26"/>
      <c r="C319" s="26"/>
      <c r="D319" s="27"/>
      <c r="E319" s="27"/>
      <c r="F319" s="27"/>
      <c r="G319" s="27"/>
      <c r="H319" s="27"/>
      <c r="I319" s="385">
        <v>44999.0</v>
      </c>
      <c r="J319" s="380">
        <v>571.4170709384492</v>
      </c>
      <c r="K319" s="380">
        <v>1034.8129542420493</v>
      </c>
      <c r="L319" s="313" t="str">
        <f t="shared" si="68"/>
        <v/>
      </c>
      <c r="M319" s="313">
        <f t="shared" si="69"/>
        <v>1034.812954</v>
      </c>
      <c r="N319" s="313">
        <f t="shared" si="70"/>
        <v>571.4170709</v>
      </c>
      <c r="O319" s="313" t="str">
        <f t="shared" si="71"/>
        <v/>
      </c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</row>
    <row r="320" hidden="1" outlineLevel="1">
      <c r="A320" s="25"/>
      <c r="B320" s="26"/>
      <c r="C320" s="26"/>
      <c r="D320" s="27"/>
      <c r="E320" s="27"/>
      <c r="F320" s="27"/>
      <c r="G320" s="27"/>
      <c r="H320" s="27"/>
      <c r="I320" s="385">
        <v>45000.0</v>
      </c>
      <c r="J320" s="380">
        <v>565.7029002290648</v>
      </c>
      <c r="K320" s="380">
        <v>1045.1610837844698</v>
      </c>
      <c r="L320" s="313" t="str">
        <f t="shared" si="68"/>
        <v/>
      </c>
      <c r="M320" s="313">
        <f t="shared" si="69"/>
        <v>1045.161084</v>
      </c>
      <c r="N320" s="313">
        <f t="shared" si="70"/>
        <v>565.7029002</v>
      </c>
      <c r="O320" s="313" t="str">
        <f t="shared" si="71"/>
        <v/>
      </c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</row>
    <row r="321" hidden="1" outlineLevel="1">
      <c r="A321" s="25"/>
      <c r="B321" s="26"/>
      <c r="C321" s="26"/>
      <c r="D321" s="27"/>
      <c r="E321" s="27"/>
      <c r="F321" s="27"/>
      <c r="G321" s="27"/>
      <c r="H321" s="27"/>
      <c r="I321" s="385">
        <v>45001.0</v>
      </c>
      <c r="J321" s="380">
        <v>560.0458712267741</v>
      </c>
      <c r="K321" s="380">
        <v>1034.7094729466253</v>
      </c>
      <c r="L321" s="313" t="str">
        <f t="shared" si="68"/>
        <v/>
      </c>
      <c r="M321" s="313">
        <f t="shared" si="69"/>
        <v>1034.709473</v>
      </c>
      <c r="N321" s="313">
        <f t="shared" si="70"/>
        <v>560.0458712</v>
      </c>
      <c r="O321" s="313" t="str">
        <f t="shared" si="71"/>
        <v/>
      </c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</row>
    <row r="322" hidden="1" outlineLevel="1">
      <c r="A322" s="25"/>
      <c r="B322" s="26"/>
      <c r="C322" s="26"/>
      <c r="D322" s="27"/>
      <c r="E322" s="76"/>
      <c r="F322" s="76"/>
      <c r="G322" s="76"/>
      <c r="H322" s="76"/>
      <c r="I322" s="385">
        <v>45002.0</v>
      </c>
      <c r="J322" s="380">
        <v>560.0458712267741</v>
      </c>
      <c r="K322" s="380">
        <v>1045.0565676760916</v>
      </c>
      <c r="L322" s="313" t="str">
        <f t="shared" si="68"/>
        <v/>
      </c>
      <c r="M322" s="313">
        <f t="shared" si="69"/>
        <v>1045.056568</v>
      </c>
      <c r="N322" s="313">
        <f t="shared" si="70"/>
        <v>560.0458712</v>
      </c>
      <c r="O322" s="313" t="str">
        <f t="shared" si="71"/>
        <v/>
      </c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</row>
    <row r="323" hidden="1" outlineLevel="1">
      <c r="A323" s="25"/>
      <c r="B323" s="26"/>
      <c r="C323" s="26"/>
      <c r="D323" s="27"/>
      <c r="E323" s="76"/>
      <c r="F323" s="76"/>
      <c r="G323" s="76"/>
      <c r="H323" s="76"/>
      <c r="I323" s="385">
        <v>45003.0</v>
      </c>
      <c r="J323" s="380">
        <v>560.0458712267741</v>
      </c>
      <c r="K323" s="380">
        <v>1024.1554363225698</v>
      </c>
      <c r="L323" s="313" t="str">
        <f t="shared" si="68"/>
        <v/>
      </c>
      <c r="M323" s="313">
        <f t="shared" si="69"/>
        <v>1024.155436</v>
      </c>
      <c r="N323" s="313">
        <f t="shared" si="70"/>
        <v>560.0458712</v>
      </c>
      <c r="O323" s="313" t="str">
        <f t="shared" si="71"/>
        <v/>
      </c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</row>
    <row r="324" hidden="1" outlineLevel="1">
      <c r="A324" s="25"/>
      <c r="B324" s="26"/>
      <c r="C324" s="26"/>
      <c r="D324" s="27"/>
      <c r="E324" s="76"/>
      <c r="F324" s="76"/>
      <c r="G324" s="76"/>
      <c r="H324" s="76"/>
      <c r="I324" s="385">
        <v>45004.0</v>
      </c>
      <c r="J324" s="380">
        <v>543.2444950899709</v>
      </c>
      <c r="K324" s="380">
        <v>1003.6723275961184</v>
      </c>
      <c r="L324" s="313" t="str">
        <f t="shared" si="68"/>
        <v/>
      </c>
      <c r="M324" s="313">
        <f t="shared" si="69"/>
        <v>1003.672328</v>
      </c>
      <c r="N324" s="313">
        <f t="shared" si="70"/>
        <v>543.2444951</v>
      </c>
      <c r="O324" s="313" t="str">
        <f t="shared" si="71"/>
        <v/>
      </c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</row>
    <row r="325" hidden="1" outlineLevel="1">
      <c r="A325" s="25"/>
      <c r="B325" s="26"/>
      <c r="C325" s="26"/>
      <c r="D325" s="27"/>
      <c r="E325" s="76"/>
      <c r="F325" s="76"/>
      <c r="G325" s="76"/>
      <c r="H325" s="76"/>
      <c r="I325" s="385">
        <v>45005.0</v>
      </c>
      <c r="J325" s="380">
        <v>554.1093849917703</v>
      </c>
      <c r="K325" s="380">
        <v>1003.6723275961184</v>
      </c>
      <c r="L325" s="313" t="str">
        <f t="shared" si="68"/>
        <v/>
      </c>
      <c r="M325" s="313">
        <f t="shared" si="69"/>
        <v>1003.672328</v>
      </c>
      <c r="N325" s="313">
        <f t="shared" si="70"/>
        <v>554.109385</v>
      </c>
      <c r="O325" s="313" t="str">
        <f t="shared" si="71"/>
        <v/>
      </c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</row>
    <row r="326" hidden="1" outlineLevel="1">
      <c r="A326" s="25"/>
      <c r="B326" s="26"/>
      <c r="C326" s="26"/>
      <c r="D326" s="27"/>
      <c r="E326" s="76"/>
      <c r="F326" s="76"/>
      <c r="G326" s="76"/>
      <c r="H326" s="76"/>
      <c r="I326" s="385">
        <v>45006.0</v>
      </c>
      <c r="J326" s="380">
        <v>537.4861034420172</v>
      </c>
      <c r="K326" s="380">
        <v>993.6356043201573</v>
      </c>
      <c r="L326" s="313" t="str">
        <f t="shared" si="68"/>
        <v/>
      </c>
      <c r="M326" s="313">
        <f t="shared" si="69"/>
        <v>993.6356043</v>
      </c>
      <c r="N326" s="313">
        <f t="shared" si="70"/>
        <v>537.4861034</v>
      </c>
      <c r="O326" s="313" t="str">
        <f t="shared" si="71"/>
        <v/>
      </c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</row>
    <row r="327" hidden="1" outlineLevel="1">
      <c r="A327" s="25"/>
      <c r="B327" s="26"/>
      <c r="C327" s="26"/>
      <c r="D327" s="27"/>
      <c r="E327" s="27"/>
      <c r="F327" s="27"/>
      <c r="G327" s="27"/>
      <c r="H327" s="27"/>
      <c r="I327" s="385">
        <v>45007.0</v>
      </c>
      <c r="J327" s="380">
        <v>521.3615203387567</v>
      </c>
      <c r="K327" s="380">
        <v>1003.5719603633589</v>
      </c>
      <c r="L327" s="313" t="str">
        <f t="shared" si="68"/>
        <v/>
      </c>
      <c r="M327" s="313">
        <f t="shared" si="69"/>
        <v>1003.57196</v>
      </c>
      <c r="N327" s="313">
        <f t="shared" si="70"/>
        <v>521.3615203</v>
      </c>
      <c r="O327" s="313" t="str">
        <f t="shared" si="71"/>
        <v/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</row>
    <row r="328" hidden="1" outlineLevel="1">
      <c r="A328" s="25"/>
      <c r="B328" s="26"/>
      <c r="C328" s="26"/>
      <c r="D328" s="27"/>
      <c r="E328" s="27"/>
      <c r="F328" s="386"/>
      <c r="G328" s="27"/>
      <c r="H328" s="27"/>
      <c r="I328" s="385">
        <v>45008.0</v>
      </c>
      <c r="J328" s="380">
        <v>505.720674728594</v>
      </c>
      <c r="K328" s="380">
        <v>983.5005211560917</v>
      </c>
      <c r="L328" s="313" t="str">
        <f t="shared" si="68"/>
        <v/>
      </c>
      <c r="M328" s="313">
        <f t="shared" si="69"/>
        <v>983.5005212</v>
      </c>
      <c r="N328" s="313">
        <f t="shared" si="70"/>
        <v>505.7206747</v>
      </c>
      <c r="O328" s="313" t="str">
        <f t="shared" si="71"/>
        <v/>
      </c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</row>
    <row r="329" hidden="1" outlineLevel="1">
      <c r="A329" s="25"/>
      <c r="B329" s="26"/>
      <c r="C329" s="26"/>
      <c r="D329" s="27"/>
      <c r="E329" s="27"/>
      <c r="F329" s="386"/>
      <c r="G329" s="27"/>
      <c r="H329" s="27"/>
      <c r="I329" s="385">
        <v>45009.0</v>
      </c>
      <c r="J329" s="380">
        <v>515.8350882231658</v>
      </c>
      <c r="K329" s="380">
        <v>993.3355263676526</v>
      </c>
      <c r="L329" s="313" t="str">
        <f t="shared" si="68"/>
        <v/>
      </c>
      <c r="M329" s="313">
        <f t="shared" si="69"/>
        <v>993.3355264</v>
      </c>
      <c r="N329" s="313">
        <f t="shared" si="70"/>
        <v>515.8350882</v>
      </c>
      <c r="O329" s="313" t="str">
        <f t="shared" si="71"/>
        <v/>
      </c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</row>
    <row r="330" hidden="1" outlineLevel="1">
      <c r="A330" s="25"/>
      <c r="B330" s="26"/>
      <c r="C330" s="26"/>
      <c r="D330" s="27"/>
      <c r="E330" s="27"/>
      <c r="F330" s="386"/>
      <c r="G330" s="27"/>
      <c r="H330" s="27"/>
      <c r="I330" s="385">
        <v>45010.0</v>
      </c>
      <c r="J330" s="380">
        <v>515.8350882231658</v>
      </c>
      <c r="K330" s="380">
        <v>1013.2022368950056</v>
      </c>
      <c r="L330" s="313" t="str">
        <f t="shared" si="68"/>
        <v/>
      </c>
      <c r="M330" s="313">
        <f t="shared" si="69"/>
        <v>1013.202237</v>
      </c>
      <c r="N330" s="313">
        <f t="shared" si="70"/>
        <v>515.8350882</v>
      </c>
      <c r="O330" s="313" t="str">
        <f t="shared" si="71"/>
        <v/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</row>
    <row r="331" hidden="1" outlineLevel="1">
      <c r="A331" s="25"/>
      <c r="B331" s="26"/>
      <c r="C331" s="26"/>
      <c r="D331" s="27"/>
      <c r="E331" s="27"/>
      <c r="F331" s="386"/>
      <c r="G331" s="27"/>
      <c r="H331" s="27"/>
      <c r="I331" s="385">
        <v>45011.0</v>
      </c>
      <c r="J331" s="380">
        <v>520.9934391053974</v>
      </c>
      <c r="K331" s="380">
        <v>1003.0702145260555</v>
      </c>
      <c r="L331" s="313" t="str">
        <f t="shared" si="68"/>
        <v/>
      </c>
      <c r="M331" s="313">
        <f t="shared" si="69"/>
        <v>1003.070215</v>
      </c>
      <c r="N331" s="313">
        <f t="shared" si="70"/>
        <v>520.9934391</v>
      </c>
      <c r="O331" s="313" t="str">
        <f t="shared" si="71"/>
        <v/>
      </c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</row>
    <row r="332" hidden="1" outlineLevel="1">
      <c r="A332" s="25"/>
      <c r="B332" s="26"/>
      <c r="C332" s="26"/>
      <c r="D332" s="27"/>
      <c r="E332" s="27"/>
      <c r="F332" s="386"/>
      <c r="G332" s="27"/>
      <c r="H332" s="27"/>
      <c r="I332" s="385">
        <v>45012.0</v>
      </c>
      <c r="J332" s="380">
        <v>505.36363593223547</v>
      </c>
      <c r="K332" s="380">
        <v>983.0088102355344</v>
      </c>
      <c r="L332" s="313" t="str">
        <f t="shared" si="68"/>
        <v/>
      </c>
      <c r="M332" s="313">
        <f t="shared" si="69"/>
        <v>983.0088102</v>
      </c>
      <c r="N332" s="313">
        <f t="shared" si="70"/>
        <v>505.3636359</v>
      </c>
      <c r="O332" s="313" t="str">
        <f t="shared" si="71"/>
        <v/>
      </c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</row>
    <row r="333" hidden="1" outlineLevel="1">
      <c r="A333" s="25"/>
      <c r="B333" s="26"/>
      <c r="C333" s="26"/>
      <c r="D333" s="27"/>
      <c r="E333" s="27"/>
      <c r="F333" s="386"/>
      <c r="G333" s="27"/>
      <c r="H333" s="27"/>
      <c r="I333" s="385">
        <v>45013.0</v>
      </c>
      <c r="J333" s="380">
        <v>505.36363593223547</v>
      </c>
      <c r="K333" s="380">
        <v>983.0088102355344</v>
      </c>
      <c r="L333" s="313" t="str">
        <f t="shared" si="68"/>
        <v/>
      </c>
      <c r="M333" s="313">
        <f t="shared" si="69"/>
        <v>983.0088102</v>
      </c>
      <c r="N333" s="313">
        <f t="shared" si="70"/>
        <v>505.3636359</v>
      </c>
      <c r="O333" s="313" t="str">
        <f t="shared" si="71"/>
        <v/>
      </c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</row>
    <row r="334" hidden="1" outlineLevel="1">
      <c r="A334" s="25"/>
      <c r="B334" s="26"/>
      <c r="C334" s="26"/>
      <c r="D334" s="27"/>
      <c r="E334" s="27"/>
      <c r="F334" s="386"/>
      <c r="G334" s="27"/>
      <c r="H334" s="27"/>
      <c r="I334" s="385">
        <v>45014.0</v>
      </c>
      <c r="J334" s="380">
        <v>490.2027268542684</v>
      </c>
      <c r="K334" s="380">
        <v>983.0088102355344</v>
      </c>
      <c r="L334" s="313" t="str">
        <f t="shared" si="68"/>
        <v/>
      </c>
      <c r="M334" s="313">
        <f t="shared" si="69"/>
        <v>983.0088102</v>
      </c>
      <c r="N334" s="313">
        <f t="shared" si="70"/>
        <v>490.2027269</v>
      </c>
      <c r="O334" s="313" t="str">
        <f t="shared" si="71"/>
        <v/>
      </c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</row>
    <row r="335" hidden="1" outlineLevel="1">
      <c r="A335" s="25"/>
      <c r="B335" s="26"/>
      <c r="C335" s="26"/>
      <c r="D335" s="27"/>
      <c r="E335" s="27"/>
      <c r="F335" s="386"/>
      <c r="G335" s="27"/>
      <c r="H335" s="27"/>
      <c r="I335" s="385">
        <v>45015.0</v>
      </c>
      <c r="J335" s="380">
        <v>490.2027268542684</v>
      </c>
      <c r="K335" s="380">
        <v>1012.4990745426004</v>
      </c>
      <c r="L335" s="313" t="str">
        <f t="shared" si="68"/>
        <v/>
      </c>
      <c r="M335" s="313">
        <f t="shared" si="69"/>
        <v>1012.499075</v>
      </c>
      <c r="N335" s="313">
        <f t="shared" si="70"/>
        <v>490.2027269</v>
      </c>
      <c r="O335" s="313" t="str">
        <f t="shared" si="71"/>
        <v/>
      </c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</row>
    <row r="336" hidden="1" outlineLevel="1">
      <c r="A336" s="25"/>
      <c r="B336" s="26"/>
      <c r="C336" s="26"/>
      <c r="D336" s="27"/>
      <c r="E336" s="27"/>
      <c r="F336" s="386"/>
      <c r="G336" s="27"/>
      <c r="H336" s="27"/>
      <c r="I336" s="385">
        <v>45016.0</v>
      </c>
      <c r="J336" s="380">
        <v>495.1047541228111</v>
      </c>
      <c r="K336" s="380">
        <v>1042.8740467788784</v>
      </c>
      <c r="L336" s="313" t="str">
        <f t="shared" si="68"/>
        <v/>
      </c>
      <c r="M336" s="313">
        <f t="shared" si="69"/>
        <v>1042.874047</v>
      </c>
      <c r="N336" s="313">
        <f t="shared" si="70"/>
        <v>495.1047541</v>
      </c>
      <c r="O336" s="313" t="str">
        <f t="shared" si="71"/>
        <v/>
      </c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</row>
    <row r="337" hidden="1" outlineLevel="1">
      <c r="A337" s="25"/>
      <c r="B337" s="26"/>
      <c r="C337" s="26"/>
      <c r="D337" s="27"/>
      <c r="E337" s="27"/>
      <c r="F337" s="386"/>
      <c r="G337" s="27"/>
      <c r="H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</row>
    <row r="338" hidden="1" outlineLevel="1">
      <c r="A338" s="25"/>
      <c r="B338" s="26"/>
      <c r="C338" s="26"/>
      <c r="D338" s="27"/>
      <c r="E338" s="27"/>
      <c r="F338" s="386"/>
      <c r="G338" s="27"/>
      <c r="H338" s="27"/>
      <c r="I338" s="283">
        <f>LARGE(J343:N366,10)</f>
        <v>185</v>
      </c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</row>
    <row r="339" hidden="1" outlineLevel="1">
      <c r="A339" s="25"/>
      <c r="B339" s="26"/>
      <c r="C339" s="26"/>
      <c r="D339" s="27"/>
      <c r="E339" s="27"/>
      <c r="F339" s="386"/>
      <c r="G339" s="27"/>
      <c r="H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</row>
    <row r="340">
      <c r="A340" s="25"/>
      <c r="B340" s="26"/>
      <c r="C340" s="26"/>
      <c r="D340" s="27"/>
      <c r="E340" s="27"/>
      <c r="F340" s="386"/>
      <c r="G340" s="27"/>
      <c r="H340" s="27"/>
      <c r="I340" s="342" t="s">
        <v>792</v>
      </c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</row>
    <row r="341">
      <c r="A341" s="25"/>
      <c r="B341" s="26"/>
      <c r="C341" s="26"/>
      <c r="D341" s="27"/>
      <c r="E341" s="66" t="s">
        <v>31</v>
      </c>
      <c r="F341" s="33"/>
      <c r="G341" s="33"/>
      <c r="H341" s="34"/>
      <c r="I341" s="41" t="s">
        <v>884</v>
      </c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</row>
    <row r="342">
      <c r="A342" s="25"/>
      <c r="B342" s="26"/>
      <c r="C342" s="26"/>
      <c r="D342" s="27"/>
      <c r="E342" s="27"/>
      <c r="F342" s="386"/>
      <c r="G342" s="27"/>
      <c r="H342" s="27"/>
      <c r="I342" s="44" t="s">
        <v>662</v>
      </c>
      <c r="J342" s="44" t="s">
        <v>886</v>
      </c>
      <c r="K342" s="44" t="s">
        <v>887</v>
      </c>
      <c r="L342" s="44" t="s">
        <v>888</v>
      </c>
      <c r="M342" s="44" t="s">
        <v>889</v>
      </c>
      <c r="N342" s="44" t="s">
        <v>890</v>
      </c>
      <c r="O342" s="220" t="str">
        <f>J342</f>
        <v>Campaign 1</v>
      </c>
      <c r="P342" s="220" t="str">
        <f>O342&amp;" Label"</f>
        <v>Campaign 1 Label</v>
      </c>
      <c r="Q342" s="220" t="str">
        <f>O342&amp;" Helper"</f>
        <v>Campaign 1 Helper</v>
      </c>
      <c r="R342" s="220" t="str">
        <f>K342</f>
        <v>Campaign 2</v>
      </c>
      <c r="S342" s="220" t="str">
        <f>R342&amp;" Label"</f>
        <v>Campaign 2 Label</v>
      </c>
      <c r="T342" s="220" t="str">
        <f>R342&amp;" Helper"</f>
        <v>Campaign 2 Helper</v>
      </c>
      <c r="U342" s="220" t="str">
        <f>L342</f>
        <v>Campaign 3</v>
      </c>
      <c r="V342" s="220" t="str">
        <f>U342&amp;" Label"</f>
        <v>Campaign 3 Label</v>
      </c>
      <c r="W342" s="220" t="str">
        <f>U342&amp;" Helper"</f>
        <v>Campaign 3 Helper</v>
      </c>
      <c r="X342" s="220" t="str">
        <f>M342</f>
        <v>Campaign 4</v>
      </c>
      <c r="Y342" s="220" t="str">
        <f>X342&amp;" Label"</f>
        <v>Campaign 4 Label</v>
      </c>
      <c r="Z342" s="220" t="str">
        <f>X342&amp;" Helper"</f>
        <v>Campaign 4 Helper</v>
      </c>
      <c r="AA342" s="220" t="str">
        <f t="shared" ref="AA342:AA366" si="72">N342</f>
        <v>Campaign 5</v>
      </c>
      <c r="AB342" s="220" t="str">
        <f>AA342&amp;" Label"</f>
        <v>Campaign 5 Label</v>
      </c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</row>
    <row r="343">
      <c r="A343" s="25"/>
      <c r="B343" s="26"/>
      <c r="C343" s="26"/>
      <c r="D343" s="27"/>
      <c r="E343" s="27"/>
      <c r="F343" s="386"/>
      <c r="G343" s="27"/>
      <c r="H343" s="27"/>
      <c r="I343" s="385">
        <f t="shared" ref="I343:I365" si="73">EOMONTH(I344,-2)+1</f>
        <v>45505</v>
      </c>
      <c r="J343" s="387">
        <v>32.83231718824274</v>
      </c>
      <c r="K343" s="387">
        <v>19.009852838996352</v>
      </c>
      <c r="L343" s="387">
        <v>33.48167193453852</v>
      </c>
      <c r="M343" s="387">
        <v>45.9778440820608</v>
      </c>
      <c r="N343" s="387">
        <v>88.1706355255802</v>
      </c>
      <c r="O343" s="316">
        <f t="shared" ref="O343:O366" si="74">Q343+J343</f>
        <v>792.8323172</v>
      </c>
      <c r="P343" s="316" t="str">
        <f>O342</f>
        <v>Campaign 1</v>
      </c>
      <c r="Q343" s="316">
        <f>ROUNDDOWN(LARGE($J$343:$N$366,7)/5,0)*5*4</f>
        <v>760</v>
      </c>
      <c r="R343" s="316">
        <f t="shared" ref="R343:R366" si="75">T343+K343</f>
        <v>589.0098528</v>
      </c>
      <c r="S343" s="316" t="str">
        <f>R342</f>
        <v>Campaign 2</v>
      </c>
      <c r="T343" s="316">
        <f>ROUNDDOWN(LARGE($J$343:$N$366,7)/5,0)*5*3</f>
        <v>570</v>
      </c>
      <c r="U343" s="316">
        <f t="shared" ref="U343:U366" si="76">W343+L343</f>
        <v>413.4816719</v>
      </c>
      <c r="V343" s="316" t="str">
        <f>U342</f>
        <v>Campaign 3</v>
      </c>
      <c r="W343" s="316">
        <f>ROUNDDOWN(LARGE($J$343:$N$366,7)/5,0)*5*2</f>
        <v>380</v>
      </c>
      <c r="X343" s="316">
        <f t="shared" ref="X343:X366" si="77">Z343+M343</f>
        <v>235.9778441</v>
      </c>
      <c r="Y343" s="316" t="str">
        <f>X342</f>
        <v>Campaign 4</v>
      </c>
      <c r="Z343" s="316">
        <f>ROUNDDOWN(LARGE($J$343:$N$366,7)/5,0)*5</f>
        <v>190</v>
      </c>
      <c r="AA343" s="316">
        <f t="shared" si="72"/>
        <v>88.17063553</v>
      </c>
      <c r="AB343" s="316" t="str">
        <f>AA342</f>
        <v>Campaign 5</v>
      </c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</row>
    <row r="344">
      <c r="A344" s="25"/>
      <c r="B344" s="26"/>
      <c r="C344" s="26"/>
      <c r="D344" s="27"/>
      <c r="E344" s="27"/>
      <c r="F344" s="386"/>
      <c r="G344" s="27"/>
      <c r="H344" s="27"/>
      <c r="I344" s="385">
        <f t="shared" si="73"/>
        <v>45536</v>
      </c>
      <c r="J344" s="387">
        <v>32.75020398263769</v>
      </c>
      <c r="K344" s="387">
        <v>10.919842986510707</v>
      </c>
      <c r="L344" s="387">
        <v>37.64989028626608</v>
      </c>
      <c r="M344" s="387">
        <v>53.32241493236328</v>
      </c>
      <c r="N344" s="387">
        <v>180.0</v>
      </c>
      <c r="O344" s="316">
        <f t="shared" si="74"/>
        <v>792.750204</v>
      </c>
      <c r="P344" s="316"/>
      <c r="Q344" s="316">
        <f t="shared" ref="Q344:Q366" si="78">Q343</f>
        <v>760</v>
      </c>
      <c r="R344" s="316">
        <f t="shared" si="75"/>
        <v>580.919843</v>
      </c>
      <c r="S344" s="316"/>
      <c r="T344" s="316">
        <f t="shared" ref="T344:T366" si="79">T343</f>
        <v>570</v>
      </c>
      <c r="U344" s="316">
        <f t="shared" si="76"/>
        <v>417.6498903</v>
      </c>
      <c r="V344" s="316"/>
      <c r="W344" s="316">
        <f t="shared" ref="W344:W366" si="80">W343</f>
        <v>380</v>
      </c>
      <c r="X344" s="316">
        <f t="shared" si="77"/>
        <v>243.3224149</v>
      </c>
      <c r="Y344" s="316"/>
      <c r="Z344" s="316">
        <f t="shared" ref="Z344:Z366" si="81">Z343</f>
        <v>190</v>
      </c>
      <c r="AA344" s="316">
        <f t="shared" si="72"/>
        <v>180</v>
      </c>
      <c r="AB344" s="316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</row>
    <row r="345">
      <c r="A345" s="25"/>
      <c r="B345" s="26"/>
      <c r="C345" s="26"/>
      <c r="D345" s="27"/>
      <c r="E345" s="27"/>
      <c r="F345" s="386"/>
      <c r="G345" s="27"/>
      <c r="H345" s="27"/>
      <c r="I345" s="385">
        <f t="shared" si="73"/>
        <v>45566</v>
      </c>
      <c r="J345" s="387">
        <v>49.106623879848684</v>
      </c>
      <c r="K345" s="387">
        <v>9.627254333816916</v>
      </c>
      <c r="L345" s="387">
        <v>33.00613341939111</v>
      </c>
      <c r="M345" s="387">
        <v>82.44901159306706</v>
      </c>
      <c r="N345" s="387">
        <v>200.0</v>
      </c>
      <c r="O345" s="316">
        <f t="shared" si="74"/>
        <v>809.1066239</v>
      </c>
      <c r="P345" s="316"/>
      <c r="Q345" s="316">
        <f t="shared" si="78"/>
        <v>760</v>
      </c>
      <c r="R345" s="316">
        <f t="shared" si="75"/>
        <v>579.6272543</v>
      </c>
      <c r="S345" s="316"/>
      <c r="T345" s="316">
        <f t="shared" si="79"/>
        <v>570</v>
      </c>
      <c r="U345" s="316">
        <f t="shared" si="76"/>
        <v>413.0061334</v>
      </c>
      <c r="V345" s="316"/>
      <c r="W345" s="316">
        <f t="shared" si="80"/>
        <v>380</v>
      </c>
      <c r="X345" s="316">
        <f t="shared" si="77"/>
        <v>272.4490116</v>
      </c>
      <c r="Y345" s="316"/>
      <c r="Z345" s="316">
        <f t="shared" si="81"/>
        <v>190</v>
      </c>
      <c r="AA345" s="316">
        <f t="shared" si="72"/>
        <v>200</v>
      </c>
      <c r="AB345" s="316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</row>
    <row r="346">
      <c r="A346" s="25"/>
      <c r="B346" s="26"/>
      <c r="C346" s="26"/>
      <c r="D346" s="27"/>
      <c r="E346" s="27"/>
      <c r="F346" s="386"/>
      <c r="G346" s="27"/>
      <c r="H346" s="27"/>
      <c r="I346" s="385">
        <f t="shared" si="73"/>
        <v>45597</v>
      </c>
      <c r="J346" s="387">
        <v>76.54110183271754</v>
      </c>
      <c r="K346" s="387">
        <v>20.983615490431802</v>
      </c>
      <c r="L346" s="387">
        <v>19.517192855933715</v>
      </c>
      <c r="M346" s="387">
        <v>37.18921085184103</v>
      </c>
      <c r="N346" s="387">
        <v>177.0</v>
      </c>
      <c r="O346" s="316">
        <f t="shared" si="74"/>
        <v>836.5411018</v>
      </c>
      <c r="P346" s="316" t="str">
        <f>IF(J346=MAX($J$346:$J$366),J346,)</f>
        <v/>
      </c>
      <c r="Q346" s="316">
        <f t="shared" si="78"/>
        <v>760</v>
      </c>
      <c r="R346" s="316">
        <f t="shared" si="75"/>
        <v>590.9836155</v>
      </c>
      <c r="S346" s="316"/>
      <c r="T346" s="316">
        <f t="shared" si="79"/>
        <v>570</v>
      </c>
      <c r="U346" s="316">
        <f t="shared" si="76"/>
        <v>399.5171929</v>
      </c>
      <c r="V346" s="316"/>
      <c r="W346" s="316">
        <f t="shared" si="80"/>
        <v>380</v>
      </c>
      <c r="X346" s="316">
        <f t="shared" si="77"/>
        <v>227.1892109</v>
      </c>
      <c r="Y346" s="316"/>
      <c r="Z346" s="316">
        <f t="shared" si="81"/>
        <v>190</v>
      </c>
      <c r="AA346" s="316">
        <f t="shared" si="72"/>
        <v>177</v>
      </c>
      <c r="AB346" s="316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</row>
    <row r="347">
      <c r="A347" s="25"/>
      <c r="B347" s="26"/>
      <c r="C347" s="26"/>
      <c r="D347" s="27"/>
      <c r="E347" s="27"/>
      <c r="F347" s="386"/>
      <c r="G347" s="27"/>
      <c r="H347" s="27"/>
      <c r="I347" s="385">
        <f t="shared" si="73"/>
        <v>45627</v>
      </c>
      <c r="J347" s="387">
        <v>81.0491428424473</v>
      </c>
      <c r="K347" s="387">
        <v>29.82432038703005</v>
      </c>
      <c r="L347" s="387">
        <v>51.12825627488412</v>
      </c>
      <c r="M347" s="387">
        <v>75.65253996615628</v>
      </c>
      <c r="N347" s="387">
        <v>215.0</v>
      </c>
      <c r="O347" s="316">
        <f t="shared" si="74"/>
        <v>841.0491428</v>
      </c>
      <c r="P347" s="316"/>
      <c r="Q347" s="316">
        <f t="shared" si="78"/>
        <v>760</v>
      </c>
      <c r="R347" s="316">
        <f t="shared" si="75"/>
        <v>599.8243204</v>
      </c>
      <c r="S347" s="316"/>
      <c r="T347" s="316">
        <f t="shared" si="79"/>
        <v>570</v>
      </c>
      <c r="U347" s="316">
        <f t="shared" si="76"/>
        <v>431.1282563</v>
      </c>
      <c r="V347" s="316"/>
      <c r="W347" s="316">
        <f t="shared" si="80"/>
        <v>380</v>
      </c>
      <c r="X347" s="316">
        <f t="shared" si="77"/>
        <v>265.65254</v>
      </c>
      <c r="Y347" s="316"/>
      <c r="Z347" s="316">
        <f t="shared" si="81"/>
        <v>190</v>
      </c>
      <c r="AA347" s="316">
        <f t="shared" si="72"/>
        <v>215</v>
      </c>
      <c r="AB347" s="316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</row>
    <row r="348">
      <c r="A348" s="25"/>
      <c r="B348" s="26"/>
      <c r="C348" s="26"/>
      <c r="D348" s="27"/>
      <c r="E348" s="27"/>
      <c r="F348" s="386"/>
      <c r="G348" s="27"/>
      <c r="H348" s="27"/>
      <c r="I348" s="385">
        <f t="shared" si="73"/>
        <v>45658</v>
      </c>
      <c r="J348" s="387">
        <v>114.34843680840868</v>
      </c>
      <c r="K348" s="387">
        <v>40.57180368547388</v>
      </c>
      <c r="L348" s="387">
        <v>50.48218215672374</v>
      </c>
      <c r="M348" s="387">
        <v>55.856798239638245</v>
      </c>
      <c r="N348" s="387">
        <v>162.36860390884473</v>
      </c>
      <c r="O348" s="316">
        <f t="shared" si="74"/>
        <v>874.3484368</v>
      </c>
      <c r="P348" s="316"/>
      <c r="Q348" s="316">
        <f t="shared" si="78"/>
        <v>760</v>
      </c>
      <c r="R348" s="316">
        <f t="shared" si="75"/>
        <v>610.5718037</v>
      </c>
      <c r="S348" s="316"/>
      <c r="T348" s="316">
        <f t="shared" si="79"/>
        <v>570</v>
      </c>
      <c r="U348" s="316">
        <f t="shared" si="76"/>
        <v>430.4821822</v>
      </c>
      <c r="V348" s="316"/>
      <c r="W348" s="316">
        <f t="shared" si="80"/>
        <v>380</v>
      </c>
      <c r="X348" s="316">
        <f t="shared" si="77"/>
        <v>245.8567982</v>
      </c>
      <c r="Y348" s="316"/>
      <c r="Z348" s="316">
        <f t="shared" si="81"/>
        <v>190</v>
      </c>
      <c r="AA348" s="316">
        <f t="shared" si="72"/>
        <v>162.3686039</v>
      </c>
      <c r="AB348" s="316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</row>
    <row r="349">
      <c r="A349" s="25"/>
      <c r="B349" s="26"/>
      <c r="C349" s="26"/>
      <c r="D349" s="27"/>
      <c r="E349" s="27"/>
      <c r="F349" s="386"/>
      <c r="G349" s="27"/>
      <c r="H349" s="27"/>
      <c r="I349" s="385">
        <f t="shared" si="73"/>
        <v>45689</v>
      </c>
      <c r="J349" s="387">
        <v>138.5923180302791</v>
      </c>
      <c r="K349" s="387">
        <v>31.165219753506047</v>
      </c>
      <c r="L349" s="387">
        <v>76.11924782409638</v>
      </c>
      <c r="M349" s="387">
        <v>81.03255622587285</v>
      </c>
      <c r="N349" s="387">
        <v>96.44983278884693</v>
      </c>
      <c r="O349" s="316">
        <f t="shared" si="74"/>
        <v>898.592318</v>
      </c>
      <c r="P349" s="316"/>
      <c r="Q349" s="316">
        <f t="shared" si="78"/>
        <v>760</v>
      </c>
      <c r="R349" s="316">
        <f t="shared" si="75"/>
        <v>601.1652198</v>
      </c>
      <c r="S349" s="316"/>
      <c r="T349" s="316">
        <f t="shared" si="79"/>
        <v>570</v>
      </c>
      <c r="U349" s="316">
        <f t="shared" si="76"/>
        <v>456.1192478</v>
      </c>
      <c r="V349" s="316"/>
      <c r="W349" s="316">
        <f t="shared" si="80"/>
        <v>380</v>
      </c>
      <c r="X349" s="316">
        <f t="shared" si="77"/>
        <v>271.0325562</v>
      </c>
      <c r="Y349" s="316"/>
      <c r="Z349" s="316">
        <f t="shared" si="81"/>
        <v>190</v>
      </c>
      <c r="AA349" s="316">
        <f t="shared" si="72"/>
        <v>96.44983279</v>
      </c>
      <c r="AB349" s="316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</row>
    <row r="350">
      <c r="A350" s="25"/>
      <c r="B350" s="26"/>
      <c r="C350" s="26"/>
      <c r="D350" s="27"/>
      <c r="E350" s="27"/>
      <c r="F350" s="386"/>
      <c r="G350" s="27"/>
      <c r="H350" s="27"/>
      <c r="I350" s="385">
        <f t="shared" si="73"/>
        <v>45717</v>
      </c>
      <c r="J350" s="387">
        <v>175.0</v>
      </c>
      <c r="K350" s="387">
        <v>21.5093014978365</v>
      </c>
      <c r="L350" s="387">
        <v>38.22292922507255</v>
      </c>
      <c r="M350" s="387">
        <v>85.0926843832599</v>
      </c>
      <c r="N350" s="387">
        <v>75.37129114890053</v>
      </c>
      <c r="O350" s="316">
        <f t="shared" si="74"/>
        <v>935</v>
      </c>
      <c r="P350" s="316"/>
      <c r="Q350" s="316">
        <f t="shared" si="78"/>
        <v>760</v>
      </c>
      <c r="R350" s="316">
        <f t="shared" si="75"/>
        <v>591.5093015</v>
      </c>
      <c r="S350" s="316"/>
      <c r="T350" s="316">
        <f t="shared" si="79"/>
        <v>570</v>
      </c>
      <c r="U350" s="316">
        <f t="shared" si="76"/>
        <v>418.2229292</v>
      </c>
      <c r="V350" s="316"/>
      <c r="W350" s="316">
        <f t="shared" si="80"/>
        <v>380</v>
      </c>
      <c r="X350" s="316">
        <f t="shared" si="77"/>
        <v>275.0926844</v>
      </c>
      <c r="Y350" s="316"/>
      <c r="Z350" s="316">
        <f t="shared" si="81"/>
        <v>190</v>
      </c>
      <c r="AA350" s="316">
        <f t="shared" si="72"/>
        <v>75.37129115</v>
      </c>
      <c r="AB350" s="316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</row>
    <row r="351">
      <c r="A351" s="25"/>
      <c r="B351" s="26"/>
      <c r="C351" s="26"/>
      <c r="D351" s="27"/>
      <c r="E351" s="27"/>
      <c r="F351" s="386"/>
      <c r="G351" s="27"/>
      <c r="H351" s="27"/>
      <c r="I351" s="385">
        <f t="shared" si="73"/>
        <v>45748</v>
      </c>
      <c r="J351" s="387">
        <v>130.93867660458974</v>
      </c>
      <c r="K351" s="387">
        <v>50.83154750602263</v>
      </c>
      <c r="L351" s="387">
        <v>63.34132779302993</v>
      </c>
      <c r="M351" s="387">
        <v>190.0</v>
      </c>
      <c r="N351" s="387">
        <v>27.898042104012994</v>
      </c>
      <c r="O351" s="316">
        <f t="shared" si="74"/>
        <v>890.9386766</v>
      </c>
      <c r="P351" s="316"/>
      <c r="Q351" s="316">
        <f t="shared" si="78"/>
        <v>760</v>
      </c>
      <c r="R351" s="316">
        <f t="shared" si="75"/>
        <v>620.8315475</v>
      </c>
      <c r="S351" s="316"/>
      <c r="T351" s="316">
        <f t="shared" si="79"/>
        <v>570</v>
      </c>
      <c r="U351" s="316">
        <f t="shared" si="76"/>
        <v>443.3413278</v>
      </c>
      <c r="V351" s="316"/>
      <c r="W351" s="316">
        <f t="shared" si="80"/>
        <v>380</v>
      </c>
      <c r="X351" s="316">
        <f t="shared" si="77"/>
        <v>380</v>
      </c>
      <c r="Y351" s="316"/>
      <c r="Z351" s="316">
        <f t="shared" si="81"/>
        <v>190</v>
      </c>
      <c r="AA351" s="316">
        <f t="shared" si="72"/>
        <v>27.8980421</v>
      </c>
      <c r="AB351" s="316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</row>
    <row r="352">
      <c r="A352" s="25"/>
      <c r="B352" s="26"/>
      <c r="C352" s="26"/>
      <c r="D352" s="27"/>
      <c r="E352" s="27"/>
      <c r="F352" s="386"/>
      <c r="G352" s="27"/>
      <c r="H352" s="27"/>
      <c r="I352" s="385">
        <f t="shared" si="73"/>
        <v>45778</v>
      </c>
      <c r="J352" s="387">
        <v>185.0</v>
      </c>
      <c r="K352" s="387">
        <v>49.29860585346089</v>
      </c>
      <c r="L352" s="387">
        <v>60.47294875338441</v>
      </c>
      <c r="M352" s="387">
        <v>230.0</v>
      </c>
      <c r="N352" s="387">
        <v>19.328929799697455</v>
      </c>
      <c r="O352" s="316">
        <f t="shared" si="74"/>
        <v>945</v>
      </c>
      <c r="P352" s="316"/>
      <c r="Q352" s="316">
        <f t="shared" si="78"/>
        <v>760</v>
      </c>
      <c r="R352" s="316">
        <f t="shared" si="75"/>
        <v>619.2986059</v>
      </c>
      <c r="S352" s="316"/>
      <c r="T352" s="316">
        <f t="shared" si="79"/>
        <v>570</v>
      </c>
      <c r="U352" s="316">
        <f t="shared" si="76"/>
        <v>440.4729488</v>
      </c>
      <c r="V352" s="316"/>
      <c r="W352" s="316">
        <f t="shared" si="80"/>
        <v>380</v>
      </c>
      <c r="X352" s="316">
        <f t="shared" si="77"/>
        <v>420</v>
      </c>
      <c r="Y352" s="316"/>
      <c r="Z352" s="316">
        <f t="shared" si="81"/>
        <v>190</v>
      </c>
      <c r="AA352" s="316">
        <f t="shared" si="72"/>
        <v>19.3289298</v>
      </c>
      <c r="AB352" s="316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</row>
    <row r="353">
      <c r="A353" s="25"/>
      <c r="B353" s="26"/>
      <c r="C353" s="26"/>
      <c r="D353" s="27"/>
      <c r="E353" s="27"/>
      <c r="F353" s="386"/>
      <c r="G353" s="27"/>
      <c r="H353" s="27"/>
      <c r="I353" s="385">
        <f t="shared" si="73"/>
        <v>45809</v>
      </c>
      <c r="J353" s="387">
        <v>98.18697601238219</v>
      </c>
      <c r="K353" s="387">
        <v>81.41050921786966</v>
      </c>
      <c r="L353" s="387">
        <v>74.35203889097711</v>
      </c>
      <c r="M353" s="387">
        <v>185.0</v>
      </c>
      <c r="N353" s="387">
        <v>10.102042114045437</v>
      </c>
      <c r="O353" s="316">
        <f t="shared" si="74"/>
        <v>858.186976</v>
      </c>
      <c r="P353" s="316"/>
      <c r="Q353" s="316">
        <f t="shared" si="78"/>
        <v>760</v>
      </c>
      <c r="R353" s="316">
        <f t="shared" si="75"/>
        <v>651.4105092</v>
      </c>
      <c r="S353" s="316"/>
      <c r="T353" s="316">
        <f t="shared" si="79"/>
        <v>570</v>
      </c>
      <c r="U353" s="316">
        <f t="shared" si="76"/>
        <v>454.3520389</v>
      </c>
      <c r="V353" s="316"/>
      <c r="W353" s="316">
        <f t="shared" si="80"/>
        <v>380</v>
      </c>
      <c r="X353" s="316">
        <f t="shared" si="77"/>
        <v>375</v>
      </c>
      <c r="Y353" s="316"/>
      <c r="Z353" s="316">
        <f t="shared" si="81"/>
        <v>190</v>
      </c>
      <c r="AA353" s="316">
        <f t="shared" si="72"/>
        <v>10.10204211</v>
      </c>
      <c r="AB353" s="316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</row>
    <row r="354">
      <c r="A354" s="25"/>
      <c r="B354" s="26"/>
      <c r="C354" s="26"/>
      <c r="D354" s="27"/>
      <c r="E354" s="27"/>
      <c r="F354" s="386"/>
      <c r="G354" s="27"/>
      <c r="H354" s="27"/>
      <c r="I354" s="385">
        <f t="shared" si="73"/>
        <v>45839</v>
      </c>
      <c r="J354" s="387">
        <v>130.0</v>
      </c>
      <c r="K354" s="387">
        <v>43.80921471643225</v>
      </c>
      <c r="L354" s="387">
        <v>150.0</v>
      </c>
      <c r="M354" s="387">
        <v>156.18571156809216</v>
      </c>
      <c r="N354" s="387">
        <v>10.392882793328523</v>
      </c>
      <c r="O354" s="316">
        <f t="shared" si="74"/>
        <v>890</v>
      </c>
      <c r="P354" s="316"/>
      <c r="Q354" s="316">
        <f t="shared" si="78"/>
        <v>760</v>
      </c>
      <c r="R354" s="316">
        <f t="shared" si="75"/>
        <v>613.8092147</v>
      </c>
      <c r="S354" s="316"/>
      <c r="T354" s="316">
        <f t="shared" si="79"/>
        <v>570</v>
      </c>
      <c r="U354" s="316">
        <f t="shared" si="76"/>
        <v>530</v>
      </c>
      <c r="V354" s="316"/>
      <c r="W354" s="316">
        <f t="shared" si="80"/>
        <v>380</v>
      </c>
      <c r="X354" s="316">
        <f t="shared" si="77"/>
        <v>346.1857116</v>
      </c>
      <c r="Y354" s="316"/>
      <c r="Z354" s="316">
        <f t="shared" si="81"/>
        <v>190</v>
      </c>
      <c r="AA354" s="316">
        <f t="shared" si="72"/>
        <v>10.39288279</v>
      </c>
      <c r="AB354" s="316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</row>
    <row r="355">
      <c r="A355" s="25"/>
      <c r="B355" s="26"/>
      <c r="C355" s="26"/>
      <c r="D355" s="27"/>
      <c r="E355" s="27"/>
      <c r="F355" s="386"/>
      <c r="G355" s="27"/>
      <c r="H355" s="27"/>
      <c r="I355" s="385">
        <f t="shared" si="73"/>
        <v>45870</v>
      </c>
      <c r="J355" s="387">
        <v>29.040341117517244</v>
      </c>
      <c r="K355" s="387">
        <v>66.90278277747448</v>
      </c>
      <c r="L355" s="387">
        <v>171.0</v>
      </c>
      <c r="M355" s="387">
        <v>141.45462092398338</v>
      </c>
      <c r="N355" s="387">
        <v>19.996407012111963</v>
      </c>
      <c r="O355" s="316">
        <f t="shared" si="74"/>
        <v>789.0403411</v>
      </c>
      <c r="P355" s="316"/>
      <c r="Q355" s="316">
        <f t="shared" si="78"/>
        <v>760</v>
      </c>
      <c r="R355" s="316">
        <f t="shared" si="75"/>
        <v>636.9027828</v>
      </c>
      <c r="S355" s="316"/>
      <c r="T355" s="316">
        <f t="shared" si="79"/>
        <v>570</v>
      </c>
      <c r="U355" s="316">
        <f t="shared" si="76"/>
        <v>551</v>
      </c>
      <c r="V355" s="316"/>
      <c r="W355" s="316">
        <f t="shared" si="80"/>
        <v>380</v>
      </c>
      <c r="X355" s="316">
        <f t="shared" si="77"/>
        <v>331.4546209</v>
      </c>
      <c r="Y355" s="316"/>
      <c r="Z355" s="316">
        <f t="shared" si="81"/>
        <v>190</v>
      </c>
      <c r="AA355" s="316">
        <f t="shared" si="72"/>
        <v>19.99640701</v>
      </c>
      <c r="AB355" s="316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</row>
    <row r="356">
      <c r="A356" s="25"/>
      <c r="B356" s="26"/>
      <c r="C356" s="26"/>
      <c r="D356" s="27"/>
      <c r="E356" s="27"/>
      <c r="F356" s="386"/>
      <c r="G356" s="27"/>
      <c r="H356" s="27"/>
      <c r="I356" s="385">
        <f t="shared" si="73"/>
        <v>45901</v>
      </c>
      <c r="J356" s="387">
        <v>18.85336231976187</v>
      </c>
      <c r="K356" s="387">
        <v>60.918688411716914</v>
      </c>
      <c r="L356" s="387">
        <v>167.0</v>
      </c>
      <c r="M356" s="387">
        <v>112.29469046666672</v>
      </c>
      <c r="N356" s="387">
        <v>27.75073327959609</v>
      </c>
      <c r="O356" s="316">
        <f t="shared" si="74"/>
        <v>778.8533623</v>
      </c>
      <c r="P356" s="316"/>
      <c r="Q356" s="316">
        <f t="shared" si="78"/>
        <v>760</v>
      </c>
      <c r="R356" s="316">
        <f t="shared" si="75"/>
        <v>630.9186884</v>
      </c>
      <c r="S356" s="316"/>
      <c r="T356" s="316">
        <f t="shared" si="79"/>
        <v>570</v>
      </c>
      <c r="U356" s="316">
        <f t="shared" si="76"/>
        <v>547</v>
      </c>
      <c r="V356" s="316"/>
      <c r="W356" s="316">
        <f t="shared" si="80"/>
        <v>380</v>
      </c>
      <c r="X356" s="316">
        <f t="shared" si="77"/>
        <v>302.2946905</v>
      </c>
      <c r="Y356" s="316"/>
      <c r="Z356" s="316">
        <f t="shared" si="81"/>
        <v>190</v>
      </c>
      <c r="AA356" s="316">
        <f t="shared" si="72"/>
        <v>27.75073328</v>
      </c>
      <c r="AB356" s="316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</row>
    <row r="357">
      <c r="A357" s="25"/>
      <c r="B357" s="26"/>
      <c r="C357" s="26"/>
      <c r="D357" s="27"/>
      <c r="E357" s="27"/>
      <c r="F357" s="386"/>
      <c r="G357" s="27"/>
      <c r="H357" s="27"/>
      <c r="I357" s="385">
        <f t="shared" si="73"/>
        <v>45931</v>
      </c>
      <c r="J357" s="387">
        <v>9.71339003596743</v>
      </c>
      <c r="K357" s="387">
        <v>75.71251557970943</v>
      </c>
      <c r="L357" s="387">
        <v>177.0</v>
      </c>
      <c r="M357" s="387">
        <v>81.01007475989009</v>
      </c>
      <c r="N357" s="387">
        <v>45.65771825196022</v>
      </c>
      <c r="O357" s="316">
        <f t="shared" si="74"/>
        <v>769.71339</v>
      </c>
      <c r="P357" s="316"/>
      <c r="Q357" s="316">
        <f t="shared" si="78"/>
        <v>760</v>
      </c>
      <c r="R357" s="316">
        <f t="shared" si="75"/>
        <v>645.7125156</v>
      </c>
      <c r="S357" s="316"/>
      <c r="T357" s="316">
        <f t="shared" si="79"/>
        <v>570</v>
      </c>
      <c r="U357" s="316">
        <f t="shared" si="76"/>
        <v>557</v>
      </c>
      <c r="V357" s="316"/>
      <c r="W357" s="316">
        <f t="shared" si="80"/>
        <v>380</v>
      </c>
      <c r="X357" s="316">
        <f t="shared" si="77"/>
        <v>271.0100748</v>
      </c>
      <c r="Y357" s="316"/>
      <c r="Z357" s="316">
        <f t="shared" si="81"/>
        <v>190</v>
      </c>
      <c r="AA357" s="316">
        <f t="shared" si="72"/>
        <v>45.65771825</v>
      </c>
      <c r="AB357" s="316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</row>
    <row r="358">
      <c r="A358" s="25"/>
      <c r="B358" s="26"/>
      <c r="C358" s="26"/>
      <c r="D358" s="27"/>
      <c r="E358" s="27"/>
      <c r="F358" s="386"/>
      <c r="G358" s="27"/>
      <c r="H358" s="27"/>
      <c r="I358" s="385">
        <f t="shared" si="73"/>
        <v>45962</v>
      </c>
      <c r="J358" s="387">
        <v>10.374477462979534</v>
      </c>
      <c r="K358" s="387">
        <v>87.57808554962318</v>
      </c>
      <c r="L358" s="387">
        <v>210.0</v>
      </c>
      <c r="M358" s="387">
        <v>30.447584662223836</v>
      </c>
      <c r="N358" s="387">
        <v>21.81199011669801</v>
      </c>
      <c r="O358" s="316">
        <f t="shared" si="74"/>
        <v>770.3744775</v>
      </c>
      <c r="P358" s="316"/>
      <c r="Q358" s="316">
        <f t="shared" si="78"/>
        <v>760</v>
      </c>
      <c r="R358" s="316">
        <f t="shared" si="75"/>
        <v>657.5780855</v>
      </c>
      <c r="S358" s="316"/>
      <c r="T358" s="316">
        <f t="shared" si="79"/>
        <v>570</v>
      </c>
      <c r="U358" s="316">
        <f t="shared" si="76"/>
        <v>590</v>
      </c>
      <c r="V358" s="316"/>
      <c r="W358" s="316">
        <f t="shared" si="80"/>
        <v>380</v>
      </c>
      <c r="X358" s="316">
        <f t="shared" si="77"/>
        <v>220.4475847</v>
      </c>
      <c r="Y358" s="316"/>
      <c r="Z358" s="316">
        <f t="shared" si="81"/>
        <v>190</v>
      </c>
      <c r="AA358" s="316">
        <f t="shared" si="72"/>
        <v>21.81199012</v>
      </c>
      <c r="AB358" s="316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</row>
    <row r="359">
      <c r="A359" s="25"/>
      <c r="B359" s="26"/>
      <c r="C359" s="26"/>
      <c r="D359" s="27"/>
      <c r="E359" s="27"/>
      <c r="F359" s="386"/>
      <c r="G359" s="27"/>
      <c r="H359" s="27"/>
      <c r="I359" s="385">
        <f t="shared" si="73"/>
        <v>45992</v>
      </c>
      <c r="J359" s="387">
        <v>21.297729509504716</v>
      </c>
      <c r="K359" s="387">
        <v>99.14148456979532</v>
      </c>
      <c r="L359" s="387">
        <v>146.26019346367497</v>
      </c>
      <c r="M359" s="387">
        <v>22.17505683507354</v>
      </c>
      <c r="N359" s="387">
        <v>29.586927282385666</v>
      </c>
      <c r="O359" s="316">
        <f t="shared" si="74"/>
        <v>781.2977295</v>
      </c>
      <c r="P359" s="316"/>
      <c r="Q359" s="316">
        <f t="shared" si="78"/>
        <v>760</v>
      </c>
      <c r="R359" s="316">
        <f t="shared" si="75"/>
        <v>669.1414846</v>
      </c>
      <c r="S359" s="316"/>
      <c r="T359" s="316">
        <f t="shared" si="79"/>
        <v>570</v>
      </c>
      <c r="U359" s="316">
        <f t="shared" si="76"/>
        <v>526.2601935</v>
      </c>
      <c r="V359" s="316"/>
      <c r="W359" s="316">
        <f t="shared" si="80"/>
        <v>380</v>
      </c>
      <c r="X359" s="316">
        <f t="shared" si="77"/>
        <v>212.1750568</v>
      </c>
      <c r="Y359" s="316"/>
      <c r="Z359" s="316">
        <f t="shared" si="81"/>
        <v>190</v>
      </c>
      <c r="AA359" s="316">
        <f t="shared" si="72"/>
        <v>29.58692728</v>
      </c>
      <c r="AB359" s="316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</row>
    <row r="360">
      <c r="A360" s="25"/>
      <c r="B360" s="26"/>
      <c r="C360" s="26"/>
      <c r="D360" s="27"/>
      <c r="E360" s="27"/>
      <c r="F360" s="386"/>
      <c r="G360" s="27"/>
      <c r="H360" s="27"/>
      <c r="I360" s="385">
        <f t="shared" si="73"/>
        <v>46023</v>
      </c>
      <c r="J360" s="387">
        <v>30.960361804151876</v>
      </c>
      <c r="K360" s="387">
        <v>180.0</v>
      </c>
      <c r="L360" s="387">
        <v>93.58885792563838</v>
      </c>
      <c r="M360" s="387">
        <v>9.570389362566685</v>
      </c>
      <c r="N360" s="387">
        <v>10.028010088441548</v>
      </c>
      <c r="O360" s="316">
        <f t="shared" si="74"/>
        <v>790.9603618</v>
      </c>
      <c r="P360" s="316"/>
      <c r="Q360" s="316">
        <f t="shared" si="78"/>
        <v>760</v>
      </c>
      <c r="R360" s="316">
        <f t="shared" si="75"/>
        <v>750</v>
      </c>
      <c r="S360" s="316"/>
      <c r="T360" s="316">
        <f t="shared" si="79"/>
        <v>570</v>
      </c>
      <c r="U360" s="316">
        <f t="shared" si="76"/>
        <v>473.5888579</v>
      </c>
      <c r="V360" s="316"/>
      <c r="W360" s="316">
        <f t="shared" si="80"/>
        <v>380</v>
      </c>
      <c r="X360" s="316">
        <f t="shared" si="77"/>
        <v>199.5703894</v>
      </c>
      <c r="Y360" s="316"/>
      <c r="Z360" s="316">
        <f t="shared" si="81"/>
        <v>190</v>
      </c>
      <c r="AA360" s="316">
        <f t="shared" si="72"/>
        <v>10.02801009</v>
      </c>
      <c r="AB360" s="316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</row>
    <row r="361">
      <c r="A361" s="25"/>
      <c r="B361" s="26"/>
      <c r="C361" s="26"/>
      <c r="D361" s="27"/>
      <c r="E361" s="27"/>
      <c r="F361" s="386"/>
      <c r="G361" s="27"/>
      <c r="H361" s="27"/>
      <c r="I361" s="385">
        <f t="shared" si="73"/>
        <v>46054</v>
      </c>
      <c r="J361" s="387">
        <v>47.06383385949732</v>
      </c>
      <c r="K361" s="387">
        <v>200.0</v>
      </c>
      <c r="L361" s="387">
        <v>78.09537303302132</v>
      </c>
      <c r="M361" s="387">
        <v>9.501159589187106</v>
      </c>
      <c r="N361" s="387">
        <v>32.158662261992056</v>
      </c>
      <c r="O361" s="316">
        <f t="shared" si="74"/>
        <v>807.0638339</v>
      </c>
      <c r="P361" s="316"/>
      <c r="Q361" s="316">
        <f t="shared" si="78"/>
        <v>760</v>
      </c>
      <c r="R361" s="316">
        <f t="shared" si="75"/>
        <v>770</v>
      </c>
      <c r="S361" s="316"/>
      <c r="T361" s="316">
        <f t="shared" si="79"/>
        <v>570</v>
      </c>
      <c r="U361" s="316">
        <f t="shared" si="76"/>
        <v>458.095373</v>
      </c>
      <c r="V361" s="316"/>
      <c r="W361" s="316">
        <f t="shared" si="80"/>
        <v>380</v>
      </c>
      <c r="X361" s="316">
        <f t="shared" si="77"/>
        <v>199.5011596</v>
      </c>
      <c r="Y361" s="316"/>
      <c r="Z361" s="316">
        <f t="shared" si="81"/>
        <v>190</v>
      </c>
      <c r="AA361" s="316">
        <f t="shared" si="72"/>
        <v>32.15866226</v>
      </c>
      <c r="AB361" s="316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</row>
    <row r="362">
      <c r="A362" s="25"/>
      <c r="B362" s="26"/>
      <c r="C362" s="26"/>
      <c r="D362" s="27"/>
      <c r="E362" s="27"/>
      <c r="F362" s="386"/>
      <c r="G362" s="27"/>
      <c r="H362" s="27"/>
      <c r="I362" s="385">
        <f t="shared" si="73"/>
        <v>46082</v>
      </c>
      <c r="J362" s="387">
        <v>18.999465843990645</v>
      </c>
      <c r="K362" s="387">
        <v>190.0</v>
      </c>
      <c r="L362" s="387">
        <v>30.788977879822713</v>
      </c>
      <c r="M362" s="387">
        <v>19.35897319403278</v>
      </c>
      <c r="N362" s="387">
        <v>22.351953108239336</v>
      </c>
      <c r="O362" s="316">
        <f t="shared" si="74"/>
        <v>778.9994658</v>
      </c>
      <c r="P362" s="316"/>
      <c r="Q362" s="316">
        <f t="shared" si="78"/>
        <v>760</v>
      </c>
      <c r="R362" s="316">
        <f t="shared" si="75"/>
        <v>760</v>
      </c>
      <c r="S362" s="316"/>
      <c r="T362" s="316">
        <f t="shared" si="79"/>
        <v>570</v>
      </c>
      <c r="U362" s="316">
        <f t="shared" si="76"/>
        <v>410.7889779</v>
      </c>
      <c r="V362" s="316"/>
      <c r="W362" s="316">
        <f t="shared" si="80"/>
        <v>380</v>
      </c>
      <c r="X362" s="316">
        <f t="shared" si="77"/>
        <v>209.3589732</v>
      </c>
      <c r="Y362" s="316"/>
      <c r="Z362" s="316">
        <f t="shared" si="81"/>
        <v>190</v>
      </c>
      <c r="AA362" s="316">
        <f t="shared" si="72"/>
        <v>22.35195311</v>
      </c>
      <c r="AB362" s="316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</row>
    <row r="363">
      <c r="A363" s="25"/>
      <c r="B363" s="26"/>
      <c r="C363" s="26"/>
      <c r="D363" s="27"/>
      <c r="E363" s="27"/>
      <c r="F363" s="27"/>
      <c r="G363" s="27"/>
      <c r="H363" s="27"/>
      <c r="I363" s="385">
        <f t="shared" si="73"/>
        <v>46113</v>
      </c>
      <c r="J363" s="387">
        <v>29.922204200382847</v>
      </c>
      <c r="K363" s="387">
        <v>197.0</v>
      </c>
      <c r="L363" s="387">
        <v>20.769378527997354</v>
      </c>
      <c r="M363" s="387">
        <v>33.33462487386941</v>
      </c>
      <c r="N363" s="387">
        <v>31.807299715523655</v>
      </c>
      <c r="O363" s="316">
        <f t="shared" si="74"/>
        <v>789.9222042</v>
      </c>
      <c r="P363" s="316"/>
      <c r="Q363" s="316">
        <f t="shared" si="78"/>
        <v>760</v>
      </c>
      <c r="R363" s="316">
        <f t="shared" si="75"/>
        <v>767</v>
      </c>
      <c r="S363" s="316"/>
      <c r="T363" s="316">
        <f t="shared" si="79"/>
        <v>570</v>
      </c>
      <c r="U363" s="316">
        <f t="shared" si="76"/>
        <v>400.7693785</v>
      </c>
      <c r="V363" s="316"/>
      <c r="W363" s="316">
        <f t="shared" si="80"/>
        <v>380</v>
      </c>
      <c r="X363" s="316">
        <f t="shared" si="77"/>
        <v>223.3346249</v>
      </c>
      <c r="Y363" s="316"/>
      <c r="Z363" s="316">
        <f t="shared" si="81"/>
        <v>190</v>
      </c>
      <c r="AA363" s="316">
        <f t="shared" si="72"/>
        <v>31.80729972</v>
      </c>
      <c r="AB363" s="316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</row>
    <row r="364">
      <c r="A364" s="25"/>
      <c r="B364" s="26"/>
      <c r="C364" s="26"/>
      <c r="D364" s="27"/>
      <c r="E364" s="27"/>
      <c r="F364" s="27"/>
      <c r="G364" s="27"/>
      <c r="H364" s="27"/>
      <c r="I364" s="385">
        <f t="shared" si="73"/>
        <v>46143</v>
      </c>
      <c r="J364" s="387">
        <v>10.702909693923177</v>
      </c>
      <c r="K364" s="387">
        <v>189.0</v>
      </c>
      <c r="L364" s="387">
        <v>9.983489797786442</v>
      </c>
      <c r="M364" s="387">
        <v>46.25231949707505</v>
      </c>
      <c r="N364" s="387">
        <v>9.89165765216064</v>
      </c>
      <c r="O364" s="316">
        <f t="shared" si="74"/>
        <v>770.7029097</v>
      </c>
      <c r="P364" s="316"/>
      <c r="Q364" s="316">
        <f t="shared" si="78"/>
        <v>760</v>
      </c>
      <c r="R364" s="316">
        <f t="shared" si="75"/>
        <v>759</v>
      </c>
      <c r="S364" s="316"/>
      <c r="T364" s="316">
        <f t="shared" si="79"/>
        <v>570</v>
      </c>
      <c r="U364" s="316">
        <f t="shared" si="76"/>
        <v>389.9834898</v>
      </c>
      <c r="V364" s="316"/>
      <c r="W364" s="316">
        <f t="shared" si="80"/>
        <v>380</v>
      </c>
      <c r="X364" s="316">
        <f t="shared" si="77"/>
        <v>236.2523195</v>
      </c>
      <c r="Y364" s="316"/>
      <c r="Z364" s="316">
        <f t="shared" si="81"/>
        <v>190</v>
      </c>
      <c r="AA364" s="316">
        <f t="shared" si="72"/>
        <v>9.891657652</v>
      </c>
      <c r="AB364" s="316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</row>
    <row r="365">
      <c r="A365" s="25"/>
      <c r="B365" s="26"/>
      <c r="C365" s="26"/>
      <c r="D365" s="27"/>
      <c r="E365" s="27"/>
      <c r="F365" s="27"/>
      <c r="G365" s="27"/>
      <c r="H365" s="27"/>
      <c r="I365" s="385">
        <f t="shared" si="73"/>
        <v>46174</v>
      </c>
      <c r="J365" s="387">
        <v>31.58783758464458</v>
      </c>
      <c r="K365" s="387">
        <v>73.23734350069803</v>
      </c>
      <c r="L365" s="387">
        <v>9.752934518772404</v>
      </c>
      <c r="M365" s="387">
        <v>18.816771072698078</v>
      </c>
      <c r="N365" s="387">
        <v>33.25981660939801</v>
      </c>
      <c r="O365" s="316">
        <f t="shared" si="74"/>
        <v>791.5878376</v>
      </c>
      <c r="P365" s="316"/>
      <c r="Q365" s="316">
        <f t="shared" si="78"/>
        <v>760</v>
      </c>
      <c r="R365" s="316">
        <f t="shared" si="75"/>
        <v>643.2373435</v>
      </c>
      <c r="S365" s="316"/>
      <c r="T365" s="316">
        <f t="shared" si="79"/>
        <v>570</v>
      </c>
      <c r="U365" s="316">
        <f t="shared" si="76"/>
        <v>389.7529345</v>
      </c>
      <c r="V365" s="316"/>
      <c r="W365" s="316">
        <f t="shared" si="80"/>
        <v>380</v>
      </c>
      <c r="X365" s="316">
        <f t="shared" si="77"/>
        <v>208.8167711</v>
      </c>
      <c r="Y365" s="316"/>
      <c r="Z365" s="316">
        <f t="shared" si="81"/>
        <v>190</v>
      </c>
      <c r="AA365" s="316">
        <f t="shared" si="72"/>
        <v>33.25981661</v>
      </c>
      <c r="AB365" s="316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</row>
    <row r="366">
      <c r="A366" s="25"/>
      <c r="B366" s="26"/>
      <c r="C366" s="26"/>
      <c r="D366" s="27"/>
      <c r="E366" s="27"/>
      <c r="F366" s="27"/>
      <c r="G366" s="27"/>
      <c r="H366" s="27"/>
      <c r="I366" s="385">
        <f>EOMONTH(TODAY(),-2)+1</f>
        <v>46204</v>
      </c>
      <c r="J366" s="387">
        <v>19.7301187686699</v>
      </c>
      <c r="K366" s="387">
        <v>32.084217804061254</v>
      </c>
      <c r="L366" s="387">
        <v>18.73845670631603</v>
      </c>
      <c r="M366" s="387">
        <v>29.219756305641543</v>
      </c>
      <c r="N366" s="387">
        <v>19.711643476054842</v>
      </c>
      <c r="O366" s="316">
        <f t="shared" si="74"/>
        <v>779.7301188</v>
      </c>
      <c r="P366" s="316"/>
      <c r="Q366" s="316">
        <f t="shared" si="78"/>
        <v>760</v>
      </c>
      <c r="R366" s="316">
        <f t="shared" si="75"/>
        <v>602.0842178</v>
      </c>
      <c r="S366" s="316"/>
      <c r="T366" s="316">
        <f t="shared" si="79"/>
        <v>570</v>
      </c>
      <c r="U366" s="316">
        <f t="shared" si="76"/>
        <v>398.7384567</v>
      </c>
      <c r="V366" s="316"/>
      <c r="W366" s="316">
        <f t="shared" si="80"/>
        <v>380</v>
      </c>
      <c r="X366" s="316">
        <f t="shared" si="77"/>
        <v>219.2197563</v>
      </c>
      <c r="Y366" s="316"/>
      <c r="Z366" s="316">
        <f t="shared" si="81"/>
        <v>190</v>
      </c>
      <c r="AA366" s="316">
        <f t="shared" si="72"/>
        <v>19.71164348</v>
      </c>
      <c r="AB366" s="316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</row>
    <row r="367">
      <c r="A367" s="25"/>
      <c r="B367" s="26"/>
      <c r="C367" s="26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Q367" s="389"/>
      <c r="R367" s="389"/>
      <c r="S367" s="389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</row>
    <row r="368">
      <c r="A368" s="25"/>
      <c r="B368" s="26"/>
      <c r="C368" s="26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</row>
    <row r="369">
      <c r="A369" s="25"/>
      <c r="B369" s="26"/>
      <c r="C369" s="26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</row>
    <row r="370">
      <c r="A370" s="25"/>
      <c r="B370" s="26"/>
      <c r="C370" s="26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</row>
    <row r="371">
      <c r="A371" s="25"/>
      <c r="B371" s="26"/>
      <c r="C371" s="26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</row>
    <row r="372">
      <c r="A372" s="25"/>
      <c r="B372" s="26"/>
      <c r="C372" s="26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</row>
    <row r="373">
      <c r="A373" s="25"/>
      <c r="B373" s="26"/>
      <c r="C373" s="26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</row>
    <row r="374">
      <c r="A374" s="25"/>
      <c r="B374" s="26"/>
      <c r="C374" s="26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</row>
    <row r="375">
      <c r="A375" s="25"/>
      <c r="B375" s="26"/>
      <c r="C375" s="26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</row>
    <row r="376">
      <c r="A376" s="25"/>
      <c r="B376" s="26"/>
      <c r="C376" s="26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</row>
    <row r="377">
      <c r="A377" s="25"/>
      <c r="B377" s="26"/>
      <c r="C377" s="26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</row>
    <row r="378">
      <c r="A378" s="25"/>
      <c r="B378" s="26"/>
      <c r="C378" s="26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</row>
    <row r="379">
      <c r="A379" s="25"/>
      <c r="B379" s="26"/>
      <c r="C379" s="26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</row>
    <row r="380">
      <c r="A380" s="25"/>
      <c r="B380" s="26"/>
      <c r="C380" s="26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</row>
    <row r="381">
      <c r="A381" s="25"/>
      <c r="B381" s="26"/>
      <c r="C381" s="26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</row>
    <row r="382">
      <c r="A382" s="25"/>
      <c r="B382" s="26"/>
      <c r="C382" s="26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</row>
    <row r="383">
      <c r="A383" s="25"/>
      <c r="B383" s="26"/>
      <c r="C383" s="26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</row>
    <row r="384">
      <c r="A384" s="25"/>
      <c r="B384" s="26"/>
      <c r="C384" s="26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</row>
    <row r="385">
      <c r="A385" s="25"/>
      <c r="B385" s="26"/>
      <c r="C385" s="26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</row>
    <row r="386">
      <c r="A386" s="25"/>
      <c r="B386" s="26"/>
      <c r="C386" s="26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</row>
    <row r="387">
      <c r="A387" s="25"/>
      <c r="B387" s="26"/>
      <c r="C387" s="26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</row>
    <row r="388">
      <c r="A388" s="25"/>
      <c r="B388" s="26"/>
      <c r="C388" s="26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</row>
    <row r="389">
      <c r="A389" s="25"/>
      <c r="B389" s="26"/>
      <c r="C389" s="26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</row>
    <row r="390">
      <c r="A390" s="25"/>
      <c r="B390" s="26"/>
      <c r="C390" s="26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</row>
    <row r="391">
      <c r="A391" s="25"/>
      <c r="B391" s="26"/>
      <c r="C391" s="26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</row>
    <row r="392">
      <c r="A392" s="25"/>
      <c r="B392" s="26"/>
      <c r="C392" s="26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</row>
    <row r="393">
      <c r="A393" s="25"/>
      <c r="B393" s="26"/>
      <c r="C393" s="26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</row>
    <row r="394">
      <c r="A394" s="25"/>
      <c r="B394" s="26"/>
      <c r="C394" s="26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</row>
  </sheetData>
  <mergeCells count="28">
    <mergeCell ref="E3:H3"/>
    <mergeCell ref="I4:L4"/>
    <mergeCell ref="E23:H23"/>
    <mergeCell ref="I25:L25"/>
    <mergeCell ref="E45:H45"/>
    <mergeCell ref="I46:L46"/>
    <mergeCell ref="I67:L67"/>
    <mergeCell ref="E66:H66"/>
    <mergeCell ref="E87:H87"/>
    <mergeCell ref="I88:L88"/>
    <mergeCell ref="E108:H108"/>
    <mergeCell ref="I108:L108"/>
    <mergeCell ref="I109:I110"/>
    <mergeCell ref="J109:M109"/>
    <mergeCell ref="E191:H191"/>
    <mergeCell ref="E212:H212"/>
    <mergeCell ref="I212:L212"/>
    <mergeCell ref="E244:H244"/>
    <mergeCell ref="I244:K244"/>
    <mergeCell ref="I340:K340"/>
    <mergeCell ref="E341:H341"/>
    <mergeCell ref="E129:H129"/>
    <mergeCell ref="I130:L130"/>
    <mergeCell ref="E149:H149"/>
    <mergeCell ref="I150:L150"/>
    <mergeCell ref="E170:H170"/>
    <mergeCell ref="I171:L171"/>
    <mergeCell ref="I193:L193"/>
  </mergeCells>
  <hyperlinks>
    <hyperlink r:id="rId1" ref="B26"/>
    <hyperlink r:id="rId2" ref="I244"/>
    <hyperlink r:id="rId3" ref="I340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87.75"/>
    <col customWidth="1" min="6" max="6" width="87.13"/>
    <col customWidth="1" min="7" max="7" width="3.75"/>
    <col customWidth="1" min="8" max="8" width="2.88"/>
    <col customWidth="1" min="9" max="9" width="16.5"/>
    <col customWidth="1" min="10" max="10" width="17.13"/>
    <col customWidth="1" min="11" max="11" width="15.13"/>
    <col customWidth="1" min="12" max="12" width="16.63"/>
    <col customWidth="1" min="13" max="13" width="13.88"/>
    <col customWidth="1" min="14" max="15" width="15.38"/>
    <col customWidth="1" min="16" max="16" width="17.38"/>
    <col customWidth="1" min="17" max="17" width="6.38"/>
  </cols>
  <sheetData>
    <row r="1">
      <c r="A1" s="25"/>
      <c r="B1" s="26"/>
      <c r="C1" s="26"/>
      <c r="D1" s="27"/>
      <c r="E1" s="27"/>
      <c r="F1" s="27"/>
      <c r="G1" s="27"/>
      <c r="H1" s="27"/>
    </row>
    <row r="2">
      <c r="A2" s="25"/>
      <c r="B2" s="28" t="s">
        <v>9</v>
      </c>
      <c r="C2" s="28"/>
      <c r="D2" s="27"/>
      <c r="E2" s="27"/>
      <c r="F2" s="27"/>
      <c r="G2" s="27"/>
      <c r="H2" s="27"/>
      <c r="I2" s="29"/>
      <c r="J2" s="30"/>
      <c r="K2" s="30"/>
      <c r="L2" s="30"/>
      <c r="M2" s="30"/>
    </row>
    <row r="3">
      <c r="A3" s="25"/>
      <c r="B3" s="31"/>
      <c r="C3" s="31"/>
      <c r="D3" s="27"/>
      <c r="E3" s="32" t="s">
        <v>15</v>
      </c>
      <c r="F3" s="33"/>
      <c r="G3" s="33"/>
      <c r="H3" s="34"/>
      <c r="I3" s="29"/>
      <c r="J3" s="29"/>
      <c r="K3" s="29"/>
      <c r="L3" s="29"/>
      <c r="M3" s="29"/>
    </row>
    <row r="4">
      <c r="A4" s="25"/>
      <c r="B4" s="35" t="s">
        <v>16</v>
      </c>
      <c r="C4" s="36"/>
      <c r="D4" s="27"/>
      <c r="E4" s="27"/>
      <c r="F4" s="27"/>
      <c r="G4" s="27"/>
      <c r="H4" s="27"/>
      <c r="I4" s="29"/>
      <c r="J4" s="29"/>
      <c r="K4" s="29"/>
      <c r="L4" s="29"/>
      <c r="M4" s="29"/>
    </row>
    <row r="5">
      <c r="A5" s="25"/>
      <c r="B5" s="37" t="s">
        <v>15</v>
      </c>
      <c r="C5" s="38"/>
      <c r="D5" s="27"/>
      <c r="E5" s="27"/>
      <c r="F5" s="27"/>
      <c r="G5" s="27"/>
      <c r="H5" s="27"/>
      <c r="I5" s="29"/>
      <c r="J5" s="29"/>
      <c r="K5" s="29"/>
      <c r="L5" s="29"/>
      <c r="M5" s="29"/>
    </row>
    <row r="6">
      <c r="A6" s="25"/>
      <c r="B6" s="37" t="s">
        <v>17</v>
      </c>
      <c r="C6" s="38"/>
      <c r="D6" s="27"/>
      <c r="E6" s="27"/>
      <c r="F6" s="27"/>
      <c r="G6" s="27"/>
      <c r="H6" s="27"/>
      <c r="I6" s="29"/>
      <c r="J6" s="29"/>
      <c r="K6" s="29"/>
      <c r="L6" s="29"/>
      <c r="M6" s="29"/>
    </row>
    <row r="7">
      <c r="A7" s="39"/>
      <c r="B7" s="37" t="s">
        <v>18</v>
      </c>
      <c r="C7" s="40"/>
      <c r="D7" s="27"/>
      <c r="E7" s="27"/>
      <c r="F7" s="27"/>
      <c r="G7" s="27"/>
      <c r="H7" s="27"/>
      <c r="I7" s="41" t="s">
        <v>19</v>
      </c>
      <c r="J7" s="33"/>
      <c r="K7" s="33"/>
      <c r="L7" s="34"/>
      <c r="M7" s="30"/>
    </row>
    <row r="8">
      <c r="A8" s="25"/>
      <c r="B8" s="42" t="s">
        <v>20</v>
      </c>
      <c r="C8" s="43"/>
      <c r="D8" s="27"/>
      <c r="E8" s="27"/>
      <c r="F8" s="27"/>
      <c r="G8" s="27"/>
      <c r="H8" s="27"/>
      <c r="I8" s="44" t="s">
        <v>21</v>
      </c>
      <c r="J8" s="44" t="s">
        <v>22</v>
      </c>
      <c r="K8" s="30"/>
      <c r="L8" s="30"/>
      <c r="M8" s="30"/>
    </row>
    <row r="9">
      <c r="A9" s="25"/>
      <c r="B9" s="37" t="s">
        <v>23</v>
      </c>
      <c r="C9" s="43"/>
      <c r="D9" s="27"/>
      <c r="E9" s="27"/>
      <c r="F9" s="27"/>
      <c r="G9" s="27"/>
      <c r="H9" s="27"/>
      <c r="I9" s="45" t="s">
        <v>24</v>
      </c>
      <c r="J9" s="46">
        <v>0.45</v>
      </c>
      <c r="K9" s="30"/>
      <c r="L9" s="30"/>
      <c r="M9" s="30"/>
    </row>
    <row r="10">
      <c r="A10" s="25"/>
      <c r="B10" s="37" t="s">
        <v>25</v>
      </c>
      <c r="C10" s="43"/>
      <c r="D10" s="27"/>
      <c r="E10" s="27"/>
      <c r="F10" s="27"/>
      <c r="G10" s="27"/>
      <c r="H10" s="27"/>
      <c r="I10" s="45" t="s">
        <v>26</v>
      </c>
      <c r="J10" s="46">
        <v>0.24</v>
      </c>
      <c r="K10" s="30"/>
      <c r="L10" s="30"/>
      <c r="M10" s="30"/>
    </row>
    <row r="11">
      <c r="A11" s="25"/>
      <c r="B11" s="47" t="s">
        <v>27</v>
      </c>
      <c r="C11" s="43"/>
      <c r="D11" s="27"/>
      <c r="E11" s="27"/>
      <c r="F11" s="27"/>
      <c r="G11" s="27"/>
      <c r="H11" s="27"/>
      <c r="I11" s="45" t="s">
        <v>28</v>
      </c>
      <c r="J11" s="46">
        <v>0.2</v>
      </c>
      <c r="K11" s="30"/>
      <c r="L11" s="30"/>
      <c r="M11" s="30"/>
    </row>
    <row r="12">
      <c r="A12" s="25"/>
      <c r="B12" s="48" t="s">
        <v>29</v>
      </c>
      <c r="C12" s="48"/>
      <c r="D12" s="27"/>
      <c r="E12" s="27"/>
      <c r="F12" s="27"/>
      <c r="G12" s="27"/>
      <c r="H12" s="27"/>
      <c r="I12" s="29"/>
      <c r="J12" s="30"/>
      <c r="K12" s="30"/>
      <c r="L12" s="30"/>
      <c r="M12" s="30"/>
    </row>
    <row r="13">
      <c r="A13" s="25"/>
      <c r="B13" s="48" t="s">
        <v>30</v>
      </c>
      <c r="C13" s="48"/>
      <c r="D13" s="27"/>
      <c r="E13" s="27"/>
      <c r="F13" s="27"/>
      <c r="G13" s="27"/>
      <c r="H13" s="27"/>
    </row>
    <row r="14">
      <c r="A14" s="25"/>
      <c r="B14" s="48" t="s">
        <v>31</v>
      </c>
      <c r="C14" s="48"/>
      <c r="D14" s="27"/>
      <c r="E14" s="27"/>
      <c r="F14" s="27"/>
      <c r="G14" s="27"/>
      <c r="H14" s="27"/>
    </row>
    <row r="15">
      <c r="A15" s="25"/>
      <c r="B15" s="48"/>
      <c r="C15" s="48"/>
      <c r="D15" s="27"/>
      <c r="E15" s="27"/>
      <c r="F15" s="27"/>
      <c r="G15" s="27"/>
      <c r="H15" s="27"/>
    </row>
    <row r="16">
      <c r="A16" s="25"/>
      <c r="B16" s="48"/>
      <c r="C16" s="48"/>
      <c r="D16" s="27"/>
      <c r="E16" s="27"/>
      <c r="F16" s="27"/>
      <c r="G16" s="27"/>
      <c r="H16" s="27"/>
    </row>
    <row r="17">
      <c r="A17" s="25"/>
      <c r="B17" s="49"/>
      <c r="C17" s="48"/>
      <c r="D17" s="27"/>
      <c r="E17" s="27"/>
      <c r="F17" s="27"/>
      <c r="G17" s="27"/>
      <c r="H17" s="27"/>
    </row>
    <row r="18">
      <c r="A18" s="25"/>
      <c r="B18" s="48"/>
      <c r="C18" s="48"/>
      <c r="D18" s="27"/>
      <c r="E18" s="27"/>
      <c r="F18" s="27"/>
      <c r="G18" s="27"/>
      <c r="H18" s="27"/>
    </row>
    <row r="19">
      <c r="A19" s="25"/>
      <c r="B19" s="48"/>
      <c r="C19" s="50"/>
      <c r="D19" s="27"/>
      <c r="E19" s="27"/>
      <c r="F19" s="27"/>
      <c r="G19" s="27"/>
      <c r="H19" s="27"/>
    </row>
    <row r="20">
      <c r="A20" s="25"/>
      <c r="B20" s="51" t="s">
        <v>32</v>
      </c>
      <c r="C20" s="52"/>
      <c r="D20" s="27"/>
      <c r="E20" s="27"/>
      <c r="F20" s="27"/>
      <c r="G20" s="27"/>
      <c r="H20" s="27"/>
    </row>
    <row r="21">
      <c r="A21" s="25"/>
      <c r="B21" s="53"/>
      <c r="C21" s="51"/>
      <c r="D21" s="27"/>
      <c r="E21" s="27"/>
      <c r="F21" s="27"/>
      <c r="G21" s="27"/>
      <c r="H21" s="27"/>
    </row>
    <row r="22" ht="30.0" customHeight="1">
      <c r="A22" s="25"/>
      <c r="B22" s="25"/>
      <c r="C22" s="53"/>
      <c r="D22" s="27"/>
      <c r="E22" s="27"/>
      <c r="F22" s="27"/>
      <c r="G22" s="27"/>
      <c r="H22" s="27"/>
    </row>
    <row r="23">
      <c r="A23" s="25"/>
      <c r="B23" s="54"/>
      <c r="C23" s="53"/>
      <c r="D23" s="27"/>
      <c r="E23" s="32" t="s">
        <v>17</v>
      </c>
      <c r="F23" s="33"/>
      <c r="G23" s="33"/>
      <c r="H23" s="34"/>
    </row>
    <row r="24">
      <c r="A24" s="25"/>
      <c r="B24" s="54" t="s">
        <v>33</v>
      </c>
      <c r="C24" s="54"/>
      <c r="D24" s="27"/>
      <c r="E24" s="27"/>
      <c r="F24" s="27"/>
      <c r="G24" s="27"/>
      <c r="H24" s="27"/>
    </row>
    <row r="25">
      <c r="A25" s="25"/>
      <c r="B25" s="55" t="s">
        <v>3</v>
      </c>
      <c r="C25" s="53"/>
      <c r="D25" s="27"/>
      <c r="E25" s="27"/>
      <c r="F25" s="27"/>
      <c r="G25" s="27"/>
      <c r="H25" s="27"/>
    </row>
    <row r="26">
      <c r="A26" s="25"/>
      <c r="B26" s="53"/>
      <c r="C26" s="53"/>
      <c r="D26" s="27"/>
      <c r="E26" s="27"/>
      <c r="F26" s="27"/>
      <c r="G26" s="27"/>
      <c r="H26" s="27"/>
      <c r="I26" s="41" t="s">
        <v>34</v>
      </c>
      <c r="J26" s="33"/>
      <c r="K26" s="33"/>
      <c r="L26" s="34"/>
      <c r="M26" s="30"/>
    </row>
    <row r="27">
      <c r="A27" s="25"/>
      <c r="B27" s="56"/>
      <c r="C27" s="53"/>
      <c r="D27" s="27"/>
      <c r="E27" s="27"/>
      <c r="F27" s="27"/>
      <c r="G27" s="27"/>
      <c r="H27" s="27"/>
      <c r="I27" s="44" t="s">
        <v>21</v>
      </c>
      <c r="J27" s="44" t="s">
        <v>35</v>
      </c>
      <c r="K27" s="57" t="s">
        <v>21</v>
      </c>
      <c r="L27" s="57" t="s">
        <v>35</v>
      </c>
    </row>
    <row r="28">
      <c r="A28" s="25"/>
      <c r="B28" s="53"/>
      <c r="C28" s="53"/>
      <c r="D28" s="27"/>
      <c r="E28" s="27"/>
      <c r="F28" s="27"/>
      <c r="G28" s="27"/>
      <c r="H28" s="27"/>
      <c r="I28" s="45" t="s">
        <v>36</v>
      </c>
      <c r="J28" s="46">
        <v>0.25</v>
      </c>
      <c r="K28" s="58" t="str">
        <f t="array" ref="K28:L31">SORT(I28:J31,2,False)</f>
        <v>West</v>
      </c>
      <c r="L28" s="59">
        <v>0.4</v>
      </c>
    </row>
    <row r="29">
      <c r="A29" s="25"/>
      <c r="B29" s="56"/>
      <c r="C29" s="56"/>
      <c r="D29" s="27"/>
      <c r="E29" s="27"/>
      <c r="F29" s="27"/>
      <c r="G29" s="27"/>
      <c r="H29" s="27"/>
      <c r="I29" s="45" t="s">
        <v>37</v>
      </c>
      <c r="J29" s="46">
        <v>0.2</v>
      </c>
      <c r="K29" s="58" t="s">
        <v>36</v>
      </c>
      <c r="L29" s="59">
        <v>0.25</v>
      </c>
    </row>
    <row r="30">
      <c r="A30" s="25"/>
      <c r="B30" s="26"/>
      <c r="C30" s="26"/>
      <c r="D30" s="27"/>
      <c r="E30" s="27"/>
      <c r="F30" s="27"/>
      <c r="G30" s="27"/>
      <c r="H30" s="27"/>
      <c r="I30" s="45" t="s">
        <v>38</v>
      </c>
      <c r="J30" s="46">
        <v>0.15</v>
      </c>
      <c r="K30" s="58" t="s">
        <v>37</v>
      </c>
      <c r="L30" s="59">
        <v>0.2</v>
      </c>
    </row>
    <row r="31">
      <c r="A31" s="25"/>
      <c r="B31" s="26"/>
      <c r="C31" s="26"/>
      <c r="D31" s="27"/>
      <c r="E31" s="27"/>
      <c r="F31" s="27"/>
      <c r="G31" s="27"/>
      <c r="H31" s="27"/>
      <c r="I31" s="45" t="s">
        <v>39</v>
      </c>
      <c r="J31" s="46">
        <v>0.4</v>
      </c>
      <c r="K31" s="58" t="s">
        <v>38</v>
      </c>
      <c r="L31" s="59">
        <v>0.15</v>
      </c>
    </row>
    <row r="32">
      <c r="A32" s="25"/>
      <c r="B32" s="26"/>
      <c r="C32" s="26"/>
      <c r="D32" s="27"/>
      <c r="E32" s="27"/>
      <c r="F32" s="27"/>
      <c r="G32" s="27"/>
      <c r="H32" s="27"/>
      <c r="K32" s="30"/>
    </row>
    <row r="33">
      <c r="A33" s="25"/>
      <c r="B33" s="26"/>
      <c r="C33" s="26"/>
      <c r="D33" s="27"/>
      <c r="E33" s="27"/>
      <c r="F33" s="27"/>
      <c r="G33" s="27"/>
      <c r="H33" s="27"/>
      <c r="K33" s="30"/>
    </row>
    <row r="34">
      <c r="A34" s="25"/>
      <c r="B34" s="26"/>
      <c r="C34" s="26"/>
      <c r="D34" s="27"/>
      <c r="E34" s="27"/>
      <c r="F34" s="27"/>
      <c r="G34" s="27"/>
      <c r="H34" s="27"/>
      <c r="K34" s="30"/>
    </row>
    <row r="35">
      <c r="A35" s="25"/>
      <c r="B35" s="26"/>
      <c r="C35" s="26"/>
      <c r="D35" s="27"/>
      <c r="E35" s="27"/>
      <c r="F35" s="27"/>
      <c r="G35" s="27"/>
      <c r="H35" s="27"/>
      <c r="K35" s="30"/>
    </row>
    <row r="36">
      <c r="A36" s="25"/>
      <c r="B36" s="26"/>
      <c r="C36" s="26"/>
      <c r="D36" s="27"/>
      <c r="E36" s="27"/>
      <c r="F36" s="27"/>
      <c r="G36" s="27"/>
      <c r="H36" s="27"/>
    </row>
    <row r="37">
      <c r="A37" s="25"/>
      <c r="B37" s="26"/>
      <c r="C37" s="26"/>
      <c r="D37" s="27"/>
      <c r="E37" s="27"/>
      <c r="F37" s="27"/>
      <c r="G37" s="27"/>
      <c r="H37" s="27"/>
    </row>
    <row r="38">
      <c r="A38" s="25"/>
      <c r="B38" s="26"/>
      <c r="C38" s="26"/>
      <c r="D38" s="27"/>
      <c r="E38" s="27"/>
      <c r="F38" s="27"/>
      <c r="G38" s="27"/>
      <c r="H38" s="27"/>
    </row>
    <row r="39">
      <c r="A39" s="25"/>
      <c r="B39" s="26"/>
      <c r="C39" s="26"/>
      <c r="D39" s="27"/>
      <c r="E39" s="27"/>
      <c r="F39" s="27"/>
      <c r="G39" s="27"/>
      <c r="H39" s="27"/>
    </row>
    <row r="40">
      <c r="A40" s="25"/>
      <c r="B40" s="26"/>
      <c r="C40" s="26"/>
      <c r="D40" s="27"/>
      <c r="E40" s="27"/>
      <c r="F40" s="27"/>
      <c r="G40" s="27"/>
      <c r="H40" s="27"/>
    </row>
    <row r="41">
      <c r="A41" s="25"/>
      <c r="B41" s="26"/>
      <c r="C41" s="26"/>
      <c r="D41" s="27"/>
      <c r="E41" s="27"/>
      <c r="F41" s="27"/>
      <c r="G41" s="27"/>
      <c r="H41" s="27"/>
    </row>
    <row r="42">
      <c r="A42" s="25"/>
      <c r="B42" s="26"/>
      <c r="C42" s="26"/>
      <c r="D42" s="27"/>
      <c r="E42" s="27"/>
      <c r="F42" s="27"/>
      <c r="G42" s="27"/>
      <c r="H42" s="27"/>
    </row>
    <row r="43">
      <c r="A43" s="25"/>
      <c r="B43" s="26"/>
      <c r="C43" s="26"/>
      <c r="D43" s="27"/>
      <c r="E43" s="27"/>
      <c r="F43" s="27"/>
      <c r="G43" s="27"/>
      <c r="H43" s="27"/>
    </row>
    <row r="44">
      <c r="A44" s="25"/>
      <c r="B44" s="26"/>
      <c r="C44" s="26"/>
      <c r="D44" s="27"/>
      <c r="E44" s="27"/>
      <c r="F44" s="27"/>
      <c r="G44" s="27"/>
      <c r="H44" s="27"/>
    </row>
    <row r="45">
      <c r="A45" s="25"/>
      <c r="B45" s="26"/>
      <c r="C45" s="26"/>
      <c r="D45" s="27"/>
      <c r="E45" s="32" t="s">
        <v>18</v>
      </c>
      <c r="F45" s="33"/>
      <c r="G45" s="33"/>
      <c r="H45" s="34"/>
    </row>
    <row r="46">
      <c r="A46" s="25"/>
      <c r="B46" s="26"/>
      <c r="C46" s="26"/>
      <c r="D46" s="27"/>
      <c r="E46" s="27"/>
      <c r="F46" s="27"/>
      <c r="G46" s="27"/>
      <c r="H46" s="27"/>
      <c r="I46" s="41" t="s">
        <v>34</v>
      </c>
      <c r="J46" s="33"/>
      <c r="K46" s="33"/>
      <c r="L46" s="34"/>
    </row>
    <row r="47">
      <c r="A47" s="25"/>
      <c r="B47" s="26"/>
      <c r="C47" s="26"/>
      <c r="D47" s="27"/>
      <c r="E47" s="27"/>
      <c r="F47" s="27"/>
      <c r="G47" s="27"/>
      <c r="H47" s="27"/>
      <c r="I47" s="44" t="s">
        <v>40</v>
      </c>
      <c r="J47" s="44" t="s">
        <v>41</v>
      </c>
    </row>
    <row r="48">
      <c r="A48" s="25"/>
      <c r="B48" s="26"/>
      <c r="C48" s="26"/>
      <c r="D48" s="27"/>
      <c r="E48" s="27"/>
      <c r="F48" s="27"/>
      <c r="G48" s="27"/>
      <c r="H48" s="27"/>
      <c r="I48" s="45" t="s">
        <v>42</v>
      </c>
      <c r="J48" s="46">
        <v>0.35</v>
      </c>
    </row>
    <row r="49">
      <c r="A49" s="25"/>
      <c r="B49" s="26"/>
      <c r="C49" s="26"/>
      <c r="D49" s="27"/>
      <c r="E49" s="27"/>
      <c r="F49" s="27"/>
      <c r="G49" s="27"/>
      <c r="H49" s="27"/>
      <c r="I49" s="45" t="s">
        <v>43</v>
      </c>
      <c r="J49" s="46">
        <v>0.25</v>
      </c>
    </row>
    <row r="50">
      <c r="A50" s="25"/>
      <c r="B50" s="26"/>
      <c r="C50" s="26"/>
      <c r="D50" s="27"/>
      <c r="E50" s="27"/>
      <c r="F50" s="27"/>
      <c r="G50" s="27"/>
      <c r="H50" s="27"/>
      <c r="I50" s="45" t="s">
        <v>44</v>
      </c>
      <c r="J50" s="46">
        <v>0.2</v>
      </c>
    </row>
    <row r="51">
      <c r="A51" s="25"/>
      <c r="B51" s="26"/>
      <c r="C51" s="26"/>
      <c r="D51" s="27"/>
      <c r="E51" s="27"/>
      <c r="F51" s="27"/>
      <c r="G51" s="27"/>
      <c r="H51" s="27"/>
      <c r="I51" s="45" t="s">
        <v>45</v>
      </c>
      <c r="J51" s="46">
        <v>0.2</v>
      </c>
    </row>
    <row r="52">
      <c r="A52" s="25"/>
      <c r="B52" s="60"/>
      <c r="C52" s="60"/>
      <c r="D52" s="27"/>
      <c r="E52" s="27"/>
      <c r="F52" s="27"/>
      <c r="G52" s="27"/>
      <c r="H52" s="27"/>
    </row>
    <row r="53">
      <c r="A53" s="25"/>
      <c r="B53" s="31"/>
      <c r="C53" s="31"/>
      <c r="D53" s="27"/>
      <c r="E53" s="27"/>
      <c r="F53" s="27"/>
      <c r="G53" s="27"/>
      <c r="H53" s="27"/>
    </row>
    <row r="54">
      <c r="A54" s="25"/>
      <c r="B54" s="31"/>
      <c r="C54" s="31"/>
      <c r="D54" s="27"/>
      <c r="E54" s="27"/>
      <c r="F54" s="27"/>
      <c r="G54" s="27"/>
      <c r="H54" s="27"/>
    </row>
    <row r="55">
      <c r="A55" s="25"/>
      <c r="B55" s="61"/>
      <c r="C55" s="61"/>
      <c r="D55" s="27"/>
      <c r="E55" s="27"/>
      <c r="F55" s="27"/>
      <c r="G55" s="27"/>
      <c r="H55" s="27"/>
    </row>
    <row r="56">
      <c r="A56" s="25"/>
      <c r="B56" s="26"/>
      <c r="C56" s="26"/>
      <c r="D56" s="27"/>
      <c r="E56" s="27"/>
      <c r="F56" s="27"/>
      <c r="G56" s="27"/>
      <c r="H56" s="27"/>
    </row>
    <row r="57">
      <c r="A57" s="25"/>
      <c r="B57" s="26"/>
      <c r="C57" s="26"/>
      <c r="D57" s="27"/>
      <c r="E57" s="27"/>
      <c r="F57" s="27"/>
      <c r="G57" s="27"/>
      <c r="H57" s="27"/>
    </row>
    <row r="58">
      <c r="A58" s="25"/>
      <c r="B58" s="26"/>
      <c r="C58" s="26"/>
      <c r="D58" s="27"/>
      <c r="E58" s="27"/>
      <c r="F58" s="27"/>
      <c r="G58" s="27"/>
      <c r="H58" s="27"/>
    </row>
    <row r="59">
      <c r="A59" s="25"/>
      <c r="B59" s="26"/>
      <c r="C59" s="26"/>
      <c r="D59" s="27"/>
      <c r="E59" s="27"/>
      <c r="F59" s="27"/>
      <c r="G59" s="27"/>
      <c r="H59" s="27"/>
    </row>
    <row r="60">
      <c r="A60" s="25"/>
      <c r="B60" s="26"/>
      <c r="C60" s="26"/>
      <c r="D60" s="27"/>
      <c r="E60" s="27"/>
      <c r="F60" s="27"/>
      <c r="G60" s="27"/>
      <c r="H60" s="27"/>
    </row>
    <row r="61">
      <c r="A61" s="25"/>
      <c r="B61" s="26"/>
      <c r="C61" s="26"/>
      <c r="D61" s="27"/>
      <c r="E61" s="27"/>
      <c r="F61" s="27"/>
      <c r="G61" s="27"/>
      <c r="H61" s="27"/>
    </row>
    <row r="62">
      <c r="A62" s="25"/>
      <c r="B62" s="26"/>
      <c r="C62" s="26"/>
      <c r="D62" s="27"/>
      <c r="E62" s="27"/>
      <c r="F62" s="27"/>
      <c r="G62" s="27"/>
      <c r="H62" s="27"/>
    </row>
    <row r="63">
      <c r="A63" s="25"/>
      <c r="B63" s="26"/>
      <c r="C63" s="26"/>
      <c r="D63" s="27"/>
      <c r="E63" s="27"/>
      <c r="F63" s="27"/>
      <c r="G63" s="27"/>
      <c r="H63" s="27"/>
    </row>
    <row r="64">
      <c r="A64" s="25"/>
      <c r="B64" s="26"/>
      <c r="C64" s="26"/>
      <c r="D64" s="27"/>
      <c r="E64" s="27"/>
      <c r="F64" s="27"/>
      <c r="G64" s="27"/>
      <c r="H64" s="27"/>
      <c r="O64" s="62"/>
    </row>
    <row r="65">
      <c r="A65" s="25"/>
      <c r="B65" s="26"/>
      <c r="C65" s="26"/>
      <c r="D65" s="27"/>
      <c r="E65" s="27"/>
      <c r="F65" s="27"/>
      <c r="G65" s="27"/>
      <c r="H65" s="27"/>
      <c r="O65" s="63"/>
    </row>
    <row r="66">
      <c r="A66" s="25"/>
      <c r="B66" s="26"/>
      <c r="C66" s="26"/>
      <c r="D66" s="27"/>
      <c r="E66" s="32" t="s">
        <v>20</v>
      </c>
      <c r="F66" s="33"/>
      <c r="G66" s="33"/>
      <c r="H66" s="34"/>
      <c r="O66" s="63"/>
    </row>
    <row r="67">
      <c r="A67" s="25"/>
      <c r="B67" s="26"/>
      <c r="C67" s="26"/>
      <c r="D67" s="27"/>
      <c r="E67" s="27"/>
      <c r="F67" s="27"/>
      <c r="G67" s="27"/>
      <c r="H67" s="27"/>
      <c r="I67" s="41" t="s">
        <v>46</v>
      </c>
      <c r="J67" s="33"/>
      <c r="K67" s="33"/>
      <c r="L67" s="34"/>
      <c r="O67" s="63"/>
    </row>
    <row r="68">
      <c r="A68" s="25"/>
      <c r="B68" s="26"/>
      <c r="C68" s="26"/>
      <c r="D68" s="27"/>
      <c r="E68" s="27"/>
      <c r="F68" s="27"/>
      <c r="G68" s="27"/>
      <c r="H68" s="27"/>
      <c r="I68" s="44" t="s">
        <v>47</v>
      </c>
      <c r="J68" s="44" t="s">
        <v>48</v>
      </c>
      <c r="K68" s="57" t="s">
        <v>49</v>
      </c>
      <c r="L68" s="57" t="s">
        <v>49</v>
      </c>
      <c r="M68" s="57" t="s">
        <v>49</v>
      </c>
      <c r="O68" s="64"/>
    </row>
    <row r="69">
      <c r="A69" s="25"/>
      <c r="B69" s="26"/>
      <c r="C69" s="26"/>
      <c r="D69" s="27"/>
      <c r="E69" s="27"/>
      <c r="F69" s="27"/>
      <c r="G69" s="27"/>
      <c r="H69" s="27"/>
      <c r="I69" s="45" t="s">
        <v>50</v>
      </c>
      <c r="J69" s="46">
        <v>0.65</v>
      </c>
      <c r="K69" s="58" t="s">
        <v>51</v>
      </c>
      <c r="L69" s="59">
        <v>0.4</v>
      </c>
      <c r="M69" s="59">
        <f>iferror(75%-M72,"")</f>
        <v>0.175</v>
      </c>
    </row>
    <row r="70">
      <c r="A70" s="25"/>
      <c r="B70" s="26"/>
      <c r="C70" s="26"/>
      <c r="D70" s="27"/>
      <c r="E70" s="27"/>
      <c r="F70" s="27"/>
      <c r="G70" s="27"/>
      <c r="H70" s="27"/>
      <c r="I70" s="45" t="s">
        <v>52</v>
      </c>
      <c r="J70" s="46">
        <v>0.78</v>
      </c>
      <c r="K70" s="58" t="s">
        <v>53</v>
      </c>
      <c r="L70" s="59">
        <v>0.1</v>
      </c>
      <c r="M70" s="59">
        <f>iferror(0.5%,"")</f>
        <v>0.005</v>
      </c>
    </row>
    <row r="71">
      <c r="A71" s="25"/>
      <c r="B71" s="26"/>
      <c r="C71" s="26"/>
      <c r="D71" s="27"/>
      <c r="E71" s="27"/>
      <c r="F71" s="27"/>
      <c r="G71" s="27"/>
      <c r="H71" s="27"/>
      <c r="I71" s="45" t="s">
        <v>54</v>
      </c>
      <c r="J71" s="46">
        <v>0.75</v>
      </c>
      <c r="K71" s="58"/>
      <c r="L71" s="59">
        <v>1.0</v>
      </c>
      <c r="M71" s="59">
        <f>iferror(24.5%+M72,"")</f>
        <v>0.82</v>
      </c>
    </row>
    <row r="72">
      <c r="A72" s="25"/>
      <c r="B72" s="26"/>
      <c r="C72" s="26"/>
      <c r="D72" s="27"/>
      <c r="E72" s="27"/>
      <c r="F72" s="27"/>
      <c r="G72" s="27"/>
      <c r="H72" s="27"/>
      <c r="I72" s="45" t="s">
        <v>55</v>
      </c>
      <c r="J72" s="46">
        <v>0.88</v>
      </c>
      <c r="K72" s="58" t="s">
        <v>56</v>
      </c>
      <c r="L72" s="59">
        <v>0.2</v>
      </c>
      <c r="M72" s="59">
        <f> iferror(if(J81&gt;=50%,(J81 - 50%) * (50% - 75%) / (100% - 50%) + 75%, (J81 - 1%) * (-25% - 0%) / (49% - 1%) + 0%),"")</f>
        <v>0.575</v>
      </c>
    </row>
    <row r="73">
      <c r="A73" s="25"/>
      <c r="B73" s="26"/>
      <c r="C73" s="26"/>
      <c r="D73" s="27"/>
      <c r="E73" s="27"/>
      <c r="F73" s="27"/>
      <c r="G73" s="27"/>
      <c r="H73" s="27"/>
      <c r="I73" s="45" t="s">
        <v>57</v>
      </c>
      <c r="J73" s="46">
        <v>0.84</v>
      </c>
      <c r="K73" s="58" t="s">
        <v>58</v>
      </c>
      <c r="L73" s="59">
        <v>0.3</v>
      </c>
      <c r="M73" s="59"/>
    </row>
    <row r="74">
      <c r="A74" s="25"/>
      <c r="B74" s="26"/>
      <c r="C74" s="26"/>
      <c r="D74" s="27"/>
      <c r="E74" s="27"/>
      <c r="F74" s="27"/>
      <c r="G74" s="27"/>
      <c r="H74" s="27"/>
      <c r="I74" s="45" t="s">
        <v>59</v>
      </c>
      <c r="J74" s="46">
        <v>0.98</v>
      </c>
    </row>
    <row r="75">
      <c r="A75" s="25"/>
      <c r="B75" s="26"/>
      <c r="C75" s="26"/>
      <c r="D75" s="27"/>
      <c r="E75" s="27"/>
      <c r="F75" s="27"/>
      <c r="G75" s="27"/>
      <c r="H75" s="27"/>
      <c r="I75" s="45" t="s">
        <v>60</v>
      </c>
      <c r="J75" s="46">
        <v>0.75</v>
      </c>
    </row>
    <row r="76">
      <c r="A76" s="25"/>
      <c r="B76" s="26"/>
      <c r="C76" s="26"/>
      <c r="D76" s="27"/>
      <c r="E76" s="27"/>
      <c r="F76" s="27"/>
      <c r="G76" s="27"/>
      <c r="H76" s="27"/>
      <c r="I76" s="45" t="s">
        <v>61</v>
      </c>
      <c r="J76" s="46">
        <v>0.85</v>
      </c>
    </row>
    <row r="77">
      <c r="A77" s="25"/>
      <c r="B77" s="26"/>
      <c r="C77" s="26"/>
      <c r="D77" s="27"/>
      <c r="E77" s="27"/>
      <c r="F77" s="27"/>
      <c r="G77" s="27"/>
      <c r="H77" s="27"/>
      <c r="I77" s="45" t="s">
        <v>62</v>
      </c>
      <c r="J77" s="46">
        <v>0.89</v>
      </c>
    </row>
    <row r="78">
      <c r="A78" s="25"/>
      <c r="B78" s="26"/>
      <c r="C78" s="26"/>
      <c r="D78" s="27"/>
      <c r="E78" s="27"/>
      <c r="F78" s="27"/>
      <c r="G78" s="27"/>
      <c r="H78" s="27"/>
      <c r="I78" s="45" t="s">
        <v>63</v>
      </c>
      <c r="J78" s="46">
        <v>0.9</v>
      </c>
    </row>
    <row r="79">
      <c r="A79" s="25"/>
      <c r="B79" s="26"/>
      <c r="C79" s="26"/>
      <c r="D79" s="27"/>
      <c r="E79" s="27"/>
      <c r="F79" s="27"/>
      <c r="G79" s="27"/>
      <c r="H79" s="27"/>
      <c r="I79" s="45" t="s">
        <v>64</v>
      </c>
      <c r="J79" s="46">
        <v>0.94</v>
      </c>
    </row>
    <row r="80">
      <c r="A80" s="25"/>
      <c r="B80" s="26"/>
      <c r="C80" s="26"/>
      <c r="D80" s="27"/>
      <c r="E80" s="27"/>
      <c r="F80" s="27"/>
      <c r="G80" s="27"/>
      <c r="H80" s="27"/>
      <c r="I80" s="45" t="s">
        <v>65</v>
      </c>
      <c r="J80" s="46">
        <v>0.99</v>
      </c>
    </row>
    <row r="81">
      <c r="A81" s="25"/>
      <c r="B81" s="26"/>
      <c r="C81" s="26"/>
      <c r="D81" s="27"/>
      <c r="E81" s="27"/>
      <c r="F81" s="27"/>
      <c r="G81" s="27"/>
      <c r="H81" s="27"/>
      <c r="I81" s="57" t="s">
        <v>66</v>
      </c>
      <c r="J81" s="65">
        <f>iferror(AVERAGE(J69:J80),"")</f>
        <v>0.85</v>
      </c>
    </row>
    <row r="82">
      <c r="A82" s="25"/>
      <c r="B82" s="26"/>
      <c r="C82" s="26"/>
      <c r="D82" s="27"/>
      <c r="E82" s="27"/>
      <c r="F82" s="27"/>
      <c r="G82" s="27"/>
      <c r="H82" s="27"/>
    </row>
    <row r="83">
      <c r="A83" s="25"/>
      <c r="B83" s="26"/>
      <c r="C83" s="26"/>
      <c r="D83" s="27"/>
      <c r="E83" s="27"/>
      <c r="F83" s="27"/>
      <c r="G83" s="27"/>
      <c r="H83" s="27"/>
    </row>
    <row r="84">
      <c r="A84" s="25"/>
      <c r="B84" s="26"/>
      <c r="C84" s="26"/>
      <c r="D84" s="27"/>
      <c r="E84" s="27"/>
      <c r="F84" s="27"/>
      <c r="G84" s="27"/>
      <c r="H84" s="27"/>
    </row>
    <row r="85">
      <c r="A85" s="25"/>
      <c r="B85" s="26"/>
      <c r="C85" s="26"/>
      <c r="D85" s="27"/>
      <c r="E85" s="27"/>
      <c r="F85" s="27"/>
      <c r="G85" s="27"/>
      <c r="H85" s="27"/>
    </row>
    <row r="86">
      <c r="A86" s="25"/>
      <c r="B86" s="26"/>
      <c r="C86" s="26"/>
      <c r="D86" s="27"/>
      <c r="E86" s="27"/>
      <c r="F86" s="27"/>
      <c r="G86" s="27"/>
      <c r="H86" s="27"/>
    </row>
    <row r="87">
      <c r="A87" s="25"/>
      <c r="B87" s="26"/>
      <c r="C87" s="26"/>
      <c r="D87" s="27"/>
      <c r="E87" s="66" t="s">
        <v>23</v>
      </c>
      <c r="F87" s="33"/>
      <c r="G87" s="33"/>
      <c r="H87" s="34"/>
    </row>
    <row r="88">
      <c r="A88" s="25"/>
      <c r="B88" s="26"/>
      <c r="C88" s="26"/>
      <c r="D88" s="27"/>
      <c r="E88" s="27"/>
      <c r="F88" s="27"/>
      <c r="G88" s="27"/>
      <c r="H88" s="27"/>
      <c r="I88" s="41" t="s">
        <v>67</v>
      </c>
      <c r="J88" s="33"/>
      <c r="K88" s="33"/>
      <c r="L88" s="34"/>
      <c r="M88" s="63"/>
    </row>
    <row r="89">
      <c r="A89" s="25"/>
      <c r="B89" s="26"/>
      <c r="C89" s="26"/>
      <c r="D89" s="27"/>
      <c r="E89" s="27"/>
      <c r="F89" s="27"/>
      <c r="G89" s="27"/>
      <c r="H89" s="27"/>
      <c r="I89" s="67" t="s">
        <v>36</v>
      </c>
      <c r="J89" s="34"/>
      <c r="L89" s="63"/>
      <c r="M89" s="63"/>
    </row>
    <row r="90">
      <c r="A90" s="25"/>
      <c r="B90" s="26"/>
      <c r="C90" s="26"/>
      <c r="D90" s="27"/>
      <c r="E90" s="27"/>
      <c r="F90" s="27"/>
      <c r="G90" s="27"/>
      <c r="H90" s="27"/>
      <c r="L90" s="63"/>
      <c r="M90" s="63"/>
    </row>
    <row r="91">
      <c r="A91" s="25"/>
      <c r="B91" s="26"/>
      <c r="C91" s="26"/>
      <c r="D91" s="27"/>
      <c r="E91" s="27"/>
      <c r="F91" s="27"/>
      <c r="G91" s="27"/>
      <c r="H91" s="27"/>
      <c r="I91" s="44" t="s">
        <v>68</v>
      </c>
      <c r="J91" s="68" t="s">
        <v>69</v>
      </c>
      <c r="K91" s="57" t="s">
        <v>68</v>
      </c>
      <c r="L91" s="57" t="s">
        <v>70</v>
      </c>
      <c r="N91" s="63"/>
    </row>
    <row r="92">
      <c r="A92" s="25"/>
      <c r="B92" s="26"/>
      <c r="C92" s="26"/>
      <c r="D92" s="27"/>
      <c r="E92" s="27"/>
      <c r="F92" s="27"/>
      <c r="G92" s="27"/>
      <c r="H92" s="27"/>
      <c r="I92" s="45" t="s">
        <v>36</v>
      </c>
      <c r="J92" s="69">
        <v>250.0</v>
      </c>
      <c r="K92" s="70" t="str">
        <f>IFERROR(__xludf.DUMMYFUNCTION("LET(x,I92:J96,y,I89,z,I92:I96,{FILTER(x,y=z);FILTER(x,y&lt;&gt;z)})"),"North")</f>
        <v>North</v>
      </c>
      <c r="L92" s="71">
        <f>IFERROR(__xludf.DUMMYFUNCTION("""COMPUTED_VALUE"""),250.0)</f>
        <v>250</v>
      </c>
      <c r="N92" s="63"/>
    </row>
    <row r="93">
      <c r="A93" s="25"/>
      <c r="B93" s="26"/>
      <c r="C93" s="26"/>
      <c r="D93" s="27"/>
      <c r="E93" s="27"/>
      <c r="F93" s="27"/>
      <c r="G93" s="27"/>
      <c r="H93" s="27"/>
      <c r="I93" s="45" t="s">
        <v>37</v>
      </c>
      <c r="J93" s="69">
        <v>200.0</v>
      </c>
      <c r="K93" s="70" t="str">
        <f>IFERROR(__xludf.DUMMYFUNCTION("""COMPUTED_VALUE"""),"South")</f>
        <v>South</v>
      </c>
      <c r="L93" s="72">
        <f>IFERROR(__xludf.DUMMYFUNCTION("""COMPUTED_VALUE"""),200.0)</f>
        <v>200</v>
      </c>
      <c r="N93" s="73"/>
    </row>
    <row r="94">
      <c r="A94" s="25"/>
      <c r="B94" s="26"/>
      <c r="C94" s="26"/>
      <c r="D94" s="27"/>
      <c r="E94" s="27"/>
      <c r="F94" s="27"/>
      <c r="G94" s="27"/>
      <c r="H94" s="27"/>
      <c r="I94" s="45" t="s">
        <v>38</v>
      </c>
      <c r="J94" s="69">
        <v>300.0</v>
      </c>
      <c r="K94" s="70" t="str">
        <f>IFERROR(__xludf.DUMMYFUNCTION("""COMPUTED_VALUE"""),"East")</f>
        <v>East</v>
      </c>
      <c r="L94" s="72">
        <f>IFERROR(__xludf.DUMMYFUNCTION("""COMPUTED_VALUE"""),300.0)</f>
        <v>300</v>
      </c>
      <c r="N94" s="73"/>
    </row>
    <row r="95">
      <c r="A95" s="25"/>
      <c r="B95" s="26"/>
      <c r="C95" s="26"/>
      <c r="D95" s="27"/>
      <c r="E95" s="27"/>
      <c r="F95" s="27"/>
      <c r="G95" s="27"/>
      <c r="H95" s="27"/>
      <c r="I95" s="45" t="s">
        <v>39</v>
      </c>
      <c r="J95" s="69">
        <v>150.0</v>
      </c>
      <c r="K95" s="70" t="str">
        <f>IFERROR(__xludf.DUMMYFUNCTION("""COMPUTED_VALUE"""),"West")</f>
        <v>West</v>
      </c>
      <c r="L95" s="72">
        <f>IFERROR(__xludf.DUMMYFUNCTION("""COMPUTED_VALUE"""),150.0)</f>
        <v>150</v>
      </c>
      <c r="N95" s="73"/>
    </row>
    <row r="96">
      <c r="A96" s="25"/>
      <c r="B96" s="26"/>
      <c r="C96" s="26"/>
      <c r="D96" s="27"/>
      <c r="E96" s="27"/>
      <c r="F96" s="27"/>
      <c r="G96" s="27"/>
      <c r="H96" s="27"/>
      <c r="I96" s="45" t="s">
        <v>71</v>
      </c>
      <c r="J96" s="69">
        <v>500.0</v>
      </c>
      <c r="K96" s="70" t="str">
        <f>IFERROR(__xludf.DUMMYFUNCTION("""COMPUTED_VALUE"""),"Central")</f>
        <v>Central</v>
      </c>
      <c r="L96" s="72">
        <f>IFERROR(__xludf.DUMMYFUNCTION("""COMPUTED_VALUE"""),500.0)</f>
        <v>500</v>
      </c>
      <c r="N96" s="73"/>
    </row>
    <row r="97">
      <c r="A97" s="25"/>
      <c r="B97" s="26"/>
      <c r="C97" s="26"/>
      <c r="D97" s="27"/>
      <c r="E97" s="27"/>
      <c r="F97" s="27"/>
      <c r="G97" s="27"/>
      <c r="H97" s="27"/>
      <c r="J97" s="74"/>
      <c r="N97" s="73"/>
    </row>
    <row r="98">
      <c r="A98" s="25"/>
      <c r="B98" s="26"/>
      <c r="C98" s="26"/>
      <c r="D98" s="27"/>
      <c r="E98" s="27"/>
      <c r="F98" s="27"/>
      <c r="G98" s="27"/>
      <c r="H98" s="27"/>
      <c r="N98" s="73"/>
    </row>
    <row r="99">
      <c r="A99" s="25"/>
      <c r="B99" s="26"/>
      <c r="C99" s="26"/>
      <c r="D99" s="27"/>
      <c r="E99" s="27"/>
      <c r="F99" s="27"/>
      <c r="G99" s="27"/>
      <c r="H99" s="27"/>
      <c r="N99" s="73"/>
    </row>
    <row r="100">
      <c r="A100" s="25"/>
      <c r="B100" s="26"/>
      <c r="C100" s="26"/>
      <c r="D100" s="27"/>
      <c r="E100" s="27"/>
      <c r="F100" s="27"/>
      <c r="G100" s="27"/>
      <c r="H100" s="27"/>
      <c r="N100" s="75"/>
    </row>
    <row r="101">
      <c r="A101" s="25"/>
      <c r="B101" s="26"/>
      <c r="C101" s="26"/>
      <c r="D101" s="27"/>
      <c r="E101" s="27"/>
      <c r="F101" s="27"/>
      <c r="G101" s="27"/>
      <c r="H101" s="27"/>
      <c r="J101" s="63"/>
    </row>
    <row r="102">
      <c r="A102" s="25"/>
      <c r="B102" s="26"/>
      <c r="C102" s="26"/>
      <c r="D102" s="27"/>
      <c r="E102" s="27"/>
      <c r="F102" s="27"/>
      <c r="G102" s="27"/>
      <c r="H102" s="27"/>
    </row>
    <row r="103">
      <c r="A103" s="25"/>
      <c r="B103" s="26"/>
      <c r="C103" s="26"/>
      <c r="D103" s="27"/>
      <c r="E103" s="27"/>
      <c r="F103" s="27"/>
      <c r="G103" s="27"/>
      <c r="H103" s="27"/>
    </row>
    <row r="104">
      <c r="A104" s="25"/>
      <c r="B104" s="26"/>
      <c r="C104" s="26"/>
      <c r="D104" s="76"/>
      <c r="E104" s="27"/>
      <c r="F104" s="27"/>
      <c r="G104" s="27"/>
      <c r="H104" s="27"/>
    </row>
    <row r="105">
      <c r="A105" s="25"/>
      <c r="B105" s="26"/>
      <c r="C105" s="26"/>
      <c r="D105" s="76"/>
      <c r="E105" s="27"/>
      <c r="F105" s="27"/>
      <c r="G105" s="27"/>
      <c r="H105" s="27"/>
    </row>
    <row r="106">
      <c r="A106" s="25"/>
      <c r="B106" s="26"/>
      <c r="C106" s="26"/>
      <c r="D106" s="76"/>
      <c r="E106" s="27"/>
      <c r="F106" s="27"/>
      <c r="G106" s="27"/>
      <c r="H106" s="27"/>
    </row>
    <row r="107">
      <c r="A107" s="25"/>
      <c r="B107" s="26"/>
      <c r="C107" s="26"/>
      <c r="D107" s="76"/>
      <c r="E107" s="27"/>
      <c r="F107" s="27"/>
      <c r="G107" s="27"/>
      <c r="H107" s="27"/>
    </row>
    <row r="108">
      <c r="A108" s="25"/>
      <c r="B108" s="26"/>
      <c r="C108" s="26"/>
      <c r="D108" s="76"/>
      <c r="E108" s="66" t="s">
        <v>25</v>
      </c>
      <c r="F108" s="33"/>
      <c r="G108" s="33"/>
      <c r="H108" s="34"/>
    </row>
    <row r="109">
      <c r="A109" s="25"/>
      <c r="B109" s="26"/>
      <c r="C109" s="26"/>
      <c r="D109" s="76"/>
      <c r="E109" s="27"/>
      <c r="F109" s="27"/>
      <c r="G109" s="27"/>
      <c r="H109" s="27"/>
      <c r="I109" s="41" t="s">
        <v>72</v>
      </c>
      <c r="J109" s="33"/>
      <c r="K109" s="33"/>
      <c r="L109" s="34"/>
    </row>
    <row r="110">
      <c r="A110" s="25"/>
      <c r="B110" s="26"/>
      <c r="C110" s="26"/>
      <c r="D110" s="27"/>
      <c r="E110" s="27"/>
      <c r="F110" s="27"/>
      <c r="G110" s="27"/>
      <c r="H110" s="27"/>
      <c r="I110" s="44" t="s">
        <v>73</v>
      </c>
      <c r="J110" s="44" t="s">
        <v>74</v>
      </c>
    </row>
    <row r="111">
      <c r="A111" s="25"/>
      <c r="B111" s="26"/>
      <c r="C111" s="26"/>
      <c r="D111" s="27"/>
      <c r="E111" s="27"/>
      <c r="F111" s="27"/>
      <c r="G111" s="27"/>
      <c r="H111" s="27"/>
      <c r="I111" s="45" t="s">
        <v>75</v>
      </c>
      <c r="J111" s="77">
        <v>5000.0</v>
      </c>
    </row>
    <row r="112">
      <c r="A112" s="25"/>
      <c r="B112" s="26"/>
      <c r="C112" s="26"/>
      <c r="D112" s="27"/>
      <c r="E112" s="27"/>
      <c r="F112" s="27"/>
      <c r="G112" s="27"/>
      <c r="H112" s="27"/>
      <c r="I112" s="45" t="s">
        <v>76</v>
      </c>
      <c r="J112" s="77">
        <v>2000.0</v>
      </c>
    </row>
    <row r="113">
      <c r="A113" s="25"/>
      <c r="B113" s="26"/>
      <c r="C113" s="26"/>
      <c r="D113" s="27"/>
      <c r="E113" s="27"/>
      <c r="F113" s="27"/>
      <c r="G113" s="27"/>
      <c r="H113" s="27"/>
      <c r="I113" s="45" t="s">
        <v>77</v>
      </c>
      <c r="J113" s="77">
        <v>1000.0</v>
      </c>
    </row>
    <row r="114">
      <c r="A114" s="25"/>
      <c r="B114" s="26"/>
      <c r="C114" s="26"/>
      <c r="D114" s="27"/>
      <c r="E114" s="27"/>
      <c r="F114" s="27"/>
      <c r="G114" s="27"/>
      <c r="H114" s="27"/>
      <c r="I114" s="45" t="s">
        <v>78</v>
      </c>
      <c r="J114" s="77">
        <v>1500.0</v>
      </c>
    </row>
    <row r="115">
      <c r="A115" s="25"/>
      <c r="B115" s="26"/>
      <c r="C115" s="26"/>
      <c r="D115" s="27"/>
      <c r="E115" s="27"/>
      <c r="F115" s="27"/>
      <c r="G115" s="27"/>
      <c r="H115" s="27"/>
      <c r="I115" s="45" t="s">
        <v>79</v>
      </c>
      <c r="J115" s="77">
        <v>500.0</v>
      </c>
    </row>
    <row r="116">
      <c r="A116" s="25"/>
      <c r="B116" s="26"/>
      <c r="C116" s="26"/>
      <c r="D116" s="27"/>
      <c r="E116" s="27"/>
      <c r="F116" s="27"/>
      <c r="G116" s="27"/>
      <c r="H116" s="27"/>
    </row>
    <row r="117">
      <c r="A117" s="25"/>
      <c r="B117" s="26"/>
      <c r="C117" s="26"/>
      <c r="D117" s="27"/>
      <c r="E117" s="27"/>
      <c r="F117" s="27"/>
      <c r="G117" s="27"/>
      <c r="H117" s="27"/>
    </row>
    <row r="118">
      <c r="A118" s="25"/>
      <c r="B118" s="26"/>
      <c r="C118" s="26"/>
      <c r="D118" s="27"/>
      <c r="E118" s="27"/>
      <c r="F118" s="27"/>
      <c r="G118" s="27"/>
      <c r="H118" s="27"/>
    </row>
    <row r="119">
      <c r="A119" s="25"/>
      <c r="B119" s="26"/>
      <c r="C119" s="26"/>
      <c r="D119" s="27"/>
      <c r="E119" s="27"/>
      <c r="F119" s="27"/>
      <c r="G119" s="27"/>
      <c r="H119" s="27"/>
    </row>
    <row r="120">
      <c r="A120" s="25"/>
      <c r="B120" s="26"/>
      <c r="C120" s="26"/>
      <c r="D120" s="27"/>
      <c r="E120" s="27"/>
      <c r="F120" s="27"/>
      <c r="G120" s="27"/>
      <c r="H120" s="27"/>
    </row>
    <row r="121">
      <c r="A121" s="25"/>
      <c r="B121" s="26"/>
      <c r="C121" s="26"/>
      <c r="D121" s="27"/>
      <c r="E121" s="27"/>
      <c r="F121" s="27"/>
      <c r="G121" s="27"/>
      <c r="H121" s="27"/>
    </row>
    <row r="122">
      <c r="A122" s="25"/>
      <c r="B122" s="26"/>
      <c r="C122" s="26"/>
      <c r="D122" s="27"/>
      <c r="E122" s="27"/>
      <c r="F122" s="27"/>
      <c r="G122" s="27"/>
      <c r="H122" s="27"/>
    </row>
    <row r="123">
      <c r="A123" s="25"/>
      <c r="B123" s="26"/>
      <c r="C123" s="26"/>
      <c r="D123" s="27"/>
      <c r="E123" s="27"/>
      <c r="F123" s="27"/>
      <c r="G123" s="27"/>
      <c r="H123" s="27"/>
    </row>
    <row r="124">
      <c r="A124" s="25"/>
      <c r="B124" s="26"/>
      <c r="C124" s="26"/>
      <c r="D124" s="27"/>
      <c r="E124" s="27"/>
      <c r="F124" s="27"/>
      <c r="G124" s="27"/>
      <c r="H124" s="27"/>
    </row>
    <row r="125">
      <c r="A125" s="25"/>
      <c r="B125" s="26"/>
      <c r="C125" s="26"/>
      <c r="D125" s="76"/>
      <c r="E125" s="27"/>
      <c r="F125" s="27"/>
      <c r="G125" s="27"/>
      <c r="H125" s="27"/>
    </row>
    <row r="126">
      <c r="A126" s="25"/>
      <c r="B126" s="26"/>
      <c r="C126" s="26"/>
      <c r="D126" s="76"/>
      <c r="E126" s="27"/>
      <c r="F126" s="27"/>
      <c r="G126" s="27"/>
      <c r="H126" s="27"/>
    </row>
    <row r="127">
      <c r="A127" s="25"/>
      <c r="B127" s="26"/>
      <c r="C127" s="26"/>
      <c r="D127" s="76"/>
      <c r="E127" s="27"/>
      <c r="F127" s="27"/>
      <c r="G127" s="27"/>
      <c r="H127" s="27"/>
    </row>
    <row r="128">
      <c r="A128" s="25"/>
      <c r="B128" s="26"/>
      <c r="C128" s="26"/>
      <c r="D128" s="76"/>
      <c r="E128" s="27"/>
      <c r="F128" s="27"/>
      <c r="G128" s="27"/>
      <c r="H128" s="27"/>
    </row>
    <row r="129">
      <c r="A129" s="25"/>
      <c r="B129" s="26"/>
      <c r="C129" s="26"/>
      <c r="D129" s="76"/>
      <c r="E129" s="66" t="s">
        <v>27</v>
      </c>
      <c r="F129" s="33"/>
      <c r="G129" s="33"/>
      <c r="H129" s="34"/>
    </row>
    <row r="130">
      <c r="A130" s="25"/>
      <c r="B130" s="26"/>
      <c r="C130" s="26"/>
      <c r="D130" s="76"/>
      <c r="E130" s="27"/>
      <c r="F130" s="27"/>
      <c r="G130" s="27"/>
      <c r="H130" s="27"/>
      <c r="I130" s="41" t="s">
        <v>80</v>
      </c>
      <c r="J130" s="33"/>
      <c r="K130" s="33"/>
      <c r="L130" s="34"/>
    </row>
    <row r="131">
      <c r="A131" s="25"/>
      <c r="B131" s="26"/>
      <c r="C131" s="26"/>
      <c r="D131" s="27"/>
      <c r="E131" s="27"/>
      <c r="F131" s="27"/>
      <c r="G131" s="27"/>
      <c r="H131" s="27"/>
      <c r="I131" s="44" t="s">
        <v>81</v>
      </c>
      <c r="J131" s="44" t="s">
        <v>82</v>
      </c>
      <c r="K131" s="44" t="s">
        <v>35</v>
      </c>
      <c r="L131" s="57" t="str">
        <f t="array" ref="L131:L135">UNIQUE(I131:I143)</f>
        <v>Product Line</v>
      </c>
      <c r="M131" s="78" t="s">
        <v>35</v>
      </c>
    </row>
    <row r="132">
      <c r="A132" s="25"/>
      <c r="B132" s="26"/>
      <c r="C132" s="26"/>
      <c r="D132" s="27"/>
      <c r="E132" s="27"/>
      <c r="F132" s="27"/>
      <c r="G132" s="27"/>
      <c r="H132" s="27"/>
      <c r="I132" s="45" t="s">
        <v>42</v>
      </c>
      <c r="J132" s="45" t="s">
        <v>83</v>
      </c>
      <c r="K132" s="77">
        <v>150000.0</v>
      </c>
      <c r="L132" s="79" t="s">
        <v>42</v>
      </c>
      <c r="M132" s="80">
        <f t="shared" ref="M132:M135" si="1">iferror(SUMIFS($K$132:$K$143,$I$132:$I$143,L132),"")</f>
        <v>300000</v>
      </c>
    </row>
    <row r="133">
      <c r="A133" s="25"/>
      <c r="B133" s="26"/>
      <c r="C133" s="26"/>
      <c r="D133" s="27"/>
      <c r="E133" s="27"/>
      <c r="F133" s="27"/>
      <c r="G133" s="27"/>
      <c r="H133" s="27"/>
      <c r="I133" s="45" t="s">
        <v>42</v>
      </c>
      <c r="J133" s="45" t="s">
        <v>84</v>
      </c>
      <c r="K133" s="77">
        <v>100000.0</v>
      </c>
      <c r="L133" s="70" t="s">
        <v>43</v>
      </c>
      <c r="M133" s="80">
        <f t="shared" si="1"/>
        <v>180000</v>
      </c>
    </row>
    <row r="134">
      <c r="A134" s="25"/>
      <c r="B134" s="26"/>
      <c r="C134" s="26"/>
      <c r="D134" s="27"/>
      <c r="E134" s="27"/>
      <c r="F134" s="27"/>
      <c r="G134" s="27"/>
      <c r="H134" s="27"/>
      <c r="I134" s="45" t="s">
        <v>42</v>
      </c>
      <c r="J134" s="45" t="s">
        <v>85</v>
      </c>
      <c r="K134" s="77">
        <v>50000.0</v>
      </c>
      <c r="L134" s="79" t="s">
        <v>44</v>
      </c>
      <c r="M134" s="80">
        <f t="shared" si="1"/>
        <v>150000</v>
      </c>
    </row>
    <row r="135">
      <c r="A135" s="25"/>
      <c r="B135" s="26"/>
      <c r="C135" s="26"/>
      <c r="D135" s="27"/>
      <c r="E135" s="27"/>
      <c r="F135" s="27"/>
      <c r="G135" s="27"/>
      <c r="H135" s="27"/>
      <c r="I135" s="45" t="s">
        <v>43</v>
      </c>
      <c r="J135" s="45" t="s">
        <v>86</v>
      </c>
      <c r="K135" s="77">
        <v>80000.0</v>
      </c>
      <c r="L135" s="70" t="s">
        <v>45</v>
      </c>
      <c r="M135" s="80">
        <f t="shared" si="1"/>
        <v>70000</v>
      </c>
    </row>
    <row r="136">
      <c r="A136" s="25"/>
      <c r="B136" s="26"/>
      <c r="C136" s="26"/>
      <c r="D136" s="27"/>
      <c r="E136" s="27"/>
      <c r="F136" s="27"/>
      <c r="G136" s="27"/>
      <c r="H136" s="27"/>
      <c r="I136" s="45" t="s">
        <v>43</v>
      </c>
      <c r="J136" s="45" t="s">
        <v>87</v>
      </c>
      <c r="K136" s="77">
        <v>60000.0</v>
      </c>
    </row>
    <row r="137">
      <c r="A137" s="25"/>
      <c r="B137" s="26"/>
      <c r="C137" s="26"/>
      <c r="D137" s="27"/>
      <c r="E137" s="27"/>
      <c r="F137" s="27"/>
      <c r="G137" s="27"/>
      <c r="H137" s="27"/>
      <c r="I137" s="45" t="s">
        <v>43</v>
      </c>
      <c r="J137" s="45" t="s">
        <v>88</v>
      </c>
      <c r="K137" s="77">
        <v>40000.0</v>
      </c>
    </row>
    <row r="138">
      <c r="A138" s="25"/>
      <c r="B138" s="26"/>
      <c r="C138" s="26"/>
      <c r="D138" s="27"/>
      <c r="E138" s="27"/>
      <c r="F138" s="27"/>
      <c r="G138" s="27"/>
      <c r="H138" s="27"/>
      <c r="I138" s="45" t="s">
        <v>44</v>
      </c>
      <c r="J138" s="45" t="s">
        <v>89</v>
      </c>
      <c r="K138" s="77">
        <v>70000.0</v>
      </c>
    </row>
    <row r="139">
      <c r="A139" s="25"/>
      <c r="B139" s="26"/>
      <c r="C139" s="26"/>
      <c r="D139" s="27"/>
      <c r="E139" s="27"/>
      <c r="F139" s="27"/>
      <c r="G139" s="27"/>
      <c r="H139" s="27"/>
      <c r="I139" s="45" t="s">
        <v>44</v>
      </c>
      <c r="J139" s="45" t="s">
        <v>90</v>
      </c>
      <c r="K139" s="77">
        <v>50000.0</v>
      </c>
    </row>
    <row r="140">
      <c r="A140" s="25"/>
      <c r="B140" s="26"/>
      <c r="C140" s="26"/>
      <c r="D140" s="27"/>
      <c r="E140" s="27"/>
      <c r="F140" s="27"/>
      <c r="G140" s="27"/>
      <c r="H140" s="27"/>
      <c r="I140" s="45" t="s">
        <v>44</v>
      </c>
      <c r="J140" s="45" t="s">
        <v>91</v>
      </c>
      <c r="K140" s="77">
        <v>30000.0</v>
      </c>
    </row>
    <row r="141">
      <c r="A141" s="25"/>
      <c r="B141" s="26"/>
      <c r="C141" s="26"/>
      <c r="D141" s="27"/>
      <c r="E141" s="27"/>
      <c r="F141" s="27"/>
      <c r="G141" s="27"/>
      <c r="H141" s="27"/>
      <c r="I141" s="45" t="s">
        <v>45</v>
      </c>
      <c r="J141" s="45" t="s">
        <v>92</v>
      </c>
      <c r="K141" s="77">
        <v>40000.0</v>
      </c>
    </row>
    <row r="142">
      <c r="A142" s="25"/>
      <c r="B142" s="26"/>
      <c r="C142" s="26"/>
      <c r="D142" s="27"/>
      <c r="E142" s="27"/>
      <c r="F142" s="27"/>
      <c r="G142" s="27"/>
      <c r="H142" s="27"/>
      <c r="I142" s="45" t="s">
        <v>45</v>
      </c>
      <c r="J142" s="45" t="s">
        <v>93</v>
      </c>
      <c r="K142" s="77">
        <v>20000.0</v>
      </c>
    </row>
    <row r="143">
      <c r="A143" s="25"/>
      <c r="B143" s="26"/>
      <c r="C143" s="26"/>
      <c r="D143" s="27"/>
      <c r="E143" s="27"/>
      <c r="F143" s="27"/>
      <c r="G143" s="27"/>
      <c r="H143" s="27"/>
      <c r="I143" s="45" t="s">
        <v>45</v>
      </c>
      <c r="J143" s="45" t="s">
        <v>94</v>
      </c>
      <c r="K143" s="77">
        <v>10000.0</v>
      </c>
    </row>
    <row r="144">
      <c r="A144" s="25"/>
      <c r="B144" s="26"/>
      <c r="C144" s="26"/>
      <c r="D144" s="27"/>
      <c r="E144" s="27"/>
      <c r="F144" s="27"/>
      <c r="G144" s="27"/>
      <c r="H144" s="27"/>
    </row>
    <row r="145">
      <c r="A145" s="25"/>
      <c r="B145" s="26"/>
      <c r="C145" s="26"/>
      <c r="D145" s="27"/>
      <c r="E145" s="27"/>
      <c r="F145" s="27"/>
      <c r="G145" s="27"/>
      <c r="H145" s="27"/>
    </row>
    <row r="146">
      <c r="A146" s="25"/>
      <c r="B146" s="26"/>
      <c r="C146" s="26"/>
      <c r="D146" s="27"/>
      <c r="E146" s="27"/>
      <c r="F146" s="27"/>
      <c r="G146" s="27"/>
      <c r="H146" s="27"/>
    </row>
    <row r="147">
      <c r="A147" s="25"/>
      <c r="B147" s="26"/>
      <c r="C147" s="26"/>
      <c r="D147" s="27"/>
      <c r="E147" s="27"/>
      <c r="F147" s="27"/>
      <c r="G147" s="27"/>
      <c r="H147" s="27"/>
    </row>
    <row r="148">
      <c r="A148" s="25"/>
      <c r="B148" s="26"/>
      <c r="C148" s="26"/>
      <c r="D148" s="76"/>
      <c r="E148" s="27"/>
      <c r="F148" s="27"/>
      <c r="G148" s="27"/>
      <c r="H148" s="27"/>
    </row>
    <row r="149">
      <c r="A149" s="25"/>
      <c r="B149" s="26"/>
      <c r="C149" s="26"/>
      <c r="D149" s="76"/>
      <c r="E149" s="27"/>
      <c r="F149" s="27"/>
      <c r="G149" s="27"/>
      <c r="H149" s="27"/>
    </row>
    <row r="150">
      <c r="A150" s="25"/>
      <c r="B150" s="26"/>
      <c r="C150" s="26"/>
      <c r="D150" s="76"/>
      <c r="E150" s="27"/>
      <c r="F150" s="27"/>
      <c r="G150" s="27"/>
      <c r="H150" s="27"/>
    </row>
    <row r="151">
      <c r="A151" s="25"/>
      <c r="B151" s="26"/>
      <c r="C151" s="26"/>
      <c r="D151" s="76"/>
    </row>
    <row r="152">
      <c r="A152" s="25"/>
      <c r="B152" s="26"/>
      <c r="C152" s="26"/>
      <c r="D152" s="76"/>
      <c r="E152" s="66" t="s">
        <v>29</v>
      </c>
      <c r="F152" s="33"/>
      <c r="G152" s="33"/>
      <c r="H152" s="34"/>
    </row>
    <row r="153">
      <c r="A153" s="25"/>
      <c r="B153" s="26"/>
      <c r="C153" s="26"/>
      <c r="D153" s="76"/>
      <c r="E153" s="27"/>
      <c r="F153" s="27"/>
      <c r="G153" s="27"/>
      <c r="H153" s="27"/>
      <c r="I153" s="41" t="s">
        <v>95</v>
      </c>
      <c r="J153" s="33"/>
      <c r="K153" s="33"/>
      <c r="L153" s="34"/>
    </row>
    <row r="154">
      <c r="A154" s="25"/>
      <c r="B154" s="26"/>
      <c r="C154" s="26"/>
      <c r="D154" s="76"/>
      <c r="E154" s="27"/>
      <c r="F154" s="27"/>
      <c r="G154" s="27"/>
      <c r="H154" s="27"/>
      <c r="I154" s="44" t="s">
        <v>40</v>
      </c>
      <c r="J154" s="44" t="s">
        <v>96</v>
      </c>
    </row>
    <row r="155">
      <c r="A155" s="25"/>
      <c r="B155" s="26"/>
      <c r="C155" s="26"/>
      <c r="D155" s="27"/>
      <c r="E155" s="27"/>
      <c r="F155" s="27"/>
      <c r="G155" s="27"/>
      <c r="H155" s="27"/>
      <c r="I155" s="45" t="s">
        <v>42</v>
      </c>
      <c r="J155" s="77">
        <v>40000.0</v>
      </c>
      <c r="K155" s="81"/>
    </row>
    <row r="156">
      <c r="A156" s="25"/>
      <c r="B156" s="26"/>
      <c r="C156" s="26"/>
      <c r="D156" s="27"/>
      <c r="E156" s="27"/>
      <c r="F156" s="27"/>
      <c r="G156" s="27"/>
      <c r="H156" s="27"/>
      <c r="I156" s="45" t="s">
        <v>43</v>
      </c>
      <c r="J156" s="77">
        <v>25000.0</v>
      </c>
      <c r="K156" s="81"/>
    </row>
    <row r="157">
      <c r="A157" s="25"/>
      <c r="B157" s="26"/>
      <c r="C157" s="26"/>
      <c r="D157" s="27"/>
      <c r="E157" s="27"/>
      <c r="F157" s="27"/>
      <c r="G157" s="27"/>
      <c r="H157" s="27"/>
      <c r="I157" s="45" t="s">
        <v>44</v>
      </c>
      <c r="J157" s="77">
        <v>23000.0</v>
      </c>
      <c r="K157" s="81"/>
    </row>
    <row r="158">
      <c r="A158" s="25"/>
      <c r="B158" s="26"/>
      <c r="C158" s="26"/>
      <c r="D158" s="27"/>
      <c r="E158" s="27"/>
      <c r="F158" s="27"/>
      <c r="G158" s="27"/>
      <c r="H158" s="27"/>
      <c r="I158" s="45" t="s">
        <v>45</v>
      </c>
      <c r="J158" s="77">
        <v>20000.0</v>
      </c>
      <c r="K158" s="81"/>
    </row>
    <row r="159">
      <c r="A159" s="25"/>
      <c r="B159" s="26"/>
      <c r="C159" s="26"/>
      <c r="D159" s="27"/>
      <c r="E159" s="27"/>
      <c r="F159" s="27"/>
      <c r="G159" s="27"/>
      <c r="H159" s="27"/>
      <c r="I159" s="57" t="s">
        <v>97</v>
      </c>
      <c r="J159" s="82">
        <f>iferror(SUM(J155:J158),"")</f>
        <v>108000</v>
      </c>
    </row>
    <row r="160">
      <c r="A160" s="25"/>
      <c r="B160" s="26"/>
      <c r="C160" s="26"/>
      <c r="D160" s="27"/>
      <c r="E160" s="27"/>
      <c r="F160" s="27"/>
      <c r="G160" s="27"/>
      <c r="H160" s="27"/>
    </row>
    <row r="161">
      <c r="A161" s="25"/>
      <c r="B161" s="26"/>
      <c r="C161" s="26"/>
      <c r="D161" s="27"/>
      <c r="E161" s="27"/>
      <c r="F161" s="27"/>
      <c r="G161" s="27"/>
      <c r="H161" s="27"/>
    </row>
    <row r="162">
      <c r="A162" s="25"/>
      <c r="B162" s="26"/>
      <c r="C162" s="26"/>
      <c r="D162" s="27"/>
      <c r="E162" s="27"/>
      <c r="F162" s="27"/>
      <c r="G162" s="27"/>
      <c r="H162" s="27"/>
    </row>
    <row r="163">
      <c r="A163" s="25"/>
      <c r="B163" s="26"/>
      <c r="C163" s="26"/>
      <c r="D163" s="27"/>
      <c r="E163" s="27"/>
      <c r="F163" s="27"/>
      <c r="G163" s="27"/>
      <c r="H163" s="27"/>
    </row>
    <row r="164">
      <c r="A164" s="25"/>
      <c r="B164" s="26"/>
      <c r="C164" s="26"/>
      <c r="D164" s="27"/>
      <c r="E164" s="27"/>
      <c r="F164" s="27"/>
      <c r="G164" s="27"/>
      <c r="H164" s="27"/>
    </row>
    <row r="165">
      <c r="A165" s="25"/>
      <c r="B165" s="26"/>
      <c r="C165" s="26"/>
      <c r="D165" s="27"/>
      <c r="E165" s="27"/>
      <c r="F165" s="27"/>
      <c r="G165" s="27"/>
      <c r="H165" s="27"/>
    </row>
    <row r="166">
      <c r="A166" s="25"/>
      <c r="B166" s="26"/>
      <c r="C166" s="26"/>
      <c r="D166" s="27"/>
      <c r="E166" s="27"/>
      <c r="F166" s="27"/>
      <c r="G166" s="27"/>
      <c r="H166" s="27"/>
    </row>
    <row r="167">
      <c r="A167" s="25"/>
      <c r="B167" s="26"/>
      <c r="C167" s="26"/>
      <c r="D167" s="27"/>
      <c r="E167" s="27"/>
      <c r="F167" s="27"/>
      <c r="G167" s="27"/>
      <c r="H167" s="27"/>
    </row>
    <row r="168">
      <c r="A168" s="25"/>
      <c r="B168" s="26"/>
      <c r="C168" s="26"/>
      <c r="D168" s="76"/>
      <c r="E168" s="27"/>
      <c r="F168" s="27"/>
      <c r="G168" s="27"/>
      <c r="H168" s="27"/>
    </row>
    <row r="169">
      <c r="A169" s="25"/>
      <c r="B169" s="26"/>
      <c r="C169" s="26"/>
      <c r="D169" s="76"/>
      <c r="E169" s="27"/>
      <c r="F169" s="27"/>
      <c r="G169" s="27"/>
      <c r="H169" s="27"/>
      <c r="N169" s="83"/>
    </row>
    <row r="170">
      <c r="A170" s="25"/>
      <c r="B170" s="26"/>
      <c r="C170" s="26"/>
      <c r="D170" s="76"/>
      <c r="E170" s="76"/>
      <c r="F170" s="76"/>
      <c r="G170" s="76"/>
      <c r="H170" s="76"/>
    </row>
    <row r="171">
      <c r="A171" s="25"/>
      <c r="B171" s="26"/>
      <c r="C171" s="26"/>
      <c r="D171" s="76"/>
      <c r="E171" s="76"/>
      <c r="F171" s="76"/>
      <c r="G171" s="76"/>
      <c r="H171" s="76"/>
    </row>
    <row r="172">
      <c r="A172" s="25"/>
      <c r="B172" s="26"/>
      <c r="C172" s="26"/>
      <c r="D172" s="76"/>
      <c r="E172" s="76"/>
      <c r="F172" s="76"/>
      <c r="G172" s="76"/>
      <c r="H172" s="76"/>
    </row>
    <row r="173">
      <c r="A173" s="25"/>
      <c r="B173" s="26"/>
      <c r="C173" s="26"/>
      <c r="D173" s="76"/>
      <c r="E173" s="66" t="s">
        <v>30</v>
      </c>
      <c r="F173" s="33"/>
      <c r="G173" s="33"/>
      <c r="H173" s="34"/>
    </row>
    <row r="174">
      <c r="A174" s="25"/>
      <c r="B174" s="26"/>
      <c r="C174" s="26"/>
      <c r="D174" s="76"/>
      <c r="E174" s="76"/>
      <c r="F174" s="76"/>
      <c r="G174" s="76"/>
      <c r="H174" s="76"/>
      <c r="I174" s="41" t="s">
        <v>98</v>
      </c>
      <c r="J174" s="33"/>
      <c r="K174" s="33"/>
      <c r="L174" s="34"/>
    </row>
    <row r="175">
      <c r="A175" s="25"/>
      <c r="B175" s="26"/>
      <c r="C175" s="26"/>
      <c r="D175" s="27"/>
      <c r="E175" s="76"/>
      <c r="F175" s="76"/>
      <c r="G175" s="76"/>
      <c r="H175" s="76"/>
      <c r="I175" s="44" t="s">
        <v>99</v>
      </c>
      <c r="J175" s="44" t="s">
        <v>100</v>
      </c>
      <c r="K175" s="44" t="s">
        <v>101</v>
      </c>
    </row>
    <row r="176">
      <c r="A176" s="25"/>
      <c r="B176" s="26"/>
      <c r="C176" s="26"/>
      <c r="D176" s="27"/>
      <c r="E176" s="76"/>
      <c r="F176" s="76"/>
      <c r="G176" s="76"/>
      <c r="H176" s="76"/>
      <c r="I176" s="84" t="s">
        <v>102</v>
      </c>
      <c r="J176" s="46" t="s">
        <v>101</v>
      </c>
      <c r="K176" s="46">
        <v>0.7</v>
      </c>
    </row>
    <row r="177">
      <c r="A177" s="25"/>
      <c r="B177" s="26"/>
      <c r="C177" s="26"/>
      <c r="D177" s="27"/>
      <c r="E177" s="76"/>
      <c r="F177" s="76"/>
      <c r="G177" s="76"/>
      <c r="H177" s="76"/>
      <c r="I177" s="85"/>
      <c r="J177" s="46" t="s">
        <v>103</v>
      </c>
      <c r="K177" s="46">
        <f>iferror(1-K176,"")</f>
        <v>0.3</v>
      </c>
    </row>
    <row r="178">
      <c r="A178" s="25"/>
      <c r="B178" s="26"/>
      <c r="C178" s="26"/>
      <c r="D178" s="27"/>
      <c r="E178" s="76"/>
      <c r="F178" s="76"/>
      <c r="G178" s="76"/>
      <c r="H178" s="76"/>
      <c r="I178" s="84" t="s">
        <v>104</v>
      </c>
      <c r="J178" s="46" t="s">
        <v>101</v>
      </c>
      <c r="K178" s="46">
        <v>0.4</v>
      </c>
      <c r="L178" s="86"/>
    </row>
    <row r="179">
      <c r="A179" s="25"/>
      <c r="B179" s="26"/>
      <c r="C179" s="26"/>
      <c r="D179" s="27"/>
      <c r="E179" s="76"/>
      <c r="F179" s="76"/>
      <c r="G179" s="76"/>
      <c r="H179" s="76"/>
      <c r="I179" s="85"/>
      <c r="J179" s="46" t="s">
        <v>103</v>
      </c>
      <c r="K179" s="46">
        <f>iferror(1-K178,"")</f>
        <v>0.6</v>
      </c>
    </row>
    <row r="180">
      <c r="A180" s="25"/>
      <c r="B180" s="26"/>
      <c r="C180" s="26"/>
      <c r="D180" s="27"/>
      <c r="E180" s="76"/>
      <c r="F180" s="76"/>
      <c r="G180" s="76"/>
      <c r="H180" s="76"/>
      <c r="I180" s="84" t="s">
        <v>105</v>
      </c>
      <c r="J180" s="46" t="s">
        <v>101</v>
      </c>
      <c r="K180" s="46">
        <v>0.85</v>
      </c>
    </row>
    <row r="181">
      <c r="A181" s="25"/>
      <c r="B181" s="26"/>
      <c r="C181" s="26"/>
      <c r="D181" s="27"/>
      <c r="E181" s="27"/>
      <c r="F181" s="27"/>
      <c r="G181" s="27"/>
      <c r="H181" s="27"/>
      <c r="I181" s="85"/>
      <c r="J181" s="46" t="s">
        <v>103</v>
      </c>
      <c r="K181" s="46">
        <f>iferror(1-K180,"")</f>
        <v>0.15</v>
      </c>
    </row>
    <row r="182">
      <c r="A182" s="25"/>
      <c r="B182" s="26"/>
      <c r="C182" s="26"/>
      <c r="D182" s="27"/>
      <c r="E182" s="27"/>
      <c r="F182" s="27"/>
      <c r="G182" s="27"/>
      <c r="H182" s="27"/>
    </row>
    <row r="183">
      <c r="A183" s="25"/>
      <c r="B183" s="26"/>
      <c r="C183" s="26"/>
      <c r="D183" s="27"/>
      <c r="E183" s="27"/>
      <c r="F183" s="27"/>
      <c r="G183" s="27"/>
      <c r="H183" s="27"/>
    </row>
    <row r="184">
      <c r="A184" s="25"/>
      <c r="B184" s="26"/>
      <c r="C184" s="26"/>
      <c r="D184" s="27"/>
      <c r="E184" s="27"/>
      <c r="F184" s="27"/>
      <c r="G184" s="27"/>
      <c r="H184" s="27"/>
    </row>
    <row r="185">
      <c r="A185" s="25"/>
      <c r="B185" s="26"/>
      <c r="C185" s="26"/>
      <c r="D185" s="27"/>
      <c r="E185" s="27"/>
      <c r="F185" s="27"/>
      <c r="G185" s="27"/>
      <c r="H185" s="27"/>
    </row>
    <row r="186">
      <c r="A186" s="25"/>
      <c r="B186" s="26"/>
      <c r="C186" s="26"/>
      <c r="D186" s="27"/>
      <c r="E186" s="27"/>
      <c r="F186" s="27"/>
      <c r="G186" s="27"/>
      <c r="H186" s="27"/>
    </row>
    <row r="187">
      <c r="A187" s="25"/>
      <c r="B187" s="26"/>
      <c r="C187" s="26"/>
      <c r="D187" s="27"/>
      <c r="E187" s="27"/>
      <c r="F187" s="27"/>
      <c r="G187" s="27"/>
      <c r="H187" s="27"/>
      <c r="N187" s="83"/>
    </row>
    <row r="188">
      <c r="A188" s="25"/>
      <c r="B188" s="26"/>
      <c r="C188" s="26"/>
      <c r="D188" s="27"/>
      <c r="E188" s="27"/>
      <c r="F188" s="27"/>
      <c r="G188" s="27"/>
      <c r="H188" s="27"/>
    </row>
    <row r="189">
      <c r="A189" s="25"/>
      <c r="B189" s="26"/>
      <c r="C189" s="26"/>
      <c r="D189" s="27"/>
      <c r="E189" s="27"/>
      <c r="F189" s="27"/>
      <c r="G189" s="27"/>
      <c r="H189" s="27"/>
    </row>
    <row r="190">
      <c r="A190" s="25"/>
      <c r="B190" s="26"/>
      <c r="C190" s="26"/>
      <c r="D190" s="27"/>
      <c r="E190" s="27"/>
      <c r="F190" s="27"/>
      <c r="G190" s="27"/>
      <c r="H190" s="27"/>
      <c r="T190" s="86"/>
    </row>
    <row r="191">
      <c r="A191" s="25"/>
      <c r="B191" s="26"/>
      <c r="C191" s="26"/>
      <c r="D191" s="27"/>
      <c r="F191" s="27"/>
      <c r="G191" s="27"/>
      <c r="H191" s="27"/>
      <c r="I191" s="27"/>
      <c r="J191" s="27"/>
      <c r="K191" s="27"/>
      <c r="L191" s="27"/>
      <c r="M191" s="27"/>
    </row>
    <row r="192">
      <c r="A192" s="25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>
      <c r="A193" s="25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>
      <c r="A194" s="25"/>
      <c r="B194" s="26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>
      <c r="A195" s="25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>
      <c r="A196" s="25"/>
      <c r="B196" s="26"/>
      <c r="C196" s="26"/>
      <c r="D196" s="76"/>
      <c r="E196" s="27"/>
      <c r="F196" s="27"/>
      <c r="G196" s="27"/>
      <c r="H196" s="27"/>
      <c r="I196" s="27"/>
      <c r="J196" s="27"/>
      <c r="K196" s="27"/>
      <c r="L196" s="27"/>
      <c r="M196" s="27"/>
    </row>
    <row r="197">
      <c r="A197" s="25"/>
      <c r="B197" s="26"/>
      <c r="C197" s="26"/>
      <c r="D197" s="76"/>
      <c r="E197" s="27"/>
      <c r="F197" s="27"/>
      <c r="G197" s="27"/>
      <c r="H197" s="27"/>
      <c r="I197" s="27"/>
      <c r="J197" s="27"/>
      <c r="K197" s="27"/>
      <c r="L197" s="27"/>
      <c r="M197" s="27"/>
    </row>
    <row r="198">
      <c r="A198" s="25"/>
      <c r="B198" s="26"/>
      <c r="C198" s="26"/>
      <c r="D198" s="76"/>
      <c r="E198" s="27"/>
      <c r="F198" s="27"/>
      <c r="G198" s="27"/>
      <c r="H198" s="27"/>
      <c r="I198" s="27"/>
      <c r="J198" s="27"/>
      <c r="K198" s="27"/>
      <c r="L198" s="27"/>
      <c r="M198" s="27"/>
    </row>
    <row r="199">
      <c r="A199" s="25"/>
      <c r="B199" s="26"/>
      <c r="C199" s="26"/>
      <c r="D199" s="76"/>
      <c r="E199" s="27"/>
      <c r="F199" s="27"/>
      <c r="G199" s="27"/>
      <c r="H199" s="27"/>
      <c r="I199" s="27"/>
      <c r="J199" s="27"/>
      <c r="K199" s="27"/>
      <c r="L199" s="27"/>
      <c r="M199" s="27"/>
    </row>
    <row r="200">
      <c r="A200" s="25"/>
      <c r="B200" s="26"/>
      <c r="C200" s="26"/>
      <c r="D200" s="76"/>
      <c r="E200" s="27"/>
      <c r="F200" s="27"/>
      <c r="G200" s="27"/>
      <c r="H200" s="27"/>
      <c r="I200" s="27"/>
      <c r="J200" s="27"/>
      <c r="K200" s="27"/>
      <c r="L200" s="27"/>
      <c r="M200" s="27"/>
    </row>
  </sheetData>
  <mergeCells count="22">
    <mergeCell ref="E3:H3"/>
    <mergeCell ref="I7:L7"/>
    <mergeCell ref="E23:H23"/>
    <mergeCell ref="I26:L26"/>
    <mergeCell ref="E45:H45"/>
    <mergeCell ref="I46:L46"/>
    <mergeCell ref="I67:L67"/>
    <mergeCell ref="E129:H129"/>
    <mergeCell ref="E152:H152"/>
    <mergeCell ref="I153:L153"/>
    <mergeCell ref="E173:H173"/>
    <mergeCell ref="I174:L174"/>
    <mergeCell ref="I176:I177"/>
    <mergeCell ref="I178:I179"/>
    <mergeCell ref="I180:I181"/>
    <mergeCell ref="E66:H66"/>
    <mergeCell ref="E87:H87"/>
    <mergeCell ref="I88:L88"/>
    <mergeCell ref="I89:J89"/>
    <mergeCell ref="E108:H108"/>
    <mergeCell ref="I109:L109"/>
    <mergeCell ref="I130:L130"/>
  </mergeCells>
  <dataValidations>
    <dataValidation type="list" allowBlank="1" showErrorMessage="1" sqref="I89">
      <formula1>'Pie Charts'!$I$92:$I$96</formula1>
    </dataValidation>
  </dataValidations>
  <hyperlinks>
    <hyperlink r:id="rId1" ref="B2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108.75"/>
    <col customWidth="1" min="6" max="6" width="102.88"/>
    <col customWidth="1" min="7" max="7" width="3.75"/>
    <col customWidth="1" min="8" max="8" width="2.88"/>
    <col customWidth="1" min="9" max="9" width="19.0"/>
    <col customWidth="1" min="10" max="10" width="23.13"/>
    <col customWidth="1" min="11" max="11" width="28.5"/>
    <col customWidth="1" min="12" max="12" width="25.38"/>
    <col customWidth="1" min="13" max="13" width="14.38"/>
    <col customWidth="1" min="14" max="14" width="17.0"/>
  </cols>
  <sheetData>
    <row r="1">
      <c r="A1" s="25"/>
      <c r="B1" s="26"/>
      <c r="C1" s="26"/>
      <c r="D1" s="23"/>
      <c r="E1" s="27"/>
      <c r="F1" s="27"/>
      <c r="G1" s="27"/>
      <c r="H1" s="27"/>
      <c r="I1" s="23"/>
      <c r="J1" s="23"/>
      <c r="K1" s="23"/>
      <c r="L1" s="23"/>
      <c r="M1" s="23"/>
      <c r="N1" s="23"/>
      <c r="O1" s="23"/>
      <c r="P1" s="23"/>
      <c r="Q1" s="23"/>
    </row>
    <row r="2">
      <c r="A2" s="25"/>
      <c r="B2" s="28" t="s">
        <v>106</v>
      </c>
      <c r="C2" s="28"/>
      <c r="D2" s="23"/>
      <c r="E2" s="27"/>
      <c r="F2" s="27"/>
      <c r="G2" s="27"/>
      <c r="H2" s="27"/>
      <c r="I2" s="23"/>
      <c r="J2" s="23"/>
      <c r="K2" s="23"/>
      <c r="L2" s="23"/>
      <c r="M2" s="23"/>
      <c r="N2" s="23"/>
      <c r="O2" s="23"/>
      <c r="P2" s="23"/>
      <c r="Q2" s="23"/>
    </row>
    <row r="3">
      <c r="A3" s="25"/>
      <c r="B3" s="31"/>
      <c r="C3" s="31"/>
      <c r="D3" s="23"/>
      <c r="E3" s="66" t="s">
        <v>107</v>
      </c>
      <c r="F3" s="33"/>
      <c r="G3" s="33"/>
      <c r="H3" s="34"/>
      <c r="I3" s="23"/>
      <c r="J3" s="23"/>
      <c r="K3" s="23"/>
      <c r="L3" s="23"/>
      <c r="M3" s="23"/>
      <c r="N3" s="23"/>
      <c r="O3" s="23"/>
      <c r="P3" s="23"/>
      <c r="Q3" s="23"/>
    </row>
    <row r="4">
      <c r="A4" s="25"/>
      <c r="B4" s="35" t="s">
        <v>16</v>
      </c>
      <c r="C4" s="36"/>
      <c r="D4" s="23"/>
      <c r="E4" s="27"/>
      <c r="F4" s="27"/>
      <c r="G4" s="27"/>
      <c r="H4" s="27"/>
      <c r="I4" s="23"/>
      <c r="J4" s="23"/>
      <c r="K4" s="23"/>
      <c r="L4" s="23"/>
      <c r="M4" s="23"/>
      <c r="N4" s="23"/>
      <c r="O4" s="23"/>
      <c r="P4" s="23"/>
      <c r="Q4" s="23"/>
    </row>
    <row r="5">
      <c r="A5" s="25"/>
      <c r="B5" s="37" t="s">
        <v>107</v>
      </c>
      <c r="C5" s="38"/>
      <c r="D5" s="23"/>
      <c r="E5" s="27"/>
      <c r="F5" s="27"/>
      <c r="G5" s="27"/>
      <c r="H5" s="27"/>
      <c r="I5" s="41" t="s">
        <v>108</v>
      </c>
      <c r="J5" s="33"/>
      <c r="K5" s="33"/>
      <c r="L5" s="34"/>
      <c r="M5" s="23"/>
      <c r="N5" s="23"/>
      <c r="O5" s="23"/>
      <c r="P5" s="23"/>
      <c r="Q5" s="23"/>
    </row>
    <row r="6">
      <c r="A6" s="25"/>
      <c r="B6" s="37" t="s">
        <v>109</v>
      </c>
      <c r="C6" s="38"/>
      <c r="D6" s="23"/>
      <c r="E6" s="27"/>
      <c r="F6" s="27"/>
      <c r="G6" s="27"/>
      <c r="H6" s="27"/>
      <c r="I6" s="87" t="s">
        <v>110</v>
      </c>
      <c r="J6" s="87" t="s">
        <v>111</v>
      </c>
      <c r="K6" s="87" t="s">
        <v>112</v>
      </c>
      <c r="L6" s="23"/>
      <c r="M6" s="23"/>
      <c r="N6" s="23"/>
      <c r="O6" s="23"/>
      <c r="P6" s="23"/>
      <c r="Q6" s="23"/>
    </row>
    <row r="7">
      <c r="A7" s="39"/>
      <c r="B7" s="37" t="s">
        <v>113</v>
      </c>
      <c r="C7" s="40"/>
      <c r="D7" s="23"/>
      <c r="E7" s="27"/>
      <c r="F7" s="27"/>
      <c r="G7" s="27"/>
      <c r="H7" s="27"/>
      <c r="I7" s="88" t="s">
        <v>114</v>
      </c>
      <c r="J7" s="89">
        <v>50.0</v>
      </c>
      <c r="K7" s="90">
        <v>20000.0</v>
      </c>
      <c r="L7" s="23"/>
      <c r="M7" s="23"/>
      <c r="N7" s="23"/>
      <c r="O7" s="23"/>
      <c r="P7" s="23"/>
      <c r="Q7" s="23"/>
    </row>
    <row r="8">
      <c r="A8" s="25"/>
      <c r="B8" s="42" t="s">
        <v>115</v>
      </c>
      <c r="C8" s="43"/>
      <c r="D8" s="23"/>
      <c r="E8" s="27"/>
      <c r="F8" s="27"/>
      <c r="G8" s="27"/>
      <c r="H8" s="27"/>
      <c r="I8" s="88" t="s">
        <v>116</v>
      </c>
      <c r="J8" s="89">
        <v>200.0</v>
      </c>
      <c r="K8" s="90">
        <v>75000.0</v>
      </c>
      <c r="L8" s="23"/>
      <c r="M8" s="23"/>
      <c r="N8" s="23"/>
      <c r="O8" s="23"/>
      <c r="P8" s="23"/>
      <c r="Q8" s="23"/>
    </row>
    <row r="9">
      <c r="A9" s="25"/>
      <c r="B9" s="37" t="s">
        <v>117</v>
      </c>
      <c r="C9" s="43"/>
      <c r="D9" s="23"/>
      <c r="E9" s="27"/>
      <c r="F9" s="27"/>
      <c r="G9" s="27"/>
      <c r="H9" s="27"/>
      <c r="I9" s="88" t="s">
        <v>118</v>
      </c>
      <c r="J9" s="89">
        <v>500.0</v>
      </c>
      <c r="K9" s="90">
        <v>25000.0</v>
      </c>
      <c r="L9" s="23"/>
      <c r="M9" s="23"/>
      <c r="N9" s="23"/>
      <c r="O9" s="23"/>
      <c r="P9" s="23"/>
      <c r="Q9" s="23"/>
    </row>
    <row r="10">
      <c r="A10" s="25"/>
      <c r="B10" s="47" t="s">
        <v>119</v>
      </c>
      <c r="C10" s="43"/>
      <c r="D10" s="23"/>
      <c r="E10" s="27"/>
      <c r="F10" s="27"/>
      <c r="G10" s="27"/>
      <c r="H10" s="27"/>
      <c r="I10" s="88" t="s">
        <v>120</v>
      </c>
      <c r="J10" s="89">
        <v>200.0</v>
      </c>
      <c r="K10" s="90">
        <v>50000.0</v>
      </c>
      <c r="L10" s="23"/>
      <c r="M10" s="23"/>
      <c r="N10" s="23"/>
      <c r="O10" s="23"/>
      <c r="P10" s="23"/>
      <c r="Q10" s="23"/>
    </row>
    <row r="11">
      <c r="A11" s="25"/>
      <c r="B11" s="47" t="s">
        <v>121</v>
      </c>
      <c r="C11" s="43"/>
      <c r="D11" s="23"/>
      <c r="E11" s="27"/>
      <c r="F11" s="27"/>
      <c r="G11" s="27"/>
      <c r="H11" s="27"/>
      <c r="I11" s="88" t="s">
        <v>122</v>
      </c>
      <c r="J11" s="89">
        <v>350.0</v>
      </c>
      <c r="K11" s="90">
        <v>80000.0</v>
      </c>
      <c r="L11" s="23"/>
      <c r="M11" s="23"/>
      <c r="N11" s="23"/>
      <c r="O11" s="23"/>
      <c r="P11" s="23"/>
      <c r="Q11" s="23"/>
    </row>
    <row r="12">
      <c r="A12" s="25"/>
      <c r="B12" s="48" t="s">
        <v>123</v>
      </c>
      <c r="C12" s="48"/>
      <c r="D12" s="23"/>
      <c r="E12" s="27"/>
      <c r="F12" s="27"/>
      <c r="G12" s="27"/>
      <c r="H12" s="27"/>
      <c r="I12" s="88" t="s">
        <v>124</v>
      </c>
      <c r="J12" s="89">
        <v>450.0</v>
      </c>
      <c r="K12" s="90">
        <v>115000.0</v>
      </c>
      <c r="L12" s="23"/>
      <c r="M12" s="23"/>
      <c r="N12" s="23"/>
      <c r="O12" s="23"/>
      <c r="P12" s="23"/>
      <c r="Q12" s="23"/>
    </row>
    <row r="13">
      <c r="A13" s="25"/>
      <c r="B13" s="48"/>
      <c r="C13" s="48"/>
      <c r="D13" s="23"/>
      <c r="E13" s="27"/>
      <c r="F13" s="27"/>
      <c r="G13" s="27"/>
      <c r="H13" s="27"/>
      <c r="I13" s="88" t="s">
        <v>125</v>
      </c>
      <c r="J13" s="89">
        <v>250.0</v>
      </c>
      <c r="K13" s="90">
        <v>45000.0</v>
      </c>
      <c r="L13" s="23"/>
      <c r="M13" s="23"/>
      <c r="N13" s="23"/>
      <c r="O13" s="23"/>
      <c r="P13" s="23"/>
      <c r="Q13" s="23"/>
    </row>
    <row r="14">
      <c r="A14" s="25"/>
      <c r="B14" s="48"/>
      <c r="C14" s="48"/>
      <c r="D14" s="91"/>
      <c r="E14" s="27"/>
      <c r="F14" s="27"/>
      <c r="G14" s="27"/>
      <c r="H14" s="27"/>
      <c r="I14" s="91"/>
      <c r="J14" s="91"/>
      <c r="K14" s="91"/>
      <c r="L14" s="23"/>
      <c r="M14" s="23"/>
      <c r="N14" s="23"/>
      <c r="O14" s="23"/>
      <c r="P14" s="23"/>
      <c r="Q14" s="23"/>
    </row>
    <row r="15">
      <c r="A15" s="25"/>
      <c r="B15" s="48"/>
      <c r="C15" s="48"/>
      <c r="D15" s="91"/>
      <c r="E15" s="27"/>
      <c r="F15" s="27"/>
      <c r="G15" s="27"/>
      <c r="H15" s="27"/>
      <c r="I15" s="91"/>
      <c r="J15" s="91"/>
      <c r="K15" s="91"/>
      <c r="L15" s="23"/>
      <c r="M15" s="23"/>
      <c r="N15" s="23"/>
      <c r="O15" s="23"/>
      <c r="P15" s="23"/>
      <c r="Q15" s="23"/>
    </row>
    <row r="16">
      <c r="A16" s="25"/>
      <c r="B16" s="48"/>
      <c r="C16" s="48"/>
      <c r="D16" s="91"/>
      <c r="E16" s="27"/>
      <c r="F16" s="27"/>
      <c r="G16" s="27"/>
      <c r="H16" s="27"/>
      <c r="I16" s="91"/>
      <c r="J16" s="91"/>
      <c r="K16" s="91"/>
      <c r="L16" s="23"/>
      <c r="M16" s="23"/>
      <c r="N16" s="23"/>
      <c r="O16" s="23"/>
      <c r="P16" s="23"/>
      <c r="Q16" s="23"/>
    </row>
    <row r="17">
      <c r="A17" s="25"/>
      <c r="B17" s="49"/>
      <c r="C17" s="48"/>
      <c r="D17" s="91"/>
      <c r="E17" s="27"/>
      <c r="F17" s="27"/>
      <c r="G17" s="27"/>
      <c r="H17" s="27"/>
      <c r="I17" s="91"/>
      <c r="J17" s="91"/>
      <c r="K17" s="91"/>
      <c r="L17" s="23"/>
      <c r="M17" s="23"/>
      <c r="N17" s="23"/>
      <c r="O17" s="23"/>
      <c r="P17" s="23"/>
      <c r="Q17" s="23"/>
    </row>
    <row r="18">
      <c r="A18" s="25"/>
      <c r="B18" s="48"/>
      <c r="C18" s="48"/>
      <c r="D18" s="91"/>
      <c r="E18" s="27"/>
      <c r="F18" s="27"/>
      <c r="G18" s="27"/>
      <c r="H18" s="27"/>
      <c r="I18" s="91"/>
      <c r="J18" s="91"/>
      <c r="K18" s="91"/>
      <c r="L18" s="23"/>
      <c r="M18" s="23"/>
      <c r="N18" s="23"/>
      <c r="O18" s="23"/>
      <c r="P18" s="23"/>
      <c r="Q18" s="23"/>
    </row>
    <row r="19">
      <c r="A19" s="25"/>
      <c r="B19" s="48"/>
      <c r="C19" s="50"/>
      <c r="D19" s="23"/>
      <c r="E19" s="27"/>
      <c r="F19" s="27"/>
      <c r="G19" s="27"/>
      <c r="H19" s="27"/>
      <c r="I19" s="23"/>
      <c r="J19" s="23"/>
      <c r="K19" s="23"/>
      <c r="L19" s="23"/>
      <c r="M19" s="23"/>
      <c r="N19" s="23"/>
      <c r="O19" s="23"/>
      <c r="P19" s="23"/>
      <c r="Q19" s="23"/>
    </row>
    <row r="20">
      <c r="A20" s="25"/>
      <c r="B20" s="52"/>
      <c r="C20" s="52"/>
      <c r="D20" s="23"/>
      <c r="E20" s="27"/>
      <c r="F20" s="27"/>
      <c r="G20" s="27"/>
      <c r="H20" s="27"/>
      <c r="I20" s="23"/>
      <c r="J20" s="23"/>
      <c r="K20" s="23"/>
      <c r="L20" s="23"/>
      <c r="M20" s="23"/>
      <c r="N20" s="23"/>
      <c r="O20" s="23"/>
      <c r="P20" s="23"/>
      <c r="Q20" s="23"/>
    </row>
    <row r="21">
      <c r="A21" s="25"/>
      <c r="B21" s="51" t="s">
        <v>32</v>
      </c>
      <c r="C21" s="51"/>
      <c r="D21" s="23"/>
      <c r="E21" s="27"/>
      <c r="F21" s="27"/>
      <c r="G21" s="27"/>
      <c r="H21" s="27"/>
      <c r="I21" s="23"/>
      <c r="J21" s="23"/>
      <c r="K21" s="23"/>
      <c r="L21" s="23"/>
      <c r="M21" s="23"/>
      <c r="N21" s="23"/>
      <c r="O21" s="23"/>
      <c r="P21" s="23"/>
      <c r="Q21" s="23"/>
    </row>
    <row r="22">
      <c r="A22" s="25"/>
      <c r="B22" s="53"/>
      <c r="C22" s="53"/>
      <c r="D22" s="23"/>
      <c r="E22" s="27"/>
      <c r="F22" s="27"/>
      <c r="G22" s="27"/>
      <c r="H22" s="27"/>
      <c r="I22" s="23"/>
      <c r="J22" s="23"/>
      <c r="K22" s="23"/>
      <c r="L22" s="23"/>
      <c r="M22" s="23"/>
      <c r="N22" s="23"/>
      <c r="O22" s="23"/>
      <c r="P22" s="23"/>
      <c r="Q22" s="23"/>
    </row>
    <row r="23" ht="30.0" customHeight="1">
      <c r="A23" s="25"/>
      <c r="B23" s="25"/>
      <c r="C23" s="53"/>
      <c r="D23" s="23"/>
      <c r="E23" s="66" t="s">
        <v>109</v>
      </c>
      <c r="F23" s="33"/>
      <c r="G23" s="33"/>
      <c r="H23" s="34"/>
      <c r="I23" s="23"/>
      <c r="J23" s="23"/>
      <c r="K23" s="23"/>
      <c r="L23" s="23"/>
      <c r="M23" s="23"/>
      <c r="N23" s="23"/>
      <c r="O23" s="23"/>
      <c r="P23" s="23"/>
      <c r="Q23" s="23"/>
    </row>
    <row r="24">
      <c r="A24" s="25"/>
      <c r="B24" s="54"/>
      <c r="C24" s="54"/>
      <c r="D24" s="23"/>
      <c r="E24" s="27"/>
      <c r="F24" s="27"/>
      <c r="G24" s="27"/>
      <c r="H24" s="27"/>
      <c r="I24" s="23"/>
      <c r="J24" s="23"/>
      <c r="K24" s="23"/>
      <c r="L24" s="23"/>
      <c r="M24" s="23"/>
      <c r="N24" s="23"/>
      <c r="O24" s="23"/>
      <c r="P24" s="23"/>
      <c r="Q24" s="23"/>
    </row>
    <row r="25">
      <c r="A25" s="25"/>
      <c r="B25" s="54" t="s">
        <v>33</v>
      </c>
      <c r="C25" s="53"/>
      <c r="D25" s="23"/>
      <c r="E25" s="27"/>
      <c r="F25" s="27"/>
      <c r="G25" s="27"/>
      <c r="H25" s="27"/>
      <c r="I25" s="23"/>
      <c r="J25" s="23"/>
      <c r="K25" s="23"/>
      <c r="L25" s="23"/>
      <c r="M25" s="23"/>
      <c r="N25" s="23"/>
      <c r="O25" s="23"/>
      <c r="P25" s="23"/>
      <c r="Q25" s="23"/>
    </row>
    <row r="26">
      <c r="A26" s="25"/>
      <c r="B26" s="55" t="s">
        <v>3</v>
      </c>
      <c r="C26" s="53"/>
      <c r="D26" s="23"/>
      <c r="E26" s="27"/>
      <c r="F26" s="27"/>
      <c r="G26" s="27"/>
      <c r="H26" s="27"/>
      <c r="I26" s="41" t="s">
        <v>126</v>
      </c>
      <c r="J26" s="33"/>
      <c r="K26" s="33"/>
      <c r="L26" s="34"/>
      <c r="M26" s="23"/>
      <c r="N26" s="23"/>
      <c r="O26" s="23"/>
      <c r="P26" s="23"/>
      <c r="Q26" s="23"/>
    </row>
    <row r="27">
      <c r="A27" s="25"/>
      <c r="B27" s="56"/>
      <c r="C27" s="53"/>
      <c r="D27" s="23"/>
      <c r="E27" s="27"/>
      <c r="F27" s="27"/>
      <c r="G27" s="27"/>
      <c r="H27" s="27"/>
      <c r="I27" s="92" t="s">
        <v>110</v>
      </c>
      <c r="J27" s="92" t="s">
        <v>111</v>
      </c>
      <c r="K27" s="92" t="s">
        <v>112</v>
      </c>
      <c r="L27" s="92" t="s">
        <v>127</v>
      </c>
      <c r="M27" s="23"/>
      <c r="N27" s="23"/>
      <c r="O27" s="23"/>
      <c r="P27" s="23"/>
      <c r="Q27" s="23"/>
    </row>
    <row r="28">
      <c r="A28" s="25"/>
      <c r="B28" s="53"/>
      <c r="C28" s="53"/>
      <c r="D28" s="23"/>
      <c r="E28" s="27"/>
      <c r="F28" s="27"/>
      <c r="G28" s="27"/>
      <c r="H28" s="27"/>
      <c r="I28" s="93" t="s">
        <v>114</v>
      </c>
      <c r="J28" s="93">
        <v>1010.0</v>
      </c>
      <c r="K28" s="94">
        <v>180000.0</v>
      </c>
      <c r="L28" s="94">
        <v>90000.0</v>
      </c>
      <c r="M28" s="23"/>
      <c r="N28" s="23"/>
      <c r="O28" s="23"/>
      <c r="P28" s="23"/>
      <c r="Q28" s="23"/>
    </row>
    <row r="29">
      <c r="A29" s="25"/>
      <c r="B29" s="56"/>
      <c r="C29" s="56"/>
      <c r="D29" s="23"/>
      <c r="E29" s="27"/>
      <c r="F29" s="27"/>
      <c r="G29" s="27"/>
      <c r="H29" s="27"/>
      <c r="I29" s="93" t="s">
        <v>116</v>
      </c>
      <c r="J29" s="93">
        <v>600.0</v>
      </c>
      <c r="K29" s="94">
        <v>230000.0</v>
      </c>
      <c r="L29" s="94">
        <v>1500000.0</v>
      </c>
      <c r="M29" s="23"/>
      <c r="N29" s="23"/>
      <c r="O29" s="23"/>
      <c r="P29" s="23"/>
      <c r="Q29" s="23"/>
    </row>
    <row r="30">
      <c r="A30" s="25"/>
      <c r="B30" s="26"/>
      <c r="C30" s="26"/>
      <c r="D30" s="23"/>
      <c r="E30" s="27"/>
      <c r="F30" s="27"/>
      <c r="G30" s="27"/>
      <c r="H30" s="27"/>
      <c r="I30" s="93" t="s">
        <v>118</v>
      </c>
      <c r="J30" s="93">
        <v>120.0</v>
      </c>
      <c r="K30" s="94">
        <v>40000.0</v>
      </c>
      <c r="L30" s="94">
        <v>300000.0</v>
      </c>
      <c r="M30" s="23"/>
      <c r="N30" s="23"/>
      <c r="O30" s="23"/>
      <c r="P30" s="23"/>
      <c r="Q30" s="23"/>
    </row>
    <row r="31">
      <c r="A31" s="25"/>
      <c r="B31" s="26"/>
      <c r="C31" s="26"/>
      <c r="D31" s="23"/>
      <c r="E31" s="27"/>
      <c r="F31" s="27"/>
      <c r="G31" s="27"/>
      <c r="H31" s="27"/>
      <c r="I31" s="93" t="s">
        <v>120</v>
      </c>
      <c r="J31" s="93">
        <v>800.0</v>
      </c>
      <c r="K31" s="94">
        <v>250000.0</v>
      </c>
      <c r="L31" s="94">
        <v>2200000.0</v>
      </c>
      <c r="M31" s="23"/>
      <c r="N31" s="23"/>
      <c r="O31" s="23"/>
      <c r="P31" s="23"/>
      <c r="Q31" s="23"/>
    </row>
    <row r="32">
      <c r="A32" s="25"/>
      <c r="B32" s="26"/>
      <c r="C32" s="26"/>
      <c r="D32" s="23"/>
      <c r="E32" s="27"/>
      <c r="F32" s="27"/>
      <c r="G32" s="27"/>
      <c r="H32" s="27"/>
      <c r="I32" s="93" t="s">
        <v>122</v>
      </c>
      <c r="J32" s="93">
        <v>1300.0</v>
      </c>
      <c r="K32" s="94">
        <v>30000.0</v>
      </c>
      <c r="L32" s="94">
        <v>180000.0</v>
      </c>
      <c r="M32" s="23"/>
      <c r="N32" s="23"/>
      <c r="O32" s="23"/>
      <c r="P32" s="23"/>
      <c r="Q32" s="23"/>
    </row>
    <row r="33">
      <c r="A33" s="25"/>
      <c r="B33" s="26"/>
      <c r="C33" s="26"/>
      <c r="D33" s="23"/>
      <c r="E33" s="27"/>
      <c r="F33" s="27"/>
      <c r="G33" s="27"/>
      <c r="H33" s="27"/>
      <c r="I33" s="93" t="s">
        <v>124</v>
      </c>
      <c r="J33" s="93">
        <v>950.0</v>
      </c>
      <c r="K33" s="94">
        <v>400000.0</v>
      </c>
      <c r="L33" s="94">
        <v>3000000.0</v>
      </c>
      <c r="M33" s="23"/>
      <c r="N33" s="23"/>
      <c r="O33" s="23"/>
      <c r="P33" s="23"/>
      <c r="Q33" s="23"/>
    </row>
    <row r="34">
      <c r="A34" s="25"/>
      <c r="B34" s="26"/>
      <c r="C34" s="26"/>
      <c r="D34" s="23"/>
      <c r="E34" s="27"/>
      <c r="F34" s="27"/>
      <c r="G34" s="27"/>
      <c r="H34" s="27"/>
      <c r="I34" s="93" t="s">
        <v>125</v>
      </c>
      <c r="J34" s="93">
        <v>450.0</v>
      </c>
      <c r="K34" s="94">
        <v>120000.0</v>
      </c>
      <c r="L34" s="94">
        <v>950000.0</v>
      </c>
      <c r="M34" s="23"/>
      <c r="N34" s="23"/>
      <c r="O34" s="23"/>
      <c r="P34" s="23"/>
      <c r="Q34" s="23"/>
    </row>
    <row r="35">
      <c r="A35" s="25"/>
      <c r="B35" s="26"/>
      <c r="C35" s="26"/>
      <c r="D35" s="23"/>
      <c r="E35" s="27"/>
      <c r="F35" s="27"/>
      <c r="G35" s="27"/>
      <c r="H35" s="27"/>
      <c r="I35" s="93" t="s">
        <v>128</v>
      </c>
      <c r="J35" s="93">
        <v>1500.0</v>
      </c>
      <c r="K35" s="94">
        <v>455000.0</v>
      </c>
      <c r="L35" s="94">
        <v>4500000.0</v>
      </c>
      <c r="M35" s="23"/>
      <c r="N35" s="23"/>
      <c r="O35" s="23"/>
      <c r="P35" s="23"/>
      <c r="Q35" s="23"/>
    </row>
    <row r="36">
      <c r="A36" s="25"/>
      <c r="B36" s="26"/>
      <c r="C36" s="26"/>
      <c r="D36" s="23"/>
      <c r="E36" s="27"/>
      <c r="F36" s="27"/>
      <c r="G36" s="27"/>
      <c r="H36" s="27"/>
      <c r="I36" s="93" t="s">
        <v>129</v>
      </c>
      <c r="J36" s="93">
        <v>300.0</v>
      </c>
      <c r="K36" s="94">
        <v>100000.0</v>
      </c>
      <c r="L36" s="94">
        <v>600000.0</v>
      </c>
      <c r="M36" s="23"/>
      <c r="N36" s="23"/>
      <c r="O36" s="23"/>
      <c r="P36" s="23"/>
      <c r="Q36" s="23"/>
    </row>
    <row r="37">
      <c r="A37" s="25"/>
      <c r="B37" s="26"/>
      <c r="C37" s="26"/>
      <c r="D37" s="23"/>
      <c r="E37" s="27"/>
      <c r="F37" s="27"/>
      <c r="G37" s="27"/>
      <c r="H37" s="27"/>
      <c r="I37" s="93" t="s">
        <v>130</v>
      </c>
      <c r="J37" s="93">
        <v>150.0</v>
      </c>
      <c r="K37" s="94">
        <v>300000.0</v>
      </c>
      <c r="L37" s="94">
        <v>400000.0</v>
      </c>
      <c r="M37" s="23"/>
      <c r="N37" s="23"/>
      <c r="O37" s="23"/>
      <c r="P37" s="23"/>
      <c r="Q37" s="23"/>
    </row>
    <row r="38">
      <c r="A38" s="25"/>
      <c r="B38" s="26"/>
      <c r="C38" s="26"/>
      <c r="D38" s="23"/>
      <c r="E38" s="27"/>
      <c r="F38" s="27"/>
      <c r="G38" s="27"/>
      <c r="H38" s="27"/>
      <c r="I38" s="23"/>
      <c r="J38" s="23"/>
      <c r="K38" s="23"/>
      <c r="L38" s="23"/>
      <c r="M38" s="23"/>
      <c r="N38" s="23"/>
      <c r="O38" s="23"/>
      <c r="P38" s="23"/>
      <c r="Q38" s="23"/>
    </row>
    <row r="39">
      <c r="A39" s="25"/>
      <c r="B39" s="26"/>
      <c r="C39" s="26"/>
      <c r="D39" s="23"/>
      <c r="E39" s="27"/>
      <c r="F39" s="27"/>
      <c r="G39" s="27"/>
      <c r="H39" s="27"/>
      <c r="I39" s="23"/>
      <c r="J39" s="23"/>
      <c r="K39" s="23"/>
      <c r="L39" s="23"/>
      <c r="M39" s="23"/>
      <c r="N39" s="23"/>
      <c r="O39" s="23"/>
      <c r="P39" s="23"/>
      <c r="Q39" s="23"/>
    </row>
    <row r="40">
      <c r="A40" s="25"/>
      <c r="B40" s="26"/>
      <c r="C40" s="26"/>
      <c r="D40" s="23"/>
      <c r="E40" s="27"/>
      <c r="F40" s="27"/>
      <c r="G40" s="27"/>
      <c r="H40" s="27"/>
      <c r="I40" s="23"/>
      <c r="J40" s="23"/>
      <c r="K40" s="23"/>
      <c r="L40" s="23"/>
      <c r="M40" s="23"/>
      <c r="N40" s="23"/>
      <c r="O40" s="23"/>
      <c r="P40" s="23"/>
      <c r="Q40" s="23"/>
    </row>
    <row r="41">
      <c r="A41" s="25"/>
      <c r="B41" s="26"/>
      <c r="C41" s="26"/>
      <c r="D41" s="23"/>
      <c r="E41" s="27"/>
      <c r="F41" s="27"/>
      <c r="G41" s="27"/>
      <c r="H41" s="27"/>
      <c r="I41" s="23"/>
      <c r="J41" s="23"/>
      <c r="K41" s="23"/>
      <c r="L41" s="23"/>
      <c r="M41" s="23"/>
      <c r="N41" s="23"/>
      <c r="O41" s="23"/>
      <c r="P41" s="23"/>
      <c r="Q41" s="23"/>
    </row>
    <row r="42">
      <c r="A42" s="25"/>
      <c r="B42" s="26"/>
      <c r="C42" s="26"/>
      <c r="D42" s="23"/>
      <c r="E42" s="27"/>
      <c r="F42" s="27"/>
      <c r="G42" s="27"/>
      <c r="H42" s="27"/>
      <c r="I42" s="23"/>
      <c r="J42" s="23"/>
      <c r="K42" s="23"/>
      <c r="L42" s="23"/>
      <c r="M42" s="23"/>
      <c r="N42" s="23"/>
      <c r="O42" s="23"/>
      <c r="P42" s="23"/>
      <c r="Q42" s="23"/>
    </row>
    <row r="43">
      <c r="A43" s="25"/>
      <c r="B43" s="26"/>
      <c r="C43" s="26"/>
      <c r="D43" s="23"/>
      <c r="E43" s="27"/>
      <c r="F43" s="27"/>
      <c r="G43" s="27"/>
      <c r="H43" s="27"/>
      <c r="I43" s="23"/>
      <c r="J43" s="23"/>
      <c r="K43" s="23"/>
      <c r="L43" s="23"/>
      <c r="M43" s="23"/>
      <c r="N43" s="23"/>
      <c r="O43" s="23"/>
      <c r="P43" s="23"/>
      <c r="Q43" s="23"/>
    </row>
    <row r="44">
      <c r="A44" s="25"/>
      <c r="B44" s="26"/>
      <c r="C44" s="26"/>
      <c r="D44" s="23"/>
      <c r="E44" s="27"/>
      <c r="F44" s="27"/>
      <c r="G44" s="27"/>
      <c r="H44" s="27"/>
      <c r="I44" s="23"/>
      <c r="J44" s="23"/>
      <c r="K44" s="23"/>
      <c r="L44" s="23"/>
      <c r="M44" s="23"/>
      <c r="N44" s="23"/>
      <c r="O44" s="23"/>
      <c r="P44" s="23"/>
      <c r="Q44" s="23"/>
    </row>
    <row r="45">
      <c r="A45" s="25"/>
      <c r="B45" s="26"/>
      <c r="C45" s="26"/>
      <c r="D45" s="23"/>
      <c r="E45" s="66" t="s">
        <v>113</v>
      </c>
      <c r="F45" s="33"/>
      <c r="G45" s="33"/>
      <c r="H45" s="34"/>
      <c r="I45" s="23"/>
      <c r="J45" s="23"/>
      <c r="K45" s="23"/>
      <c r="L45" s="23"/>
      <c r="M45" s="23"/>
      <c r="N45" s="23"/>
      <c r="O45" s="23"/>
      <c r="P45" s="23"/>
      <c r="Q45" s="23"/>
    </row>
    <row r="46">
      <c r="A46" s="25"/>
      <c r="B46" s="26"/>
      <c r="C46" s="26"/>
      <c r="D46" s="23"/>
      <c r="E46" s="27"/>
      <c r="F46" s="27"/>
      <c r="G46" s="27"/>
      <c r="H46" s="27"/>
      <c r="I46" s="23"/>
      <c r="J46" s="23"/>
      <c r="K46" s="23"/>
      <c r="L46" s="23"/>
      <c r="M46" s="23"/>
      <c r="N46" s="23"/>
      <c r="O46" s="23"/>
      <c r="P46" s="23"/>
      <c r="Q46" s="23"/>
    </row>
    <row r="47">
      <c r="A47" s="25"/>
      <c r="B47" s="26"/>
      <c r="C47" s="26"/>
      <c r="D47" s="23"/>
      <c r="E47" s="27"/>
      <c r="F47" s="27"/>
      <c r="G47" s="27"/>
      <c r="H47" s="27"/>
      <c r="I47" s="41" t="s">
        <v>131</v>
      </c>
      <c r="J47" s="33"/>
      <c r="K47" s="33"/>
      <c r="L47" s="34"/>
      <c r="M47" s="23"/>
      <c r="N47" s="23"/>
      <c r="O47" s="23"/>
      <c r="P47" s="23"/>
      <c r="Q47" s="23"/>
    </row>
    <row r="48">
      <c r="A48" s="25"/>
      <c r="B48" s="26"/>
      <c r="C48" s="26"/>
      <c r="D48" s="23"/>
      <c r="E48" s="27"/>
      <c r="F48" s="27"/>
      <c r="G48" s="27"/>
      <c r="H48" s="27"/>
      <c r="I48" s="92" t="s">
        <v>47</v>
      </c>
      <c r="J48" s="92" t="s">
        <v>132</v>
      </c>
      <c r="K48" s="23"/>
      <c r="L48" s="23"/>
      <c r="M48" s="23"/>
      <c r="N48" s="23"/>
      <c r="O48" s="23"/>
      <c r="P48" s="23"/>
      <c r="Q48" s="23"/>
    </row>
    <row r="49">
      <c r="A49" s="25"/>
      <c r="B49" s="26"/>
      <c r="C49" s="26"/>
      <c r="D49" s="23"/>
      <c r="E49" s="27"/>
      <c r="F49" s="27"/>
      <c r="G49" s="27"/>
      <c r="H49" s="27"/>
      <c r="I49" s="93" t="s">
        <v>50</v>
      </c>
      <c r="J49" s="94">
        <v>15000.0</v>
      </c>
      <c r="K49" s="23"/>
      <c r="L49" s="23"/>
      <c r="M49" s="23"/>
      <c r="N49" s="23"/>
      <c r="O49" s="23"/>
      <c r="P49" s="23"/>
      <c r="Q49" s="23"/>
    </row>
    <row r="50">
      <c r="A50" s="25"/>
      <c r="B50" s="26"/>
      <c r="C50" s="26"/>
      <c r="D50" s="23"/>
      <c r="E50" s="27"/>
      <c r="F50" s="27"/>
      <c r="G50" s="27"/>
      <c r="H50" s="27"/>
      <c r="I50" s="93" t="s">
        <v>52</v>
      </c>
      <c r="J50" s="94">
        <v>18500.0</v>
      </c>
      <c r="K50" s="23"/>
      <c r="L50" s="23"/>
      <c r="M50" s="23"/>
      <c r="N50" s="23"/>
      <c r="O50" s="23"/>
      <c r="P50" s="23"/>
      <c r="Q50" s="23"/>
    </row>
    <row r="51">
      <c r="A51" s="25"/>
      <c r="B51" s="26"/>
      <c r="C51" s="26"/>
      <c r="D51" s="23"/>
      <c r="E51" s="27"/>
      <c r="F51" s="27"/>
      <c r="G51" s="27"/>
      <c r="H51" s="27"/>
      <c r="I51" s="93" t="s">
        <v>54</v>
      </c>
      <c r="J51" s="94">
        <v>17000.0</v>
      </c>
      <c r="K51" s="23"/>
      <c r="L51" s="23"/>
      <c r="M51" s="23"/>
      <c r="N51" s="23"/>
      <c r="O51" s="23"/>
      <c r="P51" s="23"/>
      <c r="Q51" s="23"/>
    </row>
    <row r="52">
      <c r="A52" s="25"/>
      <c r="B52" s="60"/>
      <c r="C52" s="60"/>
      <c r="D52" s="23"/>
      <c r="E52" s="27"/>
      <c r="F52" s="27"/>
      <c r="G52" s="27"/>
      <c r="H52" s="27"/>
      <c r="I52" s="93" t="s">
        <v>55</v>
      </c>
      <c r="J52" s="94">
        <v>22000.0</v>
      </c>
      <c r="K52" s="23"/>
      <c r="L52" s="23"/>
      <c r="M52" s="23"/>
      <c r="N52" s="23"/>
      <c r="O52" s="23"/>
      <c r="P52" s="23"/>
      <c r="Q52" s="23"/>
    </row>
    <row r="53">
      <c r="A53" s="25"/>
      <c r="B53" s="31"/>
      <c r="C53" s="31"/>
      <c r="D53" s="23"/>
      <c r="E53" s="27"/>
      <c r="F53" s="27"/>
      <c r="G53" s="27"/>
      <c r="H53" s="27"/>
      <c r="I53" s="93" t="s">
        <v>57</v>
      </c>
      <c r="J53" s="94">
        <v>19500.0</v>
      </c>
      <c r="K53" s="23"/>
      <c r="L53" s="23"/>
      <c r="M53" s="23"/>
      <c r="N53" s="23"/>
      <c r="O53" s="23"/>
      <c r="P53" s="23"/>
      <c r="Q53" s="23"/>
    </row>
    <row r="54">
      <c r="A54" s="25"/>
      <c r="B54" s="31"/>
      <c r="C54" s="31"/>
      <c r="D54" s="23"/>
      <c r="E54" s="27"/>
      <c r="F54" s="27"/>
      <c r="G54" s="27"/>
      <c r="H54" s="27"/>
      <c r="I54" s="93" t="s">
        <v>59</v>
      </c>
      <c r="J54" s="94">
        <v>25000.0</v>
      </c>
      <c r="K54" s="23"/>
      <c r="L54" s="23"/>
      <c r="M54" s="23"/>
      <c r="N54" s="23"/>
      <c r="O54" s="23"/>
      <c r="P54" s="23"/>
      <c r="Q54" s="23"/>
    </row>
    <row r="55">
      <c r="A55" s="25"/>
      <c r="B55" s="61"/>
      <c r="C55" s="61"/>
      <c r="D55" s="23"/>
      <c r="E55" s="27"/>
      <c r="F55" s="27"/>
      <c r="G55" s="27"/>
      <c r="H55" s="27"/>
      <c r="I55" s="93" t="s">
        <v>60</v>
      </c>
      <c r="J55" s="94">
        <v>23000.0</v>
      </c>
      <c r="K55" s="23"/>
      <c r="L55" s="23"/>
      <c r="M55" s="23"/>
      <c r="N55" s="23"/>
      <c r="O55" s="23"/>
      <c r="P55" s="23"/>
      <c r="Q55" s="23"/>
    </row>
    <row r="56">
      <c r="A56" s="25"/>
      <c r="B56" s="26"/>
      <c r="C56" s="26"/>
      <c r="D56" s="23"/>
      <c r="E56" s="27"/>
      <c r="F56" s="27"/>
      <c r="G56" s="27"/>
      <c r="H56" s="27"/>
      <c r="I56" s="93" t="s">
        <v>61</v>
      </c>
      <c r="J56" s="94">
        <v>27500.0</v>
      </c>
      <c r="K56" s="23"/>
      <c r="L56" s="23"/>
      <c r="M56" s="23"/>
      <c r="N56" s="23"/>
      <c r="O56" s="23"/>
      <c r="P56" s="23"/>
      <c r="Q56" s="23"/>
    </row>
    <row r="57">
      <c r="A57" s="25"/>
      <c r="B57" s="26"/>
      <c r="C57" s="26"/>
      <c r="D57" s="23"/>
      <c r="E57" s="27"/>
      <c r="F57" s="27"/>
      <c r="G57" s="27"/>
      <c r="H57" s="27"/>
      <c r="I57" s="93" t="s">
        <v>62</v>
      </c>
      <c r="J57" s="94">
        <v>21000.0</v>
      </c>
      <c r="K57" s="23"/>
      <c r="L57" s="23"/>
      <c r="M57" s="23"/>
      <c r="N57" s="23"/>
      <c r="O57" s="23"/>
      <c r="P57" s="23"/>
      <c r="Q57" s="23"/>
    </row>
    <row r="58">
      <c r="A58" s="25"/>
      <c r="B58" s="26"/>
      <c r="C58" s="26"/>
      <c r="D58" s="23"/>
      <c r="E58" s="27"/>
      <c r="F58" s="27"/>
      <c r="G58" s="27"/>
      <c r="H58" s="27"/>
      <c r="I58" s="93" t="s">
        <v>63</v>
      </c>
      <c r="J58" s="94">
        <v>26000.0</v>
      </c>
      <c r="K58" s="23"/>
      <c r="L58" s="23"/>
      <c r="M58" s="23"/>
      <c r="N58" s="23"/>
      <c r="O58" s="23"/>
      <c r="P58" s="23"/>
      <c r="Q58" s="23"/>
    </row>
    <row r="59">
      <c r="A59" s="25"/>
      <c r="B59" s="26"/>
      <c r="C59" s="26"/>
      <c r="D59" s="23"/>
      <c r="E59" s="27"/>
      <c r="F59" s="27"/>
      <c r="G59" s="27"/>
      <c r="H59" s="27"/>
      <c r="I59" s="93" t="s">
        <v>64</v>
      </c>
      <c r="J59" s="94">
        <v>30500.0</v>
      </c>
      <c r="K59" s="23"/>
      <c r="L59" s="23"/>
      <c r="M59" s="23"/>
      <c r="N59" s="23"/>
      <c r="O59" s="23"/>
      <c r="P59" s="23"/>
      <c r="Q59" s="23"/>
    </row>
    <row r="60">
      <c r="A60" s="25"/>
      <c r="B60" s="26"/>
      <c r="C60" s="26"/>
      <c r="D60" s="23"/>
      <c r="E60" s="27"/>
      <c r="F60" s="27"/>
      <c r="G60" s="27"/>
      <c r="H60" s="27"/>
      <c r="I60" s="93" t="s">
        <v>65</v>
      </c>
      <c r="J60" s="94">
        <v>32000.0</v>
      </c>
      <c r="K60" s="23"/>
      <c r="L60" s="23"/>
      <c r="M60" s="23"/>
      <c r="N60" s="23"/>
      <c r="O60" s="23"/>
      <c r="P60" s="23"/>
      <c r="Q60" s="23"/>
    </row>
    <row r="61">
      <c r="A61" s="25"/>
      <c r="B61" s="26"/>
      <c r="C61" s="26"/>
      <c r="D61" s="23"/>
      <c r="E61" s="27"/>
      <c r="F61" s="27"/>
      <c r="G61" s="27"/>
      <c r="H61" s="27"/>
      <c r="I61" s="23"/>
      <c r="J61" s="23"/>
      <c r="K61" s="23"/>
      <c r="L61" s="23"/>
      <c r="M61" s="23"/>
      <c r="N61" s="23"/>
      <c r="O61" s="23"/>
      <c r="P61" s="23"/>
      <c r="Q61" s="23"/>
    </row>
    <row r="62">
      <c r="A62" s="25"/>
      <c r="B62" s="26"/>
      <c r="C62" s="26"/>
      <c r="D62" s="23"/>
      <c r="E62" s="27"/>
      <c r="F62" s="27"/>
      <c r="G62" s="27"/>
      <c r="H62" s="27"/>
      <c r="I62" s="23"/>
      <c r="J62" s="23"/>
      <c r="K62" s="23"/>
      <c r="L62" s="23"/>
      <c r="M62" s="23"/>
      <c r="N62" s="23"/>
      <c r="O62" s="23"/>
      <c r="P62" s="23"/>
      <c r="Q62" s="23"/>
    </row>
    <row r="63">
      <c r="A63" s="25"/>
      <c r="B63" s="26"/>
      <c r="C63" s="26"/>
      <c r="D63" s="23"/>
      <c r="E63" s="27"/>
      <c r="F63" s="27"/>
      <c r="G63" s="27"/>
      <c r="H63" s="27"/>
      <c r="I63" s="23"/>
      <c r="J63" s="23"/>
      <c r="K63" s="23"/>
      <c r="L63" s="23"/>
      <c r="M63" s="23"/>
      <c r="N63" s="23"/>
      <c r="O63" s="23"/>
      <c r="P63" s="23"/>
      <c r="Q63" s="23"/>
    </row>
    <row r="64">
      <c r="A64" s="25"/>
      <c r="B64" s="26"/>
      <c r="C64" s="26"/>
      <c r="D64" s="23"/>
      <c r="E64" s="27"/>
      <c r="F64" s="27"/>
      <c r="G64" s="27"/>
      <c r="H64" s="27"/>
      <c r="I64" s="23"/>
      <c r="J64" s="23"/>
      <c r="K64" s="23"/>
      <c r="L64" s="23"/>
      <c r="M64" s="23"/>
      <c r="N64" s="23"/>
      <c r="O64" s="23"/>
      <c r="P64" s="23"/>
      <c r="Q64" s="23"/>
    </row>
    <row r="65">
      <c r="A65" s="25"/>
      <c r="B65" s="26"/>
      <c r="C65" s="26"/>
      <c r="D65" s="23"/>
      <c r="E65" s="27"/>
      <c r="F65" s="27"/>
      <c r="G65" s="27"/>
      <c r="H65" s="27"/>
      <c r="I65" s="23"/>
      <c r="J65" s="23"/>
      <c r="K65" s="23"/>
      <c r="L65" s="23"/>
      <c r="M65" s="23"/>
      <c r="N65" s="23"/>
      <c r="O65" s="23"/>
      <c r="P65" s="23"/>
      <c r="Q65" s="23"/>
    </row>
    <row r="66">
      <c r="A66" s="25"/>
      <c r="B66" s="26"/>
      <c r="C66" s="26"/>
      <c r="D66" s="23"/>
      <c r="E66" s="66" t="s">
        <v>115</v>
      </c>
      <c r="F66" s="33"/>
      <c r="G66" s="33"/>
      <c r="H66" s="34"/>
      <c r="I66" s="95"/>
      <c r="J66" s="23"/>
      <c r="K66" s="23"/>
      <c r="L66" s="23"/>
      <c r="M66" s="23"/>
      <c r="N66" s="23"/>
      <c r="O66" s="23"/>
      <c r="P66" s="23"/>
      <c r="Q66" s="23"/>
    </row>
    <row r="67">
      <c r="A67" s="25"/>
      <c r="B67" s="26"/>
      <c r="C67" s="26"/>
      <c r="D67" s="23"/>
      <c r="E67" s="27"/>
      <c r="F67" s="27"/>
      <c r="G67" s="27"/>
      <c r="H67" s="27"/>
      <c r="I67" s="95"/>
      <c r="J67" s="23"/>
      <c r="K67" s="23"/>
      <c r="L67" s="23"/>
      <c r="M67" s="23"/>
      <c r="N67" s="23"/>
      <c r="O67" s="23"/>
      <c r="P67" s="23"/>
      <c r="Q67" s="23"/>
    </row>
    <row r="68">
      <c r="A68" s="25"/>
      <c r="B68" s="26"/>
      <c r="C68" s="26"/>
      <c r="D68" s="23"/>
      <c r="E68" s="27"/>
      <c r="F68" s="27"/>
      <c r="G68" s="27"/>
      <c r="H68" s="27"/>
      <c r="I68" s="41" t="s">
        <v>133</v>
      </c>
      <c r="J68" s="33"/>
      <c r="K68" s="33"/>
      <c r="L68" s="34"/>
      <c r="M68" s="23"/>
      <c r="N68" s="23"/>
      <c r="O68" s="23"/>
      <c r="P68" s="23"/>
      <c r="Q68" s="23"/>
    </row>
    <row r="69">
      <c r="A69" s="25"/>
      <c r="B69" s="26"/>
      <c r="C69" s="26"/>
      <c r="D69" s="23"/>
      <c r="E69" s="27"/>
      <c r="F69" s="27"/>
      <c r="G69" s="27"/>
      <c r="H69" s="27"/>
      <c r="I69" s="92" t="s">
        <v>134</v>
      </c>
      <c r="J69" s="92" t="s">
        <v>135</v>
      </c>
      <c r="K69" s="92" t="s">
        <v>136</v>
      </c>
      <c r="L69" s="92" t="s">
        <v>137</v>
      </c>
      <c r="M69" s="92" t="s">
        <v>138</v>
      </c>
      <c r="N69" s="23"/>
      <c r="O69" s="23"/>
      <c r="P69" s="23"/>
      <c r="Q69" s="23"/>
    </row>
    <row r="70">
      <c r="A70" s="25"/>
      <c r="B70" s="26"/>
      <c r="C70" s="26"/>
      <c r="D70" s="23"/>
      <c r="E70" s="27"/>
      <c r="F70" s="27"/>
      <c r="G70" s="27"/>
      <c r="H70" s="27"/>
      <c r="I70" s="96">
        <v>44936.0</v>
      </c>
      <c r="J70" s="93" t="s">
        <v>139</v>
      </c>
      <c r="K70" s="94">
        <v>50000.0</v>
      </c>
      <c r="L70" s="94"/>
      <c r="M70" s="94"/>
      <c r="N70" s="23"/>
      <c r="O70" s="23"/>
      <c r="P70" s="23"/>
      <c r="Q70" s="23"/>
    </row>
    <row r="71">
      <c r="A71" s="25"/>
      <c r="B71" s="26"/>
      <c r="C71" s="26"/>
      <c r="D71" s="23"/>
      <c r="E71" s="27"/>
      <c r="F71" s="27"/>
      <c r="G71" s="27"/>
      <c r="H71" s="27"/>
      <c r="I71" s="96">
        <v>44962.0</v>
      </c>
      <c r="J71" s="93" t="s">
        <v>140</v>
      </c>
      <c r="K71" s="94"/>
      <c r="L71" s="94">
        <v>40000.0</v>
      </c>
      <c r="M71" s="94"/>
      <c r="N71" s="23"/>
      <c r="O71" s="23"/>
      <c r="P71" s="23"/>
      <c r="Q71" s="23"/>
    </row>
    <row r="72">
      <c r="A72" s="25"/>
      <c r="B72" s="26"/>
      <c r="C72" s="26"/>
      <c r="D72" s="23"/>
      <c r="E72" s="27"/>
      <c r="F72" s="27"/>
      <c r="G72" s="27"/>
      <c r="H72" s="27"/>
      <c r="I72" s="96">
        <v>45007.0</v>
      </c>
      <c r="J72" s="93" t="s">
        <v>141</v>
      </c>
      <c r="K72" s="94">
        <v>30000.0</v>
      </c>
      <c r="L72" s="94"/>
      <c r="M72" s="94"/>
      <c r="N72" s="23"/>
      <c r="O72" s="23"/>
      <c r="P72" s="23"/>
      <c r="Q72" s="23"/>
    </row>
    <row r="73">
      <c r="A73" s="25"/>
      <c r="B73" s="26"/>
      <c r="C73" s="26"/>
      <c r="D73" s="23"/>
      <c r="E73" s="27"/>
      <c r="F73" s="27"/>
      <c r="G73" s="27"/>
      <c r="H73" s="27"/>
      <c r="I73" s="96">
        <v>45034.0</v>
      </c>
      <c r="J73" s="93" t="s">
        <v>142</v>
      </c>
      <c r="K73" s="94"/>
      <c r="L73" s="94">
        <v>25000.0</v>
      </c>
      <c r="M73" s="94"/>
      <c r="N73" s="23"/>
      <c r="O73" s="23"/>
      <c r="P73" s="23"/>
      <c r="Q73" s="23"/>
    </row>
    <row r="74">
      <c r="A74" s="25"/>
      <c r="B74" s="26"/>
      <c r="C74" s="26"/>
      <c r="D74" s="23"/>
      <c r="E74" s="27"/>
      <c r="F74" s="27"/>
      <c r="G74" s="27"/>
      <c r="H74" s="27"/>
      <c r="I74" s="96">
        <v>45061.0</v>
      </c>
      <c r="J74" s="93" t="s">
        <v>143</v>
      </c>
      <c r="K74" s="94">
        <v>80000.0</v>
      </c>
      <c r="L74" s="94"/>
      <c r="M74" s="94"/>
      <c r="N74" s="23"/>
      <c r="O74" s="23"/>
      <c r="P74" s="23"/>
      <c r="Q74" s="23"/>
    </row>
    <row r="75">
      <c r="A75" s="25"/>
      <c r="B75" s="26"/>
      <c r="C75" s="26"/>
      <c r="D75" s="23"/>
      <c r="E75" s="27"/>
      <c r="F75" s="27"/>
      <c r="G75" s="27"/>
      <c r="H75" s="27"/>
      <c r="I75" s="96">
        <v>45078.0</v>
      </c>
      <c r="J75" s="93" t="s">
        <v>144</v>
      </c>
      <c r="K75" s="94"/>
      <c r="L75" s="94"/>
      <c r="M75" s="94">
        <v>60000.0</v>
      </c>
      <c r="N75" s="23"/>
      <c r="O75" s="23"/>
      <c r="P75" s="23"/>
      <c r="Q75" s="23"/>
    </row>
    <row r="76">
      <c r="A76" s="25"/>
      <c r="B76" s="26"/>
      <c r="C76" s="26"/>
      <c r="D76" s="23"/>
      <c r="E76" s="27"/>
      <c r="F76" s="27"/>
      <c r="G76" s="27"/>
      <c r="H76" s="27"/>
      <c r="I76" s="96">
        <v>45119.0</v>
      </c>
      <c r="J76" s="93" t="s">
        <v>145</v>
      </c>
      <c r="K76" s="94"/>
      <c r="L76" s="94"/>
      <c r="M76" s="94">
        <v>70000.0</v>
      </c>
      <c r="N76" s="23"/>
      <c r="O76" s="23"/>
      <c r="P76" s="23"/>
      <c r="Q76" s="23"/>
    </row>
    <row r="77">
      <c r="A77" s="25"/>
      <c r="B77" s="26"/>
      <c r="C77" s="26"/>
      <c r="D77" s="23"/>
      <c r="E77" s="27"/>
      <c r="F77" s="27"/>
      <c r="G77" s="27"/>
      <c r="H77" s="27"/>
      <c r="I77" s="96">
        <v>45161.0</v>
      </c>
      <c r="J77" s="93" t="s">
        <v>146</v>
      </c>
      <c r="K77" s="94">
        <v>90000.0</v>
      </c>
      <c r="L77" s="94"/>
      <c r="M77" s="94"/>
      <c r="N77" s="23"/>
      <c r="O77" s="23"/>
      <c r="P77" s="23"/>
      <c r="Q77" s="23"/>
    </row>
    <row r="78">
      <c r="A78" s="25"/>
      <c r="B78" s="26"/>
      <c r="C78" s="26"/>
      <c r="D78" s="23"/>
      <c r="E78" s="27"/>
      <c r="F78" s="27"/>
      <c r="G78" s="27"/>
      <c r="H78" s="27"/>
      <c r="I78" s="96">
        <v>45174.0</v>
      </c>
      <c r="J78" s="93" t="s">
        <v>147</v>
      </c>
      <c r="K78" s="94"/>
      <c r="L78" s="94">
        <v>35000.0</v>
      </c>
      <c r="M78" s="94"/>
      <c r="N78" s="23"/>
      <c r="O78" s="23"/>
      <c r="P78" s="23"/>
      <c r="Q78" s="23"/>
    </row>
    <row r="79">
      <c r="A79" s="25"/>
      <c r="B79" s="26"/>
      <c r="C79" s="26"/>
      <c r="D79" s="23"/>
      <c r="E79" s="27"/>
      <c r="F79" s="27"/>
      <c r="G79" s="27"/>
      <c r="H79" s="27"/>
      <c r="I79" s="96">
        <v>45209.0</v>
      </c>
      <c r="J79" s="93" t="s">
        <v>148</v>
      </c>
      <c r="K79" s="94"/>
      <c r="L79" s="94"/>
      <c r="M79" s="94">
        <v>96500.0</v>
      </c>
      <c r="N79" s="23"/>
      <c r="O79" s="23"/>
      <c r="P79" s="23"/>
      <c r="Q79" s="23"/>
    </row>
    <row r="80">
      <c r="A80" s="25"/>
      <c r="B80" s="26"/>
      <c r="C80" s="26"/>
      <c r="D80" s="23"/>
      <c r="E80" s="27"/>
      <c r="F80" s="27"/>
      <c r="G80" s="27"/>
      <c r="H80" s="27"/>
      <c r="I80" s="23"/>
      <c r="J80" s="23"/>
      <c r="K80" s="23"/>
      <c r="L80" s="23"/>
      <c r="M80" s="23"/>
      <c r="N80" s="23"/>
      <c r="O80" s="23"/>
      <c r="P80" s="23"/>
      <c r="Q80" s="23"/>
    </row>
    <row r="81">
      <c r="A81" s="25"/>
      <c r="B81" s="26"/>
      <c r="C81" s="26"/>
      <c r="D81" s="23"/>
      <c r="E81" s="27"/>
      <c r="F81" s="27"/>
      <c r="G81" s="27"/>
      <c r="H81" s="27"/>
      <c r="I81" s="23"/>
      <c r="J81" s="23"/>
      <c r="K81" s="23"/>
      <c r="L81" s="23"/>
      <c r="M81" s="23"/>
      <c r="N81" s="23"/>
      <c r="O81" s="23"/>
      <c r="P81" s="23"/>
      <c r="Q81" s="23"/>
    </row>
    <row r="82">
      <c r="A82" s="25"/>
      <c r="B82" s="26"/>
      <c r="C82" s="26"/>
      <c r="D82" s="23"/>
      <c r="E82" s="27"/>
      <c r="F82" s="27"/>
      <c r="G82" s="27"/>
      <c r="H82" s="27"/>
      <c r="I82" s="23"/>
      <c r="J82" s="23"/>
      <c r="K82" s="23"/>
      <c r="L82" s="23"/>
      <c r="M82" s="23"/>
      <c r="N82" s="23"/>
      <c r="O82" s="23"/>
      <c r="P82" s="23"/>
      <c r="Q82" s="23"/>
    </row>
    <row r="83">
      <c r="A83" s="25"/>
      <c r="B83" s="26"/>
      <c r="C83" s="26"/>
      <c r="D83" s="23"/>
      <c r="E83" s="27"/>
      <c r="F83" s="27"/>
      <c r="G83" s="27"/>
      <c r="H83" s="27"/>
      <c r="I83" s="23"/>
      <c r="J83" s="23"/>
      <c r="K83" s="23"/>
      <c r="L83" s="23"/>
      <c r="M83" s="23"/>
      <c r="N83" s="23"/>
      <c r="O83" s="23"/>
      <c r="P83" s="23"/>
      <c r="Q83" s="23"/>
    </row>
    <row r="84">
      <c r="A84" s="25"/>
      <c r="B84" s="26"/>
      <c r="C84" s="26"/>
      <c r="D84" s="23"/>
      <c r="E84" s="27"/>
      <c r="F84" s="27"/>
      <c r="G84" s="27"/>
      <c r="H84" s="27"/>
      <c r="I84" s="23"/>
      <c r="J84" s="23"/>
      <c r="K84" s="23"/>
      <c r="L84" s="23"/>
      <c r="M84" s="23"/>
      <c r="N84" s="23"/>
      <c r="O84" s="23"/>
      <c r="P84" s="23"/>
      <c r="Q84" s="23"/>
    </row>
    <row r="85">
      <c r="A85" s="25"/>
      <c r="B85" s="26"/>
      <c r="C85" s="26"/>
      <c r="D85" s="23"/>
      <c r="E85" s="27"/>
      <c r="F85" s="27"/>
      <c r="G85" s="27"/>
      <c r="H85" s="27"/>
      <c r="I85" s="23"/>
      <c r="J85" s="23"/>
      <c r="K85" s="23"/>
      <c r="L85" s="23"/>
      <c r="M85" s="23"/>
      <c r="N85" s="23"/>
      <c r="O85" s="23"/>
      <c r="P85" s="23"/>
      <c r="Q85" s="23"/>
    </row>
    <row r="86">
      <c r="A86" s="25"/>
      <c r="B86" s="26"/>
      <c r="C86" s="26"/>
      <c r="D86" s="23"/>
      <c r="E86" s="27"/>
      <c r="F86" s="27"/>
      <c r="G86" s="27"/>
      <c r="H86" s="27"/>
      <c r="I86" s="23"/>
      <c r="J86" s="23"/>
      <c r="K86" s="23"/>
      <c r="L86" s="23"/>
      <c r="M86" s="23"/>
      <c r="N86" s="23"/>
      <c r="O86" s="23"/>
      <c r="P86" s="23"/>
      <c r="Q86" s="23"/>
    </row>
    <row r="87">
      <c r="A87" s="25"/>
      <c r="B87" s="26"/>
      <c r="C87" s="26"/>
      <c r="D87" s="23"/>
      <c r="E87" s="66" t="s">
        <v>117</v>
      </c>
      <c r="F87" s="33"/>
      <c r="G87" s="33"/>
      <c r="H87" s="34"/>
      <c r="I87" s="23"/>
      <c r="J87" s="23"/>
      <c r="K87" s="23"/>
      <c r="L87" s="23"/>
      <c r="M87" s="23"/>
      <c r="N87" s="23"/>
      <c r="O87" s="23"/>
      <c r="P87" s="23"/>
      <c r="Q87" s="23"/>
    </row>
    <row r="88">
      <c r="A88" s="25"/>
      <c r="B88" s="26"/>
      <c r="C88" s="26"/>
      <c r="D88" s="23"/>
      <c r="E88" s="27"/>
      <c r="F88" s="27"/>
      <c r="G88" s="27"/>
      <c r="H88" s="27"/>
      <c r="I88" s="41" t="s">
        <v>149</v>
      </c>
      <c r="J88" s="33"/>
      <c r="K88" s="33"/>
      <c r="L88" s="34"/>
      <c r="M88" s="23"/>
      <c r="N88" s="23"/>
      <c r="O88" s="23"/>
      <c r="P88" s="23"/>
      <c r="Q88" s="23"/>
    </row>
    <row r="89">
      <c r="A89" s="25"/>
      <c r="B89" s="26"/>
      <c r="C89" s="26"/>
      <c r="D89" s="23"/>
      <c r="E89" s="27"/>
      <c r="F89" s="27"/>
      <c r="G89" s="27"/>
      <c r="H89" s="27"/>
      <c r="I89" s="92" t="s">
        <v>150</v>
      </c>
      <c r="J89" s="97" t="s">
        <v>151</v>
      </c>
      <c r="K89" s="97" t="s">
        <v>152</v>
      </c>
      <c r="L89" s="98" t="s">
        <v>153</v>
      </c>
      <c r="M89" s="23"/>
      <c r="N89" s="23"/>
      <c r="O89" s="23"/>
      <c r="P89" s="23"/>
      <c r="Q89" s="23"/>
    </row>
    <row r="90">
      <c r="A90" s="25"/>
      <c r="B90" s="26"/>
      <c r="C90" s="26"/>
      <c r="D90" s="23"/>
      <c r="E90" s="27"/>
      <c r="F90" s="27"/>
      <c r="G90" s="27"/>
      <c r="H90" s="27"/>
      <c r="I90" s="93" t="s">
        <v>154</v>
      </c>
      <c r="J90" s="99">
        <v>10.0</v>
      </c>
      <c r="K90" s="99">
        <v>150.0</v>
      </c>
      <c r="L90" s="94">
        <v>5000.0</v>
      </c>
      <c r="M90" s="23"/>
      <c r="N90" s="23"/>
      <c r="O90" s="23"/>
      <c r="P90" s="23"/>
      <c r="Q90" s="23"/>
    </row>
    <row r="91">
      <c r="A91" s="25"/>
      <c r="B91" s="26"/>
      <c r="C91" s="26"/>
      <c r="D91" s="23"/>
      <c r="E91" s="27"/>
      <c r="F91" s="27"/>
      <c r="G91" s="27"/>
      <c r="H91" s="27"/>
      <c r="I91" s="93" t="s">
        <v>155</v>
      </c>
      <c r="J91" s="99">
        <v>20.0</v>
      </c>
      <c r="K91" s="99">
        <v>200.0</v>
      </c>
      <c r="L91" s="94">
        <v>8000.0</v>
      </c>
      <c r="M91" s="23"/>
      <c r="N91" s="23"/>
      <c r="O91" s="23"/>
      <c r="P91" s="23"/>
      <c r="Q91" s="23"/>
    </row>
    <row r="92">
      <c r="A92" s="25"/>
      <c r="B92" s="26"/>
      <c r="C92" s="26"/>
      <c r="D92" s="23"/>
      <c r="E92" s="27"/>
      <c r="F92" s="27"/>
      <c r="G92" s="27"/>
      <c r="H92" s="27"/>
      <c r="I92" s="93" t="s">
        <v>156</v>
      </c>
      <c r="J92" s="99">
        <v>15.0</v>
      </c>
      <c r="K92" s="99">
        <v>100.0</v>
      </c>
      <c r="L92" s="94">
        <v>6000.0</v>
      </c>
      <c r="M92" s="23"/>
      <c r="N92" s="23"/>
      <c r="O92" s="23"/>
      <c r="P92" s="23"/>
      <c r="Q92" s="23"/>
    </row>
    <row r="93">
      <c r="A93" s="25"/>
      <c r="B93" s="26"/>
      <c r="C93" s="26"/>
      <c r="D93" s="23"/>
      <c r="E93" s="27"/>
      <c r="F93" s="27"/>
      <c r="G93" s="27"/>
      <c r="H93" s="27"/>
      <c r="I93" s="93" t="s">
        <v>157</v>
      </c>
      <c r="J93" s="99">
        <v>30.0</v>
      </c>
      <c r="K93" s="99">
        <v>250.0</v>
      </c>
      <c r="L93" s="94">
        <v>15000.0</v>
      </c>
      <c r="M93" s="23"/>
      <c r="N93" s="23"/>
      <c r="O93" s="23"/>
      <c r="P93" s="23"/>
      <c r="Q93" s="23"/>
    </row>
    <row r="94">
      <c r="A94" s="25"/>
      <c r="B94" s="26"/>
      <c r="C94" s="26"/>
      <c r="D94" s="23"/>
      <c r="E94" s="27"/>
      <c r="F94" s="27"/>
      <c r="G94" s="27"/>
      <c r="H94" s="27"/>
      <c r="I94" s="93" t="s">
        <v>158</v>
      </c>
      <c r="J94" s="99">
        <v>25.0</v>
      </c>
      <c r="K94" s="99">
        <v>180.0</v>
      </c>
      <c r="L94" s="94">
        <v>10000.0</v>
      </c>
      <c r="M94" s="23"/>
      <c r="N94" s="23"/>
      <c r="O94" s="23"/>
      <c r="P94" s="23"/>
      <c r="Q94" s="23"/>
    </row>
    <row r="95">
      <c r="A95" s="25"/>
      <c r="B95" s="26"/>
      <c r="C95" s="26"/>
      <c r="D95" s="23"/>
      <c r="E95" s="27"/>
      <c r="F95" s="27"/>
      <c r="G95" s="27"/>
      <c r="H95" s="27"/>
      <c r="I95" s="93" t="s">
        <v>159</v>
      </c>
      <c r="J95" s="99">
        <v>18.0</v>
      </c>
      <c r="K95" s="99">
        <v>130.0</v>
      </c>
      <c r="L95" s="94">
        <v>7500.0</v>
      </c>
      <c r="M95" s="23"/>
      <c r="N95" s="23"/>
      <c r="O95" s="23"/>
      <c r="P95" s="23"/>
      <c r="Q95" s="23"/>
    </row>
    <row r="96">
      <c r="A96" s="25"/>
      <c r="B96" s="26"/>
      <c r="C96" s="26"/>
      <c r="D96" s="23"/>
      <c r="E96" s="27"/>
      <c r="F96" s="27"/>
      <c r="G96" s="27"/>
      <c r="H96" s="27"/>
      <c r="I96" s="93" t="s">
        <v>160</v>
      </c>
      <c r="J96" s="99">
        <v>35.0</v>
      </c>
      <c r="K96" s="99">
        <v>300.0</v>
      </c>
      <c r="L96" s="94">
        <v>20000.0</v>
      </c>
      <c r="M96" s="23"/>
      <c r="N96" s="23"/>
      <c r="O96" s="23"/>
      <c r="P96" s="23"/>
      <c r="Q96" s="23"/>
    </row>
    <row r="97">
      <c r="A97" s="25"/>
      <c r="B97" s="26"/>
      <c r="C97" s="26"/>
      <c r="D97" s="23"/>
      <c r="E97" s="27"/>
      <c r="F97" s="27"/>
      <c r="G97" s="27"/>
      <c r="H97" s="27"/>
      <c r="I97" s="93" t="s">
        <v>161</v>
      </c>
      <c r="J97" s="99">
        <v>40.0</v>
      </c>
      <c r="K97" s="99">
        <v>320.0</v>
      </c>
      <c r="L97" s="94">
        <v>25000.0</v>
      </c>
      <c r="M97" s="23"/>
      <c r="N97" s="23"/>
      <c r="O97" s="23"/>
      <c r="P97" s="23"/>
      <c r="Q97" s="23"/>
    </row>
    <row r="98">
      <c r="A98" s="25"/>
      <c r="B98" s="26"/>
      <c r="C98" s="26"/>
      <c r="D98" s="23"/>
      <c r="E98" s="27"/>
      <c r="F98" s="27"/>
      <c r="G98" s="27"/>
      <c r="H98" s="27"/>
      <c r="I98" s="23"/>
      <c r="J98" s="23"/>
      <c r="K98" s="23"/>
      <c r="L98" s="23"/>
      <c r="M98" s="23"/>
      <c r="N98" s="23"/>
      <c r="O98" s="23"/>
      <c r="P98" s="23"/>
      <c r="Q98" s="23"/>
    </row>
    <row r="99">
      <c r="A99" s="25"/>
      <c r="B99" s="26"/>
      <c r="C99" s="26"/>
      <c r="D99" s="23"/>
      <c r="E99" s="27"/>
      <c r="F99" s="27"/>
      <c r="G99" s="27"/>
      <c r="H99" s="27"/>
      <c r="I99" s="23"/>
      <c r="J99" s="23"/>
      <c r="K99" s="23"/>
      <c r="L99" s="23"/>
      <c r="M99" s="23"/>
      <c r="N99" s="23"/>
      <c r="O99" s="23"/>
      <c r="P99" s="23"/>
      <c r="Q99" s="23"/>
    </row>
    <row r="100">
      <c r="A100" s="25"/>
      <c r="B100" s="26"/>
      <c r="C100" s="26"/>
      <c r="D100" s="23"/>
      <c r="E100" s="27"/>
      <c r="F100" s="27"/>
      <c r="G100" s="27"/>
      <c r="H100" s="27"/>
      <c r="I100" s="23"/>
      <c r="J100" s="23"/>
      <c r="K100" s="23"/>
      <c r="L100" s="23"/>
      <c r="M100" s="23"/>
      <c r="N100" s="23"/>
      <c r="O100" s="23"/>
      <c r="P100" s="23"/>
      <c r="Q100" s="23"/>
    </row>
    <row r="101">
      <c r="A101" s="25"/>
      <c r="B101" s="26"/>
      <c r="C101" s="26"/>
      <c r="D101" s="23"/>
      <c r="E101" s="27"/>
      <c r="F101" s="27"/>
      <c r="G101" s="27"/>
      <c r="H101" s="27"/>
      <c r="I101" s="23"/>
      <c r="J101" s="23"/>
      <c r="K101" s="23"/>
      <c r="L101" s="23"/>
      <c r="M101" s="23"/>
      <c r="N101" s="23"/>
      <c r="O101" s="23"/>
      <c r="P101" s="23"/>
      <c r="Q101" s="23"/>
    </row>
    <row r="102">
      <c r="A102" s="25"/>
      <c r="B102" s="26"/>
      <c r="C102" s="26"/>
      <c r="D102" s="23"/>
      <c r="E102" s="27"/>
      <c r="F102" s="27"/>
      <c r="G102" s="27"/>
      <c r="H102" s="27"/>
      <c r="I102" s="23"/>
      <c r="J102" s="23"/>
      <c r="K102" s="23"/>
      <c r="L102" s="23"/>
      <c r="M102" s="23"/>
      <c r="N102" s="23"/>
      <c r="O102" s="23"/>
      <c r="P102" s="23"/>
      <c r="Q102" s="23"/>
    </row>
    <row r="103">
      <c r="A103" s="25"/>
      <c r="B103" s="26"/>
      <c r="C103" s="26"/>
      <c r="D103" s="23"/>
      <c r="E103" s="27"/>
      <c r="F103" s="27"/>
      <c r="G103" s="27"/>
      <c r="H103" s="27"/>
      <c r="I103" s="23"/>
      <c r="J103" s="23"/>
      <c r="K103" s="23"/>
      <c r="L103" s="23"/>
      <c r="M103" s="23"/>
      <c r="N103" s="23"/>
      <c r="O103" s="23"/>
      <c r="P103" s="23"/>
      <c r="Q103" s="23"/>
    </row>
    <row r="104">
      <c r="A104" s="25"/>
      <c r="B104" s="26"/>
      <c r="C104" s="26"/>
      <c r="D104" s="23"/>
      <c r="E104" s="27"/>
      <c r="F104" s="27"/>
      <c r="G104" s="27"/>
      <c r="H104" s="27"/>
      <c r="I104" s="23"/>
      <c r="J104" s="23"/>
      <c r="K104" s="23"/>
      <c r="L104" s="23"/>
      <c r="M104" s="23"/>
      <c r="N104" s="23"/>
      <c r="O104" s="23"/>
      <c r="P104" s="23"/>
      <c r="Q104" s="23"/>
    </row>
    <row r="105">
      <c r="A105" s="25"/>
      <c r="B105" s="26"/>
      <c r="C105" s="26"/>
      <c r="D105" s="23"/>
      <c r="E105" s="27"/>
      <c r="F105" s="27"/>
      <c r="G105" s="27"/>
      <c r="H105" s="27"/>
      <c r="I105" s="23"/>
      <c r="J105" s="23"/>
      <c r="K105" s="23"/>
      <c r="L105" s="23"/>
      <c r="M105" s="23"/>
      <c r="N105" s="23"/>
      <c r="O105" s="23"/>
      <c r="P105" s="23"/>
      <c r="Q105" s="23"/>
    </row>
    <row r="106">
      <c r="A106" s="25"/>
      <c r="B106" s="26"/>
      <c r="C106" s="26"/>
      <c r="D106" s="23"/>
      <c r="E106" s="27"/>
      <c r="F106" s="27"/>
      <c r="G106" s="27"/>
      <c r="H106" s="27"/>
      <c r="I106" s="23"/>
      <c r="J106" s="23"/>
      <c r="K106" s="23"/>
      <c r="L106" s="23"/>
      <c r="M106" s="23"/>
      <c r="N106" s="23"/>
      <c r="O106" s="23"/>
      <c r="P106" s="23"/>
      <c r="Q106" s="23"/>
    </row>
    <row r="107">
      <c r="A107" s="25"/>
      <c r="B107" s="26"/>
      <c r="C107" s="26"/>
      <c r="D107" s="23"/>
      <c r="E107" s="27"/>
      <c r="F107" s="27"/>
      <c r="G107" s="27"/>
      <c r="H107" s="27"/>
      <c r="M107" s="23"/>
      <c r="N107" s="23"/>
      <c r="O107" s="23"/>
      <c r="P107" s="23"/>
      <c r="Q107" s="23"/>
    </row>
    <row r="108">
      <c r="A108" s="25"/>
      <c r="B108" s="26"/>
      <c r="C108" s="26"/>
      <c r="D108" s="23"/>
      <c r="E108" s="66" t="s">
        <v>119</v>
      </c>
      <c r="F108" s="33"/>
      <c r="G108" s="33"/>
      <c r="H108" s="34"/>
      <c r="M108" s="23"/>
      <c r="N108" s="23"/>
      <c r="O108" s="23"/>
      <c r="P108" s="23"/>
      <c r="Q108" s="23"/>
    </row>
    <row r="109">
      <c r="A109" s="25"/>
      <c r="B109" s="26"/>
      <c r="C109" s="26"/>
      <c r="D109" s="23"/>
      <c r="E109" s="27"/>
      <c r="F109" s="27"/>
      <c r="G109" s="27"/>
      <c r="H109" s="27"/>
      <c r="I109" s="41" t="s">
        <v>162</v>
      </c>
      <c r="J109" s="33"/>
      <c r="K109" s="33"/>
      <c r="L109" s="34"/>
      <c r="M109" s="23"/>
      <c r="N109" s="23"/>
      <c r="O109" s="23"/>
      <c r="P109" s="23"/>
      <c r="Q109" s="23"/>
    </row>
    <row r="110">
      <c r="A110" s="25"/>
      <c r="B110" s="26"/>
      <c r="C110" s="26"/>
      <c r="D110" s="23"/>
      <c r="E110" s="27"/>
      <c r="F110" s="27"/>
      <c r="G110" s="27"/>
      <c r="H110" s="27"/>
      <c r="I110" s="97" t="s">
        <v>163</v>
      </c>
      <c r="J110" s="100" t="s">
        <v>164</v>
      </c>
      <c r="K110" s="101"/>
      <c r="L110" s="101"/>
      <c r="M110" s="23"/>
      <c r="N110" s="23"/>
      <c r="O110" s="23"/>
      <c r="P110" s="23"/>
      <c r="Q110" s="23"/>
    </row>
    <row r="111">
      <c r="A111" s="25"/>
      <c r="B111" s="26"/>
      <c r="C111" s="26"/>
      <c r="D111" s="23"/>
      <c r="E111" s="27"/>
      <c r="F111" s="27"/>
      <c r="G111" s="27"/>
      <c r="H111" s="27"/>
      <c r="I111" s="102">
        <v>44936.0</v>
      </c>
      <c r="J111" s="99">
        <v>8.0</v>
      </c>
      <c r="K111" s="23"/>
      <c r="L111" s="23"/>
      <c r="M111" s="23"/>
      <c r="N111" s="23"/>
      <c r="O111" s="23"/>
      <c r="P111" s="23"/>
      <c r="Q111" s="23"/>
    </row>
    <row r="112">
      <c r="A112" s="25"/>
      <c r="B112" s="26"/>
      <c r="C112" s="26"/>
      <c r="D112" s="23"/>
      <c r="E112" s="27"/>
      <c r="F112" s="27"/>
      <c r="G112" s="27"/>
      <c r="H112" s="27"/>
      <c r="I112" s="102">
        <v>44962.0</v>
      </c>
      <c r="J112" s="99">
        <v>7.5</v>
      </c>
      <c r="K112" s="23"/>
      <c r="L112" s="23"/>
      <c r="M112" s="23"/>
      <c r="N112" s="23"/>
      <c r="O112" s="23"/>
      <c r="P112" s="23"/>
      <c r="Q112" s="23"/>
    </row>
    <row r="113">
      <c r="A113" s="25"/>
      <c r="B113" s="26"/>
      <c r="C113" s="26"/>
      <c r="D113" s="23"/>
      <c r="E113" s="27"/>
      <c r="F113" s="27"/>
      <c r="G113" s="27"/>
      <c r="H113" s="27"/>
      <c r="I113" s="102">
        <v>45000.0</v>
      </c>
      <c r="J113" s="99">
        <v>8.2</v>
      </c>
      <c r="K113" s="23"/>
      <c r="L113" s="23"/>
      <c r="M113" s="23"/>
      <c r="N113" s="23"/>
      <c r="O113" s="23"/>
      <c r="P113" s="23"/>
      <c r="Q113" s="23"/>
    </row>
    <row r="114">
      <c r="A114" s="25"/>
      <c r="B114" s="26"/>
      <c r="C114" s="26"/>
      <c r="D114" s="23"/>
      <c r="E114" s="27"/>
      <c r="F114" s="27"/>
      <c r="G114" s="27"/>
      <c r="H114" s="27"/>
      <c r="I114" s="102">
        <v>45036.0</v>
      </c>
      <c r="J114" s="99">
        <v>8.7</v>
      </c>
      <c r="K114" s="23"/>
      <c r="L114" s="23"/>
      <c r="M114" s="23"/>
      <c r="N114" s="23"/>
      <c r="O114" s="23"/>
      <c r="P114" s="23"/>
      <c r="Q114" s="23"/>
    </row>
    <row r="115">
      <c r="A115" s="25"/>
      <c r="B115" s="26"/>
      <c r="C115" s="26"/>
      <c r="D115" s="23"/>
      <c r="E115" s="27"/>
      <c r="F115" s="27"/>
      <c r="G115" s="27"/>
      <c r="H115" s="27"/>
      <c r="I115" s="102">
        <v>45064.0</v>
      </c>
      <c r="J115" s="99">
        <v>7.9</v>
      </c>
      <c r="K115" s="23"/>
      <c r="L115" s="23"/>
      <c r="M115" s="23"/>
      <c r="N115" s="23"/>
      <c r="O115" s="23"/>
      <c r="P115" s="23"/>
      <c r="Q115" s="23"/>
    </row>
    <row r="116">
      <c r="A116" s="25"/>
      <c r="B116" s="26"/>
      <c r="C116" s="26"/>
      <c r="D116" s="23"/>
      <c r="E116" s="27"/>
      <c r="F116" s="27"/>
      <c r="G116" s="27"/>
      <c r="H116" s="27"/>
      <c r="I116" s="102">
        <v>45099.0</v>
      </c>
      <c r="J116" s="99">
        <v>8.5</v>
      </c>
      <c r="K116" s="23"/>
      <c r="L116" s="23"/>
      <c r="M116" s="23"/>
      <c r="N116" s="23"/>
      <c r="O116" s="23"/>
      <c r="P116" s="23"/>
      <c r="Q116" s="23"/>
    </row>
    <row r="117">
      <c r="A117" s="25"/>
      <c r="B117" s="26"/>
      <c r="C117" s="26"/>
      <c r="D117" s="23"/>
      <c r="E117" s="27"/>
      <c r="F117" s="27"/>
      <c r="G117" s="27"/>
      <c r="H117" s="27"/>
      <c r="I117" s="102">
        <v>45137.0</v>
      </c>
      <c r="J117" s="99">
        <v>8.3</v>
      </c>
      <c r="K117" s="23"/>
      <c r="L117" s="23"/>
      <c r="M117" s="23"/>
      <c r="N117" s="23"/>
      <c r="O117" s="23"/>
      <c r="P117" s="23"/>
      <c r="Q117" s="23"/>
    </row>
    <row r="118">
      <c r="A118" s="25"/>
      <c r="B118" s="26"/>
      <c r="C118" s="26"/>
      <c r="D118" s="23"/>
      <c r="E118" s="27"/>
      <c r="F118" s="27"/>
      <c r="G118" s="27"/>
      <c r="H118" s="27"/>
      <c r="I118" s="102">
        <v>45150.0</v>
      </c>
      <c r="J118" s="99">
        <v>7.8</v>
      </c>
      <c r="K118" s="23"/>
      <c r="L118" s="23"/>
      <c r="M118" s="23"/>
      <c r="N118" s="23"/>
      <c r="O118" s="23"/>
      <c r="P118" s="23"/>
      <c r="Q118" s="23"/>
    </row>
    <row r="119">
      <c r="A119" s="25"/>
      <c r="B119" s="26"/>
      <c r="C119" s="26"/>
      <c r="D119" s="23"/>
      <c r="E119" s="27"/>
      <c r="F119" s="27"/>
      <c r="G119" s="27"/>
      <c r="H119" s="27"/>
      <c r="I119" s="23"/>
      <c r="J119" s="23"/>
      <c r="K119" s="23"/>
      <c r="L119" s="23"/>
      <c r="M119" s="23"/>
      <c r="N119" s="23"/>
      <c r="O119" s="23"/>
      <c r="P119" s="23"/>
      <c r="Q119" s="23"/>
    </row>
    <row r="120">
      <c r="A120" s="25"/>
      <c r="B120" s="26"/>
      <c r="C120" s="26"/>
      <c r="D120" s="23"/>
      <c r="E120" s="27"/>
      <c r="F120" s="27"/>
      <c r="G120" s="27"/>
      <c r="H120" s="27"/>
      <c r="I120" s="23"/>
      <c r="J120" s="23"/>
      <c r="K120" s="23"/>
      <c r="L120" s="23"/>
      <c r="M120" s="23"/>
      <c r="N120" s="23"/>
      <c r="O120" s="23"/>
      <c r="P120" s="23"/>
      <c r="Q120" s="23"/>
    </row>
    <row r="121">
      <c r="A121" s="25"/>
      <c r="B121" s="26"/>
      <c r="C121" s="26"/>
      <c r="D121" s="23"/>
      <c r="E121" s="27"/>
      <c r="F121" s="27"/>
      <c r="G121" s="27"/>
      <c r="H121" s="27"/>
      <c r="I121" s="23"/>
      <c r="J121" s="23"/>
      <c r="K121" s="23"/>
      <c r="L121" s="23"/>
      <c r="M121" s="23"/>
      <c r="N121" s="23"/>
      <c r="O121" s="23"/>
      <c r="P121" s="23"/>
      <c r="Q121" s="23"/>
    </row>
    <row r="122">
      <c r="A122" s="25"/>
      <c r="B122" s="26"/>
      <c r="C122" s="26"/>
      <c r="D122" s="23"/>
      <c r="E122" s="27"/>
      <c r="F122" s="27"/>
      <c r="G122" s="27"/>
      <c r="H122" s="27"/>
      <c r="I122" s="23"/>
      <c r="J122" s="23"/>
      <c r="K122" s="23"/>
      <c r="L122" s="23"/>
      <c r="M122" s="23"/>
      <c r="N122" s="23"/>
      <c r="O122" s="23"/>
      <c r="P122" s="23"/>
      <c r="Q122" s="23"/>
    </row>
    <row r="123">
      <c r="A123" s="25"/>
      <c r="B123" s="26"/>
      <c r="C123" s="26"/>
      <c r="D123" s="23"/>
      <c r="E123" s="27"/>
      <c r="F123" s="27"/>
      <c r="G123" s="27"/>
      <c r="H123" s="27"/>
      <c r="I123" s="23"/>
      <c r="J123" s="23"/>
      <c r="K123" s="23"/>
      <c r="L123" s="23"/>
      <c r="M123" s="23"/>
      <c r="N123" s="23"/>
      <c r="O123" s="23"/>
      <c r="P123" s="23"/>
      <c r="Q123" s="23"/>
    </row>
    <row r="124">
      <c r="A124" s="25"/>
      <c r="B124" s="26"/>
      <c r="C124" s="26"/>
      <c r="D124" s="23"/>
      <c r="E124" s="27"/>
      <c r="F124" s="27"/>
      <c r="G124" s="27"/>
      <c r="H124" s="27"/>
      <c r="I124" s="23"/>
      <c r="J124" s="23"/>
      <c r="K124" s="23"/>
      <c r="L124" s="23"/>
      <c r="M124" s="23"/>
      <c r="N124" s="23"/>
      <c r="O124" s="23"/>
      <c r="P124" s="23"/>
      <c r="Q124" s="23"/>
    </row>
    <row r="125">
      <c r="A125" s="25"/>
      <c r="B125" s="26"/>
      <c r="C125" s="26"/>
      <c r="D125" s="23"/>
      <c r="E125" s="27"/>
      <c r="F125" s="27"/>
      <c r="G125" s="27"/>
      <c r="H125" s="27"/>
      <c r="I125" s="23"/>
      <c r="J125" s="23"/>
      <c r="K125" s="23"/>
      <c r="L125" s="23"/>
      <c r="M125" s="23"/>
      <c r="N125" s="23"/>
      <c r="O125" s="23"/>
      <c r="P125" s="23"/>
      <c r="Q125" s="23"/>
    </row>
    <row r="126">
      <c r="A126" s="25"/>
      <c r="B126" s="26"/>
      <c r="C126" s="26"/>
      <c r="D126" s="23"/>
      <c r="E126" s="27"/>
      <c r="F126" s="27"/>
      <c r="G126" s="27"/>
      <c r="H126" s="27"/>
      <c r="I126" s="23"/>
      <c r="J126" s="23"/>
      <c r="K126" s="23"/>
      <c r="L126" s="23"/>
      <c r="M126" s="23"/>
      <c r="N126" s="23"/>
      <c r="O126" s="23"/>
      <c r="P126" s="23"/>
      <c r="Q126" s="23"/>
    </row>
    <row r="127">
      <c r="A127" s="25"/>
      <c r="B127" s="26"/>
      <c r="C127" s="26"/>
      <c r="D127" s="23"/>
      <c r="E127" s="27"/>
      <c r="F127" s="27"/>
      <c r="G127" s="27"/>
      <c r="H127" s="27"/>
      <c r="I127" s="23"/>
      <c r="J127" s="23"/>
      <c r="K127" s="23"/>
      <c r="L127" s="23"/>
      <c r="M127" s="23"/>
      <c r="N127" s="23"/>
      <c r="O127" s="23"/>
      <c r="P127" s="23"/>
      <c r="Q127" s="23"/>
    </row>
    <row r="128">
      <c r="A128" s="25"/>
      <c r="B128" s="26"/>
      <c r="C128" s="26"/>
      <c r="D128" s="23"/>
      <c r="E128" s="27"/>
      <c r="F128" s="27"/>
      <c r="G128" s="27"/>
      <c r="H128" s="27"/>
      <c r="I128" s="41" t="s">
        <v>162</v>
      </c>
      <c r="J128" s="33"/>
      <c r="K128" s="33"/>
      <c r="L128" s="34"/>
      <c r="M128" s="23"/>
      <c r="N128" s="23"/>
      <c r="O128" s="23"/>
      <c r="P128" s="23"/>
      <c r="Q128" s="23"/>
    </row>
    <row r="129">
      <c r="A129" s="25"/>
      <c r="B129" s="26"/>
      <c r="C129" s="26"/>
      <c r="D129" s="23"/>
      <c r="E129" s="66" t="s">
        <v>121</v>
      </c>
      <c r="F129" s="33"/>
      <c r="G129" s="33"/>
      <c r="H129" s="34"/>
      <c r="I129" s="97" t="s">
        <v>165</v>
      </c>
      <c r="J129" s="97" t="s">
        <v>166</v>
      </c>
      <c r="K129" s="97" t="s">
        <v>167</v>
      </c>
      <c r="L129" s="23"/>
      <c r="M129" s="23"/>
      <c r="N129" s="23"/>
      <c r="O129" s="23"/>
      <c r="P129" s="23"/>
      <c r="Q129" s="23"/>
    </row>
    <row r="130">
      <c r="A130" s="25"/>
      <c r="B130" s="26"/>
      <c r="C130" s="26"/>
      <c r="D130" s="23"/>
      <c r="E130" s="27"/>
      <c r="F130" s="27"/>
      <c r="G130" s="27"/>
      <c r="H130" s="27"/>
      <c r="I130" s="102">
        <v>44941.0</v>
      </c>
      <c r="J130" s="99">
        <v>85.0</v>
      </c>
      <c r="K130" s="103" t="s">
        <v>168</v>
      </c>
      <c r="L130" s="23"/>
      <c r="M130" s="23"/>
      <c r="N130" s="23"/>
      <c r="O130" s="23"/>
      <c r="P130" s="23"/>
      <c r="Q130" s="23"/>
    </row>
    <row r="131">
      <c r="A131" s="25"/>
      <c r="B131" s="26"/>
      <c r="C131" s="26"/>
      <c r="D131" s="23"/>
      <c r="E131" s="27"/>
      <c r="F131" s="27"/>
      <c r="G131" s="27"/>
      <c r="H131" s="27"/>
      <c r="I131" s="102">
        <v>45005.0</v>
      </c>
      <c r="J131" s="99">
        <v>90.0</v>
      </c>
      <c r="K131" s="103" t="s">
        <v>169</v>
      </c>
      <c r="L131" s="23"/>
      <c r="M131" s="23"/>
      <c r="N131" s="23"/>
      <c r="O131" s="23"/>
      <c r="P131" s="23"/>
      <c r="Q131" s="23"/>
    </row>
    <row r="132">
      <c r="A132" s="25"/>
      <c r="B132" s="26"/>
      <c r="C132" s="26"/>
      <c r="D132" s="23"/>
      <c r="E132" s="27"/>
      <c r="F132" s="27"/>
      <c r="G132" s="27"/>
      <c r="H132" s="27"/>
      <c r="I132" s="102">
        <v>45087.0</v>
      </c>
      <c r="J132" s="99">
        <v>78.0</v>
      </c>
      <c r="K132" s="103" t="s">
        <v>170</v>
      </c>
      <c r="L132" s="23"/>
      <c r="M132" s="23"/>
      <c r="N132" s="23"/>
      <c r="O132" s="23"/>
      <c r="P132" s="23"/>
      <c r="Q132" s="23"/>
    </row>
    <row r="133">
      <c r="A133" s="25"/>
      <c r="B133" s="26"/>
      <c r="C133" s="26"/>
      <c r="D133" s="23"/>
      <c r="E133" s="27"/>
      <c r="F133" s="27"/>
      <c r="G133" s="27"/>
      <c r="H133" s="27"/>
      <c r="I133" s="102">
        <v>45143.0</v>
      </c>
      <c r="J133" s="99">
        <v>92.0</v>
      </c>
      <c r="K133" s="103" t="s">
        <v>171</v>
      </c>
      <c r="L133" s="23"/>
      <c r="M133" s="23"/>
      <c r="N133" s="23"/>
      <c r="O133" s="23"/>
      <c r="P133" s="23"/>
      <c r="Q133" s="23"/>
    </row>
    <row r="134">
      <c r="A134" s="25"/>
      <c r="B134" s="26"/>
      <c r="C134" s="26"/>
      <c r="D134" s="23"/>
      <c r="E134" s="27"/>
      <c r="F134" s="27"/>
      <c r="G134" s="27"/>
      <c r="H134" s="27"/>
      <c r="I134" s="102">
        <v>45200.0</v>
      </c>
      <c r="J134" s="99">
        <v>88.0</v>
      </c>
      <c r="K134" s="103" t="s">
        <v>172</v>
      </c>
      <c r="L134" s="23"/>
      <c r="M134" s="23"/>
      <c r="N134" s="23"/>
      <c r="O134" s="23"/>
      <c r="P134" s="23"/>
      <c r="Q134" s="23"/>
    </row>
    <row r="135">
      <c r="A135" s="25"/>
      <c r="B135" s="26"/>
      <c r="C135" s="26"/>
      <c r="D135" s="23"/>
      <c r="E135" s="27"/>
      <c r="F135" s="27"/>
      <c r="G135" s="27"/>
      <c r="H135" s="27"/>
      <c r="I135" s="23"/>
      <c r="J135" s="23"/>
      <c r="K135" s="23"/>
      <c r="L135" s="23"/>
      <c r="M135" s="23"/>
      <c r="N135" s="23"/>
      <c r="O135" s="23"/>
      <c r="P135" s="23"/>
      <c r="Q135" s="23"/>
    </row>
    <row r="136">
      <c r="A136" s="25"/>
      <c r="B136" s="26"/>
      <c r="C136" s="26"/>
      <c r="D136" s="23"/>
      <c r="E136" s="27"/>
      <c r="F136" s="27"/>
      <c r="G136" s="27"/>
      <c r="H136" s="27"/>
      <c r="I136" s="23"/>
      <c r="J136" s="23"/>
      <c r="K136" s="23"/>
      <c r="L136" s="23"/>
      <c r="M136" s="23"/>
      <c r="N136" s="23"/>
      <c r="O136" s="23"/>
      <c r="P136" s="23"/>
      <c r="Q136" s="23"/>
    </row>
    <row r="137">
      <c r="A137" s="25"/>
      <c r="B137" s="26"/>
      <c r="C137" s="26"/>
      <c r="D137" s="23"/>
      <c r="E137" s="27"/>
      <c r="F137" s="27"/>
      <c r="G137" s="27"/>
      <c r="H137" s="27"/>
      <c r="I137" s="23"/>
      <c r="J137" s="23"/>
      <c r="K137" s="23"/>
      <c r="L137" s="23"/>
      <c r="M137" s="23"/>
      <c r="N137" s="23"/>
      <c r="O137" s="23"/>
      <c r="P137" s="23"/>
      <c r="Q137" s="23"/>
    </row>
    <row r="138">
      <c r="A138" s="25"/>
      <c r="B138" s="26"/>
      <c r="C138" s="26"/>
      <c r="D138" s="23"/>
      <c r="E138" s="27"/>
      <c r="F138" s="27"/>
      <c r="G138" s="27"/>
      <c r="H138" s="27"/>
      <c r="I138" s="23"/>
      <c r="J138" s="23"/>
      <c r="K138" s="23"/>
      <c r="L138" s="23"/>
      <c r="M138" s="23"/>
      <c r="N138" s="23"/>
      <c r="O138" s="23"/>
      <c r="P138" s="23"/>
      <c r="Q138" s="23"/>
    </row>
    <row r="139">
      <c r="A139" s="25"/>
      <c r="B139" s="26"/>
      <c r="C139" s="26"/>
      <c r="D139" s="23"/>
      <c r="E139" s="27"/>
      <c r="F139" s="27"/>
      <c r="G139" s="27"/>
      <c r="H139" s="27"/>
      <c r="I139" s="23"/>
      <c r="J139" s="23"/>
      <c r="K139" s="23"/>
      <c r="L139" s="23"/>
      <c r="M139" s="23"/>
      <c r="N139" s="23"/>
      <c r="O139" s="23"/>
      <c r="P139" s="23"/>
      <c r="Q139" s="23"/>
    </row>
    <row r="140">
      <c r="A140" s="25"/>
      <c r="B140" s="26"/>
      <c r="C140" s="26"/>
      <c r="D140" s="23"/>
      <c r="E140" s="27"/>
      <c r="F140" s="27"/>
      <c r="G140" s="27"/>
      <c r="H140" s="27"/>
      <c r="I140" s="23"/>
      <c r="J140" s="23"/>
      <c r="K140" s="23"/>
      <c r="L140" s="23"/>
      <c r="M140" s="23"/>
      <c r="N140" s="23"/>
      <c r="O140" s="23"/>
      <c r="P140" s="23"/>
      <c r="Q140" s="23"/>
    </row>
    <row r="141">
      <c r="A141" s="25"/>
      <c r="B141" s="26"/>
      <c r="C141" s="26"/>
      <c r="D141" s="23"/>
      <c r="E141" s="27"/>
      <c r="F141" s="27"/>
      <c r="G141" s="27"/>
      <c r="H141" s="27"/>
      <c r="I141" s="23"/>
      <c r="J141" s="23"/>
      <c r="K141" s="23"/>
      <c r="L141" s="23"/>
      <c r="M141" s="23"/>
      <c r="N141" s="23"/>
      <c r="O141" s="23"/>
      <c r="P141" s="23"/>
      <c r="Q141" s="23"/>
    </row>
    <row r="142">
      <c r="A142" s="25"/>
      <c r="B142" s="26"/>
      <c r="C142" s="26"/>
      <c r="D142" s="23"/>
      <c r="E142" s="27"/>
      <c r="F142" s="27"/>
      <c r="G142" s="27"/>
      <c r="H142" s="27"/>
      <c r="I142" s="23"/>
      <c r="J142" s="23"/>
      <c r="K142" s="23"/>
      <c r="L142" s="23"/>
      <c r="M142" s="23"/>
      <c r="N142" s="23"/>
      <c r="O142" s="23"/>
      <c r="P142" s="23"/>
      <c r="Q142" s="23"/>
    </row>
    <row r="143">
      <c r="A143" s="25"/>
      <c r="B143" s="26"/>
      <c r="C143" s="26"/>
      <c r="D143" s="23"/>
      <c r="E143" s="27"/>
      <c r="F143" s="27"/>
      <c r="G143" s="27"/>
      <c r="H143" s="27"/>
      <c r="I143" s="23"/>
      <c r="J143" s="23"/>
      <c r="K143" s="23"/>
      <c r="L143" s="23"/>
      <c r="M143" s="23"/>
      <c r="N143" s="23"/>
      <c r="O143" s="23"/>
      <c r="P143" s="23"/>
      <c r="Q143" s="23"/>
    </row>
    <row r="144">
      <c r="A144" s="25"/>
      <c r="B144" s="26"/>
      <c r="C144" s="26"/>
      <c r="D144" s="23"/>
      <c r="E144" s="27"/>
      <c r="F144" s="27"/>
      <c r="G144" s="27"/>
      <c r="H144" s="27"/>
      <c r="I144" s="23"/>
      <c r="J144" s="23"/>
      <c r="K144" s="23"/>
      <c r="L144" s="23"/>
      <c r="M144" s="23"/>
      <c r="N144" s="23"/>
      <c r="O144" s="23"/>
      <c r="P144" s="23"/>
      <c r="Q144" s="23"/>
    </row>
    <row r="145">
      <c r="A145" s="25"/>
      <c r="B145" s="26"/>
      <c r="C145" s="26"/>
      <c r="D145" s="23"/>
      <c r="E145" s="27"/>
      <c r="F145" s="27"/>
      <c r="G145" s="27"/>
      <c r="H145" s="27"/>
      <c r="O145" s="23"/>
      <c r="P145" s="23"/>
      <c r="Q145" s="23"/>
    </row>
    <row r="146">
      <c r="A146" s="25"/>
      <c r="B146" s="26"/>
      <c r="C146" s="26"/>
      <c r="D146" s="23"/>
      <c r="E146" s="27"/>
      <c r="F146" s="27"/>
      <c r="G146" s="27"/>
      <c r="H146" s="27"/>
      <c r="O146" s="23"/>
      <c r="P146" s="23"/>
      <c r="Q146" s="23"/>
    </row>
    <row r="147">
      <c r="A147" s="25"/>
      <c r="B147" s="26"/>
      <c r="C147" s="26"/>
      <c r="D147" s="23"/>
      <c r="E147" s="27"/>
      <c r="F147" s="27"/>
      <c r="G147" s="27"/>
      <c r="H147" s="27"/>
      <c r="O147" s="23"/>
      <c r="P147" s="23"/>
      <c r="Q147" s="23"/>
    </row>
    <row r="148">
      <c r="A148" s="25"/>
      <c r="B148" s="26"/>
      <c r="C148" s="26"/>
      <c r="D148" s="23"/>
      <c r="E148" s="27"/>
      <c r="F148" s="27"/>
      <c r="G148" s="27"/>
      <c r="H148" s="27"/>
      <c r="O148" s="23"/>
      <c r="P148" s="23"/>
      <c r="Q148" s="23"/>
    </row>
    <row r="149">
      <c r="A149" s="25"/>
      <c r="B149" s="26"/>
      <c r="C149" s="26"/>
      <c r="D149" s="23"/>
      <c r="E149" s="27"/>
      <c r="F149" s="27"/>
      <c r="G149" s="27"/>
      <c r="H149" s="27"/>
      <c r="O149" s="23"/>
      <c r="P149" s="23"/>
      <c r="Q149" s="23"/>
    </row>
    <row r="150">
      <c r="A150" s="25"/>
      <c r="B150" s="26"/>
      <c r="C150" s="26"/>
      <c r="D150" s="23"/>
      <c r="E150" s="27"/>
      <c r="F150" s="27"/>
      <c r="G150" s="27"/>
      <c r="H150" s="27"/>
      <c r="O150" s="23"/>
      <c r="P150" s="23"/>
      <c r="Q150" s="23"/>
    </row>
    <row r="151">
      <c r="A151" s="25"/>
      <c r="B151" s="26"/>
      <c r="C151" s="26"/>
      <c r="D151" s="23"/>
      <c r="O151" s="23"/>
      <c r="P151" s="23"/>
      <c r="Q151" s="23"/>
    </row>
    <row r="152">
      <c r="A152" s="25"/>
      <c r="B152" s="26"/>
      <c r="C152" s="26"/>
      <c r="D152" s="23"/>
      <c r="E152" s="66" t="s">
        <v>123</v>
      </c>
      <c r="F152" s="33"/>
      <c r="G152" s="33"/>
      <c r="H152" s="34"/>
      <c r="O152" s="23"/>
      <c r="P152" s="23"/>
      <c r="Q152" s="23"/>
    </row>
    <row r="153">
      <c r="A153" s="25"/>
      <c r="B153" s="26"/>
      <c r="C153" s="26"/>
      <c r="D153" s="23"/>
      <c r="E153" s="27"/>
      <c r="F153" s="27"/>
      <c r="G153" s="27"/>
      <c r="H153" s="27"/>
      <c r="O153" s="23"/>
      <c r="P153" s="23"/>
      <c r="Q153" s="23"/>
    </row>
    <row r="154">
      <c r="A154" s="25"/>
      <c r="B154" s="26"/>
      <c r="C154" s="26"/>
      <c r="D154" s="23"/>
      <c r="E154" s="27"/>
      <c r="F154" s="27"/>
      <c r="G154" s="27"/>
      <c r="H154" s="27"/>
      <c r="N154" s="23"/>
      <c r="O154" s="23"/>
      <c r="P154" s="23"/>
      <c r="Q154" s="23"/>
    </row>
    <row r="155">
      <c r="A155" s="25"/>
      <c r="B155" s="26"/>
      <c r="C155" s="26"/>
      <c r="D155" s="23"/>
      <c r="E155" s="27"/>
      <c r="F155" s="27"/>
      <c r="G155" s="27"/>
      <c r="H155" s="27"/>
      <c r="N155" s="23"/>
      <c r="O155" s="23"/>
      <c r="P155" s="23"/>
      <c r="Q155" s="23"/>
    </row>
    <row r="156">
      <c r="A156" s="25"/>
      <c r="B156" s="26"/>
      <c r="C156" s="26"/>
      <c r="D156" s="23"/>
      <c r="E156" s="27"/>
      <c r="F156" s="27"/>
      <c r="G156" s="27"/>
      <c r="H156" s="27"/>
      <c r="I156" s="41" t="s">
        <v>174</v>
      </c>
      <c r="J156" s="33"/>
      <c r="K156" s="33"/>
      <c r="L156" s="34"/>
      <c r="M156" s="23"/>
      <c r="N156" s="23"/>
      <c r="O156" s="23"/>
      <c r="P156" s="23"/>
      <c r="Q156" s="23"/>
    </row>
    <row r="157">
      <c r="A157" s="25"/>
      <c r="B157" s="26"/>
      <c r="C157" s="26"/>
      <c r="D157" s="23"/>
      <c r="E157" s="27"/>
      <c r="F157" s="27"/>
      <c r="G157" s="27"/>
      <c r="H157" s="27"/>
      <c r="I157" s="100" t="s">
        <v>176</v>
      </c>
      <c r="J157" s="97" t="s">
        <v>177</v>
      </c>
      <c r="K157" s="97" t="s">
        <v>178</v>
      </c>
      <c r="L157" s="97" t="s">
        <v>179</v>
      </c>
      <c r="M157" s="104" t="s">
        <v>180</v>
      </c>
      <c r="N157" s="104" t="s">
        <v>181</v>
      </c>
      <c r="O157" s="23"/>
      <c r="P157" s="23"/>
      <c r="Q157" s="23"/>
    </row>
    <row r="158">
      <c r="A158" s="25"/>
      <c r="B158" s="26"/>
      <c r="C158" s="26"/>
      <c r="D158" s="23"/>
      <c r="E158" s="27"/>
      <c r="F158" s="27"/>
      <c r="G158" s="27"/>
      <c r="H158" s="27"/>
      <c r="I158" s="103" t="s">
        <v>182</v>
      </c>
      <c r="J158" s="102">
        <v>44936.0</v>
      </c>
      <c r="K158" s="102">
        <v>44972.0</v>
      </c>
      <c r="L158" s="102">
        <v>44977.0</v>
      </c>
      <c r="M158" s="107">
        <f t="array" ref="M158:M162">iferror(IF(K158:K162 &lt;= L158:L162, K158:K162, ""),"")</f>
        <v>44972</v>
      </c>
      <c r="N158" s="107" t="str">
        <f t="array" ref="N158:N162">iferror(IF(K158:K162 &gt;= L158:L162, K158:K162, ""),"")</f>
        <v/>
      </c>
      <c r="O158" s="23"/>
      <c r="P158" s="23"/>
      <c r="Q158" s="23"/>
    </row>
    <row r="159">
      <c r="A159" s="25"/>
      <c r="B159" s="26"/>
      <c r="C159" s="26"/>
      <c r="D159" s="23"/>
      <c r="E159" s="27"/>
      <c r="F159" s="27"/>
      <c r="G159" s="27"/>
      <c r="H159" s="27"/>
      <c r="I159" s="103" t="s">
        <v>185</v>
      </c>
      <c r="J159" s="102">
        <v>44958.0</v>
      </c>
      <c r="K159" s="102">
        <v>44995.0</v>
      </c>
      <c r="L159" s="102">
        <v>44990.0</v>
      </c>
      <c r="M159" s="107" t="s">
        <v>187</v>
      </c>
      <c r="N159" s="107">
        <v>44995.0</v>
      </c>
      <c r="O159" s="23"/>
      <c r="P159" s="23"/>
      <c r="Q159" s="23"/>
    </row>
    <row r="160">
      <c r="A160" s="25"/>
      <c r="B160" s="26"/>
      <c r="C160" s="26"/>
      <c r="D160" s="23"/>
      <c r="E160" s="27"/>
      <c r="F160" s="27"/>
      <c r="G160" s="27"/>
      <c r="H160" s="27"/>
      <c r="I160" s="103" t="s">
        <v>189</v>
      </c>
      <c r="J160" s="102">
        <v>45000.0</v>
      </c>
      <c r="K160" s="102">
        <v>45036.0</v>
      </c>
      <c r="L160" s="102">
        <v>45041.0</v>
      </c>
      <c r="M160" s="107">
        <v>45036.0</v>
      </c>
      <c r="N160" s="107" t="s">
        <v>187</v>
      </c>
      <c r="O160" s="23"/>
      <c r="P160" s="23"/>
      <c r="Q160" s="23"/>
    </row>
    <row r="161">
      <c r="A161" s="25"/>
      <c r="B161" s="26"/>
      <c r="C161" s="26"/>
      <c r="D161" s="23"/>
      <c r="E161" s="27"/>
      <c r="F161" s="27"/>
      <c r="G161" s="27"/>
      <c r="H161" s="27"/>
      <c r="I161" s="103" t="s">
        <v>190</v>
      </c>
      <c r="J161" s="102">
        <v>45017.0</v>
      </c>
      <c r="K161" s="102">
        <v>45051.0</v>
      </c>
      <c r="L161" s="102">
        <v>45047.0</v>
      </c>
      <c r="M161" s="107" t="s">
        <v>187</v>
      </c>
      <c r="N161" s="107">
        <v>45051.0</v>
      </c>
      <c r="O161" s="23"/>
      <c r="P161" s="23"/>
      <c r="Q161" s="23"/>
    </row>
    <row r="162">
      <c r="A162" s="25"/>
      <c r="B162" s="26"/>
      <c r="C162" s="26"/>
      <c r="D162" s="23"/>
      <c r="E162" s="27"/>
      <c r="F162" s="27"/>
      <c r="G162" s="27"/>
      <c r="H162" s="27"/>
      <c r="I162" s="103" t="s">
        <v>191</v>
      </c>
      <c r="J162" s="102">
        <v>45056.0</v>
      </c>
      <c r="K162" s="102">
        <v>45089.0</v>
      </c>
      <c r="L162" s="102">
        <v>45092.0</v>
      </c>
      <c r="M162" s="107">
        <v>45089.0</v>
      </c>
      <c r="N162" s="107" t="s">
        <v>187</v>
      </c>
      <c r="O162" s="23"/>
      <c r="P162" s="23"/>
      <c r="Q162" s="23"/>
    </row>
    <row r="163">
      <c r="A163" s="25"/>
      <c r="B163" s="26"/>
      <c r="C163" s="26"/>
      <c r="D163" s="23"/>
      <c r="E163" s="27"/>
      <c r="F163" s="27"/>
      <c r="G163" s="27"/>
      <c r="H163" s="27"/>
      <c r="I163" s="23"/>
      <c r="J163" s="23"/>
      <c r="K163" s="23"/>
      <c r="L163" s="23"/>
      <c r="M163" s="23"/>
      <c r="N163" s="23"/>
      <c r="O163" s="23"/>
      <c r="P163" s="23"/>
      <c r="Q163" s="23"/>
    </row>
    <row r="164">
      <c r="A164" s="25"/>
      <c r="B164" s="26"/>
      <c r="C164" s="26"/>
      <c r="D164" s="23"/>
      <c r="E164" s="27"/>
      <c r="F164" s="27"/>
      <c r="G164" s="27"/>
      <c r="H164" s="27"/>
      <c r="I164" s="23"/>
      <c r="J164" s="23"/>
      <c r="K164" s="23"/>
      <c r="L164" s="23"/>
      <c r="M164" s="23"/>
      <c r="N164" s="23"/>
      <c r="O164" s="23"/>
      <c r="P164" s="23"/>
      <c r="Q164" s="23"/>
    </row>
    <row r="165">
      <c r="A165" s="25"/>
      <c r="B165" s="26"/>
      <c r="C165" s="26"/>
      <c r="D165" s="23"/>
      <c r="E165" s="27"/>
      <c r="F165" s="27"/>
      <c r="G165" s="27"/>
      <c r="H165" s="27"/>
      <c r="I165" s="23"/>
      <c r="J165" s="23"/>
      <c r="K165" s="23"/>
      <c r="L165" s="23"/>
      <c r="M165" s="23"/>
      <c r="N165" s="23"/>
      <c r="O165" s="23"/>
      <c r="P165" s="23"/>
      <c r="Q165" s="23"/>
    </row>
    <row r="166">
      <c r="A166" s="25"/>
      <c r="B166" s="26"/>
      <c r="C166" s="26"/>
      <c r="D166" s="23"/>
      <c r="E166" s="27"/>
      <c r="F166" s="27"/>
      <c r="G166" s="27"/>
      <c r="H166" s="27"/>
      <c r="I166" s="23"/>
      <c r="J166" s="23"/>
      <c r="K166" s="23"/>
      <c r="L166" s="23"/>
      <c r="M166" s="23"/>
      <c r="N166" s="23"/>
      <c r="O166" s="23"/>
      <c r="P166" s="23"/>
      <c r="Q166" s="23"/>
    </row>
    <row r="167">
      <c r="A167" s="25"/>
      <c r="B167" s="26"/>
      <c r="C167" s="26"/>
      <c r="D167" s="23"/>
      <c r="E167" s="27"/>
      <c r="F167" s="27"/>
      <c r="G167" s="27"/>
      <c r="H167" s="27"/>
      <c r="I167" s="23"/>
      <c r="J167" s="23"/>
      <c r="K167" s="23"/>
      <c r="L167" s="23"/>
      <c r="M167" s="23"/>
      <c r="N167" s="23"/>
      <c r="O167" s="23"/>
      <c r="P167" s="23"/>
      <c r="Q167" s="23"/>
    </row>
    <row r="168">
      <c r="A168" s="25"/>
      <c r="B168" s="26"/>
      <c r="C168" s="26"/>
      <c r="D168" s="23"/>
      <c r="E168" s="27"/>
      <c r="F168" s="27"/>
      <c r="G168" s="27"/>
      <c r="H168" s="27"/>
      <c r="I168" s="23"/>
      <c r="J168" s="23"/>
      <c r="K168" s="23"/>
      <c r="L168" s="23"/>
      <c r="M168" s="23"/>
      <c r="N168" s="23"/>
      <c r="O168" s="23"/>
      <c r="P168" s="23"/>
      <c r="Q168" s="23"/>
    </row>
    <row r="169">
      <c r="A169" s="25"/>
      <c r="B169" s="26"/>
      <c r="C169" s="26"/>
      <c r="D169" s="23"/>
      <c r="E169" s="27"/>
      <c r="F169" s="27"/>
      <c r="G169" s="27"/>
      <c r="H169" s="27"/>
      <c r="I169" s="23"/>
      <c r="J169" s="23"/>
      <c r="K169" s="23"/>
      <c r="L169" s="23"/>
      <c r="M169" s="23"/>
      <c r="N169" s="23"/>
      <c r="O169" s="23"/>
      <c r="P169" s="23"/>
      <c r="Q169" s="23"/>
    </row>
    <row r="170">
      <c r="A170" s="25"/>
      <c r="B170" s="26"/>
      <c r="C170" s="26"/>
      <c r="D170" s="23"/>
      <c r="E170" s="76"/>
      <c r="F170" s="76"/>
      <c r="G170" s="76"/>
      <c r="H170" s="76"/>
      <c r="I170" s="23"/>
      <c r="J170" s="23"/>
      <c r="K170" s="23"/>
      <c r="L170" s="23"/>
      <c r="M170" s="23"/>
      <c r="N170" s="23"/>
      <c r="O170" s="23"/>
      <c r="P170" s="23"/>
      <c r="Q170" s="23"/>
    </row>
    <row r="171">
      <c r="A171" s="25"/>
      <c r="B171" s="26"/>
      <c r="C171" s="26"/>
      <c r="D171" s="23"/>
      <c r="E171" s="76"/>
      <c r="F171" s="76"/>
      <c r="G171" s="76"/>
      <c r="H171" s="76"/>
      <c r="I171" s="23"/>
      <c r="J171" s="23"/>
      <c r="K171" s="23"/>
      <c r="L171" s="23"/>
      <c r="M171" s="23"/>
      <c r="N171" s="23"/>
      <c r="O171" s="23"/>
      <c r="P171" s="23"/>
      <c r="Q171" s="23"/>
    </row>
    <row r="172">
      <c r="A172" s="25"/>
      <c r="B172" s="26"/>
      <c r="C172" s="26"/>
      <c r="D172" s="23"/>
      <c r="E172" s="76"/>
      <c r="F172" s="76"/>
      <c r="G172" s="76"/>
      <c r="H172" s="76"/>
      <c r="I172" s="23"/>
      <c r="J172" s="23"/>
      <c r="K172" s="23"/>
      <c r="L172" s="23"/>
      <c r="M172" s="23"/>
      <c r="N172" s="23"/>
      <c r="O172" s="23"/>
      <c r="P172" s="23"/>
      <c r="Q172" s="23"/>
    </row>
    <row r="173">
      <c r="A173" s="25"/>
      <c r="B173" s="26"/>
      <c r="C173" s="26"/>
      <c r="D173" s="23"/>
      <c r="E173" s="76"/>
      <c r="F173" s="76"/>
      <c r="G173" s="76"/>
      <c r="H173" s="76"/>
      <c r="I173" s="23"/>
      <c r="J173" s="23"/>
      <c r="K173" s="23"/>
      <c r="L173" s="23"/>
      <c r="M173" s="23"/>
      <c r="N173" s="23"/>
      <c r="O173" s="23"/>
      <c r="P173" s="23"/>
      <c r="Q173" s="23"/>
    </row>
    <row r="174">
      <c r="A174" s="25"/>
      <c r="B174" s="26"/>
      <c r="C174" s="26"/>
      <c r="D174" s="23"/>
      <c r="E174" s="76"/>
      <c r="F174" s="76"/>
      <c r="G174" s="76"/>
      <c r="H174" s="76"/>
      <c r="I174" s="23"/>
      <c r="J174" s="23"/>
      <c r="K174" s="23"/>
      <c r="L174" s="23"/>
      <c r="M174" s="23"/>
      <c r="N174" s="23"/>
      <c r="O174" s="23"/>
      <c r="P174" s="23"/>
      <c r="Q174" s="23"/>
    </row>
    <row r="175">
      <c r="A175" s="25"/>
      <c r="B175" s="26"/>
      <c r="C175" s="26"/>
      <c r="D175" s="23"/>
      <c r="E175" s="76"/>
      <c r="F175" s="76"/>
      <c r="G175" s="76"/>
      <c r="H175" s="76"/>
      <c r="I175" s="23"/>
      <c r="J175" s="23"/>
      <c r="K175" s="23"/>
      <c r="L175" s="23"/>
      <c r="M175" s="23"/>
      <c r="N175" s="23"/>
      <c r="O175" s="23"/>
      <c r="P175" s="23"/>
      <c r="Q175" s="23"/>
    </row>
  </sheetData>
  <mergeCells count="16">
    <mergeCell ref="E3:H3"/>
    <mergeCell ref="I5:L5"/>
    <mergeCell ref="E23:H23"/>
    <mergeCell ref="I26:L26"/>
    <mergeCell ref="E45:H45"/>
    <mergeCell ref="I47:L47"/>
    <mergeCell ref="I68:L68"/>
    <mergeCell ref="E152:H152"/>
    <mergeCell ref="I156:L156"/>
    <mergeCell ref="E66:H66"/>
    <mergeCell ref="E87:H87"/>
    <mergeCell ref="I88:L88"/>
    <mergeCell ref="E108:H108"/>
    <mergeCell ref="I109:L109"/>
    <mergeCell ref="I128:L128"/>
    <mergeCell ref="E129:H129"/>
  </mergeCells>
  <hyperlinks>
    <hyperlink r:id="rId1" ref="B2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105.25"/>
    <col customWidth="1" min="6" max="6" width="99.63"/>
    <col customWidth="1" min="7" max="7" width="3.75"/>
    <col customWidth="1" min="8" max="9" width="2.88"/>
    <col customWidth="1" min="10" max="10" width="23.13"/>
    <col customWidth="1" min="11" max="15" width="13.88"/>
    <col customWidth="1" min="16" max="17" width="12.63"/>
  </cols>
  <sheetData>
    <row r="1">
      <c r="A1" s="25"/>
      <c r="B1" s="26"/>
      <c r="C1" s="26"/>
      <c r="D1" s="23"/>
      <c r="E1" s="27"/>
      <c r="F1" s="27"/>
      <c r="G1" s="27"/>
      <c r="H1" s="27"/>
    </row>
    <row r="2">
      <c r="A2" s="25"/>
      <c r="B2" s="28" t="s">
        <v>11</v>
      </c>
      <c r="C2" s="28"/>
      <c r="D2" s="23"/>
      <c r="E2" s="27"/>
      <c r="F2" s="27"/>
      <c r="G2" s="27"/>
      <c r="H2" s="27"/>
    </row>
    <row r="3">
      <c r="A3" s="25"/>
      <c r="B3" s="31"/>
      <c r="C3" s="31"/>
      <c r="D3" s="23"/>
      <c r="E3" s="66" t="s">
        <v>222</v>
      </c>
      <c r="F3" s="33"/>
      <c r="G3" s="33"/>
      <c r="H3" s="34"/>
      <c r="I3" s="76"/>
      <c r="O3" s="76"/>
    </row>
    <row r="4">
      <c r="A4" s="25"/>
      <c r="B4" s="35" t="s">
        <v>16</v>
      </c>
      <c r="C4" s="36"/>
      <c r="D4" s="23"/>
      <c r="E4" s="27"/>
      <c r="F4" s="27"/>
      <c r="G4" s="27"/>
      <c r="H4" s="27"/>
      <c r="I4" s="76"/>
      <c r="J4" s="41" t="s">
        <v>223</v>
      </c>
      <c r="K4" s="33"/>
      <c r="L4" s="33"/>
      <c r="M4" s="34"/>
      <c r="O4" s="76"/>
    </row>
    <row r="5">
      <c r="A5" s="25"/>
      <c r="B5" s="37" t="s">
        <v>222</v>
      </c>
      <c r="C5" s="38"/>
      <c r="D5" s="23"/>
      <c r="E5" s="27"/>
      <c r="F5" s="27"/>
      <c r="G5" s="27"/>
      <c r="H5" s="27"/>
      <c r="I5" s="76"/>
      <c r="J5" s="44" t="s">
        <v>224</v>
      </c>
      <c r="K5" s="44" t="s">
        <v>69</v>
      </c>
      <c r="L5" s="76"/>
      <c r="M5" s="76"/>
      <c r="N5" s="76"/>
      <c r="O5" s="76"/>
    </row>
    <row r="6">
      <c r="A6" s="25"/>
      <c r="B6" s="37" t="s">
        <v>225</v>
      </c>
      <c r="C6" s="38"/>
      <c r="D6" s="23"/>
      <c r="E6" s="27"/>
      <c r="F6" s="27"/>
      <c r="G6" s="27"/>
      <c r="H6" s="27"/>
      <c r="I6" s="76"/>
      <c r="J6" s="45" t="s">
        <v>226</v>
      </c>
      <c r="K6" s="112">
        <v>1256300.0</v>
      </c>
      <c r="L6" s="76"/>
      <c r="M6" s="76"/>
      <c r="N6" s="76"/>
      <c r="O6" s="76"/>
    </row>
    <row r="7">
      <c r="A7" s="39"/>
      <c r="B7" s="37" t="s">
        <v>227</v>
      </c>
      <c r="C7" s="40"/>
      <c r="D7" s="23"/>
      <c r="E7" s="27"/>
      <c r="F7" s="27"/>
      <c r="G7" s="27"/>
      <c r="H7" s="27"/>
      <c r="I7" s="76"/>
      <c r="J7" s="45" t="s">
        <v>228</v>
      </c>
      <c r="K7" s="112">
        <v>743850.0</v>
      </c>
      <c r="L7" s="76"/>
      <c r="M7" s="76"/>
      <c r="N7" s="76"/>
      <c r="O7" s="76"/>
    </row>
    <row r="8">
      <c r="A8" s="25"/>
      <c r="B8" s="42" t="s">
        <v>229</v>
      </c>
      <c r="C8" s="43"/>
      <c r="D8" s="23"/>
      <c r="E8" s="27"/>
      <c r="F8" s="27"/>
      <c r="G8" s="27"/>
      <c r="H8" s="27"/>
      <c r="J8" s="45" t="s">
        <v>230</v>
      </c>
      <c r="K8" s="112">
        <v>512400.0</v>
      </c>
      <c r="N8" s="76"/>
    </row>
    <row r="9">
      <c r="A9" s="25"/>
      <c r="B9" s="37"/>
      <c r="C9" s="43"/>
      <c r="D9" s="23"/>
      <c r="E9" s="27"/>
      <c r="F9" s="27"/>
      <c r="G9" s="27"/>
      <c r="H9" s="27"/>
      <c r="J9" s="45" t="s">
        <v>231</v>
      </c>
      <c r="K9" s="112">
        <v>984200.0</v>
      </c>
    </row>
    <row r="10">
      <c r="A10" s="25"/>
      <c r="B10" s="47"/>
      <c r="C10" s="43"/>
      <c r="D10" s="23"/>
      <c r="E10" s="27"/>
      <c r="F10" s="27"/>
      <c r="G10" s="27"/>
      <c r="H10" s="27"/>
      <c r="J10" s="45" t="s">
        <v>232</v>
      </c>
      <c r="K10" s="112">
        <v>1102500.0</v>
      </c>
    </row>
    <row r="11">
      <c r="A11" s="25"/>
      <c r="B11" s="47"/>
      <c r="C11" s="43"/>
      <c r="D11" s="23"/>
      <c r="E11" s="27"/>
      <c r="F11" s="27"/>
      <c r="G11" s="27"/>
      <c r="H11" s="27"/>
      <c r="J11" s="45" t="s">
        <v>233</v>
      </c>
      <c r="K11" s="112">
        <v>843120.0</v>
      </c>
    </row>
    <row r="12">
      <c r="A12" s="25"/>
      <c r="B12" s="48"/>
      <c r="C12" s="48"/>
      <c r="D12" s="23"/>
      <c r="E12" s="27"/>
      <c r="F12" s="27"/>
      <c r="G12" s="27"/>
      <c r="H12" s="27"/>
      <c r="J12" s="45" t="s">
        <v>234</v>
      </c>
      <c r="K12" s="112">
        <v>456780.0</v>
      </c>
    </row>
    <row r="13">
      <c r="A13" s="25"/>
      <c r="B13" s="48"/>
      <c r="C13" s="48"/>
      <c r="D13" s="23"/>
      <c r="E13" s="27"/>
      <c r="F13" s="27"/>
      <c r="G13" s="27"/>
      <c r="H13" s="27"/>
      <c r="J13" s="45" t="s">
        <v>235</v>
      </c>
      <c r="K13" s="112">
        <v>689430.0</v>
      </c>
    </row>
    <row r="14">
      <c r="A14" s="25"/>
      <c r="B14" s="48"/>
      <c r="C14" s="48"/>
      <c r="D14" s="91"/>
      <c r="E14" s="27"/>
      <c r="F14" s="27"/>
      <c r="G14" s="27"/>
      <c r="H14" s="27"/>
      <c r="J14" s="45" t="s">
        <v>236</v>
      </c>
      <c r="K14" s="112">
        <v>1350700.0</v>
      </c>
    </row>
    <row r="15">
      <c r="A15" s="25"/>
      <c r="B15" s="48"/>
      <c r="C15" s="48"/>
      <c r="D15" s="91"/>
      <c r="E15" s="27"/>
      <c r="F15" s="27"/>
      <c r="G15" s="27"/>
      <c r="H15" s="27"/>
      <c r="J15" s="45" t="s">
        <v>237</v>
      </c>
      <c r="K15" s="112">
        <v>2410900.0</v>
      </c>
    </row>
    <row r="16">
      <c r="A16" s="25"/>
      <c r="B16" s="48"/>
      <c r="C16" s="48"/>
      <c r="D16" s="91"/>
      <c r="E16" s="27"/>
      <c r="F16" s="27"/>
      <c r="G16" s="27"/>
      <c r="H16" s="27"/>
      <c r="J16" s="45" t="s">
        <v>238</v>
      </c>
      <c r="K16" s="112">
        <v>1678320.0</v>
      </c>
    </row>
    <row r="17">
      <c r="A17" s="25"/>
      <c r="B17" s="49"/>
      <c r="C17" s="48"/>
      <c r="D17" s="91"/>
      <c r="E17" s="27"/>
      <c r="F17" s="27"/>
      <c r="G17" s="27"/>
      <c r="H17" s="27"/>
      <c r="J17" s="45" t="s">
        <v>239</v>
      </c>
      <c r="K17" s="112">
        <v>934120.0</v>
      </c>
    </row>
    <row r="18">
      <c r="A18" s="25"/>
      <c r="B18" s="48"/>
      <c r="C18" s="48"/>
      <c r="D18" s="91"/>
      <c r="E18" s="27"/>
      <c r="F18" s="27"/>
      <c r="G18" s="27"/>
      <c r="H18" s="27"/>
      <c r="J18" s="45" t="s">
        <v>240</v>
      </c>
      <c r="K18" s="112">
        <v>287500.0</v>
      </c>
    </row>
    <row r="19">
      <c r="A19" s="25"/>
      <c r="B19" s="48"/>
      <c r="C19" s="50"/>
      <c r="D19" s="23"/>
      <c r="E19" s="27"/>
      <c r="F19" s="27"/>
      <c r="G19" s="27"/>
      <c r="H19" s="27"/>
      <c r="J19" s="45" t="s">
        <v>241</v>
      </c>
      <c r="K19" s="112">
        <v>601230.0</v>
      </c>
    </row>
    <row r="20">
      <c r="A20" s="25"/>
      <c r="B20" s="52"/>
      <c r="C20" s="52"/>
      <c r="D20" s="23"/>
      <c r="E20" s="27"/>
      <c r="F20" s="27"/>
      <c r="G20" s="27"/>
      <c r="H20" s="27"/>
      <c r="J20" s="45" t="s">
        <v>242</v>
      </c>
      <c r="K20" s="112">
        <v>899450.0</v>
      </c>
    </row>
    <row r="21">
      <c r="A21" s="25"/>
      <c r="B21" s="51" t="s">
        <v>32</v>
      </c>
      <c r="C21" s="51"/>
      <c r="D21" s="23"/>
      <c r="E21" s="27"/>
      <c r="F21" s="27"/>
      <c r="G21" s="27"/>
      <c r="H21" s="27"/>
    </row>
    <row r="22">
      <c r="A22" s="25"/>
      <c r="B22" s="53"/>
      <c r="C22" s="53"/>
      <c r="D22" s="23"/>
      <c r="E22" s="27"/>
      <c r="F22" s="27"/>
      <c r="G22" s="27"/>
      <c r="H22" s="27"/>
    </row>
    <row r="23" ht="30.0" customHeight="1">
      <c r="A23" s="25"/>
      <c r="B23" s="25"/>
      <c r="C23" s="53"/>
      <c r="D23" s="23"/>
    </row>
    <row r="24">
      <c r="A24" s="25"/>
      <c r="B24" s="54"/>
      <c r="C24" s="54"/>
      <c r="D24" s="23"/>
      <c r="E24" s="27"/>
      <c r="F24" s="27"/>
      <c r="G24" s="27"/>
      <c r="H24" s="27"/>
    </row>
    <row r="25">
      <c r="A25" s="25"/>
      <c r="B25" s="54" t="s">
        <v>33</v>
      </c>
      <c r="C25" s="53"/>
      <c r="D25" s="23"/>
      <c r="E25" s="27"/>
      <c r="F25" s="27"/>
      <c r="G25" s="27"/>
      <c r="H25" s="27"/>
    </row>
    <row r="26">
      <c r="A26" s="25"/>
      <c r="B26" s="55" t="s">
        <v>3</v>
      </c>
      <c r="C26" s="53"/>
      <c r="D26" s="23"/>
      <c r="E26" s="66" t="s">
        <v>225</v>
      </c>
      <c r="F26" s="33"/>
      <c r="G26" s="33"/>
      <c r="H26" s="34"/>
      <c r="J26" s="41" t="s">
        <v>244</v>
      </c>
      <c r="K26" s="33"/>
      <c r="L26" s="33"/>
      <c r="M26" s="34"/>
    </row>
    <row r="27">
      <c r="A27" s="25"/>
      <c r="B27" s="56"/>
      <c r="C27" s="53"/>
      <c r="D27" s="23"/>
      <c r="E27" s="27"/>
      <c r="F27" s="27"/>
      <c r="G27" s="27"/>
      <c r="H27" s="27"/>
      <c r="J27" s="113" t="s">
        <v>245</v>
      </c>
      <c r="K27" s="113" t="s">
        <v>246</v>
      </c>
      <c r="L27" s="114"/>
      <c r="M27" s="114"/>
    </row>
    <row r="28">
      <c r="A28" s="25"/>
      <c r="B28" s="53"/>
      <c r="C28" s="53"/>
      <c r="D28" s="23"/>
      <c r="E28" s="27"/>
      <c r="F28" s="27"/>
      <c r="G28" s="27"/>
      <c r="H28" s="27"/>
      <c r="I28" s="114"/>
      <c r="J28" s="45" t="s">
        <v>247</v>
      </c>
      <c r="K28" s="112">
        <v>1345600.0</v>
      </c>
      <c r="L28" s="115"/>
      <c r="M28" s="115"/>
      <c r="O28" s="114"/>
      <c r="P28" s="114"/>
      <c r="Q28" s="114"/>
    </row>
    <row r="29">
      <c r="A29" s="25"/>
      <c r="B29" s="56"/>
      <c r="C29" s="56"/>
      <c r="D29" s="23"/>
      <c r="E29" s="27"/>
      <c r="F29" s="27"/>
      <c r="G29" s="27"/>
      <c r="H29" s="27"/>
      <c r="I29" s="114"/>
      <c r="J29" s="45" t="s">
        <v>248</v>
      </c>
      <c r="K29" s="112">
        <v>1120400.0</v>
      </c>
      <c r="O29" s="114"/>
      <c r="P29" s="114"/>
      <c r="Q29" s="114"/>
    </row>
    <row r="30">
      <c r="A30" s="25"/>
      <c r="B30" s="26"/>
      <c r="C30" s="26"/>
      <c r="D30" s="23"/>
      <c r="E30" s="27"/>
      <c r="F30" s="27"/>
      <c r="G30" s="27"/>
      <c r="H30" s="27"/>
      <c r="I30" s="114"/>
      <c r="J30" s="45" t="s">
        <v>249</v>
      </c>
      <c r="K30" s="112">
        <v>1004300.0</v>
      </c>
      <c r="N30" s="114"/>
      <c r="O30" s="114"/>
      <c r="P30" s="114"/>
      <c r="Q30" s="114"/>
    </row>
    <row r="31">
      <c r="A31" s="25"/>
      <c r="B31" s="26"/>
      <c r="C31" s="26"/>
      <c r="D31" s="23"/>
      <c r="E31" s="27"/>
      <c r="F31" s="27"/>
      <c r="G31" s="27"/>
      <c r="H31" s="27"/>
      <c r="I31" s="114"/>
      <c r="J31" s="45" t="s">
        <v>251</v>
      </c>
      <c r="K31" s="112">
        <v>712300.0</v>
      </c>
      <c r="N31" s="114"/>
      <c r="O31" s="114"/>
      <c r="P31" s="114"/>
      <c r="Q31" s="114"/>
    </row>
    <row r="32">
      <c r="A32" s="25"/>
      <c r="B32" s="26"/>
      <c r="C32" s="26"/>
      <c r="D32" s="23"/>
      <c r="E32" s="27"/>
      <c r="F32" s="27"/>
      <c r="G32" s="27"/>
      <c r="H32" s="27"/>
      <c r="I32" s="114"/>
      <c r="J32" s="45" t="s">
        <v>252</v>
      </c>
      <c r="K32" s="112">
        <v>453600.0</v>
      </c>
      <c r="N32" s="114"/>
      <c r="O32" s="114"/>
      <c r="P32" s="114"/>
      <c r="Q32" s="114"/>
    </row>
    <row r="33">
      <c r="A33" s="25"/>
      <c r="B33" s="26"/>
      <c r="C33" s="26"/>
      <c r="D33" s="23"/>
      <c r="E33" s="27"/>
      <c r="F33" s="27"/>
      <c r="G33" s="27"/>
      <c r="H33" s="27"/>
      <c r="J33" s="45" t="s">
        <v>253</v>
      </c>
      <c r="K33" s="112">
        <v>431900.0</v>
      </c>
    </row>
    <row r="34">
      <c r="A34" s="25"/>
      <c r="B34" s="26"/>
      <c r="C34" s="26"/>
      <c r="D34" s="23"/>
      <c r="E34" s="27"/>
      <c r="F34" s="27"/>
      <c r="G34" s="27"/>
      <c r="H34" s="27"/>
      <c r="J34" s="45" t="s">
        <v>254</v>
      </c>
      <c r="K34" s="112">
        <v>412800.0</v>
      </c>
    </row>
    <row r="35">
      <c r="A35" s="25"/>
      <c r="B35" s="26"/>
      <c r="C35" s="26"/>
      <c r="D35" s="23"/>
      <c r="E35" s="27"/>
      <c r="F35" s="27"/>
      <c r="G35" s="27"/>
      <c r="H35" s="27"/>
      <c r="J35" s="45" t="s">
        <v>255</v>
      </c>
      <c r="K35" s="112">
        <v>412300.0</v>
      </c>
    </row>
    <row r="36">
      <c r="A36" s="25"/>
      <c r="B36" s="26"/>
      <c r="C36" s="26"/>
      <c r="D36" s="23"/>
      <c r="E36" s="27"/>
      <c r="F36" s="27"/>
      <c r="G36" s="27"/>
      <c r="H36" s="27"/>
      <c r="J36" s="45" t="s">
        <v>256</v>
      </c>
      <c r="K36" s="112">
        <v>372100.0</v>
      </c>
    </row>
    <row r="37">
      <c r="A37" s="25"/>
      <c r="B37" s="26"/>
      <c r="C37" s="26"/>
      <c r="D37" s="23"/>
      <c r="E37" s="27"/>
      <c r="F37" s="27"/>
      <c r="G37" s="27"/>
      <c r="H37" s="27"/>
      <c r="J37" s="45" t="s">
        <v>257</v>
      </c>
      <c r="K37" s="112">
        <v>369200.0</v>
      </c>
    </row>
    <row r="38">
      <c r="A38" s="25"/>
      <c r="B38" s="26"/>
      <c r="C38" s="26"/>
      <c r="D38" s="23"/>
      <c r="E38" s="27"/>
      <c r="F38" s="27"/>
      <c r="G38" s="27"/>
      <c r="H38" s="27"/>
      <c r="J38" s="45" t="s">
        <v>260</v>
      </c>
      <c r="K38" s="112">
        <v>321600.0</v>
      </c>
    </row>
    <row r="39">
      <c r="A39" s="25"/>
      <c r="B39" s="26"/>
      <c r="C39" s="26"/>
      <c r="D39" s="23"/>
      <c r="E39" s="27"/>
      <c r="F39" s="27"/>
      <c r="G39" s="27"/>
      <c r="H39" s="27"/>
      <c r="J39" s="45" t="s">
        <v>261</v>
      </c>
      <c r="K39" s="112">
        <v>310800.0</v>
      </c>
    </row>
    <row r="40">
      <c r="A40" s="25"/>
      <c r="B40" s="26"/>
      <c r="C40" s="26"/>
      <c r="D40" s="23"/>
      <c r="E40" s="27"/>
      <c r="F40" s="27"/>
      <c r="G40" s="27"/>
      <c r="H40" s="27"/>
      <c r="J40" s="45" t="s">
        <v>262</v>
      </c>
      <c r="K40" s="112">
        <v>289500.0</v>
      </c>
    </row>
    <row r="41">
      <c r="A41" s="25"/>
      <c r="B41" s="26"/>
      <c r="C41" s="26"/>
      <c r="D41" s="23"/>
      <c r="E41" s="27"/>
      <c r="F41" s="27"/>
      <c r="G41" s="27"/>
      <c r="H41" s="27"/>
      <c r="J41" s="45" t="s">
        <v>263</v>
      </c>
      <c r="K41" s="112">
        <v>265700.0</v>
      </c>
    </row>
    <row r="42">
      <c r="A42" s="25"/>
      <c r="B42" s="26"/>
      <c r="C42" s="26"/>
      <c r="D42" s="23"/>
      <c r="E42" s="27"/>
      <c r="F42" s="27"/>
      <c r="G42" s="27"/>
      <c r="H42" s="27"/>
      <c r="J42" s="45" t="s">
        <v>264</v>
      </c>
      <c r="K42" s="112">
        <v>240500.0</v>
      </c>
    </row>
    <row r="43">
      <c r="A43" s="25"/>
      <c r="B43" s="26"/>
      <c r="C43" s="26"/>
      <c r="D43" s="23"/>
      <c r="E43" s="27"/>
      <c r="F43" s="27"/>
      <c r="G43" s="27"/>
      <c r="H43" s="27"/>
      <c r="J43" s="45" t="s">
        <v>265</v>
      </c>
      <c r="K43" s="112">
        <v>218700.0</v>
      </c>
    </row>
    <row r="44">
      <c r="A44" s="25"/>
      <c r="B44" s="26"/>
      <c r="C44" s="26"/>
      <c r="D44" s="23"/>
      <c r="E44" s="27"/>
      <c r="F44" s="27"/>
      <c r="G44" s="27"/>
      <c r="H44" s="27"/>
      <c r="J44" s="45" t="s">
        <v>266</v>
      </c>
      <c r="K44" s="112">
        <v>187500.0</v>
      </c>
    </row>
    <row r="45">
      <c r="A45" s="25"/>
      <c r="B45" s="26"/>
      <c r="C45" s="26"/>
      <c r="D45" s="23"/>
      <c r="J45" s="45" t="s">
        <v>267</v>
      </c>
      <c r="K45" s="112">
        <v>182100.0</v>
      </c>
    </row>
    <row r="46">
      <c r="A46" s="25"/>
      <c r="B46" s="26"/>
      <c r="C46" s="26"/>
      <c r="D46" s="23"/>
      <c r="E46" s="27"/>
      <c r="F46" s="27"/>
      <c r="G46" s="27"/>
      <c r="H46" s="27"/>
      <c r="J46" s="45" t="s">
        <v>268</v>
      </c>
      <c r="K46" s="112">
        <v>178900.0</v>
      </c>
    </row>
    <row r="47">
      <c r="A47" s="25"/>
      <c r="B47" s="26"/>
      <c r="C47" s="26"/>
      <c r="D47" s="23"/>
      <c r="E47" s="27"/>
      <c r="F47" s="27"/>
      <c r="G47" s="27"/>
      <c r="H47" s="27"/>
      <c r="J47" s="45" t="s">
        <v>269</v>
      </c>
      <c r="K47" s="112">
        <v>178200.0</v>
      </c>
    </row>
    <row r="48">
      <c r="A48" s="25"/>
      <c r="B48" s="26"/>
      <c r="C48" s="26"/>
      <c r="D48" s="23"/>
      <c r="E48" s="27"/>
      <c r="F48" s="27"/>
      <c r="G48" s="27"/>
      <c r="H48" s="27"/>
      <c r="J48" s="45" t="s">
        <v>270</v>
      </c>
      <c r="K48" s="112">
        <v>167400.0</v>
      </c>
    </row>
    <row r="49">
      <c r="A49" s="25"/>
      <c r="B49" s="26"/>
      <c r="C49" s="26"/>
      <c r="D49" s="23"/>
      <c r="E49" s="27"/>
      <c r="F49" s="27"/>
      <c r="G49" s="27"/>
      <c r="H49" s="27"/>
      <c r="J49" s="45" t="s">
        <v>271</v>
      </c>
      <c r="K49" s="112">
        <v>149800.0</v>
      </c>
    </row>
    <row r="50">
      <c r="A50" s="25"/>
      <c r="B50" s="26"/>
      <c r="C50" s="26"/>
      <c r="D50" s="23"/>
      <c r="E50" s="27"/>
      <c r="F50" s="27"/>
      <c r="G50" s="27"/>
      <c r="H50" s="27"/>
      <c r="J50" s="45" t="s">
        <v>272</v>
      </c>
      <c r="K50" s="112">
        <v>135900.0</v>
      </c>
    </row>
    <row r="51">
      <c r="A51" s="25"/>
      <c r="B51" s="26"/>
      <c r="C51" s="26"/>
      <c r="D51" s="23"/>
      <c r="E51" s="27"/>
      <c r="F51" s="27"/>
      <c r="G51" s="27"/>
      <c r="H51" s="27"/>
      <c r="J51" s="45" t="s">
        <v>273</v>
      </c>
      <c r="K51" s="112">
        <v>132700.0</v>
      </c>
    </row>
    <row r="52">
      <c r="A52" s="25"/>
      <c r="B52" s="60" t="s">
        <v>274</v>
      </c>
      <c r="C52" s="60"/>
      <c r="D52" s="23"/>
      <c r="E52" s="27"/>
      <c r="F52" s="27"/>
      <c r="G52" s="27"/>
      <c r="H52" s="27"/>
      <c r="J52" s="45" t="s">
        <v>275</v>
      </c>
      <c r="K52" s="112">
        <v>132400.0</v>
      </c>
    </row>
    <row r="53">
      <c r="A53" s="25"/>
      <c r="B53" s="31"/>
      <c r="C53" s="31"/>
      <c r="D53" s="23"/>
      <c r="E53" s="27"/>
      <c r="F53" s="27"/>
      <c r="G53" s="27"/>
      <c r="H53" s="27"/>
      <c r="J53" s="45" t="s">
        <v>276</v>
      </c>
      <c r="K53" s="112">
        <v>105700.0</v>
      </c>
    </row>
    <row r="54">
      <c r="A54" s="25"/>
      <c r="B54" s="31"/>
      <c r="C54" s="31"/>
      <c r="D54" s="23"/>
      <c r="E54" s="27"/>
      <c r="F54" s="27"/>
      <c r="G54" s="27"/>
      <c r="H54" s="27"/>
      <c r="J54" s="45" t="s">
        <v>277</v>
      </c>
      <c r="K54" s="112">
        <v>98300.0</v>
      </c>
    </row>
    <row r="55">
      <c r="A55" s="25"/>
      <c r="B55" s="61" t="s">
        <v>278</v>
      </c>
      <c r="C55" s="61"/>
      <c r="D55" s="23"/>
      <c r="E55" s="27"/>
      <c r="F55" s="27"/>
      <c r="G55" s="27"/>
      <c r="H55" s="27"/>
      <c r="J55" s="45" t="s">
        <v>279</v>
      </c>
      <c r="K55" s="112">
        <v>92500.0</v>
      </c>
    </row>
    <row r="56">
      <c r="A56" s="25"/>
      <c r="B56" s="26"/>
      <c r="C56" s="26"/>
      <c r="D56" s="23"/>
      <c r="E56" s="27"/>
      <c r="F56" s="27"/>
      <c r="G56" s="27"/>
      <c r="H56" s="27"/>
      <c r="J56" s="45" t="s">
        <v>280</v>
      </c>
      <c r="K56" s="112">
        <v>91700.0</v>
      </c>
    </row>
    <row r="57">
      <c r="A57" s="25"/>
      <c r="B57" s="26"/>
      <c r="C57" s="26"/>
      <c r="D57" s="23"/>
      <c r="E57" s="27"/>
      <c r="F57" s="27"/>
      <c r="G57" s="27"/>
      <c r="H57" s="27"/>
      <c r="J57" s="45" t="s">
        <v>281</v>
      </c>
      <c r="K57" s="112">
        <v>87400.0</v>
      </c>
    </row>
    <row r="58">
      <c r="A58" s="25"/>
      <c r="B58" s="26"/>
      <c r="C58" s="26"/>
      <c r="D58" s="23"/>
      <c r="E58" s="27"/>
      <c r="F58" s="27"/>
      <c r="G58" s="27"/>
      <c r="H58" s="27"/>
      <c r="J58" s="45" t="s">
        <v>282</v>
      </c>
      <c r="K58" s="112">
        <v>86500.0</v>
      </c>
    </row>
    <row r="59">
      <c r="A59" s="25"/>
      <c r="B59" s="26"/>
      <c r="C59" s="26"/>
      <c r="D59" s="23"/>
      <c r="E59" s="27"/>
      <c r="F59" s="27"/>
      <c r="G59" s="27"/>
      <c r="H59" s="27"/>
      <c r="J59" s="45" t="s">
        <v>283</v>
      </c>
      <c r="K59" s="112">
        <v>85600.0</v>
      </c>
    </row>
    <row r="60">
      <c r="A60" s="25"/>
      <c r="B60" s="26"/>
      <c r="C60" s="26"/>
      <c r="D60" s="23"/>
      <c r="E60" s="27"/>
      <c r="F60" s="27"/>
      <c r="G60" s="27"/>
      <c r="H60" s="27"/>
      <c r="J60" s="45" t="s">
        <v>284</v>
      </c>
      <c r="K60" s="112">
        <v>67200.0</v>
      </c>
    </row>
    <row r="61">
      <c r="A61" s="25"/>
      <c r="B61" s="26"/>
      <c r="C61" s="26"/>
      <c r="D61" s="23"/>
      <c r="E61" s="27"/>
      <c r="F61" s="27"/>
      <c r="G61" s="27"/>
      <c r="H61" s="27"/>
      <c r="J61" s="45" t="s">
        <v>285</v>
      </c>
      <c r="K61" s="112">
        <v>63100.0</v>
      </c>
    </row>
    <row r="62">
      <c r="A62" s="25"/>
      <c r="B62" s="26"/>
      <c r="C62" s="26"/>
      <c r="D62" s="23"/>
      <c r="E62" s="27"/>
      <c r="F62" s="27"/>
      <c r="G62" s="27"/>
      <c r="H62" s="27"/>
      <c r="J62" s="45" t="s">
        <v>286</v>
      </c>
      <c r="K62" s="112">
        <v>59400.0</v>
      </c>
    </row>
    <row r="63">
      <c r="A63" s="25"/>
      <c r="B63" s="26"/>
      <c r="C63" s="26"/>
      <c r="D63" s="23"/>
      <c r="E63" s="27"/>
      <c r="F63" s="27"/>
      <c r="G63" s="27"/>
      <c r="H63" s="27"/>
      <c r="J63" s="45" t="s">
        <v>287</v>
      </c>
      <c r="K63" s="112">
        <v>54900.0</v>
      </c>
    </row>
    <row r="64">
      <c r="A64" s="25"/>
      <c r="B64" s="26"/>
      <c r="C64" s="26"/>
      <c r="D64" s="23"/>
      <c r="E64" s="27"/>
      <c r="F64" s="27"/>
      <c r="G64" s="27"/>
      <c r="H64" s="27"/>
      <c r="J64" s="45" t="s">
        <v>288</v>
      </c>
      <c r="K64" s="112">
        <v>54100.0</v>
      </c>
    </row>
    <row r="65">
      <c r="A65" s="25"/>
      <c r="B65" s="26"/>
      <c r="C65" s="26"/>
      <c r="D65" s="23"/>
      <c r="E65" s="27"/>
      <c r="F65" s="27"/>
      <c r="G65" s="27"/>
      <c r="H65" s="27"/>
      <c r="J65" s="45" t="s">
        <v>289</v>
      </c>
      <c r="K65" s="112">
        <v>49300.0</v>
      </c>
    </row>
    <row r="66">
      <c r="A66" s="25"/>
      <c r="B66" s="26"/>
      <c r="C66" s="26"/>
      <c r="D66" s="23"/>
      <c r="E66" s="27"/>
      <c r="F66" s="27"/>
      <c r="G66" s="27"/>
      <c r="H66" s="27"/>
      <c r="J66" s="45" t="s">
        <v>290</v>
      </c>
      <c r="K66" s="112">
        <v>48600.0</v>
      </c>
    </row>
    <row r="67">
      <c r="A67" s="25"/>
      <c r="B67" s="26"/>
      <c r="C67" s="26"/>
      <c r="D67" s="23"/>
      <c r="E67" s="27"/>
      <c r="F67" s="27"/>
      <c r="G67" s="27"/>
      <c r="H67" s="27"/>
      <c r="J67" s="45" t="s">
        <v>291</v>
      </c>
      <c r="K67" s="112">
        <v>43800.0</v>
      </c>
    </row>
    <row r="68">
      <c r="A68" s="25"/>
      <c r="B68" s="26"/>
      <c r="C68" s="26"/>
      <c r="D68" s="23"/>
      <c r="E68" s="27"/>
      <c r="F68" s="27"/>
      <c r="G68" s="27"/>
      <c r="H68" s="27"/>
      <c r="J68" s="45" t="s">
        <v>292</v>
      </c>
      <c r="K68" s="112">
        <v>41500.0</v>
      </c>
    </row>
    <row r="69">
      <c r="A69" s="25"/>
      <c r="B69" s="26"/>
      <c r="C69" s="26"/>
      <c r="D69" s="23"/>
      <c r="E69" s="27"/>
      <c r="F69" s="27"/>
      <c r="G69" s="27"/>
      <c r="H69" s="27"/>
      <c r="J69" s="45" t="s">
        <v>293</v>
      </c>
      <c r="K69" s="112">
        <v>38500.0</v>
      </c>
    </row>
    <row r="70">
      <c r="A70" s="25"/>
      <c r="B70" s="26"/>
      <c r="C70" s="26"/>
      <c r="D70" s="23"/>
      <c r="E70" s="27"/>
      <c r="F70" s="27"/>
      <c r="G70" s="27"/>
      <c r="H70" s="27"/>
      <c r="J70" s="45" t="s">
        <v>294</v>
      </c>
      <c r="K70" s="112">
        <v>34900.0</v>
      </c>
    </row>
    <row r="71">
      <c r="A71" s="25"/>
      <c r="B71" s="26"/>
      <c r="C71" s="26"/>
      <c r="D71" s="23"/>
      <c r="E71" s="27"/>
      <c r="F71" s="27"/>
      <c r="G71" s="27"/>
      <c r="H71" s="27"/>
      <c r="J71" s="45" t="s">
        <v>295</v>
      </c>
      <c r="K71" s="112">
        <v>32300.0</v>
      </c>
    </row>
    <row r="72">
      <c r="A72" s="25"/>
      <c r="B72" s="26"/>
      <c r="C72" s="26"/>
      <c r="D72" s="23"/>
      <c r="E72" s="27"/>
      <c r="F72" s="27"/>
      <c r="G72" s="27"/>
      <c r="H72" s="27"/>
      <c r="J72" s="45" t="s">
        <v>296</v>
      </c>
      <c r="K72" s="112">
        <v>28400.0</v>
      </c>
    </row>
    <row r="73">
      <c r="A73" s="25"/>
      <c r="B73" s="26"/>
      <c r="C73" s="26"/>
      <c r="D73" s="23"/>
      <c r="E73" s="27"/>
      <c r="F73" s="27"/>
      <c r="G73" s="27"/>
      <c r="H73" s="27"/>
      <c r="J73" s="45" t="s">
        <v>297</v>
      </c>
      <c r="K73" s="112">
        <v>28100.0</v>
      </c>
    </row>
    <row r="74">
      <c r="A74" s="25"/>
      <c r="B74" s="26"/>
      <c r="C74" s="26"/>
      <c r="D74" s="23"/>
      <c r="E74" s="27"/>
      <c r="F74" s="27"/>
      <c r="G74" s="27"/>
      <c r="H74" s="27"/>
      <c r="J74" s="45" t="s">
        <v>298</v>
      </c>
      <c r="K74" s="112">
        <v>25700.0</v>
      </c>
    </row>
    <row r="75">
      <c r="A75" s="25"/>
      <c r="B75" s="26"/>
      <c r="C75" s="26"/>
      <c r="D75" s="23"/>
      <c r="E75" s="27"/>
      <c r="F75" s="27"/>
      <c r="G75" s="27"/>
      <c r="H75" s="27"/>
      <c r="J75" s="45" t="s">
        <v>299</v>
      </c>
      <c r="K75" s="112">
        <v>24600.0</v>
      </c>
    </row>
    <row r="76">
      <c r="A76" s="25"/>
      <c r="B76" s="26"/>
      <c r="C76" s="26"/>
      <c r="D76" s="23"/>
      <c r="E76" s="27"/>
      <c r="F76" s="27"/>
      <c r="G76" s="27"/>
      <c r="H76" s="27"/>
      <c r="J76" s="45" t="s">
        <v>300</v>
      </c>
      <c r="K76" s="112">
        <v>23900.0</v>
      </c>
    </row>
    <row r="77">
      <c r="A77" s="25"/>
      <c r="B77" s="26"/>
      <c r="C77" s="26"/>
      <c r="D77" s="23"/>
      <c r="E77" s="27"/>
      <c r="F77" s="27"/>
      <c r="G77" s="27"/>
      <c r="H77" s="27"/>
      <c r="J77" s="45" t="s">
        <v>301</v>
      </c>
      <c r="K77" s="112">
        <v>20200.0</v>
      </c>
    </row>
    <row r="78">
      <c r="A78" s="25"/>
      <c r="B78" s="26"/>
      <c r="C78" s="26"/>
      <c r="D78" s="23"/>
      <c r="E78" s="27"/>
      <c r="F78" s="27"/>
      <c r="G78" s="27"/>
      <c r="H78" s="27"/>
    </row>
    <row r="79">
      <c r="A79" s="25"/>
      <c r="B79" s="26"/>
      <c r="C79" s="26"/>
      <c r="D79" s="23"/>
      <c r="E79" s="27"/>
      <c r="F79" s="27"/>
      <c r="G79" s="27"/>
      <c r="H79" s="27"/>
    </row>
    <row r="80">
      <c r="A80" s="25"/>
      <c r="B80" s="26"/>
      <c r="C80" s="26"/>
      <c r="D80" s="23"/>
      <c r="E80" s="27"/>
      <c r="F80" s="27"/>
      <c r="G80" s="27"/>
      <c r="H80" s="27"/>
      <c r="I80" s="76"/>
      <c r="O80" s="76"/>
    </row>
    <row r="81">
      <c r="A81" s="25"/>
      <c r="B81" s="26"/>
      <c r="C81" s="26"/>
      <c r="D81" s="23"/>
      <c r="E81" s="27"/>
      <c r="F81" s="27"/>
      <c r="G81" s="27"/>
      <c r="H81" s="27"/>
      <c r="I81" s="76"/>
      <c r="O81" s="76"/>
    </row>
    <row r="82">
      <c r="A82" s="25"/>
      <c r="B82" s="26"/>
      <c r="C82" s="26"/>
      <c r="D82" s="23"/>
      <c r="E82" s="27"/>
      <c r="F82" s="27"/>
      <c r="G82" s="27"/>
      <c r="H82" s="27"/>
      <c r="I82" s="76"/>
      <c r="J82" s="41" t="s">
        <v>302</v>
      </c>
      <c r="K82" s="33"/>
      <c r="L82" s="33"/>
      <c r="M82" s="34"/>
      <c r="N82" s="76"/>
      <c r="O82" s="76"/>
    </row>
    <row r="83" ht="47.25" customHeight="1">
      <c r="A83" s="25"/>
      <c r="B83" s="26"/>
      <c r="C83" s="26"/>
      <c r="D83" s="23"/>
      <c r="E83" s="66" t="s">
        <v>227</v>
      </c>
      <c r="F83" s="33"/>
      <c r="G83" s="33"/>
      <c r="H83" s="34"/>
      <c r="I83" s="76"/>
      <c r="J83" s="116" t="s">
        <v>303</v>
      </c>
      <c r="K83" s="117" t="s">
        <v>304</v>
      </c>
      <c r="L83" s="34"/>
      <c r="M83" s="76"/>
      <c r="N83" s="76"/>
      <c r="O83" s="76"/>
    </row>
    <row r="84">
      <c r="A84" s="25"/>
      <c r="B84" s="26"/>
      <c r="C84" s="26"/>
      <c r="D84" s="23"/>
      <c r="E84" s="27"/>
      <c r="F84" s="27"/>
      <c r="G84" s="27"/>
      <c r="H84" s="27"/>
      <c r="I84" s="76"/>
      <c r="J84" s="76"/>
      <c r="K84" s="76"/>
      <c r="L84" s="76"/>
      <c r="M84" s="76"/>
      <c r="N84" s="76"/>
      <c r="O84" s="76"/>
    </row>
    <row r="85">
      <c r="A85" s="25"/>
      <c r="B85" s="26"/>
      <c r="C85" s="26"/>
      <c r="D85" s="23"/>
      <c r="E85" s="27"/>
      <c r="F85" s="27"/>
      <c r="G85" s="27"/>
      <c r="H85" s="27"/>
      <c r="I85" s="76"/>
      <c r="J85" s="118" t="s">
        <v>224</v>
      </c>
      <c r="K85" s="118" t="s">
        <v>69</v>
      </c>
      <c r="L85" s="119" t="s">
        <v>305</v>
      </c>
      <c r="M85" s="76"/>
      <c r="N85" s="76"/>
      <c r="O85" s="76"/>
    </row>
    <row r="86">
      <c r="A86" s="25"/>
      <c r="B86" s="26"/>
      <c r="C86" s="26"/>
      <c r="D86" s="23"/>
      <c r="E86" s="27"/>
      <c r="F86" s="27"/>
      <c r="G86" s="27"/>
      <c r="H86" s="27"/>
      <c r="I86" s="76"/>
      <c r="J86" s="45" t="s">
        <v>238</v>
      </c>
      <c r="K86" s="120">
        <v>1548.4048307184275</v>
      </c>
      <c r="L86" s="121" t="str">
        <f t="array" ref="L86:L100">MAP(J86:J100,K86:K100,LAMBDA(x,y,IF(K83="",y,IF(ISNUMBER(SEARCH(x,K83)),y,))))</f>
        <v/>
      </c>
      <c r="M86" s="76"/>
      <c r="N86" s="76"/>
      <c r="O86" s="76"/>
    </row>
    <row r="87">
      <c r="A87" s="25"/>
      <c r="B87" s="26"/>
      <c r="C87" s="26"/>
      <c r="D87" s="23"/>
      <c r="E87" s="27"/>
      <c r="F87" s="27"/>
      <c r="G87" s="27"/>
      <c r="H87" s="27"/>
      <c r="I87" s="76"/>
      <c r="J87" s="45" t="s">
        <v>230</v>
      </c>
      <c r="K87" s="120">
        <v>1480.339389265547</v>
      </c>
      <c r="L87" s="121"/>
      <c r="M87" s="76"/>
      <c r="N87" s="76"/>
    </row>
    <row r="88">
      <c r="A88" s="25"/>
      <c r="B88" s="26"/>
      <c r="C88" s="26"/>
      <c r="D88" s="23"/>
      <c r="E88" s="27"/>
      <c r="F88" s="27"/>
      <c r="G88" s="27"/>
      <c r="H88" s="27"/>
      <c r="I88" s="76"/>
      <c r="J88" s="45" t="s">
        <v>234</v>
      </c>
      <c r="K88" s="120">
        <v>3254.376104643102</v>
      </c>
      <c r="L88" s="121">
        <v>3254.376104643102</v>
      </c>
    </row>
    <row r="89">
      <c r="A89" s="25"/>
      <c r="B89" s="26"/>
      <c r="C89" s="26"/>
      <c r="D89" s="23"/>
      <c r="E89" s="27"/>
      <c r="F89" s="27"/>
      <c r="G89" s="27"/>
      <c r="H89" s="27"/>
      <c r="I89" s="76"/>
      <c r="J89" s="45" t="s">
        <v>235</v>
      </c>
      <c r="K89" s="120">
        <v>1552.6712015713333</v>
      </c>
      <c r="L89" s="121">
        <v>1552.6712015713333</v>
      </c>
    </row>
    <row r="90">
      <c r="A90" s="25"/>
      <c r="B90" s="26"/>
      <c r="C90" s="26"/>
      <c r="D90" s="23"/>
      <c r="E90" s="27"/>
      <c r="F90" s="27"/>
      <c r="G90" s="27"/>
      <c r="H90" s="27"/>
      <c r="I90" s="76"/>
      <c r="J90" s="45" t="s">
        <v>239</v>
      </c>
      <c r="K90" s="120">
        <v>1296.503628411665</v>
      </c>
      <c r="L90" s="121">
        <v>1296.503628411665</v>
      </c>
    </row>
    <row r="91">
      <c r="A91" s="25"/>
      <c r="B91" s="26"/>
      <c r="C91" s="26"/>
      <c r="D91" s="23"/>
      <c r="E91" s="27"/>
      <c r="F91" s="27"/>
      <c r="G91" s="27"/>
      <c r="H91" s="27"/>
      <c r="I91" s="76"/>
      <c r="J91" s="45" t="s">
        <v>241</v>
      </c>
      <c r="K91" s="120">
        <v>1309.0447526594287</v>
      </c>
      <c r="L91" s="121"/>
    </row>
    <row r="92">
      <c r="A92" s="25"/>
      <c r="B92" s="26"/>
      <c r="C92" s="26"/>
      <c r="D92" s="23"/>
      <c r="E92" s="27"/>
      <c r="F92" s="27"/>
      <c r="G92" s="27"/>
      <c r="H92" s="27"/>
      <c r="I92" s="76"/>
      <c r="J92" s="45" t="s">
        <v>228</v>
      </c>
      <c r="K92" s="120">
        <v>1117.2978270440972</v>
      </c>
      <c r="L92" s="121"/>
    </row>
    <row r="93">
      <c r="A93" s="25"/>
      <c r="B93" s="26"/>
      <c r="C93" s="26"/>
      <c r="D93" s="23"/>
      <c r="E93" s="27"/>
      <c r="F93" s="27"/>
      <c r="G93" s="27"/>
      <c r="H93" s="27"/>
      <c r="I93" s="76"/>
      <c r="J93" s="45" t="s">
        <v>240</v>
      </c>
      <c r="K93" s="120">
        <v>1340.319090549799</v>
      </c>
      <c r="L93" s="121"/>
    </row>
    <row r="94">
      <c r="A94" s="25"/>
      <c r="B94" s="26"/>
      <c r="C94" s="26"/>
      <c r="D94" s="23"/>
      <c r="E94" s="27"/>
      <c r="F94" s="27"/>
      <c r="G94" s="27"/>
      <c r="H94" s="27"/>
      <c r="I94" s="76"/>
      <c r="J94" s="45" t="s">
        <v>231</v>
      </c>
      <c r="K94" s="120">
        <v>3873.350164339553</v>
      </c>
      <c r="L94" s="121"/>
    </row>
    <row r="95">
      <c r="A95" s="25"/>
      <c r="B95" s="26"/>
      <c r="C95" s="26"/>
      <c r="D95" s="23"/>
      <c r="E95" s="27"/>
      <c r="F95" s="27"/>
      <c r="G95" s="27"/>
      <c r="H95" s="27"/>
      <c r="I95" s="76"/>
      <c r="J95" s="45" t="s">
        <v>237</v>
      </c>
      <c r="K95" s="120">
        <v>1917.0820128550863</v>
      </c>
      <c r="L95" s="121"/>
    </row>
    <row r="96">
      <c r="A96" s="25"/>
      <c r="B96" s="26"/>
      <c r="C96" s="26"/>
      <c r="D96" s="23"/>
      <c r="E96" s="27"/>
      <c r="F96" s="27"/>
      <c r="G96" s="27"/>
      <c r="H96" s="27"/>
      <c r="I96" s="76"/>
      <c r="J96" s="45" t="s">
        <v>232</v>
      </c>
      <c r="K96" s="120">
        <v>2334.9585800802506</v>
      </c>
      <c r="L96" s="121">
        <v>2334.9585800802506</v>
      </c>
    </row>
    <row r="97">
      <c r="A97" s="25"/>
      <c r="B97" s="26"/>
      <c r="C97" s="26"/>
      <c r="D97" s="23"/>
      <c r="E97" s="27"/>
      <c r="F97" s="27"/>
      <c r="G97" s="27"/>
      <c r="H97" s="27"/>
      <c r="I97" s="76"/>
      <c r="J97" s="45" t="s">
        <v>233</v>
      </c>
      <c r="K97" s="120">
        <v>2902.3783183948485</v>
      </c>
      <c r="L97" s="121"/>
    </row>
    <row r="98">
      <c r="A98" s="25"/>
      <c r="B98" s="26"/>
      <c r="C98" s="26"/>
      <c r="D98" s="23"/>
      <c r="E98" s="27"/>
      <c r="F98" s="27"/>
      <c r="G98" s="27"/>
      <c r="H98" s="27"/>
      <c r="I98" s="76"/>
      <c r="J98" s="45" t="s">
        <v>226</v>
      </c>
      <c r="K98" s="120">
        <v>2385.4198671474683</v>
      </c>
      <c r="L98" s="121">
        <v>2385.4198671474683</v>
      </c>
    </row>
    <row r="99">
      <c r="A99" s="25"/>
      <c r="B99" s="26"/>
      <c r="C99" s="26"/>
      <c r="D99" s="23"/>
      <c r="E99" s="27"/>
      <c r="F99" s="27"/>
      <c r="G99" s="27"/>
      <c r="H99" s="27"/>
      <c r="I99" s="76"/>
      <c r="J99" s="45" t="s">
        <v>236</v>
      </c>
      <c r="K99" s="120">
        <v>4218.500399295372</v>
      </c>
      <c r="L99" s="121">
        <v>4218.500399295372</v>
      </c>
    </row>
    <row r="100">
      <c r="A100" s="25"/>
      <c r="B100" s="26"/>
      <c r="C100" s="26"/>
      <c r="D100" s="23"/>
      <c r="E100" s="27"/>
      <c r="F100" s="27"/>
      <c r="G100" s="27"/>
      <c r="H100" s="27"/>
      <c r="I100" s="76"/>
      <c r="J100" s="45" t="s">
        <v>242</v>
      </c>
      <c r="K100" s="120">
        <v>3612.258549932472</v>
      </c>
      <c r="L100" s="121">
        <v>3612.258549932472</v>
      </c>
    </row>
    <row r="101">
      <c r="A101" s="25"/>
      <c r="B101" s="26"/>
      <c r="C101" s="26"/>
      <c r="D101" s="23"/>
      <c r="E101" s="27"/>
      <c r="F101" s="27"/>
      <c r="G101" s="27"/>
      <c r="H101" s="27"/>
    </row>
    <row r="102">
      <c r="A102" s="25"/>
      <c r="B102" s="26"/>
      <c r="C102" s="26"/>
      <c r="D102" s="23"/>
      <c r="E102" s="27"/>
      <c r="F102" s="27"/>
      <c r="G102" s="27"/>
      <c r="H102" s="27"/>
    </row>
    <row r="103">
      <c r="A103" s="25"/>
      <c r="B103" s="26"/>
      <c r="C103" s="26"/>
      <c r="D103" s="23"/>
      <c r="E103" s="27"/>
      <c r="F103" s="27"/>
      <c r="G103" s="27"/>
      <c r="H103" s="27"/>
      <c r="I103" s="76"/>
      <c r="O103" s="76"/>
    </row>
    <row r="104">
      <c r="A104" s="25"/>
      <c r="B104" s="26"/>
      <c r="C104" s="26"/>
      <c r="D104" s="23"/>
      <c r="I104" s="76"/>
      <c r="O104" s="76"/>
    </row>
    <row r="105">
      <c r="A105" s="25"/>
      <c r="B105" s="26"/>
      <c r="C105" s="26"/>
      <c r="D105" s="23"/>
      <c r="E105" s="27"/>
      <c r="F105" s="27"/>
      <c r="G105" s="27"/>
      <c r="H105" s="27"/>
      <c r="I105" s="76"/>
      <c r="J105" s="41" t="s">
        <v>306</v>
      </c>
      <c r="K105" s="33"/>
      <c r="L105" s="33"/>
      <c r="M105" s="34"/>
      <c r="N105" s="76"/>
      <c r="O105" s="76"/>
    </row>
    <row r="106">
      <c r="A106" s="25"/>
      <c r="B106" s="26"/>
      <c r="C106" s="26"/>
      <c r="D106" s="23"/>
      <c r="E106" s="66" t="s">
        <v>229</v>
      </c>
      <c r="F106" s="33"/>
      <c r="G106" s="33"/>
      <c r="H106" s="34"/>
      <c r="I106" s="76"/>
      <c r="J106" s="44" t="s">
        <v>224</v>
      </c>
      <c r="K106" s="44" t="s">
        <v>307</v>
      </c>
      <c r="L106" s="122"/>
      <c r="M106" s="122"/>
      <c r="N106" s="122"/>
      <c r="O106" s="76"/>
    </row>
    <row r="107">
      <c r="A107" s="25"/>
      <c r="B107" s="26"/>
      <c r="C107" s="26"/>
      <c r="D107" s="23"/>
      <c r="E107" s="27"/>
      <c r="F107" s="27"/>
      <c r="G107" s="27"/>
      <c r="H107" s="27"/>
      <c r="I107" s="76"/>
      <c r="J107" s="45" t="s">
        <v>226</v>
      </c>
      <c r="K107" s="123">
        <v>12300.0</v>
      </c>
      <c r="L107" s="124"/>
      <c r="M107" s="124"/>
      <c r="N107" s="122"/>
      <c r="O107" s="76"/>
    </row>
    <row r="108">
      <c r="A108" s="25"/>
      <c r="B108" s="26"/>
      <c r="C108" s="26"/>
      <c r="D108" s="23"/>
      <c r="J108" s="45" t="s">
        <v>228</v>
      </c>
      <c r="K108" s="123">
        <v>7800.0</v>
      </c>
      <c r="L108" s="124"/>
      <c r="M108" s="124"/>
      <c r="N108" s="122"/>
    </row>
    <row r="109">
      <c r="A109" s="25"/>
      <c r="B109" s="26"/>
      <c r="C109" s="26"/>
      <c r="D109" s="23"/>
      <c r="E109" s="27"/>
      <c r="F109" s="27"/>
      <c r="G109" s="27"/>
      <c r="H109" s="27"/>
      <c r="J109" s="45" t="s">
        <v>230</v>
      </c>
      <c r="K109" s="123">
        <v>9500.0</v>
      </c>
      <c r="L109" s="125"/>
      <c r="M109" s="125"/>
    </row>
    <row r="110">
      <c r="A110" s="25"/>
      <c r="B110" s="26"/>
      <c r="C110" s="26"/>
      <c r="D110" s="23"/>
      <c r="E110" s="27"/>
      <c r="F110" s="27"/>
      <c r="G110" s="27"/>
      <c r="H110" s="27"/>
      <c r="J110" s="45" t="s">
        <v>231</v>
      </c>
      <c r="K110" s="123">
        <v>10700.0</v>
      </c>
      <c r="L110" s="125"/>
      <c r="M110" s="125"/>
    </row>
    <row r="111">
      <c r="A111" s="25"/>
      <c r="B111" s="26"/>
      <c r="C111" s="26"/>
      <c r="D111" s="23"/>
      <c r="E111" s="27"/>
      <c r="F111" s="27"/>
      <c r="G111" s="27"/>
      <c r="H111" s="27"/>
      <c r="J111" s="45" t="s">
        <v>232</v>
      </c>
      <c r="K111" s="123">
        <v>11500.0</v>
      </c>
      <c r="L111" s="125"/>
      <c r="M111" s="125"/>
    </row>
    <row r="112">
      <c r="A112" s="25"/>
      <c r="B112" s="26"/>
      <c r="C112" s="26"/>
      <c r="D112" s="23"/>
      <c r="E112" s="27"/>
      <c r="F112" s="27"/>
      <c r="G112" s="27"/>
      <c r="H112" s="27"/>
      <c r="J112" s="45" t="s">
        <v>233</v>
      </c>
      <c r="K112" s="123">
        <v>9200.0</v>
      </c>
      <c r="L112" s="125"/>
      <c r="M112" s="125"/>
    </row>
    <row r="113">
      <c r="A113" s="25"/>
      <c r="B113" s="26"/>
      <c r="C113" s="26"/>
      <c r="D113" s="23"/>
      <c r="E113" s="27"/>
      <c r="F113" s="27"/>
      <c r="G113" s="27"/>
      <c r="H113" s="27"/>
      <c r="J113" s="45" t="s">
        <v>234</v>
      </c>
      <c r="K113" s="123">
        <v>6900.0</v>
      </c>
      <c r="L113" s="125"/>
      <c r="M113" s="125"/>
    </row>
    <row r="114">
      <c r="A114" s="25"/>
      <c r="B114" s="26"/>
      <c r="C114" s="26"/>
      <c r="D114" s="23"/>
      <c r="E114" s="27"/>
      <c r="F114" s="27"/>
      <c r="G114" s="27"/>
      <c r="H114" s="27"/>
      <c r="J114" s="45" t="s">
        <v>235</v>
      </c>
      <c r="K114" s="123">
        <v>8300.0</v>
      </c>
      <c r="L114" s="125"/>
      <c r="M114" s="125"/>
    </row>
    <row r="115">
      <c r="A115" s="25"/>
      <c r="B115" s="26"/>
      <c r="C115" s="26"/>
      <c r="D115" s="23"/>
      <c r="E115" s="27"/>
      <c r="F115" s="27"/>
      <c r="G115" s="27"/>
      <c r="H115" s="27"/>
      <c r="J115" s="45" t="s">
        <v>236</v>
      </c>
      <c r="K115" s="123">
        <v>14800.0</v>
      </c>
      <c r="L115" s="125"/>
      <c r="M115" s="125"/>
    </row>
    <row r="116">
      <c r="A116" s="25"/>
      <c r="B116" s="26"/>
      <c r="C116" s="26"/>
      <c r="D116" s="23"/>
      <c r="E116" s="27"/>
      <c r="F116" s="27"/>
      <c r="G116" s="27"/>
      <c r="H116" s="27"/>
      <c r="J116" s="45" t="s">
        <v>237</v>
      </c>
      <c r="K116" s="123">
        <v>18700.0</v>
      </c>
      <c r="L116" s="125"/>
      <c r="M116" s="125"/>
    </row>
    <row r="117">
      <c r="A117" s="25"/>
      <c r="B117" s="26"/>
      <c r="C117" s="26"/>
      <c r="D117" s="23"/>
      <c r="E117" s="27"/>
      <c r="F117" s="27"/>
      <c r="G117" s="27"/>
      <c r="H117" s="27"/>
      <c r="J117" s="45" t="s">
        <v>238</v>
      </c>
      <c r="K117" s="123">
        <v>13200.0</v>
      </c>
      <c r="L117" s="125"/>
      <c r="M117" s="125"/>
    </row>
    <row r="118">
      <c r="A118" s="25"/>
      <c r="B118" s="26"/>
      <c r="C118" s="26"/>
      <c r="D118" s="23"/>
      <c r="E118" s="27"/>
      <c r="F118" s="27"/>
      <c r="G118" s="27"/>
      <c r="H118" s="27"/>
      <c r="J118" s="45" t="s">
        <v>239</v>
      </c>
      <c r="K118" s="123">
        <v>8900.0</v>
      </c>
      <c r="L118" s="125"/>
      <c r="M118" s="125"/>
    </row>
    <row r="119">
      <c r="A119" s="25"/>
      <c r="B119" s="26"/>
      <c r="C119" s="26"/>
      <c r="D119" s="23"/>
      <c r="E119" s="27"/>
      <c r="F119" s="27"/>
      <c r="G119" s="27"/>
      <c r="H119" s="27"/>
      <c r="J119" s="45" t="s">
        <v>240</v>
      </c>
      <c r="K119" s="123">
        <v>5200.0</v>
      </c>
      <c r="L119" s="125"/>
      <c r="M119" s="125"/>
    </row>
    <row r="120">
      <c r="A120" s="25"/>
      <c r="B120" s="26"/>
      <c r="C120" s="26"/>
      <c r="D120" s="23"/>
      <c r="E120" s="27"/>
      <c r="F120" s="27"/>
      <c r="G120" s="27"/>
      <c r="H120" s="27"/>
      <c r="J120" s="45" t="s">
        <v>241</v>
      </c>
      <c r="K120" s="123">
        <v>7100.0</v>
      </c>
      <c r="L120" s="125"/>
      <c r="M120" s="125"/>
    </row>
    <row r="121">
      <c r="A121" s="25"/>
      <c r="B121" s="26"/>
      <c r="C121" s="26"/>
      <c r="D121" s="23"/>
      <c r="E121" s="27"/>
      <c r="F121" s="27"/>
      <c r="G121" s="27"/>
      <c r="H121" s="27"/>
      <c r="J121" s="45" t="s">
        <v>242</v>
      </c>
      <c r="K121" s="123">
        <v>10400.0</v>
      </c>
      <c r="L121" s="125"/>
      <c r="M121" s="125"/>
    </row>
    <row r="122">
      <c r="A122" s="25"/>
      <c r="B122" s="26"/>
      <c r="C122" s="26"/>
      <c r="D122" s="23"/>
      <c r="E122" s="27"/>
      <c r="F122" s="27"/>
      <c r="G122" s="27"/>
      <c r="H122" s="27"/>
      <c r="J122" s="45" t="s">
        <v>308</v>
      </c>
      <c r="K122" s="123">
        <v>6400.0</v>
      </c>
      <c r="L122" s="125"/>
      <c r="M122" s="125"/>
    </row>
    <row r="123">
      <c r="A123" s="25"/>
      <c r="B123" s="26"/>
      <c r="C123" s="26"/>
      <c r="D123" s="23"/>
      <c r="E123" s="27"/>
      <c r="F123" s="27"/>
      <c r="G123" s="27"/>
      <c r="H123" s="27"/>
      <c r="J123" s="45" t="s">
        <v>309</v>
      </c>
      <c r="K123" s="123">
        <v>10800.0</v>
      </c>
      <c r="L123" s="125"/>
      <c r="M123" s="125"/>
    </row>
    <row r="124">
      <c r="A124" s="25"/>
      <c r="B124" s="26"/>
      <c r="C124" s="26"/>
      <c r="D124" s="23"/>
      <c r="E124" s="27"/>
      <c r="F124" s="27"/>
      <c r="G124" s="27"/>
      <c r="H124" s="27"/>
      <c r="J124" s="45" t="s">
        <v>310</v>
      </c>
      <c r="K124" s="123">
        <v>9300.0</v>
      </c>
      <c r="L124" s="125"/>
      <c r="M124" s="125"/>
    </row>
    <row r="125">
      <c r="A125" s="25"/>
      <c r="B125" s="26"/>
      <c r="C125" s="26"/>
      <c r="D125" s="23"/>
      <c r="E125" s="27"/>
      <c r="F125" s="27"/>
      <c r="G125" s="27"/>
      <c r="H125" s="27"/>
      <c r="J125" s="45" t="s">
        <v>311</v>
      </c>
      <c r="K125" s="123">
        <v>6500.0</v>
      </c>
      <c r="L125" s="125"/>
      <c r="M125" s="125"/>
    </row>
    <row r="126">
      <c r="A126" s="25"/>
      <c r="B126" s="26"/>
      <c r="C126" s="26"/>
      <c r="D126" s="23"/>
      <c r="E126" s="27"/>
      <c r="F126" s="27"/>
      <c r="G126" s="27"/>
      <c r="H126" s="27"/>
      <c r="J126" s="45" t="s">
        <v>312</v>
      </c>
      <c r="K126" s="123">
        <v>7200.0</v>
      </c>
      <c r="L126" s="125"/>
      <c r="M126" s="125"/>
    </row>
    <row r="127">
      <c r="A127" s="25"/>
      <c r="B127" s="26"/>
      <c r="C127" s="26"/>
      <c r="D127" s="23"/>
      <c r="E127" s="27"/>
      <c r="F127" s="27"/>
      <c r="G127" s="27"/>
      <c r="H127" s="27"/>
    </row>
    <row r="128">
      <c r="A128" s="25"/>
      <c r="B128" s="26"/>
      <c r="C128" s="26"/>
      <c r="D128" s="23"/>
      <c r="E128" s="27"/>
      <c r="F128" s="27"/>
      <c r="G128" s="27"/>
      <c r="H128" s="27"/>
    </row>
    <row r="129">
      <c r="A129" s="25"/>
      <c r="B129" s="26"/>
      <c r="C129" s="26"/>
      <c r="D129" s="23"/>
      <c r="E129" s="27"/>
      <c r="F129" s="27"/>
      <c r="G129" s="27"/>
      <c r="H129" s="27"/>
    </row>
    <row r="130">
      <c r="A130" s="25"/>
      <c r="B130" s="26"/>
      <c r="C130" s="26"/>
      <c r="D130" s="23"/>
      <c r="E130" s="27"/>
      <c r="F130" s="27"/>
      <c r="G130" s="27"/>
      <c r="H130" s="27"/>
    </row>
  </sheetData>
  <autoFilter ref="$J$27:$K$77">
    <sortState ref="J27:K77">
      <sortCondition descending="1" ref="K27:K77"/>
    </sortState>
  </autoFilter>
  <mergeCells count="9">
    <mergeCell ref="J105:M105"/>
    <mergeCell ref="E106:H106"/>
    <mergeCell ref="E3:H3"/>
    <mergeCell ref="J4:M4"/>
    <mergeCell ref="E26:H26"/>
    <mergeCell ref="J26:M26"/>
    <mergeCell ref="J82:M82"/>
    <mergeCell ref="E83:H83"/>
    <mergeCell ref="K83:L83"/>
  </mergeCells>
  <dataValidations>
    <dataValidation type="list" allowBlank="1" showErrorMessage="1" sqref="K83">
      <formula1>'Geo Charts'!$J$86:$J$100</formula1>
    </dataValidation>
  </dataValidations>
  <hyperlinks>
    <hyperlink r:id="rId1" ref="B2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2.88"/>
    <col customWidth="1" min="6" max="6" width="16.75"/>
    <col customWidth="1" min="7" max="26" width="7.38"/>
    <col customWidth="1" min="27" max="31" width="6.0"/>
    <col customWidth="1" min="32" max="32" width="18.5"/>
    <col customWidth="1" min="33" max="56" width="6.0"/>
  </cols>
  <sheetData>
    <row r="1">
      <c r="A1" s="25"/>
      <c r="B1" s="26"/>
      <c r="C1" s="26"/>
    </row>
    <row r="2">
      <c r="A2" s="25"/>
      <c r="B2" s="28" t="s">
        <v>322</v>
      </c>
      <c r="C2" s="2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2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>
      <c r="A3" s="25"/>
      <c r="B3" s="31"/>
      <c r="C3" s="31"/>
      <c r="E3" s="20"/>
      <c r="F3" s="129" t="s">
        <v>324</v>
      </c>
      <c r="G3" s="7"/>
      <c r="H3" s="7"/>
      <c r="I3" s="7"/>
      <c r="J3" s="7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13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</row>
    <row r="4">
      <c r="A4" s="25"/>
      <c r="B4" s="35" t="s">
        <v>16</v>
      </c>
      <c r="C4" s="36"/>
      <c r="E4" s="20"/>
      <c r="G4" s="131"/>
      <c r="H4" s="131"/>
      <c r="I4" s="132"/>
      <c r="J4" s="7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3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</row>
    <row r="5">
      <c r="A5" s="25"/>
      <c r="B5" s="42" t="s">
        <v>326</v>
      </c>
      <c r="C5" s="38"/>
      <c r="E5" s="20"/>
      <c r="F5" s="41" t="s">
        <v>327</v>
      </c>
      <c r="G5" s="7"/>
      <c r="H5" s="7"/>
      <c r="I5" s="7"/>
      <c r="J5" s="7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130"/>
      <c r="AB5" s="20"/>
      <c r="AC5" s="20"/>
      <c r="AD5" s="20"/>
      <c r="AE5" s="20"/>
      <c r="AF5" s="41" t="s">
        <v>327</v>
      </c>
      <c r="AG5" s="7"/>
      <c r="AH5" s="7"/>
      <c r="AI5" s="7"/>
      <c r="AJ5" s="7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30"/>
      <c r="BB5" s="20"/>
      <c r="BC5" s="20"/>
      <c r="BD5" s="20"/>
    </row>
    <row r="6">
      <c r="A6" s="25"/>
      <c r="B6" s="42" t="s">
        <v>330</v>
      </c>
      <c r="C6" s="38"/>
      <c r="E6" s="20"/>
      <c r="F6" s="133" t="s">
        <v>331</v>
      </c>
      <c r="G6" s="134" t="s">
        <v>332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4"/>
      <c r="AA6" s="135" t="s">
        <v>334</v>
      </c>
      <c r="AB6" s="136"/>
      <c r="AC6" s="136"/>
      <c r="AD6" s="137"/>
      <c r="AE6" s="20"/>
      <c r="AF6" s="138" t="s">
        <v>331</v>
      </c>
      <c r="AG6" s="139" t="s">
        <v>332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4"/>
      <c r="BA6" s="140" t="s">
        <v>334</v>
      </c>
      <c r="BB6" s="136"/>
      <c r="BC6" s="136"/>
      <c r="BD6" s="137"/>
    </row>
    <row r="7">
      <c r="A7" s="39"/>
      <c r="B7" s="42" t="s">
        <v>335</v>
      </c>
      <c r="C7" s="40"/>
      <c r="E7" s="20"/>
      <c r="F7" s="85"/>
      <c r="G7" s="141" t="s">
        <v>338</v>
      </c>
      <c r="H7" s="141" t="s">
        <v>340</v>
      </c>
      <c r="I7" s="141" t="s">
        <v>341</v>
      </c>
      <c r="J7" s="141" t="s">
        <v>342</v>
      </c>
      <c r="K7" s="141" t="s">
        <v>343</v>
      </c>
      <c r="L7" s="141" t="s">
        <v>344</v>
      </c>
      <c r="M7" s="141" t="s">
        <v>345</v>
      </c>
      <c r="N7" s="141" t="s">
        <v>347</v>
      </c>
      <c r="O7" s="141" t="s">
        <v>348</v>
      </c>
      <c r="P7" s="141" t="s">
        <v>349</v>
      </c>
      <c r="Q7" s="141" t="s">
        <v>351</v>
      </c>
      <c r="R7" s="141" t="s">
        <v>352</v>
      </c>
      <c r="S7" s="141" t="s">
        <v>353</v>
      </c>
      <c r="T7" s="141" t="s">
        <v>355</v>
      </c>
      <c r="U7" s="141" t="s">
        <v>356</v>
      </c>
      <c r="V7" s="141" t="s">
        <v>357</v>
      </c>
      <c r="W7" s="141" t="s">
        <v>358</v>
      </c>
      <c r="X7" s="141" t="s">
        <v>359</v>
      </c>
      <c r="Y7" s="141" t="s">
        <v>360</v>
      </c>
      <c r="Z7" s="141" t="s">
        <v>361</v>
      </c>
      <c r="AA7" s="145"/>
      <c r="AB7" s="146"/>
      <c r="AC7" s="146"/>
      <c r="AD7" s="147"/>
      <c r="AE7" s="20"/>
      <c r="AF7" s="85"/>
      <c r="AG7" s="148" t="s">
        <v>338</v>
      </c>
      <c r="AH7" s="148" t="s">
        <v>340</v>
      </c>
      <c r="AI7" s="148" t="s">
        <v>341</v>
      </c>
      <c r="AJ7" s="148" t="s">
        <v>342</v>
      </c>
      <c r="AK7" s="148" t="s">
        <v>343</v>
      </c>
      <c r="AL7" s="148" t="s">
        <v>344</v>
      </c>
      <c r="AM7" s="148" t="s">
        <v>345</v>
      </c>
      <c r="AN7" s="148" t="s">
        <v>347</v>
      </c>
      <c r="AO7" s="148" t="s">
        <v>348</v>
      </c>
      <c r="AP7" s="148" t="s">
        <v>349</v>
      </c>
      <c r="AQ7" s="148" t="s">
        <v>351</v>
      </c>
      <c r="AR7" s="148" t="s">
        <v>352</v>
      </c>
      <c r="AS7" s="148" t="s">
        <v>353</v>
      </c>
      <c r="AT7" s="148" t="s">
        <v>355</v>
      </c>
      <c r="AU7" s="148" t="s">
        <v>356</v>
      </c>
      <c r="AV7" s="148" t="s">
        <v>357</v>
      </c>
      <c r="AW7" s="148" t="s">
        <v>358</v>
      </c>
      <c r="AX7" s="148" t="s">
        <v>359</v>
      </c>
      <c r="AY7" s="148" t="s">
        <v>360</v>
      </c>
      <c r="AZ7" s="148" t="s">
        <v>361</v>
      </c>
      <c r="BA7" s="145"/>
      <c r="BB7" s="146"/>
      <c r="BC7" s="146"/>
      <c r="BD7" s="147"/>
    </row>
    <row r="8">
      <c r="A8" s="25"/>
      <c r="B8" s="42" t="s">
        <v>365</v>
      </c>
      <c r="C8" s="43"/>
      <c r="E8" s="20"/>
      <c r="F8" s="151" t="s">
        <v>366</v>
      </c>
      <c r="G8" s="152" t="b">
        <v>0</v>
      </c>
      <c r="H8" s="152" t="b">
        <v>0</v>
      </c>
      <c r="I8" s="152" t="b">
        <v>0</v>
      </c>
      <c r="J8" s="152" t="b">
        <v>0</v>
      </c>
      <c r="K8" s="152" t="b">
        <v>1</v>
      </c>
      <c r="L8" s="152" t="b">
        <v>1</v>
      </c>
      <c r="M8" s="152" t="b">
        <v>0</v>
      </c>
      <c r="N8" s="152" t="b">
        <v>0</v>
      </c>
      <c r="O8" s="152" t="b">
        <v>1</v>
      </c>
      <c r="P8" s="152" t="b">
        <v>0</v>
      </c>
      <c r="Q8" s="152" t="b">
        <v>1</v>
      </c>
      <c r="R8" s="152" t="b">
        <v>0</v>
      </c>
      <c r="S8" s="152" t="b">
        <v>1</v>
      </c>
      <c r="T8" s="152" t="b">
        <v>0</v>
      </c>
      <c r="U8" s="152" t="b">
        <v>1</v>
      </c>
      <c r="V8" s="152" t="b">
        <v>0</v>
      </c>
      <c r="W8" s="152" t="b">
        <v>0</v>
      </c>
      <c r="X8" s="152" t="b">
        <v>0</v>
      </c>
      <c r="Y8" s="152" t="b">
        <v>0</v>
      </c>
      <c r="Z8" s="152" t="b">
        <v>0</v>
      </c>
      <c r="AA8" s="153" t="str">
        <f>IFERROR(__xludf.DUMMYFUNCTION("SPARKLINE(BYCOL(G8:Z8,LAMBDA(x,IF(x,1,-1))),{""charttype"",""winloss"";""color"",""#3053FF"";""negcolor"",""red"";""axis"",true;""axiscolor"",""black""})"),"")</f>
        <v/>
      </c>
      <c r="AB8" s="33"/>
      <c r="AC8" s="33"/>
      <c r="AD8" s="34"/>
      <c r="AE8" s="20"/>
      <c r="AF8" s="154" t="s">
        <v>366</v>
      </c>
      <c r="AG8" s="155" t="b">
        <v>0</v>
      </c>
      <c r="AH8" s="155" t="b">
        <v>0</v>
      </c>
      <c r="AI8" s="155" t="b">
        <v>0</v>
      </c>
      <c r="AJ8" s="155" t="b">
        <v>0</v>
      </c>
      <c r="AK8" s="155" t="b">
        <v>1</v>
      </c>
      <c r="AL8" s="155" t="b">
        <v>1</v>
      </c>
      <c r="AM8" s="155" t="b">
        <v>0</v>
      </c>
      <c r="AN8" s="155" t="b">
        <v>0</v>
      </c>
      <c r="AO8" s="155" t="b">
        <v>1</v>
      </c>
      <c r="AP8" s="155" t="b">
        <v>0</v>
      </c>
      <c r="AQ8" s="155" t="b">
        <v>1</v>
      </c>
      <c r="AR8" s="155" t="b">
        <v>0</v>
      </c>
      <c r="AS8" s="155" t="b">
        <v>1</v>
      </c>
      <c r="AT8" s="155" t="b">
        <v>0</v>
      </c>
      <c r="AU8" s="155" t="b">
        <v>1</v>
      </c>
      <c r="AV8" s="155" t="b">
        <v>0</v>
      </c>
      <c r="AW8" s="155" t="b">
        <v>0</v>
      </c>
      <c r="AX8" s="155" t="b">
        <v>0</v>
      </c>
      <c r="AY8" s="155" t="b">
        <v>0</v>
      </c>
      <c r="AZ8" s="155" t="b">
        <v>0</v>
      </c>
      <c r="BA8" s="156" t="str">
        <f>IFERROR(__xludf.DUMMYFUNCTION("SPARKLINE(BYCOL(AG8:AZ8,LAMBDA(x,IF(x,1,-1))),{""charttype"",""winloss"";""color"",""#3053FF"";""negcolor"",""red"";""axis"",true;""axiscolor"",""black""})"),"")</f>
        <v/>
      </c>
      <c r="BB8" s="33"/>
      <c r="BC8" s="33"/>
      <c r="BD8" s="34"/>
    </row>
    <row r="9">
      <c r="A9" s="25"/>
      <c r="B9" s="42" t="s">
        <v>380</v>
      </c>
      <c r="C9" s="43"/>
      <c r="E9" s="20"/>
      <c r="F9" s="151" t="s">
        <v>381</v>
      </c>
      <c r="G9" s="152" t="b">
        <v>1</v>
      </c>
      <c r="H9" s="152" t="b">
        <v>1</v>
      </c>
      <c r="I9" s="152" t="b">
        <v>1</v>
      </c>
      <c r="J9" s="152" t="b">
        <v>0</v>
      </c>
      <c r="K9" s="152" t="b">
        <v>1</v>
      </c>
      <c r="L9" s="152" t="b">
        <v>0</v>
      </c>
      <c r="M9" s="152" t="b">
        <v>0</v>
      </c>
      <c r="N9" s="152" t="b">
        <v>1</v>
      </c>
      <c r="O9" s="152" t="b">
        <v>0</v>
      </c>
      <c r="P9" s="152" t="b">
        <v>0</v>
      </c>
      <c r="Q9" s="152" t="b">
        <v>1</v>
      </c>
      <c r="R9" s="152" t="b">
        <v>0</v>
      </c>
      <c r="S9" s="152" t="b">
        <v>0</v>
      </c>
      <c r="T9" s="152" t="b">
        <v>1</v>
      </c>
      <c r="U9" s="152" t="b">
        <v>1</v>
      </c>
      <c r="V9" s="152" t="b">
        <v>1</v>
      </c>
      <c r="W9" s="152" t="b">
        <v>0</v>
      </c>
      <c r="X9" s="152" t="b">
        <v>1</v>
      </c>
      <c r="Y9" s="152" t="b">
        <v>1</v>
      </c>
      <c r="Z9" s="152" t="b">
        <v>0</v>
      </c>
      <c r="AA9" s="153" t="str">
        <f>IFERROR(__xludf.DUMMYFUNCTION("SPARKLINE(BYCOL(G9:Z9,LAMBDA(x,IF(x,1,-1))),{""charttype"",""winloss"";""color"",""#3053FF"";""negcolor"",""red"";""axis"",true;""axiscolor"",""black""})"),"")</f>
        <v/>
      </c>
      <c r="AB9" s="33"/>
      <c r="AC9" s="33"/>
      <c r="AD9" s="34"/>
      <c r="AE9" s="20"/>
      <c r="AF9" s="154" t="s">
        <v>381</v>
      </c>
      <c r="AG9" s="155" t="b">
        <v>1</v>
      </c>
      <c r="AH9" s="155" t="b">
        <v>1</v>
      </c>
      <c r="AI9" s="155" t="b">
        <v>1</v>
      </c>
      <c r="AJ9" s="155" t="b">
        <v>0</v>
      </c>
      <c r="AK9" s="155" t="b">
        <v>1</v>
      </c>
      <c r="AL9" s="155" t="b">
        <v>0</v>
      </c>
      <c r="AM9" s="155" t="b">
        <v>0</v>
      </c>
      <c r="AN9" s="155" t="b">
        <v>1</v>
      </c>
      <c r="AO9" s="155" t="b">
        <v>0</v>
      </c>
      <c r="AP9" s="155" t="b">
        <v>0</v>
      </c>
      <c r="AQ9" s="155" t="b">
        <v>1</v>
      </c>
      <c r="AR9" s="155" t="b">
        <v>0</v>
      </c>
      <c r="AS9" s="155" t="b">
        <v>0</v>
      </c>
      <c r="AT9" s="155" t="b">
        <v>1</v>
      </c>
      <c r="AU9" s="155" t="b">
        <v>1</v>
      </c>
      <c r="AV9" s="155" t="b">
        <v>1</v>
      </c>
      <c r="AW9" s="155" t="b">
        <v>0</v>
      </c>
      <c r="AX9" s="155" t="b">
        <v>1</v>
      </c>
      <c r="AY9" s="155" t="b">
        <v>1</v>
      </c>
      <c r="AZ9" s="155" t="b">
        <v>0</v>
      </c>
      <c r="BA9" s="156" t="str">
        <f>IFERROR(__xludf.DUMMYFUNCTION("SPARKLINE(BYCOL(AG9:AZ9,LAMBDA(x,IF(x,1,-1))),{""charttype"",""winloss"";""color"",""#3053FF"";""negcolor"",""red"";""axis"",true;""axiscolor"",""black""})"),"")</f>
        <v/>
      </c>
      <c r="BB9" s="33"/>
      <c r="BC9" s="33"/>
      <c r="BD9" s="34"/>
    </row>
    <row r="10">
      <c r="A10" s="25"/>
      <c r="B10" s="42" t="s">
        <v>386</v>
      </c>
      <c r="C10" s="43"/>
      <c r="E10" s="20"/>
      <c r="F10" s="151" t="s">
        <v>387</v>
      </c>
      <c r="G10" s="152" t="b">
        <v>1</v>
      </c>
      <c r="H10" s="152" t="b">
        <v>1</v>
      </c>
      <c r="I10" s="152" t="b">
        <v>0</v>
      </c>
      <c r="J10" s="152" t="b">
        <v>1</v>
      </c>
      <c r="K10" s="152" t="b">
        <v>0</v>
      </c>
      <c r="L10" s="152" t="b">
        <v>1</v>
      </c>
      <c r="M10" s="152" t="b">
        <v>1</v>
      </c>
      <c r="N10" s="152" t="b">
        <v>0</v>
      </c>
      <c r="O10" s="152" t="b">
        <v>1</v>
      </c>
      <c r="P10" s="152" t="b">
        <v>0</v>
      </c>
      <c r="Q10" s="152" t="b">
        <v>1</v>
      </c>
      <c r="R10" s="152" t="b">
        <v>0</v>
      </c>
      <c r="S10" s="152" t="b">
        <v>1</v>
      </c>
      <c r="T10" s="152" t="b">
        <v>1</v>
      </c>
      <c r="U10" s="152" t="b">
        <v>1</v>
      </c>
      <c r="V10" s="152" t="b">
        <v>1</v>
      </c>
      <c r="W10" s="152" t="b">
        <v>0</v>
      </c>
      <c r="X10" s="152" t="b">
        <v>0</v>
      </c>
      <c r="Y10" s="152" t="b">
        <v>1</v>
      </c>
      <c r="Z10" s="152" t="b">
        <v>1</v>
      </c>
      <c r="AA10" s="153" t="str">
        <f>IFERROR(__xludf.DUMMYFUNCTION("SPARKLINE(BYCOL(G10:Z10,LAMBDA(x,IF(x,1,-1))),{""charttype"",""winloss"";""color"",""#3053FF"";""negcolor"",""red"";""axis"",true;""axiscolor"",""black""})"),"")</f>
        <v/>
      </c>
      <c r="AB10" s="33"/>
      <c r="AC10" s="33"/>
      <c r="AD10" s="34"/>
      <c r="AE10" s="20"/>
      <c r="AF10" s="154" t="s">
        <v>387</v>
      </c>
      <c r="AG10" s="155" t="b">
        <v>1</v>
      </c>
      <c r="AH10" s="155" t="b">
        <v>1</v>
      </c>
      <c r="AI10" s="155" t="b">
        <v>0</v>
      </c>
      <c r="AJ10" s="155" t="b">
        <v>1</v>
      </c>
      <c r="AK10" s="155" t="b">
        <v>0</v>
      </c>
      <c r="AL10" s="155" t="b">
        <v>1</v>
      </c>
      <c r="AM10" s="155" t="b">
        <v>1</v>
      </c>
      <c r="AN10" s="155" t="b">
        <v>0</v>
      </c>
      <c r="AO10" s="155" t="b">
        <v>1</v>
      </c>
      <c r="AP10" s="155" t="b">
        <v>0</v>
      </c>
      <c r="AQ10" s="155" t="b">
        <v>1</v>
      </c>
      <c r="AR10" s="155" t="b">
        <v>0</v>
      </c>
      <c r="AS10" s="155" t="b">
        <v>1</v>
      </c>
      <c r="AT10" s="155" t="b">
        <v>1</v>
      </c>
      <c r="AU10" s="155" t="b">
        <v>1</v>
      </c>
      <c r="AV10" s="155" t="b">
        <v>1</v>
      </c>
      <c r="AW10" s="155" t="b">
        <v>0</v>
      </c>
      <c r="AX10" s="155" t="b">
        <v>0</v>
      </c>
      <c r="AY10" s="155" t="b">
        <v>1</v>
      </c>
      <c r="AZ10" s="155" t="b">
        <v>1</v>
      </c>
      <c r="BA10" s="156" t="str">
        <f>IFERROR(__xludf.DUMMYFUNCTION("SPARKLINE(BYCOL(AG10:AZ10,LAMBDA(x,IF(x,1,-1))),{""charttype"",""winloss"";""color"",""#3053FF"";""negcolor"",""red"";""axis"",true;""axiscolor"",""black""})"),"")</f>
        <v/>
      </c>
      <c r="BB10" s="33"/>
      <c r="BC10" s="33"/>
      <c r="BD10" s="34"/>
    </row>
    <row r="11">
      <c r="A11" s="25"/>
      <c r="B11" s="42" t="s">
        <v>392</v>
      </c>
      <c r="C11" s="43"/>
      <c r="E11" s="20"/>
      <c r="F11" s="151" t="s">
        <v>69</v>
      </c>
      <c r="G11" s="152" t="b">
        <v>1</v>
      </c>
      <c r="H11" s="152" t="b">
        <v>1</v>
      </c>
      <c r="I11" s="152" t="b">
        <v>1</v>
      </c>
      <c r="J11" s="152" t="b">
        <v>1</v>
      </c>
      <c r="K11" s="152" t="b">
        <v>0</v>
      </c>
      <c r="L11" s="152" t="b">
        <v>1</v>
      </c>
      <c r="M11" s="152" t="b">
        <v>0</v>
      </c>
      <c r="N11" s="152" t="b">
        <v>0</v>
      </c>
      <c r="O11" s="152" t="b">
        <v>0</v>
      </c>
      <c r="P11" s="152" t="b">
        <v>1</v>
      </c>
      <c r="Q11" s="152" t="b">
        <v>1</v>
      </c>
      <c r="R11" s="152" t="b">
        <v>0</v>
      </c>
      <c r="S11" s="152" t="b">
        <v>0</v>
      </c>
      <c r="T11" s="152" t="b">
        <v>0</v>
      </c>
      <c r="U11" s="152" t="b">
        <v>1</v>
      </c>
      <c r="V11" s="152" t="b">
        <v>1</v>
      </c>
      <c r="W11" s="152" t="b">
        <v>1</v>
      </c>
      <c r="X11" s="152" t="b">
        <v>0</v>
      </c>
      <c r="Y11" s="152" t="b">
        <v>0</v>
      </c>
      <c r="Z11" s="152" t="b">
        <v>1</v>
      </c>
      <c r="AA11" s="153" t="str">
        <f>IFERROR(__xludf.DUMMYFUNCTION("SPARKLINE(BYCOL(G11:Z11,LAMBDA(x,IF(x,1,-1))),{""charttype"",""winloss"";""color"",""#3053FF"";""negcolor"",""red"";""axis"",true;""axiscolor"",""black""})"),"")</f>
        <v/>
      </c>
      <c r="AB11" s="33"/>
      <c r="AC11" s="33"/>
      <c r="AD11" s="34"/>
      <c r="AE11" s="20"/>
      <c r="AF11" s="154" t="s">
        <v>69</v>
      </c>
      <c r="AG11" s="155" t="b">
        <v>1</v>
      </c>
      <c r="AH11" s="155" t="b">
        <v>1</v>
      </c>
      <c r="AI11" s="155" t="b">
        <v>1</v>
      </c>
      <c r="AJ11" s="155" t="b">
        <v>1</v>
      </c>
      <c r="AK11" s="155" t="b">
        <v>0</v>
      </c>
      <c r="AL11" s="155" t="b">
        <v>1</v>
      </c>
      <c r="AM11" s="155" t="b">
        <v>0</v>
      </c>
      <c r="AN11" s="155" t="b">
        <v>0</v>
      </c>
      <c r="AO11" s="155" t="b">
        <v>0</v>
      </c>
      <c r="AP11" s="155" t="b">
        <v>1</v>
      </c>
      <c r="AQ11" s="155" t="b">
        <v>1</v>
      </c>
      <c r="AR11" s="155" t="b">
        <v>0</v>
      </c>
      <c r="AS11" s="155" t="b">
        <v>0</v>
      </c>
      <c r="AT11" s="155" t="b">
        <v>0</v>
      </c>
      <c r="AU11" s="155" t="b">
        <v>1</v>
      </c>
      <c r="AV11" s="155" t="b">
        <v>1</v>
      </c>
      <c r="AW11" s="155" t="b">
        <v>1</v>
      </c>
      <c r="AX11" s="155" t="b">
        <v>0</v>
      </c>
      <c r="AY11" s="155" t="b">
        <v>0</v>
      </c>
      <c r="AZ11" s="155" t="b">
        <v>1</v>
      </c>
      <c r="BA11" s="156" t="str">
        <f>IFERROR(__xludf.DUMMYFUNCTION("SPARKLINE(BYCOL(AG11:AZ11,LAMBDA(x,IF(x,1,-1))),{""charttype"",""winloss"";""color"",""#3053FF"";""negcolor"",""red"";""axis"",true;""axiscolor"",""black""})"),"")</f>
        <v/>
      </c>
      <c r="BB11" s="33"/>
      <c r="BC11" s="33"/>
      <c r="BD11" s="34"/>
    </row>
    <row r="12">
      <c r="A12" s="25"/>
      <c r="B12" s="48"/>
      <c r="C12" s="48"/>
      <c r="E12" s="20"/>
      <c r="F12" s="151" t="s">
        <v>394</v>
      </c>
      <c r="G12" s="152" t="b">
        <v>1</v>
      </c>
      <c r="H12" s="152" t="b">
        <v>1</v>
      </c>
      <c r="I12" s="152" t="b">
        <v>1</v>
      </c>
      <c r="J12" s="152" t="b">
        <v>1</v>
      </c>
      <c r="K12" s="152" t="b">
        <v>0</v>
      </c>
      <c r="L12" s="152" t="b">
        <v>1</v>
      </c>
      <c r="M12" s="152" t="b">
        <v>0</v>
      </c>
      <c r="N12" s="152" t="b">
        <v>1</v>
      </c>
      <c r="O12" s="152" t="b">
        <v>1</v>
      </c>
      <c r="P12" s="152" t="b">
        <v>0</v>
      </c>
      <c r="Q12" s="152" t="b">
        <v>1</v>
      </c>
      <c r="R12" s="152" t="b">
        <v>1</v>
      </c>
      <c r="S12" s="152" t="b">
        <v>1</v>
      </c>
      <c r="T12" s="152" t="b">
        <v>1</v>
      </c>
      <c r="U12" s="152" t="b">
        <v>1</v>
      </c>
      <c r="V12" s="152" t="b">
        <v>0</v>
      </c>
      <c r="W12" s="152" t="b">
        <v>1</v>
      </c>
      <c r="X12" s="152" t="b">
        <v>1</v>
      </c>
      <c r="Y12" s="152" t="b">
        <v>0</v>
      </c>
      <c r="Z12" s="152" t="b">
        <v>0</v>
      </c>
      <c r="AA12" s="153" t="str">
        <f>IFERROR(__xludf.DUMMYFUNCTION("SPARKLINE(BYCOL(G12:Z12,LAMBDA(x,IF(x,1,-1))),{""charttype"",""winloss"";""color"",""#3053FF"";""negcolor"",""red"";""axis"",true;""axiscolor"",""black""})"),"")</f>
        <v/>
      </c>
      <c r="AB12" s="33"/>
      <c r="AC12" s="33"/>
      <c r="AD12" s="34"/>
      <c r="AE12" s="20"/>
      <c r="AF12" s="154" t="s">
        <v>394</v>
      </c>
      <c r="AG12" s="155" t="b">
        <v>1</v>
      </c>
      <c r="AH12" s="155" t="b">
        <v>1</v>
      </c>
      <c r="AI12" s="155" t="b">
        <v>1</v>
      </c>
      <c r="AJ12" s="155" t="b">
        <v>1</v>
      </c>
      <c r="AK12" s="155" t="b">
        <v>0</v>
      </c>
      <c r="AL12" s="155" t="b">
        <v>1</v>
      </c>
      <c r="AM12" s="155" t="b">
        <v>0</v>
      </c>
      <c r="AN12" s="155" t="b">
        <v>1</v>
      </c>
      <c r="AO12" s="155" t="b">
        <v>1</v>
      </c>
      <c r="AP12" s="155" t="b">
        <v>0</v>
      </c>
      <c r="AQ12" s="155" t="b">
        <v>1</v>
      </c>
      <c r="AR12" s="155" t="b">
        <v>1</v>
      </c>
      <c r="AS12" s="155" t="b">
        <v>1</v>
      </c>
      <c r="AT12" s="155" t="b">
        <v>1</v>
      </c>
      <c r="AU12" s="155" t="b">
        <v>1</v>
      </c>
      <c r="AV12" s="155" t="b">
        <v>0</v>
      </c>
      <c r="AW12" s="155" t="b">
        <v>1</v>
      </c>
      <c r="AX12" s="155" t="b">
        <v>1</v>
      </c>
      <c r="AY12" s="155" t="b">
        <v>0</v>
      </c>
      <c r="AZ12" s="155" t="b">
        <v>0</v>
      </c>
      <c r="BA12" s="156" t="str">
        <f>IFERROR(__xludf.DUMMYFUNCTION("SPARKLINE(BYCOL(AG12:AZ12,LAMBDA(x,IF(x,1,-1))),{""charttype"",""winloss"";""color"",""#3053FF"";""negcolor"",""red"";""axis"",true;""axiscolor"",""black""})"),"")</f>
        <v/>
      </c>
      <c r="BB12" s="33"/>
      <c r="BC12" s="33"/>
      <c r="BD12" s="34"/>
    </row>
    <row r="13">
      <c r="A13" s="25"/>
      <c r="B13" s="48"/>
      <c r="C13" s="48"/>
      <c r="E13" s="20"/>
      <c r="F13" s="151" t="s">
        <v>78</v>
      </c>
      <c r="G13" s="152" t="b">
        <v>0</v>
      </c>
      <c r="H13" s="152" t="b">
        <v>1</v>
      </c>
      <c r="I13" s="152" t="b">
        <v>1</v>
      </c>
      <c r="J13" s="152" t="b">
        <v>1</v>
      </c>
      <c r="K13" s="152" t="b">
        <v>1</v>
      </c>
      <c r="L13" s="152" t="b">
        <v>1</v>
      </c>
      <c r="M13" s="152" t="b">
        <v>1</v>
      </c>
      <c r="N13" s="152" t="b">
        <v>1</v>
      </c>
      <c r="O13" s="152" t="b">
        <v>0</v>
      </c>
      <c r="P13" s="152" t="b">
        <v>1</v>
      </c>
      <c r="Q13" s="152" t="b">
        <v>0</v>
      </c>
      <c r="R13" s="152" t="b">
        <v>0</v>
      </c>
      <c r="S13" s="152" t="b">
        <v>1</v>
      </c>
      <c r="T13" s="152" t="b">
        <v>0</v>
      </c>
      <c r="U13" s="152" t="b">
        <v>1</v>
      </c>
      <c r="V13" s="152" t="b">
        <v>1</v>
      </c>
      <c r="W13" s="152" t="b">
        <v>0</v>
      </c>
      <c r="X13" s="152" t="b">
        <v>0</v>
      </c>
      <c r="Y13" s="152" t="b">
        <v>1</v>
      </c>
      <c r="Z13" s="152" t="b">
        <v>0</v>
      </c>
      <c r="AA13" s="153" t="str">
        <f>IFERROR(__xludf.DUMMYFUNCTION("SPARKLINE(BYCOL(G13:Z13,LAMBDA(x,IF(x,1,-1))),{""charttype"",""winloss"";""color"",""#3053FF"";""negcolor"",""red"";""axis"",true;""axiscolor"",""black""})"),"")</f>
        <v/>
      </c>
      <c r="AB13" s="33"/>
      <c r="AC13" s="33"/>
      <c r="AD13" s="34"/>
      <c r="AE13" s="20"/>
      <c r="AF13" s="154" t="s">
        <v>78</v>
      </c>
      <c r="AG13" s="155" t="b">
        <v>0</v>
      </c>
      <c r="AH13" s="155" t="b">
        <v>1</v>
      </c>
      <c r="AI13" s="155" t="b">
        <v>1</v>
      </c>
      <c r="AJ13" s="155" t="b">
        <v>1</v>
      </c>
      <c r="AK13" s="155" t="b">
        <v>1</v>
      </c>
      <c r="AL13" s="155" t="b">
        <v>1</v>
      </c>
      <c r="AM13" s="155" t="b">
        <v>1</v>
      </c>
      <c r="AN13" s="155" t="b">
        <v>1</v>
      </c>
      <c r="AO13" s="155" t="b">
        <v>0</v>
      </c>
      <c r="AP13" s="155" t="b">
        <v>1</v>
      </c>
      <c r="AQ13" s="155" t="b">
        <v>0</v>
      </c>
      <c r="AR13" s="155" t="b">
        <v>0</v>
      </c>
      <c r="AS13" s="155" t="b">
        <v>1</v>
      </c>
      <c r="AT13" s="155" t="b">
        <v>0</v>
      </c>
      <c r="AU13" s="155" t="b">
        <v>1</v>
      </c>
      <c r="AV13" s="155" t="b">
        <v>1</v>
      </c>
      <c r="AW13" s="155" t="b">
        <v>0</v>
      </c>
      <c r="AX13" s="155" t="b">
        <v>0</v>
      </c>
      <c r="AY13" s="155" t="b">
        <v>1</v>
      </c>
      <c r="AZ13" s="155" t="b">
        <v>0</v>
      </c>
      <c r="BA13" s="156" t="str">
        <f>IFERROR(__xludf.DUMMYFUNCTION("SPARKLINE(BYCOL(AG13:AZ13,LAMBDA(x,IF(x,1,-1))),{""charttype"",""winloss"";""color"",""#3053FF"";""negcolor"",""red"";""axis"",true;""axiscolor"",""black""})"),"")</f>
        <v/>
      </c>
      <c r="BB13" s="33"/>
      <c r="BC13" s="33"/>
      <c r="BD13" s="34"/>
    </row>
    <row r="14">
      <c r="A14" s="25"/>
      <c r="B14" s="48"/>
      <c r="C14" s="48"/>
      <c r="E14" s="20"/>
      <c r="F14" s="151" t="s">
        <v>404</v>
      </c>
      <c r="G14" s="152" t="b">
        <v>0</v>
      </c>
      <c r="H14" s="152" t="b">
        <v>0</v>
      </c>
      <c r="I14" s="152" t="b">
        <v>1</v>
      </c>
      <c r="J14" s="152" t="b">
        <v>1</v>
      </c>
      <c r="K14" s="152" t="b">
        <v>0</v>
      </c>
      <c r="L14" s="152" t="b">
        <v>0</v>
      </c>
      <c r="M14" s="152" t="b">
        <v>0</v>
      </c>
      <c r="N14" s="152" t="b">
        <v>0</v>
      </c>
      <c r="O14" s="152" t="b">
        <v>0</v>
      </c>
      <c r="P14" s="152" t="b">
        <v>0</v>
      </c>
      <c r="Q14" s="152" t="b">
        <v>0</v>
      </c>
      <c r="R14" s="152" t="b">
        <v>1</v>
      </c>
      <c r="S14" s="152" t="b">
        <v>1</v>
      </c>
      <c r="T14" s="152" t="b">
        <v>1</v>
      </c>
      <c r="U14" s="152" t="b">
        <v>1</v>
      </c>
      <c r="V14" s="152" t="b">
        <v>1</v>
      </c>
      <c r="W14" s="152" t="b">
        <v>1</v>
      </c>
      <c r="X14" s="152" t="b">
        <v>0</v>
      </c>
      <c r="Y14" s="152" t="b">
        <v>0</v>
      </c>
      <c r="Z14" s="152" t="b">
        <v>0</v>
      </c>
      <c r="AA14" s="153" t="str">
        <f>IFERROR(__xludf.DUMMYFUNCTION("SPARKLINE(BYCOL(G14:Z14,LAMBDA(x,IF(x,1,-1))),{""charttype"",""winloss"";""color"",""#3053FF"";""negcolor"",""red"";""axis"",true;""axiscolor"",""black""})"),"")</f>
        <v/>
      </c>
      <c r="AB14" s="33"/>
      <c r="AC14" s="33"/>
      <c r="AD14" s="34"/>
      <c r="AE14" s="20"/>
      <c r="AF14" s="154" t="s">
        <v>404</v>
      </c>
      <c r="AG14" s="155" t="b">
        <v>0</v>
      </c>
      <c r="AH14" s="155" t="b">
        <v>0</v>
      </c>
      <c r="AI14" s="155" t="b">
        <v>1</v>
      </c>
      <c r="AJ14" s="155" t="b">
        <v>1</v>
      </c>
      <c r="AK14" s="155" t="b">
        <v>0</v>
      </c>
      <c r="AL14" s="155" t="b">
        <v>0</v>
      </c>
      <c r="AM14" s="155" t="b">
        <v>0</v>
      </c>
      <c r="AN14" s="155" t="b">
        <v>0</v>
      </c>
      <c r="AO14" s="155" t="b">
        <v>0</v>
      </c>
      <c r="AP14" s="155" t="b">
        <v>0</v>
      </c>
      <c r="AQ14" s="155" t="b">
        <v>0</v>
      </c>
      <c r="AR14" s="155" t="b">
        <v>1</v>
      </c>
      <c r="AS14" s="155" t="b">
        <v>1</v>
      </c>
      <c r="AT14" s="155" t="b">
        <v>1</v>
      </c>
      <c r="AU14" s="155" t="b">
        <v>1</v>
      </c>
      <c r="AV14" s="155" t="b">
        <v>1</v>
      </c>
      <c r="AW14" s="155" t="b">
        <v>1</v>
      </c>
      <c r="AX14" s="155" t="b">
        <v>0</v>
      </c>
      <c r="AY14" s="155" t="b">
        <v>0</v>
      </c>
      <c r="AZ14" s="155" t="b">
        <v>0</v>
      </c>
      <c r="BA14" s="156" t="str">
        <f>IFERROR(__xludf.DUMMYFUNCTION("SPARKLINE(BYCOL(AG14:AZ14,LAMBDA(x,IF(x,1,-1))),{""charttype"",""winloss"";""color"",""#3053FF"";""negcolor"",""red"";""axis"",true;""axiscolor"",""black""})"),"")</f>
        <v/>
      </c>
      <c r="BB14" s="33"/>
      <c r="BC14" s="33"/>
      <c r="BD14" s="34"/>
    </row>
    <row r="15">
      <c r="A15" s="25"/>
      <c r="B15" s="48"/>
      <c r="C15" s="48"/>
      <c r="E15" s="20"/>
      <c r="F15" s="151" t="s">
        <v>407</v>
      </c>
      <c r="G15" s="152" t="b">
        <v>0</v>
      </c>
      <c r="H15" s="152" t="b">
        <v>0</v>
      </c>
      <c r="I15" s="152" t="b">
        <v>1</v>
      </c>
      <c r="J15" s="152" t="b">
        <v>0</v>
      </c>
      <c r="K15" s="152" t="b">
        <v>0</v>
      </c>
      <c r="L15" s="152" t="b">
        <v>1</v>
      </c>
      <c r="M15" s="152" t="b">
        <v>0</v>
      </c>
      <c r="N15" s="152" t="b">
        <v>0</v>
      </c>
      <c r="O15" s="152" t="b">
        <v>1</v>
      </c>
      <c r="P15" s="152" t="b">
        <v>0</v>
      </c>
      <c r="Q15" s="152" t="b">
        <v>0</v>
      </c>
      <c r="R15" s="152" t="b">
        <v>1</v>
      </c>
      <c r="S15" s="152" t="b">
        <v>0</v>
      </c>
      <c r="T15" s="152" t="b">
        <v>1</v>
      </c>
      <c r="U15" s="152" t="b">
        <v>0</v>
      </c>
      <c r="V15" s="152" t="b">
        <v>0</v>
      </c>
      <c r="W15" s="152" t="b">
        <v>0</v>
      </c>
      <c r="X15" s="152" t="b">
        <v>1</v>
      </c>
      <c r="Y15" s="152" t="b">
        <v>0</v>
      </c>
      <c r="Z15" s="152" t="b">
        <v>0</v>
      </c>
      <c r="AA15" s="153" t="str">
        <f>IFERROR(__xludf.DUMMYFUNCTION("SPARKLINE(BYCOL(G15:Z15,LAMBDA(x,IF(x,1,-1))),{""charttype"",""winloss"";""color"",""#3053FF"";""negcolor"",""red"";""axis"",true;""axiscolor"",""black""})"),"")</f>
        <v/>
      </c>
      <c r="AB15" s="33"/>
      <c r="AC15" s="33"/>
      <c r="AD15" s="34"/>
      <c r="AE15" s="20"/>
      <c r="AF15" s="154" t="s">
        <v>407</v>
      </c>
      <c r="AG15" s="155" t="b">
        <v>0</v>
      </c>
      <c r="AH15" s="155" t="b">
        <v>0</v>
      </c>
      <c r="AI15" s="155" t="b">
        <v>1</v>
      </c>
      <c r="AJ15" s="155" t="b">
        <v>0</v>
      </c>
      <c r="AK15" s="155" t="b">
        <v>0</v>
      </c>
      <c r="AL15" s="155" t="b">
        <v>1</v>
      </c>
      <c r="AM15" s="155" t="b">
        <v>0</v>
      </c>
      <c r="AN15" s="155" t="b">
        <v>0</v>
      </c>
      <c r="AO15" s="155" t="b">
        <v>1</v>
      </c>
      <c r="AP15" s="155" t="b">
        <v>0</v>
      </c>
      <c r="AQ15" s="155" t="b">
        <v>0</v>
      </c>
      <c r="AR15" s="155" t="b">
        <v>1</v>
      </c>
      <c r="AS15" s="155" t="b">
        <v>0</v>
      </c>
      <c r="AT15" s="155" t="b">
        <v>1</v>
      </c>
      <c r="AU15" s="155" t="b">
        <v>0</v>
      </c>
      <c r="AV15" s="155" t="b">
        <v>0</v>
      </c>
      <c r="AW15" s="155" t="b">
        <v>0</v>
      </c>
      <c r="AX15" s="155" t="b">
        <v>1</v>
      </c>
      <c r="AY15" s="155" t="b">
        <v>0</v>
      </c>
      <c r="AZ15" s="155" t="b">
        <v>0</v>
      </c>
      <c r="BA15" s="156" t="str">
        <f>IFERROR(__xludf.DUMMYFUNCTION("SPARKLINE(BYCOL(AG15:AZ15,LAMBDA(x,IF(x,1,-1))),{""charttype"",""winloss"";""color"",""#3053FF"";""negcolor"",""red"";""axis"",true;""axiscolor"",""black""})"),"")</f>
        <v/>
      </c>
      <c r="BB15" s="33"/>
      <c r="BC15" s="33"/>
      <c r="BD15" s="34"/>
    </row>
    <row r="16">
      <c r="A16" s="25"/>
      <c r="B16" s="48"/>
      <c r="C16" s="4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13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</row>
    <row r="17" ht="27.75" customHeight="1">
      <c r="A17" s="25"/>
      <c r="B17" s="51" t="s">
        <v>32</v>
      </c>
      <c r="C17" s="48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13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</row>
    <row r="18">
      <c r="A18" s="25"/>
      <c r="B18" s="53"/>
      <c r="C18" s="48"/>
      <c r="E18" s="20"/>
      <c r="F18" s="129" t="s">
        <v>410</v>
      </c>
      <c r="G18" s="7"/>
      <c r="H18" s="7"/>
      <c r="I18" s="7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13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</row>
    <row r="19" ht="30.0" customHeight="1">
      <c r="A19" s="25"/>
      <c r="B19" s="25"/>
      <c r="C19" s="50"/>
      <c r="E19" s="20"/>
      <c r="G19" s="131"/>
      <c r="H19" s="131"/>
      <c r="I19" s="132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13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</row>
    <row r="20">
      <c r="A20" s="25"/>
      <c r="B20" s="54"/>
      <c r="C20" s="52"/>
      <c r="E20" s="20"/>
      <c r="F20" s="41" t="s">
        <v>411</v>
      </c>
      <c r="G20" s="7"/>
      <c r="H20" s="7"/>
      <c r="I20" s="7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130"/>
      <c r="AB20" s="20"/>
      <c r="AC20" s="20"/>
      <c r="AD20" s="20"/>
      <c r="AE20" s="20"/>
      <c r="AF20" s="161" t="s">
        <v>411</v>
      </c>
      <c r="AG20" s="7"/>
      <c r="AH20" s="7"/>
      <c r="AI20" s="7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30"/>
      <c r="BB20" s="20"/>
      <c r="BC20" s="20"/>
      <c r="BD20" s="20"/>
    </row>
    <row r="21" ht="24.0" customHeight="1">
      <c r="A21" s="25"/>
      <c r="B21" s="54" t="s">
        <v>33</v>
      </c>
      <c r="C21" s="51"/>
      <c r="D21" s="162"/>
      <c r="E21" s="20"/>
      <c r="F21" s="163" t="s">
        <v>331</v>
      </c>
      <c r="G21" s="164" t="s">
        <v>338</v>
      </c>
      <c r="H21" s="164" t="s">
        <v>340</v>
      </c>
      <c r="I21" s="164" t="s">
        <v>341</v>
      </c>
      <c r="J21" s="164" t="s">
        <v>342</v>
      </c>
      <c r="K21" s="164" t="s">
        <v>343</v>
      </c>
      <c r="L21" s="164" t="s">
        <v>344</v>
      </c>
      <c r="M21" s="164" t="s">
        <v>345</v>
      </c>
      <c r="N21" s="164" t="s">
        <v>347</v>
      </c>
      <c r="O21" s="164" t="s">
        <v>348</v>
      </c>
      <c r="P21" s="164" t="s">
        <v>349</v>
      </c>
      <c r="Q21" s="164" t="s">
        <v>351</v>
      </c>
      <c r="R21" s="164" t="s">
        <v>352</v>
      </c>
      <c r="S21" s="164" t="s">
        <v>353</v>
      </c>
      <c r="T21" s="164" t="s">
        <v>355</v>
      </c>
      <c r="U21" s="164" t="s">
        <v>356</v>
      </c>
      <c r="V21" s="164" t="s">
        <v>357</v>
      </c>
      <c r="W21" s="164" t="s">
        <v>358</v>
      </c>
      <c r="X21" s="164" t="s">
        <v>359</v>
      </c>
      <c r="Y21" s="164" t="s">
        <v>360</v>
      </c>
      <c r="Z21" s="164" t="s">
        <v>361</v>
      </c>
      <c r="AA21" s="134" t="s">
        <v>415</v>
      </c>
      <c r="AB21" s="33"/>
      <c r="AC21" s="33"/>
      <c r="AD21" s="34"/>
      <c r="AE21" s="20"/>
      <c r="AF21" s="165" t="s">
        <v>331</v>
      </c>
      <c r="AG21" s="166" t="s">
        <v>338</v>
      </c>
      <c r="AH21" s="166" t="s">
        <v>340</v>
      </c>
      <c r="AI21" s="166" t="s">
        <v>341</v>
      </c>
      <c r="AJ21" s="166" t="s">
        <v>342</v>
      </c>
      <c r="AK21" s="166" t="s">
        <v>343</v>
      </c>
      <c r="AL21" s="166" t="s">
        <v>344</v>
      </c>
      <c r="AM21" s="166" t="s">
        <v>345</v>
      </c>
      <c r="AN21" s="166" t="s">
        <v>347</v>
      </c>
      <c r="AO21" s="166" t="s">
        <v>348</v>
      </c>
      <c r="AP21" s="166" t="s">
        <v>349</v>
      </c>
      <c r="AQ21" s="166" t="s">
        <v>351</v>
      </c>
      <c r="AR21" s="166" t="s">
        <v>352</v>
      </c>
      <c r="AS21" s="166" t="s">
        <v>353</v>
      </c>
      <c r="AT21" s="166" t="s">
        <v>355</v>
      </c>
      <c r="AU21" s="166" t="s">
        <v>356</v>
      </c>
      <c r="AV21" s="166" t="s">
        <v>357</v>
      </c>
      <c r="AW21" s="166" t="s">
        <v>358</v>
      </c>
      <c r="AX21" s="166" t="s">
        <v>359</v>
      </c>
      <c r="AY21" s="166" t="s">
        <v>360</v>
      </c>
      <c r="AZ21" s="166" t="s">
        <v>361</v>
      </c>
      <c r="BA21" s="167" t="s">
        <v>415</v>
      </c>
      <c r="BB21" s="168"/>
      <c r="BC21" s="168"/>
      <c r="BD21" s="169"/>
    </row>
    <row r="22">
      <c r="A22" s="25"/>
      <c r="B22" s="55" t="s">
        <v>3</v>
      </c>
      <c r="C22" s="53"/>
      <c r="D22" s="162"/>
      <c r="E22" s="20"/>
      <c r="F22" s="151" t="s">
        <v>420</v>
      </c>
      <c r="G22" s="170">
        <v>120.0</v>
      </c>
      <c r="H22" s="170">
        <v>150.0</v>
      </c>
      <c r="I22" s="170">
        <v>73.0</v>
      </c>
      <c r="J22" s="170">
        <v>85.0</v>
      </c>
      <c r="K22" s="170">
        <v>122.0</v>
      </c>
      <c r="L22" s="170">
        <v>186.0</v>
      </c>
      <c r="M22" s="170">
        <v>57.0</v>
      </c>
      <c r="N22" s="170">
        <v>86.0</v>
      </c>
      <c r="O22" s="170">
        <v>113.0</v>
      </c>
      <c r="P22" s="170">
        <v>119.0</v>
      </c>
      <c r="Q22" s="170">
        <v>116.0</v>
      </c>
      <c r="R22" s="170">
        <v>182.0</v>
      </c>
      <c r="S22" s="170">
        <v>79.0</v>
      </c>
      <c r="T22" s="170">
        <v>177.0</v>
      </c>
      <c r="U22" s="170">
        <v>84.0</v>
      </c>
      <c r="V22" s="170">
        <v>156.0</v>
      </c>
      <c r="W22" s="170">
        <v>153.0</v>
      </c>
      <c r="X22" s="170">
        <v>95.0</v>
      </c>
      <c r="Y22" s="170">
        <v>62.0</v>
      </c>
      <c r="Z22" s="170">
        <v>90.0</v>
      </c>
      <c r="AA22" s="153"/>
      <c r="AB22" s="33"/>
      <c r="AC22" s="33"/>
      <c r="AD22" s="34"/>
      <c r="AE22" s="20"/>
      <c r="AF22" s="171" t="s">
        <v>420</v>
      </c>
      <c r="AG22" s="172">
        <v>120.0</v>
      </c>
      <c r="AH22" s="172">
        <v>150.0</v>
      </c>
      <c r="AI22" s="172">
        <v>73.0</v>
      </c>
      <c r="AJ22" s="172">
        <v>85.0</v>
      </c>
      <c r="AK22" s="172">
        <v>122.0</v>
      </c>
      <c r="AL22" s="172">
        <v>186.0</v>
      </c>
      <c r="AM22" s="172">
        <v>57.0</v>
      </c>
      <c r="AN22" s="172">
        <v>86.0</v>
      </c>
      <c r="AO22" s="172">
        <v>113.0</v>
      </c>
      <c r="AP22" s="172">
        <v>119.0</v>
      </c>
      <c r="AQ22" s="172">
        <v>116.0</v>
      </c>
      <c r="AR22" s="172">
        <v>182.0</v>
      </c>
      <c r="AS22" s="172">
        <v>79.0</v>
      </c>
      <c r="AT22" s="172">
        <v>177.0</v>
      </c>
      <c r="AU22" s="172">
        <v>84.0</v>
      </c>
      <c r="AV22" s="172">
        <v>156.0</v>
      </c>
      <c r="AW22" s="172">
        <v>153.0</v>
      </c>
      <c r="AX22" s="172">
        <v>95.0</v>
      </c>
      <c r="AY22" s="172">
        <v>62.0</v>
      </c>
      <c r="AZ22" s="172">
        <v>90.0</v>
      </c>
      <c r="BA22" s="173"/>
      <c r="BB22" s="168"/>
      <c r="BC22" s="168"/>
      <c r="BD22" s="169"/>
    </row>
    <row r="23">
      <c r="A23" s="25"/>
      <c r="B23" s="53"/>
      <c r="C23" s="53"/>
      <c r="D23" s="162"/>
      <c r="E23" s="20"/>
      <c r="F23" s="151" t="s">
        <v>421</v>
      </c>
      <c r="G23" s="170">
        <v>163.0</v>
      </c>
      <c r="H23" s="170">
        <v>154.0</v>
      </c>
      <c r="I23" s="170">
        <v>170.0</v>
      </c>
      <c r="J23" s="170">
        <v>98.0</v>
      </c>
      <c r="K23" s="170">
        <v>139.0</v>
      </c>
      <c r="L23" s="170">
        <v>85.0</v>
      </c>
      <c r="M23" s="170">
        <v>75.0</v>
      </c>
      <c r="N23" s="170">
        <v>198.0</v>
      </c>
      <c r="O23" s="170">
        <v>64.0</v>
      </c>
      <c r="P23" s="170">
        <v>156.0</v>
      </c>
      <c r="Q23" s="170">
        <v>104.0</v>
      </c>
      <c r="R23" s="170">
        <v>89.0</v>
      </c>
      <c r="S23" s="170">
        <v>172.0</v>
      </c>
      <c r="T23" s="170">
        <v>157.0</v>
      </c>
      <c r="U23" s="170">
        <v>162.0</v>
      </c>
      <c r="V23" s="170">
        <v>59.0</v>
      </c>
      <c r="W23" s="170">
        <v>57.0</v>
      </c>
      <c r="X23" s="170">
        <v>69.0</v>
      </c>
      <c r="Y23" s="170">
        <v>177.0</v>
      </c>
      <c r="Z23" s="170">
        <v>135.0</v>
      </c>
      <c r="AA23" s="153"/>
      <c r="AB23" s="33"/>
      <c r="AC23" s="33"/>
      <c r="AD23" s="34"/>
      <c r="AE23" s="20"/>
      <c r="AF23" s="171" t="s">
        <v>421</v>
      </c>
      <c r="AG23" s="172">
        <v>163.0</v>
      </c>
      <c r="AH23" s="172">
        <v>154.0</v>
      </c>
      <c r="AI23" s="172">
        <v>170.0</v>
      </c>
      <c r="AJ23" s="172">
        <v>98.0</v>
      </c>
      <c r="AK23" s="172">
        <v>139.0</v>
      </c>
      <c r="AL23" s="172">
        <v>85.0</v>
      </c>
      <c r="AM23" s="172">
        <v>75.0</v>
      </c>
      <c r="AN23" s="172">
        <v>198.0</v>
      </c>
      <c r="AO23" s="172">
        <v>64.0</v>
      </c>
      <c r="AP23" s="172">
        <v>156.0</v>
      </c>
      <c r="AQ23" s="172">
        <v>104.0</v>
      </c>
      <c r="AR23" s="172">
        <v>89.0</v>
      </c>
      <c r="AS23" s="172">
        <v>172.0</v>
      </c>
      <c r="AT23" s="172">
        <v>157.0</v>
      </c>
      <c r="AU23" s="172">
        <v>162.0</v>
      </c>
      <c r="AV23" s="172">
        <v>59.0</v>
      </c>
      <c r="AW23" s="172">
        <v>57.0</v>
      </c>
      <c r="AX23" s="172">
        <v>69.0</v>
      </c>
      <c r="AY23" s="172">
        <v>177.0</v>
      </c>
      <c r="AZ23" s="172">
        <v>135.0</v>
      </c>
      <c r="BA23" s="173"/>
      <c r="BB23" s="168"/>
      <c r="BC23" s="168"/>
      <c r="BD23" s="169"/>
    </row>
    <row r="24">
      <c r="A24" s="25"/>
      <c r="B24" s="54"/>
      <c r="C24" s="54"/>
      <c r="D24" s="162"/>
      <c r="E24" s="20"/>
      <c r="F24" s="151" t="s">
        <v>422</v>
      </c>
      <c r="G24" s="170">
        <v>76.0</v>
      </c>
      <c r="H24" s="170">
        <v>122.0</v>
      </c>
      <c r="I24" s="170">
        <v>54.0</v>
      </c>
      <c r="J24" s="170">
        <v>132.0</v>
      </c>
      <c r="K24" s="170">
        <v>150.0</v>
      </c>
      <c r="L24" s="170">
        <v>63.0</v>
      </c>
      <c r="M24" s="170">
        <v>174.0</v>
      </c>
      <c r="N24" s="170">
        <v>130.0</v>
      </c>
      <c r="O24" s="170">
        <v>89.0</v>
      </c>
      <c r="P24" s="170">
        <v>137.0</v>
      </c>
      <c r="Q24" s="170">
        <v>91.0</v>
      </c>
      <c r="R24" s="170">
        <v>76.0</v>
      </c>
      <c r="S24" s="170">
        <v>194.0</v>
      </c>
      <c r="T24" s="170">
        <v>143.0</v>
      </c>
      <c r="U24" s="170">
        <v>107.0</v>
      </c>
      <c r="V24" s="170">
        <v>180.0</v>
      </c>
      <c r="W24" s="170">
        <v>174.0</v>
      </c>
      <c r="X24" s="170">
        <v>141.0</v>
      </c>
      <c r="Y24" s="170">
        <v>51.0</v>
      </c>
      <c r="Z24" s="170">
        <v>152.0</v>
      </c>
      <c r="AA24" s="153"/>
      <c r="AB24" s="33"/>
      <c r="AC24" s="33"/>
      <c r="AD24" s="34"/>
      <c r="AE24" s="20"/>
      <c r="AF24" s="171" t="s">
        <v>422</v>
      </c>
      <c r="AG24" s="172">
        <v>76.0</v>
      </c>
      <c r="AH24" s="172">
        <v>122.0</v>
      </c>
      <c r="AI24" s="172">
        <v>54.0</v>
      </c>
      <c r="AJ24" s="172">
        <v>132.0</v>
      </c>
      <c r="AK24" s="172">
        <v>150.0</v>
      </c>
      <c r="AL24" s="172">
        <v>63.0</v>
      </c>
      <c r="AM24" s="172">
        <v>174.0</v>
      </c>
      <c r="AN24" s="172">
        <v>130.0</v>
      </c>
      <c r="AO24" s="172">
        <v>89.0</v>
      </c>
      <c r="AP24" s="172">
        <v>137.0</v>
      </c>
      <c r="AQ24" s="172">
        <v>91.0</v>
      </c>
      <c r="AR24" s="172">
        <v>76.0</v>
      </c>
      <c r="AS24" s="172">
        <v>194.0</v>
      </c>
      <c r="AT24" s="172">
        <v>143.0</v>
      </c>
      <c r="AU24" s="172">
        <v>107.0</v>
      </c>
      <c r="AV24" s="172">
        <v>180.0</v>
      </c>
      <c r="AW24" s="172">
        <v>174.0</v>
      </c>
      <c r="AX24" s="172">
        <v>141.0</v>
      </c>
      <c r="AY24" s="172">
        <v>51.0</v>
      </c>
      <c r="AZ24" s="172">
        <v>152.0</v>
      </c>
      <c r="BA24" s="173"/>
      <c r="BB24" s="168"/>
      <c r="BC24" s="168"/>
      <c r="BD24" s="169"/>
    </row>
    <row r="25">
      <c r="A25" s="25"/>
      <c r="B25" s="56"/>
      <c r="C25" s="53"/>
      <c r="D25" s="162"/>
      <c r="E25" s="20"/>
      <c r="F25" s="151" t="s">
        <v>429</v>
      </c>
      <c r="G25" s="170">
        <v>143.0</v>
      </c>
      <c r="H25" s="170">
        <v>152.0</v>
      </c>
      <c r="I25" s="170">
        <v>52.0</v>
      </c>
      <c r="J25" s="170">
        <v>125.0</v>
      </c>
      <c r="K25" s="170">
        <v>108.0</v>
      </c>
      <c r="L25" s="170">
        <v>150.0</v>
      </c>
      <c r="M25" s="170">
        <v>94.0</v>
      </c>
      <c r="N25" s="170">
        <v>126.0</v>
      </c>
      <c r="O25" s="170">
        <v>187.0</v>
      </c>
      <c r="P25" s="170">
        <v>176.0</v>
      </c>
      <c r="Q25" s="170">
        <v>192.0</v>
      </c>
      <c r="R25" s="170">
        <v>173.0</v>
      </c>
      <c r="S25" s="170">
        <v>146.0</v>
      </c>
      <c r="T25" s="170">
        <v>184.0</v>
      </c>
      <c r="U25" s="170">
        <v>76.0</v>
      </c>
      <c r="V25" s="170">
        <v>169.0</v>
      </c>
      <c r="W25" s="170">
        <v>142.0</v>
      </c>
      <c r="X25" s="170">
        <v>158.0</v>
      </c>
      <c r="Y25" s="170">
        <v>168.0</v>
      </c>
      <c r="Z25" s="170">
        <v>81.0</v>
      </c>
      <c r="AA25" s="153"/>
      <c r="AB25" s="33"/>
      <c r="AC25" s="33"/>
      <c r="AD25" s="34"/>
      <c r="AE25" s="20"/>
      <c r="AF25" s="171" t="s">
        <v>429</v>
      </c>
      <c r="AG25" s="172">
        <v>143.0</v>
      </c>
      <c r="AH25" s="172">
        <v>152.0</v>
      </c>
      <c r="AI25" s="172">
        <v>52.0</v>
      </c>
      <c r="AJ25" s="172">
        <v>125.0</v>
      </c>
      <c r="AK25" s="172">
        <v>108.0</v>
      </c>
      <c r="AL25" s="172">
        <v>150.0</v>
      </c>
      <c r="AM25" s="172">
        <v>94.0</v>
      </c>
      <c r="AN25" s="172">
        <v>126.0</v>
      </c>
      <c r="AO25" s="172">
        <v>187.0</v>
      </c>
      <c r="AP25" s="172">
        <v>176.0</v>
      </c>
      <c r="AQ25" s="172">
        <v>192.0</v>
      </c>
      <c r="AR25" s="172">
        <v>173.0</v>
      </c>
      <c r="AS25" s="172">
        <v>146.0</v>
      </c>
      <c r="AT25" s="172">
        <v>184.0</v>
      </c>
      <c r="AU25" s="172">
        <v>76.0</v>
      </c>
      <c r="AV25" s="172">
        <v>169.0</v>
      </c>
      <c r="AW25" s="172">
        <v>142.0</v>
      </c>
      <c r="AX25" s="172">
        <v>158.0</v>
      </c>
      <c r="AY25" s="172">
        <v>168.0</v>
      </c>
      <c r="AZ25" s="172">
        <v>81.0</v>
      </c>
      <c r="BA25" s="173"/>
      <c r="BB25" s="168"/>
      <c r="BC25" s="168"/>
      <c r="BD25" s="169"/>
    </row>
    <row r="26">
      <c r="A26" s="25"/>
      <c r="B26" s="53"/>
      <c r="C26" s="53"/>
      <c r="D26" s="174"/>
      <c r="E26" s="20"/>
      <c r="F26" s="151" t="s">
        <v>433</v>
      </c>
      <c r="G26" s="170">
        <v>74.0</v>
      </c>
      <c r="H26" s="170">
        <v>157.0</v>
      </c>
      <c r="I26" s="170">
        <v>83.0</v>
      </c>
      <c r="J26" s="170">
        <v>188.0</v>
      </c>
      <c r="K26" s="170">
        <v>183.0</v>
      </c>
      <c r="L26" s="170">
        <v>166.0</v>
      </c>
      <c r="M26" s="170">
        <v>189.0</v>
      </c>
      <c r="N26" s="170">
        <v>133.0</v>
      </c>
      <c r="O26" s="170">
        <v>58.0</v>
      </c>
      <c r="P26" s="170">
        <v>55.0</v>
      </c>
      <c r="Q26" s="170">
        <v>92.0</v>
      </c>
      <c r="R26" s="170">
        <v>97.0</v>
      </c>
      <c r="S26" s="170">
        <v>126.0</v>
      </c>
      <c r="T26" s="170">
        <v>200.0</v>
      </c>
      <c r="U26" s="170">
        <v>91.0</v>
      </c>
      <c r="V26" s="170">
        <v>157.0</v>
      </c>
      <c r="W26" s="170">
        <v>146.0</v>
      </c>
      <c r="X26" s="170">
        <v>139.0</v>
      </c>
      <c r="Y26" s="170">
        <v>185.0</v>
      </c>
      <c r="Z26" s="170">
        <v>136.0</v>
      </c>
      <c r="AA26" s="153"/>
      <c r="AB26" s="33"/>
      <c r="AC26" s="33"/>
      <c r="AD26" s="34"/>
      <c r="AE26" s="20"/>
      <c r="AF26" s="171" t="s">
        <v>433</v>
      </c>
      <c r="AG26" s="172">
        <v>74.0</v>
      </c>
      <c r="AH26" s="172">
        <v>157.0</v>
      </c>
      <c r="AI26" s="172">
        <v>83.0</v>
      </c>
      <c r="AJ26" s="172">
        <v>188.0</v>
      </c>
      <c r="AK26" s="172">
        <v>183.0</v>
      </c>
      <c r="AL26" s="172">
        <v>166.0</v>
      </c>
      <c r="AM26" s="172">
        <v>189.0</v>
      </c>
      <c r="AN26" s="172">
        <v>133.0</v>
      </c>
      <c r="AO26" s="172">
        <v>58.0</v>
      </c>
      <c r="AP26" s="172">
        <v>55.0</v>
      </c>
      <c r="AQ26" s="172">
        <v>92.0</v>
      </c>
      <c r="AR26" s="172">
        <v>97.0</v>
      </c>
      <c r="AS26" s="172">
        <v>126.0</v>
      </c>
      <c r="AT26" s="172">
        <v>200.0</v>
      </c>
      <c r="AU26" s="172">
        <v>91.0</v>
      </c>
      <c r="AV26" s="172">
        <v>157.0</v>
      </c>
      <c r="AW26" s="172">
        <v>146.0</v>
      </c>
      <c r="AX26" s="172">
        <v>139.0</v>
      </c>
      <c r="AY26" s="172">
        <v>185.0</v>
      </c>
      <c r="AZ26" s="172">
        <v>136.0</v>
      </c>
      <c r="BA26" s="173"/>
      <c r="BB26" s="168"/>
      <c r="BC26" s="168"/>
      <c r="BD26" s="169"/>
    </row>
    <row r="27">
      <c r="A27" s="25"/>
      <c r="B27" s="56"/>
      <c r="C27" s="53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</row>
    <row r="28">
      <c r="A28" s="25"/>
      <c r="B28" s="53"/>
      <c r="C28" s="53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</row>
    <row r="29">
      <c r="A29" s="25"/>
      <c r="B29" s="56"/>
      <c r="C29" s="56"/>
      <c r="E29" s="20"/>
      <c r="F29" s="129" t="s">
        <v>335</v>
      </c>
      <c r="G29" s="7"/>
      <c r="H29" s="7"/>
      <c r="I29" s="7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13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</row>
    <row r="30">
      <c r="A30" s="25"/>
      <c r="B30" s="26"/>
      <c r="C30" s="26"/>
      <c r="E30" s="20"/>
      <c r="G30" s="131"/>
      <c r="H30" s="131"/>
      <c r="I30" s="132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13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</row>
    <row r="31">
      <c r="A31" s="25"/>
      <c r="B31" s="26"/>
      <c r="C31" s="26"/>
      <c r="E31" s="20"/>
      <c r="F31" s="41" t="s">
        <v>440</v>
      </c>
      <c r="G31" s="7"/>
      <c r="H31" s="7"/>
      <c r="I31" s="7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30"/>
      <c r="AB31" s="20"/>
      <c r="AC31" s="20"/>
      <c r="AD31" s="20"/>
      <c r="AE31" s="20"/>
      <c r="AF31" s="161" t="s">
        <v>440</v>
      </c>
      <c r="AG31" s="7"/>
      <c r="AH31" s="7"/>
      <c r="AI31" s="7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30"/>
      <c r="BB31" s="20"/>
      <c r="BC31" s="20"/>
      <c r="BD31" s="20"/>
    </row>
    <row r="32" ht="24.0" customHeight="1">
      <c r="A32" s="25"/>
      <c r="B32" s="26"/>
      <c r="C32" s="26"/>
      <c r="E32" s="20"/>
      <c r="F32" s="141" t="s">
        <v>442</v>
      </c>
      <c r="G32" s="164" t="s">
        <v>338</v>
      </c>
      <c r="H32" s="164" t="s">
        <v>340</v>
      </c>
      <c r="I32" s="164" t="s">
        <v>341</v>
      </c>
      <c r="J32" s="164" t="s">
        <v>342</v>
      </c>
      <c r="K32" s="164" t="s">
        <v>343</v>
      </c>
      <c r="L32" s="164" t="s">
        <v>344</v>
      </c>
      <c r="M32" s="164" t="s">
        <v>345</v>
      </c>
      <c r="N32" s="164" t="s">
        <v>347</v>
      </c>
      <c r="O32" s="164" t="s">
        <v>348</v>
      </c>
      <c r="P32" s="164" t="s">
        <v>349</v>
      </c>
      <c r="Q32" s="164" t="s">
        <v>351</v>
      </c>
      <c r="R32" s="164" t="s">
        <v>352</v>
      </c>
      <c r="S32" s="164" t="s">
        <v>353</v>
      </c>
      <c r="T32" s="164" t="s">
        <v>355</v>
      </c>
      <c r="U32" s="164" t="s">
        <v>356</v>
      </c>
      <c r="V32" s="164" t="s">
        <v>357</v>
      </c>
      <c r="W32" s="164" t="s">
        <v>358</v>
      </c>
      <c r="X32" s="164" t="s">
        <v>359</v>
      </c>
      <c r="Y32" s="164" t="s">
        <v>360</v>
      </c>
      <c r="Z32" s="164" t="s">
        <v>361</v>
      </c>
      <c r="AA32" s="134" t="s">
        <v>447</v>
      </c>
      <c r="AB32" s="33"/>
      <c r="AC32" s="33"/>
      <c r="AD32" s="34"/>
      <c r="AE32" s="20"/>
      <c r="AF32" s="179" t="s">
        <v>442</v>
      </c>
      <c r="AG32" s="166" t="s">
        <v>338</v>
      </c>
      <c r="AH32" s="166" t="s">
        <v>340</v>
      </c>
      <c r="AI32" s="166" t="s">
        <v>341</v>
      </c>
      <c r="AJ32" s="166" t="s">
        <v>342</v>
      </c>
      <c r="AK32" s="166" t="s">
        <v>343</v>
      </c>
      <c r="AL32" s="166" t="s">
        <v>344</v>
      </c>
      <c r="AM32" s="166" t="s">
        <v>345</v>
      </c>
      <c r="AN32" s="166" t="s">
        <v>347</v>
      </c>
      <c r="AO32" s="166" t="s">
        <v>348</v>
      </c>
      <c r="AP32" s="166" t="s">
        <v>349</v>
      </c>
      <c r="AQ32" s="166" t="s">
        <v>351</v>
      </c>
      <c r="AR32" s="166" t="s">
        <v>352</v>
      </c>
      <c r="AS32" s="166" t="s">
        <v>353</v>
      </c>
      <c r="AT32" s="166" t="s">
        <v>355</v>
      </c>
      <c r="AU32" s="166" t="s">
        <v>356</v>
      </c>
      <c r="AV32" s="166" t="s">
        <v>357</v>
      </c>
      <c r="AW32" s="166" t="s">
        <v>358</v>
      </c>
      <c r="AX32" s="166" t="s">
        <v>359</v>
      </c>
      <c r="AY32" s="166" t="s">
        <v>360</v>
      </c>
      <c r="AZ32" s="166" t="s">
        <v>361</v>
      </c>
      <c r="BA32" s="181" t="s">
        <v>447</v>
      </c>
      <c r="BB32" s="168"/>
      <c r="BC32" s="168"/>
      <c r="BD32" s="169"/>
    </row>
    <row r="33">
      <c r="A33" s="25"/>
      <c r="B33" s="26"/>
      <c r="C33" s="26"/>
      <c r="E33" s="20"/>
      <c r="F33" s="151" t="s">
        <v>449</v>
      </c>
      <c r="G33" s="182" t="b">
        <v>1</v>
      </c>
      <c r="H33" s="182" t="b">
        <v>1</v>
      </c>
      <c r="I33" s="182" t="b">
        <v>0</v>
      </c>
      <c r="J33" s="182" t="b">
        <v>1</v>
      </c>
      <c r="K33" s="182" t="b">
        <v>1</v>
      </c>
      <c r="L33" s="182" t="b">
        <v>1</v>
      </c>
      <c r="M33" s="182" t="b">
        <v>1</v>
      </c>
      <c r="N33" s="182" t="b">
        <v>1</v>
      </c>
      <c r="O33" s="182" t="b">
        <v>1</v>
      </c>
      <c r="P33" s="182" t="b">
        <v>1</v>
      </c>
      <c r="Q33" s="182" t="b">
        <v>1</v>
      </c>
      <c r="R33" s="182" t="b">
        <v>1</v>
      </c>
      <c r="S33" s="182" t="b">
        <v>1</v>
      </c>
      <c r="T33" s="182" t="b">
        <v>1</v>
      </c>
      <c r="U33" s="182" t="b">
        <v>0</v>
      </c>
      <c r="V33" s="182" t="b">
        <v>0</v>
      </c>
      <c r="W33" s="182" t="b">
        <v>0</v>
      </c>
      <c r="X33" s="182" t="b">
        <v>1</v>
      </c>
      <c r="Y33" s="182" t="b">
        <v>0</v>
      </c>
      <c r="Z33" s="182" t="b">
        <v>0</v>
      </c>
      <c r="AA33" s="183">
        <f t="shared" ref="AA33:AA47" si="1">COUNTIF(G33:Z33,true)/COUNTA(G33:Z33)</f>
        <v>0.7</v>
      </c>
      <c r="AB33" s="184" t="str">
        <f>IFERROR(__xludf.DUMMYFUNCTION("SPARKLINE({AA33,1-AA33},{""charttype"",""bar"";""max"",1;""color1"",""#3053FF"";""color2"",""red""})"),"")</f>
        <v/>
      </c>
      <c r="AC33" s="33"/>
      <c r="AD33" s="34"/>
      <c r="AE33" s="20"/>
      <c r="AF33" s="171" t="s">
        <v>449</v>
      </c>
      <c r="AG33" s="185" t="b">
        <v>1</v>
      </c>
      <c r="AH33" s="185" t="b">
        <v>1</v>
      </c>
      <c r="AI33" s="185" t="b">
        <v>0</v>
      </c>
      <c r="AJ33" s="185" t="b">
        <v>1</v>
      </c>
      <c r="AK33" s="185" t="b">
        <v>1</v>
      </c>
      <c r="AL33" s="185" t="b">
        <v>1</v>
      </c>
      <c r="AM33" s="185" t="b">
        <v>1</v>
      </c>
      <c r="AN33" s="185" t="b">
        <v>1</v>
      </c>
      <c r="AO33" s="185" t="b">
        <v>1</v>
      </c>
      <c r="AP33" s="185" t="b">
        <v>1</v>
      </c>
      <c r="AQ33" s="185" t="b">
        <v>1</v>
      </c>
      <c r="AR33" s="185" t="b">
        <v>1</v>
      </c>
      <c r="AS33" s="185" t="b">
        <v>1</v>
      </c>
      <c r="AT33" s="185" t="b">
        <v>1</v>
      </c>
      <c r="AU33" s="185" t="b">
        <v>0</v>
      </c>
      <c r="AV33" s="185" t="b">
        <v>0</v>
      </c>
      <c r="AW33" s="185" t="b">
        <v>0</v>
      </c>
      <c r="AX33" s="185" t="b">
        <v>1</v>
      </c>
      <c r="AY33" s="185" t="b">
        <v>0</v>
      </c>
      <c r="AZ33" s="185" t="b">
        <v>0</v>
      </c>
      <c r="BA33" s="186">
        <f t="shared" ref="BA33:BA47" si="2">COUNTIF(AG33:AZ33,true)/COUNTA(AG33:AZ33)</f>
        <v>0.7</v>
      </c>
      <c r="BB33" s="173" t="str">
        <f>IFERROR(__xludf.DUMMYFUNCTION("SPARKLINE({BA33,1-BA33},{""charttype"",""bar"";""max"",1;""color1"",""#3053FF"";""color2"",""red""})"),"")</f>
        <v/>
      </c>
      <c r="BC33" s="168"/>
      <c r="BD33" s="169"/>
    </row>
    <row r="34">
      <c r="A34" s="25"/>
      <c r="B34" s="26"/>
      <c r="C34" s="26"/>
      <c r="E34" s="20"/>
      <c r="F34" s="151" t="s">
        <v>458</v>
      </c>
      <c r="G34" s="182" t="b">
        <v>0</v>
      </c>
      <c r="H34" s="182" t="b">
        <v>1</v>
      </c>
      <c r="I34" s="182" t="b">
        <v>1</v>
      </c>
      <c r="J34" s="182" t="b">
        <v>1</v>
      </c>
      <c r="K34" s="182" t="b">
        <v>1</v>
      </c>
      <c r="L34" s="182" t="b">
        <v>0</v>
      </c>
      <c r="M34" s="182" t="b">
        <v>1</v>
      </c>
      <c r="N34" s="182" t="b">
        <v>1</v>
      </c>
      <c r="O34" s="182" t="b">
        <v>1</v>
      </c>
      <c r="P34" s="182" t="b">
        <v>0</v>
      </c>
      <c r="Q34" s="182" t="b">
        <v>1</v>
      </c>
      <c r="R34" s="182" t="b">
        <v>1</v>
      </c>
      <c r="S34" s="182" t="b">
        <v>1</v>
      </c>
      <c r="T34" s="182" t="b">
        <v>1</v>
      </c>
      <c r="U34" s="182" t="b">
        <v>1</v>
      </c>
      <c r="V34" s="182" t="b">
        <v>1</v>
      </c>
      <c r="W34" s="182" t="b">
        <v>0</v>
      </c>
      <c r="X34" s="182" t="b">
        <v>1</v>
      </c>
      <c r="Y34" s="182" t="b">
        <v>1</v>
      </c>
      <c r="Z34" s="182" t="b">
        <v>1</v>
      </c>
      <c r="AA34" s="183">
        <f t="shared" si="1"/>
        <v>0.8</v>
      </c>
      <c r="AB34" s="184" t="str">
        <f>IFERROR(__xludf.DUMMYFUNCTION("SPARKLINE({AA34,1-AA34},{""charttype"",""bar"";""max"",1;""color1"",""#3053FF"";""color2"",""red""})"),"")</f>
        <v/>
      </c>
      <c r="AC34" s="33"/>
      <c r="AD34" s="34"/>
      <c r="AE34" s="20"/>
      <c r="AF34" s="171" t="s">
        <v>458</v>
      </c>
      <c r="AG34" s="185" t="b">
        <v>0</v>
      </c>
      <c r="AH34" s="185" t="b">
        <v>1</v>
      </c>
      <c r="AI34" s="185" t="b">
        <v>1</v>
      </c>
      <c r="AJ34" s="185" t="b">
        <v>1</v>
      </c>
      <c r="AK34" s="185" t="b">
        <v>1</v>
      </c>
      <c r="AL34" s="185" t="b">
        <v>0</v>
      </c>
      <c r="AM34" s="185" t="b">
        <v>1</v>
      </c>
      <c r="AN34" s="185" t="b">
        <v>1</v>
      </c>
      <c r="AO34" s="185" t="b">
        <v>1</v>
      </c>
      <c r="AP34" s="185" t="b">
        <v>0</v>
      </c>
      <c r="AQ34" s="185" t="b">
        <v>1</v>
      </c>
      <c r="AR34" s="185" t="b">
        <v>1</v>
      </c>
      <c r="AS34" s="185" t="b">
        <v>1</v>
      </c>
      <c r="AT34" s="185" t="b">
        <v>1</v>
      </c>
      <c r="AU34" s="185" t="b">
        <v>1</v>
      </c>
      <c r="AV34" s="185" t="b">
        <v>1</v>
      </c>
      <c r="AW34" s="185" t="b">
        <v>0</v>
      </c>
      <c r="AX34" s="185" t="b">
        <v>1</v>
      </c>
      <c r="AY34" s="185" t="b">
        <v>1</v>
      </c>
      <c r="AZ34" s="185" t="b">
        <v>1</v>
      </c>
      <c r="BA34" s="186">
        <f t="shared" si="2"/>
        <v>0.8</v>
      </c>
      <c r="BB34" s="173" t="str">
        <f>IFERROR(__xludf.DUMMYFUNCTION("SPARKLINE({BA34,1-BA34},{""charttype"",""bar"";""max"",1;""color1"",""#3053FF"";""color2"",""red""})"),"")</f>
        <v/>
      </c>
      <c r="BC34" s="168"/>
      <c r="BD34" s="169"/>
    </row>
    <row r="35">
      <c r="A35" s="25"/>
      <c r="B35" s="26"/>
      <c r="C35" s="26"/>
      <c r="E35" s="20"/>
      <c r="F35" s="151" t="s">
        <v>459</v>
      </c>
      <c r="G35" s="182" t="b">
        <v>1</v>
      </c>
      <c r="H35" s="182" t="b">
        <v>1</v>
      </c>
      <c r="I35" s="182" t="b">
        <v>1</v>
      </c>
      <c r="J35" s="182" t="b">
        <v>1</v>
      </c>
      <c r="K35" s="182" t="b">
        <v>0</v>
      </c>
      <c r="L35" s="182" t="b">
        <v>0</v>
      </c>
      <c r="M35" s="182" t="b">
        <v>1</v>
      </c>
      <c r="N35" s="182" t="b">
        <v>1</v>
      </c>
      <c r="O35" s="182" t="b">
        <v>1</v>
      </c>
      <c r="P35" s="182" t="b">
        <v>1</v>
      </c>
      <c r="Q35" s="182" t="b">
        <v>1</v>
      </c>
      <c r="R35" s="182" t="b">
        <v>0</v>
      </c>
      <c r="S35" s="182" t="b">
        <v>0</v>
      </c>
      <c r="T35" s="182" t="b">
        <v>1</v>
      </c>
      <c r="U35" s="182" t="b">
        <v>0</v>
      </c>
      <c r="V35" s="182" t="b">
        <v>1</v>
      </c>
      <c r="W35" s="182" t="b">
        <v>1</v>
      </c>
      <c r="X35" s="182" t="b">
        <v>1</v>
      </c>
      <c r="Y35" s="182" t="b">
        <v>0</v>
      </c>
      <c r="Z35" s="182" t="b">
        <v>0</v>
      </c>
      <c r="AA35" s="183">
        <f t="shared" si="1"/>
        <v>0.65</v>
      </c>
      <c r="AB35" s="184" t="str">
        <f>IFERROR(__xludf.DUMMYFUNCTION("SPARKLINE({AA35,1-AA35},{""charttype"",""bar"";""max"",1;""color1"",""#3053FF"";""color2"",""red""})"),"")</f>
        <v/>
      </c>
      <c r="AC35" s="33"/>
      <c r="AD35" s="34"/>
      <c r="AE35" s="20"/>
      <c r="AF35" s="171" t="s">
        <v>459</v>
      </c>
      <c r="AG35" s="185" t="b">
        <v>1</v>
      </c>
      <c r="AH35" s="185" t="b">
        <v>1</v>
      </c>
      <c r="AI35" s="185" t="b">
        <v>1</v>
      </c>
      <c r="AJ35" s="185" t="b">
        <v>1</v>
      </c>
      <c r="AK35" s="185" t="b">
        <v>0</v>
      </c>
      <c r="AL35" s="185" t="b">
        <v>0</v>
      </c>
      <c r="AM35" s="185" t="b">
        <v>1</v>
      </c>
      <c r="AN35" s="185" t="b">
        <v>1</v>
      </c>
      <c r="AO35" s="185" t="b">
        <v>1</v>
      </c>
      <c r="AP35" s="185" t="b">
        <v>1</v>
      </c>
      <c r="AQ35" s="185" t="b">
        <v>1</v>
      </c>
      <c r="AR35" s="185" t="b">
        <v>0</v>
      </c>
      <c r="AS35" s="185" t="b">
        <v>0</v>
      </c>
      <c r="AT35" s="185" t="b">
        <v>1</v>
      </c>
      <c r="AU35" s="185" t="b">
        <v>0</v>
      </c>
      <c r="AV35" s="185" t="b">
        <v>1</v>
      </c>
      <c r="AW35" s="185" t="b">
        <v>1</v>
      </c>
      <c r="AX35" s="185" t="b">
        <v>1</v>
      </c>
      <c r="AY35" s="185" t="b">
        <v>0</v>
      </c>
      <c r="AZ35" s="185" t="b">
        <v>0</v>
      </c>
      <c r="BA35" s="186">
        <f t="shared" si="2"/>
        <v>0.65</v>
      </c>
      <c r="BB35" s="173" t="str">
        <f>IFERROR(__xludf.DUMMYFUNCTION("SPARKLINE({BA35,1-BA35},{""charttype"",""bar"";""max"",1;""color1"",""#3053FF"";""color2"",""red""})"),"")</f>
        <v/>
      </c>
      <c r="BC35" s="168"/>
      <c r="BD35" s="169"/>
    </row>
    <row r="36">
      <c r="A36" s="25"/>
      <c r="B36" s="26"/>
      <c r="C36" s="26"/>
      <c r="E36" s="20"/>
      <c r="F36" s="151" t="s">
        <v>463</v>
      </c>
      <c r="G36" s="182" t="b">
        <v>1</v>
      </c>
      <c r="H36" s="182" t="b">
        <v>0</v>
      </c>
      <c r="I36" s="182" t="b">
        <v>1</v>
      </c>
      <c r="J36" s="182" t="b">
        <v>0</v>
      </c>
      <c r="K36" s="182" t="b">
        <v>0</v>
      </c>
      <c r="L36" s="182" t="b">
        <v>1</v>
      </c>
      <c r="M36" s="182" t="b">
        <v>1</v>
      </c>
      <c r="N36" s="182" t="b">
        <v>1</v>
      </c>
      <c r="O36" s="182" t="b">
        <v>0</v>
      </c>
      <c r="P36" s="182" t="b">
        <v>1</v>
      </c>
      <c r="Q36" s="182" t="b">
        <v>1</v>
      </c>
      <c r="R36" s="182" t="b">
        <v>1</v>
      </c>
      <c r="S36" s="182" t="b">
        <v>0</v>
      </c>
      <c r="T36" s="182" t="b">
        <v>1</v>
      </c>
      <c r="U36" s="182" t="b">
        <v>1</v>
      </c>
      <c r="V36" s="182" t="b">
        <v>0</v>
      </c>
      <c r="W36" s="182" t="b">
        <v>1</v>
      </c>
      <c r="X36" s="182" t="b">
        <v>1</v>
      </c>
      <c r="Y36" s="182" t="b">
        <v>1</v>
      </c>
      <c r="Z36" s="182" t="b">
        <v>1</v>
      </c>
      <c r="AA36" s="183">
        <f t="shared" si="1"/>
        <v>0.7</v>
      </c>
      <c r="AB36" s="184" t="str">
        <f>IFERROR(__xludf.DUMMYFUNCTION("SPARKLINE({AA36,1-AA36},{""charttype"",""bar"";""max"",1;""color1"",""#3053FF"";""color2"",""red""})"),"")</f>
        <v/>
      </c>
      <c r="AC36" s="33"/>
      <c r="AD36" s="34"/>
      <c r="AE36" s="20"/>
      <c r="AF36" s="171" t="s">
        <v>463</v>
      </c>
      <c r="AG36" s="185" t="b">
        <v>1</v>
      </c>
      <c r="AH36" s="185" t="b">
        <v>0</v>
      </c>
      <c r="AI36" s="185" t="b">
        <v>1</v>
      </c>
      <c r="AJ36" s="185" t="b">
        <v>0</v>
      </c>
      <c r="AK36" s="185" t="b">
        <v>0</v>
      </c>
      <c r="AL36" s="185" t="b">
        <v>1</v>
      </c>
      <c r="AM36" s="185" t="b">
        <v>1</v>
      </c>
      <c r="AN36" s="185" t="b">
        <v>1</v>
      </c>
      <c r="AO36" s="185" t="b">
        <v>0</v>
      </c>
      <c r="AP36" s="185" t="b">
        <v>1</v>
      </c>
      <c r="AQ36" s="185" t="b">
        <v>1</v>
      </c>
      <c r="AR36" s="185" t="b">
        <v>1</v>
      </c>
      <c r="AS36" s="185" t="b">
        <v>0</v>
      </c>
      <c r="AT36" s="185" t="b">
        <v>1</v>
      </c>
      <c r="AU36" s="185" t="b">
        <v>1</v>
      </c>
      <c r="AV36" s="185" t="b">
        <v>0</v>
      </c>
      <c r="AW36" s="185" t="b">
        <v>1</v>
      </c>
      <c r="AX36" s="185" t="b">
        <v>1</v>
      </c>
      <c r="AY36" s="185" t="b">
        <v>1</v>
      </c>
      <c r="AZ36" s="185" t="b">
        <v>1</v>
      </c>
      <c r="BA36" s="186">
        <f t="shared" si="2"/>
        <v>0.7</v>
      </c>
      <c r="BB36" s="173" t="str">
        <f>IFERROR(__xludf.DUMMYFUNCTION("SPARKLINE({BA36,1-BA36},{""charttype"",""bar"";""max"",1;""color1"",""#3053FF"";""color2"",""red""})"),"")</f>
        <v/>
      </c>
      <c r="BC36" s="168"/>
      <c r="BD36" s="169"/>
    </row>
    <row r="37">
      <c r="A37" s="25"/>
      <c r="B37" s="26"/>
      <c r="C37" s="26"/>
      <c r="E37" s="20"/>
      <c r="F37" s="151" t="s">
        <v>469</v>
      </c>
      <c r="G37" s="182" t="b">
        <v>1</v>
      </c>
      <c r="H37" s="182" t="b">
        <v>1</v>
      </c>
      <c r="I37" s="182" t="b">
        <v>0</v>
      </c>
      <c r="J37" s="182" t="b">
        <v>1</v>
      </c>
      <c r="K37" s="182" t="b">
        <v>0</v>
      </c>
      <c r="L37" s="182" t="b">
        <v>0</v>
      </c>
      <c r="M37" s="182" t="b">
        <v>1</v>
      </c>
      <c r="N37" s="182" t="b">
        <v>1</v>
      </c>
      <c r="O37" s="182" t="b">
        <v>1</v>
      </c>
      <c r="P37" s="182" t="b">
        <v>1</v>
      </c>
      <c r="Q37" s="182" t="b">
        <v>1</v>
      </c>
      <c r="R37" s="182" t="b">
        <v>1</v>
      </c>
      <c r="S37" s="182" t="b">
        <v>1</v>
      </c>
      <c r="T37" s="182" t="b">
        <v>1</v>
      </c>
      <c r="U37" s="182" t="b">
        <v>1</v>
      </c>
      <c r="V37" s="182" t="b">
        <v>1</v>
      </c>
      <c r="W37" s="182" t="b">
        <v>1</v>
      </c>
      <c r="X37" s="182" t="b">
        <v>1</v>
      </c>
      <c r="Y37" s="182" t="b">
        <v>1</v>
      </c>
      <c r="Z37" s="182" t="b">
        <v>1</v>
      </c>
      <c r="AA37" s="183">
        <f t="shared" si="1"/>
        <v>0.85</v>
      </c>
      <c r="AB37" s="184" t="str">
        <f>IFERROR(__xludf.DUMMYFUNCTION("SPARKLINE({AA37,1-AA37},{""charttype"",""bar"";""max"",1;""color1"",""#3053FF"";""color2"",""red""})"),"")</f>
        <v/>
      </c>
      <c r="AC37" s="33"/>
      <c r="AD37" s="34"/>
      <c r="AE37" s="20"/>
      <c r="AF37" s="171" t="s">
        <v>469</v>
      </c>
      <c r="AG37" s="185" t="b">
        <v>1</v>
      </c>
      <c r="AH37" s="185" t="b">
        <v>1</v>
      </c>
      <c r="AI37" s="185" t="b">
        <v>0</v>
      </c>
      <c r="AJ37" s="185" t="b">
        <v>1</v>
      </c>
      <c r="AK37" s="185" t="b">
        <v>0</v>
      </c>
      <c r="AL37" s="185" t="b">
        <v>0</v>
      </c>
      <c r="AM37" s="185" t="b">
        <v>1</v>
      </c>
      <c r="AN37" s="185" t="b">
        <v>1</v>
      </c>
      <c r="AO37" s="185" t="b">
        <v>1</v>
      </c>
      <c r="AP37" s="185" t="b">
        <v>1</v>
      </c>
      <c r="AQ37" s="185" t="b">
        <v>1</v>
      </c>
      <c r="AR37" s="185" t="b">
        <v>1</v>
      </c>
      <c r="AS37" s="185" t="b">
        <v>1</v>
      </c>
      <c r="AT37" s="185" t="b">
        <v>1</v>
      </c>
      <c r="AU37" s="185" t="b">
        <v>1</v>
      </c>
      <c r="AV37" s="185" t="b">
        <v>1</v>
      </c>
      <c r="AW37" s="185" t="b">
        <v>1</v>
      </c>
      <c r="AX37" s="185" t="b">
        <v>1</v>
      </c>
      <c r="AY37" s="185" t="b">
        <v>1</v>
      </c>
      <c r="AZ37" s="185" t="b">
        <v>1</v>
      </c>
      <c r="BA37" s="186">
        <f t="shared" si="2"/>
        <v>0.85</v>
      </c>
      <c r="BB37" s="173" t="str">
        <f>IFERROR(__xludf.DUMMYFUNCTION("SPARKLINE({BA37,1-BA37},{""charttype"",""bar"";""max"",1;""color1"",""#3053FF"";""color2"",""red""})"),"")</f>
        <v/>
      </c>
      <c r="BC37" s="168"/>
      <c r="BD37" s="169"/>
    </row>
    <row r="38">
      <c r="A38" s="25"/>
      <c r="B38" s="26"/>
      <c r="C38" s="26"/>
      <c r="E38" s="20"/>
      <c r="F38" s="151" t="s">
        <v>475</v>
      </c>
      <c r="G38" s="182" t="b">
        <v>1</v>
      </c>
      <c r="H38" s="182" t="b">
        <v>0</v>
      </c>
      <c r="I38" s="182" t="b">
        <v>1</v>
      </c>
      <c r="J38" s="182" t="b">
        <v>1</v>
      </c>
      <c r="K38" s="182" t="b">
        <v>0</v>
      </c>
      <c r="L38" s="182" t="b">
        <v>1</v>
      </c>
      <c r="M38" s="182" t="b">
        <v>1</v>
      </c>
      <c r="N38" s="182" t="b">
        <v>0</v>
      </c>
      <c r="O38" s="182" t="b">
        <v>1</v>
      </c>
      <c r="P38" s="182" t="b">
        <v>1</v>
      </c>
      <c r="Q38" s="182" t="b">
        <v>0</v>
      </c>
      <c r="R38" s="182" t="b">
        <v>1</v>
      </c>
      <c r="S38" s="182" t="b">
        <v>1</v>
      </c>
      <c r="T38" s="182" t="b">
        <v>1</v>
      </c>
      <c r="U38" s="182" t="b">
        <v>1</v>
      </c>
      <c r="V38" s="182" t="b">
        <v>0</v>
      </c>
      <c r="W38" s="182" t="b">
        <v>1</v>
      </c>
      <c r="X38" s="182" t="b">
        <v>1</v>
      </c>
      <c r="Y38" s="182" t="b">
        <v>1</v>
      </c>
      <c r="Z38" s="182" t="b">
        <v>0</v>
      </c>
      <c r="AA38" s="183">
        <f t="shared" si="1"/>
        <v>0.7</v>
      </c>
      <c r="AB38" s="184" t="str">
        <f>IFERROR(__xludf.DUMMYFUNCTION("SPARKLINE({AA38,1-AA38},{""charttype"",""bar"";""max"",1;""color1"",""#3053FF"";""color2"",""red""})"),"")</f>
        <v/>
      </c>
      <c r="AC38" s="33"/>
      <c r="AD38" s="34"/>
      <c r="AE38" s="20"/>
      <c r="AF38" s="171" t="s">
        <v>475</v>
      </c>
      <c r="AG38" s="185" t="b">
        <v>1</v>
      </c>
      <c r="AH38" s="185" t="b">
        <v>0</v>
      </c>
      <c r="AI38" s="185" t="b">
        <v>1</v>
      </c>
      <c r="AJ38" s="185" t="b">
        <v>1</v>
      </c>
      <c r="AK38" s="185" t="b">
        <v>0</v>
      </c>
      <c r="AL38" s="185" t="b">
        <v>1</v>
      </c>
      <c r="AM38" s="185" t="b">
        <v>1</v>
      </c>
      <c r="AN38" s="185" t="b">
        <v>0</v>
      </c>
      <c r="AO38" s="185" t="b">
        <v>1</v>
      </c>
      <c r="AP38" s="185" t="b">
        <v>1</v>
      </c>
      <c r="AQ38" s="185" t="b">
        <v>0</v>
      </c>
      <c r="AR38" s="185" t="b">
        <v>1</v>
      </c>
      <c r="AS38" s="185" t="b">
        <v>1</v>
      </c>
      <c r="AT38" s="185" t="b">
        <v>1</v>
      </c>
      <c r="AU38" s="185" t="b">
        <v>1</v>
      </c>
      <c r="AV38" s="185" t="b">
        <v>0</v>
      </c>
      <c r="AW38" s="185" t="b">
        <v>1</v>
      </c>
      <c r="AX38" s="185" t="b">
        <v>1</v>
      </c>
      <c r="AY38" s="185" t="b">
        <v>1</v>
      </c>
      <c r="AZ38" s="185" t="b">
        <v>0</v>
      </c>
      <c r="BA38" s="186">
        <f t="shared" si="2"/>
        <v>0.7</v>
      </c>
      <c r="BB38" s="173" t="str">
        <f>IFERROR(__xludf.DUMMYFUNCTION("SPARKLINE({BA38,1-BA38},{""charttype"",""bar"";""max"",1;""color1"",""#3053FF"";""color2"",""red""})"),"")</f>
        <v/>
      </c>
      <c r="BC38" s="168"/>
      <c r="BD38" s="169"/>
    </row>
    <row r="39">
      <c r="A39" s="25"/>
      <c r="B39" s="26"/>
      <c r="C39" s="26"/>
      <c r="E39" s="20"/>
      <c r="F39" s="151" t="s">
        <v>477</v>
      </c>
      <c r="G39" s="182" t="b">
        <v>1</v>
      </c>
      <c r="H39" s="182" t="b">
        <v>1</v>
      </c>
      <c r="I39" s="182" t="b">
        <v>1</v>
      </c>
      <c r="J39" s="182" t="b">
        <v>0</v>
      </c>
      <c r="K39" s="182" t="b">
        <v>1</v>
      </c>
      <c r="L39" s="182" t="b">
        <v>0</v>
      </c>
      <c r="M39" s="182" t="b">
        <v>1</v>
      </c>
      <c r="N39" s="182" t="b">
        <v>1</v>
      </c>
      <c r="O39" s="182" t="b">
        <v>1</v>
      </c>
      <c r="P39" s="182" t="b">
        <v>0</v>
      </c>
      <c r="Q39" s="182" t="b">
        <v>0</v>
      </c>
      <c r="R39" s="182" t="b">
        <v>1</v>
      </c>
      <c r="S39" s="182" t="b">
        <v>1</v>
      </c>
      <c r="T39" s="182" t="b">
        <v>1</v>
      </c>
      <c r="U39" s="182" t="b">
        <v>0</v>
      </c>
      <c r="V39" s="182" t="b">
        <v>1</v>
      </c>
      <c r="W39" s="182" t="b">
        <v>1</v>
      </c>
      <c r="X39" s="182" t="b">
        <v>1</v>
      </c>
      <c r="Y39" s="182" t="b">
        <v>1</v>
      </c>
      <c r="Z39" s="182" t="b">
        <v>1</v>
      </c>
      <c r="AA39" s="183">
        <f t="shared" si="1"/>
        <v>0.75</v>
      </c>
      <c r="AB39" s="184" t="str">
        <f>IFERROR(__xludf.DUMMYFUNCTION("SPARKLINE({AA39,1-AA39},{""charttype"",""bar"";""max"",1;""color1"",""#3053FF"";""color2"",""red""})"),"")</f>
        <v/>
      </c>
      <c r="AC39" s="33"/>
      <c r="AD39" s="34"/>
      <c r="AE39" s="20"/>
      <c r="AF39" s="171" t="s">
        <v>477</v>
      </c>
      <c r="AG39" s="185" t="b">
        <v>1</v>
      </c>
      <c r="AH39" s="185" t="b">
        <v>1</v>
      </c>
      <c r="AI39" s="185" t="b">
        <v>1</v>
      </c>
      <c r="AJ39" s="185" t="b">
        <v>0</v>
      </c>
      <c r="AK39" s="185" t="b">
        <v>1</v>
      </c>
      <c r="AL39" s="185" t="b">
        <v>0</v>
      </c>
      <c r="AM39" s="185" t="b">
        <v>1</v>
      </c>
      <c r="AN39" s="185" t="b">
        <v>1</v>
      </c>
      <c r="AO39" s="185" t="b">
        <v>1</v>
      </c>
      <c r="AP39" s="185" t="b">
        <v>0</v>
      </c>
      <c r="AQ39" s="185" t="b">
        <v>0</v>
      </c>
      <c r="AR39" s="185" t="b">
        <v>1</v>
      </c>
      <c r="AS39" s="185" t="b">
        <v>1</v>
      </c>
      <c r="AT39" s="185" t="b">
        <v>1</v>
      </c>
      <c r="AU39" s="185" t="b">
        <v>0</v>
      </c>
      <c r="AV39" s="185" t="b">
        <v>1</v>
      </c>
      <c r="AW39" s="185" t="b">
        <v>1</v>
      </c>
      <c r="AX39" s="185" t="b">
        <v>1</v>
      </c>
      <c r="AY39" s="185" t="b">
        <v>1</v>
      </c>
      <c r="AZ39" s="185" t="b">
        <v>1</v>
      </c>
      <c r="BA39" s="186">
        <f t="shared" si="2"/>
        <v>0.75</v>
      </c>
      <c r="BB39" s="173" t="str">
        <f>IFERROR(__xludf.DUMMYFUNCTION("SPARKLINE({BA39,1-BA39},{""charttype"",""bar"";""max"",1;""color1"",""#3053FF"";""color2"",""red""})"),"")</f>
        <v/>
      </c>
      <c r="BC39" s="168"/>
      <c r="BD39" s="169"/>
    </row>
    <row r="40">
      <c r="A40" s="25"/>
      <c r="B40" s="26"/>
      <c r="C40" s="26"/>
      <c r="E40" s="20"/>
      <c r="F40" s="151" t="s">
        <v>479</v>
      </c>
      <c r="G40" s="182" t="b">
        <v>0</v>
      </c>
      <c r="H40" s="182" t="b">
        <v>1</v>
      </c>
      <c r="I40" s="182" t="b">
        <v>1</v>
      </c>
      <c r="J40" s="182" t="b">
        <v>1</v>
      </c>
      <c r="K40" s="182" t="b">
        <v>1</v>
      </c>
      <c r="L40" s="182" t="b">
        <v>1</v>
      </c>
      <c r="M40" s="182" t="b">
        <v>1</v>
      </c>
      <c r="N40" s="182" t="b">
        <v>0</v>
      </c>
      <c r="O40" s="182" t="b">
        <v>0</v>
      </c>
      <c r="P40" s="182" t="b">
        <v>1</v>
      </c>
      <c r="Q40" s="182" t="b">
        <v>1</v>
      </c>
      <c r="R40" s="182" t="b">
        <v>1</v>
      </c>
      <c r="S40" s="182" t="b">
        <v>1</v>
      </c>
      <c r="T40" s="182" t="b">
        <v>1</v>
      </c>
      <c r="U40" s="182" t="b">
        <v>1</v>
      </c>
      <c r="V40" s="182" t="b">
        <v>1</v>
      </c>
      <c r="W40" s="182" t="b">
        <v>1</v>
      </c>
      <c r="X40" s="182" t="b">
        <v>1</v>
      </c>
      <c r="Y40" s="182" t="b">
        <v>1</v>
      </c>
      <c r="Z40" s="182" t="b">
        <v>1</v>
      </c>
      <c r="AA40" s="183">
        <f t="shared" si="1"/>
        <v>0.85</v>
      </c>
      <c r="AB40" s="184" t="str">
        <f>IFERROR(__xludf.DUMMYFUNCTION("SPARKLINE({AA40,1-AA40},{""charttype"",""bar"";""max"",1;""color1"",""#3053FF"";""color2"",""red""})"),"")</f>
        <v/>
      </c>
      <c r="AC40" s="33"/>
      <c r="AD40" s="34"/>
      <c r="AE40" s="20"/>
      <c r="AF40" s="171" t="s">
        <v>479</v>
      </c>
      <c r="AG40" s="185" t="b">
        <v>0</v>
      </c>
      <c r="AH40" s="185" t="b">
        <v>1</v>
      </c>
      <c r="AI40" s="185" t="b">
        <v>1</v>
      </c>
      <c r="AJ40" s="185" t="b">
        <v>1</v>
      </c>
      <c r="AK40" s="185" t="b">
        <v>1</v>
      </c>
      <c r="AL40" s="185" t="b">
        <v>1</v>
      </c>
      <c r="AM40" s="185" t="b">
        <v>1</v>
      </c>
      <c r="AN40" s="185" t="b">
        <v>0</v>
      </c>
      <c r="AO40" s="185" t="b">
        <v>0</v>
      </c>
      <c r="AP40" s="185" t="b">
        <v>1</v>
      </c>
      <c r="AQ40" s="185" t="b">
        <v>1</v>
      </c>
      <c r="AR40" s="185" t="b">
        <v>1</v>
      </c>
      <c r="AS40" s="185" t="b">
        <v>1</v>
      </c>
      <c r="AT40" s="185" t="b">
        <v>1</v>
      </c>
      <c r="AU40" s="185" t="b">
        <v>1</v>
      </c>
      <c r="AV40" s="185" t="b">
        <v>1</v>
      </c>
      <c r="AW40" s="185" t="b">
        <v>1</v>
      </c>
      <c r="AX40" s="185" t="b">
        <v>1</v>
      </c>
      <c r="AY40" s="185" t="b">
        <v>1</v>
      </c>
      <c r="AZ40" s="185" t="b">
        <v>1</v>
      </c>
      <c r="BA40" s="186">
        <f t="shared" si="2"/>
        <v>0.85</v>
      </c>
      <c r="BB40" s="173" t="str">
        <f>IFERROR(__xludf.DUMMYFUNCTION("SPARKLINE({BA40,1-BA40},{""charttype"",""bar"";""max"",1;""color1"",""#3053FF"";""color2"",""red""})"),"")</f>
        <v/>
      </c>
      <c r="BC40" s="168"/>
      <c r="BD40" s="169"/>
    </row>
    <row r="41">
      <c r="A41" s="25"/>
      <c r="B41" s="26"/>
      <c r="C41" s="26"/>
      <c r="E41" s="20"/>
      <c r="F41" s="151" t="s">
        <v>485</v>
      </c>
      <c r="G41" s="182" t="b">
        <v>1</v>
      </c>
      <c r="H41" s="182" t="b">
        <v>1</v>
      </c>
      <c r="I41" s="182" t="b">
        <v>1</v>
      </c>
      <c r="J41" s="182" t="b">
        <v>1</v>
      </c>
      <c r="K41" s="182" t="b">
        <v>0</v>
      </c>
      <c r="L41" s="182" t="b">
        <v>1</v>
      </c>
      <c r="M41" s="182" t="b">
        <v>1</v>
      </c>
      <c r="N41" s="182" t="b">
        <v>1</v>
      </c>
      <c r="O41" s="182" t="b">
        <v>0</v>
      </c>
      <c r="P41" s="182" t="b">
        <v>0</v>
      </c>
      <c r="Q41" s="182" t="b">
        <v>1</v>
      </c>
      <c r="R41" s="182" t="b">
        <v>0</v>
      </c>
      <c r="S41" s="182" t="b">
        <v>1</v>
      </c>
      <c r="T41" s="182" t="b">
        <v>1</v>
      </c>
      <c r="U41" s="182" t="b">
        <v>1</v>
      </c>
      <c r="V41" s="182" t="b">
        <v>1</v>
      </c>
      <c r="W41" s="182" t="b">
        <v>1</v>
      </c>
      <c r="X41" s="182" t="b">
        <v>1</v>
      </c>
      <c r="Y41" s="182" t="b">
        <v>1</v>
      </c>
      <c r="Z41" s="182" t="b">
        <v>1</v>
      </c>
      <c r="AA41" s="183">
        <f t="shared" si="1"/>
        <v>0.8</v>
      </c>
      <c r="AB41" s="184" t="str">
        <f>IFERROR(__xludf.DUMMYFUNCTION("SPARKLINE({AA41,1-AA41},{""charttype"",""bar"";""max"",1;""color1"",""#3053FF"";""color2"",""red""})"),"")</f>
        <v/>
      </c>
      <c r="AC41" s="33"/>
      <c r="AD41" s="34"/>
      <c r="AE41" s="20"/>
      <c r="AF41" s="171" t="s">
        <v>485</v>
      </c>
      <c r="AG41" s="185" t="b">
        <v>1</v>
      </c>
      <c r="AH41" s="185" t="b">
        <v>1</v>
      </c>
      <c r="AI41" s="185" t="b">
        <v>1</v>
      </c>
      <c r="AJ41" s="185" t="b">
        <v>1</v>
      </c>
      <c r="AK41" s="185" t="b">
        <v>0</v>
      </c>
      <c r="AL41" s="185" t="b">
        <v>1</v>
      </c>
      <c r="AM41" s="185" t="b">
        <v>1</v>
      </c>
      <c r="AN41" s="185" t="b">
        <v>1</v>
      </c>
      <c r="AO41" s="185" t="b">
        <v>0</v>
      </c>
      <c r="AP41" s="185" t="b">
        <v>0</v>
      </c>
      <c r="AQ41" s="185" t="b">
        <v>1</v>
      </c>
      <c r="AR41" s="185" t="b">
        <v>0</v>
      </c>
      <c r="AS41" s="185" t="b">
        <v>1</v>
      </c>
      <c r="AT41" s="185" t="b">
        <v>1</v>
      </c>
      <c r="AU41" s="185" t="b">
        <v>1</v>
      </c>
      <c r="AV41" s="185" t="b">
        <v>1</v>
      </c>
      <c r="AW41" s="185" t="b">
        <v>1</v>
      </c>
      <c r="AX41" s="185" t="b">
        <v>1</v>
      </c>
      <c r="AY41" s="185" t="b">
        <v>1</v>
      </c>
      <c r="AZ41" s="185" t="b">
        <v>1</v>
      </c>
      <c r="BA41" s="186">
        <f t="shared" si="2"/>
        <v>0.8</v>
      </c>
      <c r="BB41" s="173" t="str">
        <f>IFERROR(__xludf.DUMMYFUNCTION("SPARKLINE({BA41,1-BA41},{""charttype"",""bar"";""max"",1;""color1"",""#3053FF"";""color2"",""red""})"),"")</f>
        <v/>
      </c>
      <c r="BC41" s="168"/>
      <c r="BD41" s="169"/>
    </row>
    <row r="42">
      <c r="A42" s="25"/>
      <c r="B42" s="26"/>
      <c r="C42" s="26"/>
      <c r="E42" s="20"/>
      <c r="F42" s="151" t="s">
        <v>487</v>
      </c>
      <c r="G42" s="182" t="b">
        <v>0</v>
      </c>
      <c r="H42" s="182" t="b">
        <v>1</v>
      </c>
      <c r="I42" s="182" t="b">
        <v>1</v>
      </c>
      <c r="J42" s="182" t="b">
        <v>1</v>
      </c>
      <c r="K42" s="182" t="b">
        <v>1</v>
      </c>
      <c r="L42" s="182" t="b">
        <v>1</v>
      </c>
      <c r="M42" s="182" t="b">
        <v>1</v>
      </c>
      <c r="N42" s="182" t="b">
        <v>0</v>
      </c>
      <c r="O42" s="182" t="b">
        <v>1</v>
      </c>
      <c r="P42" s="182" t="b">
        <v>0</v>
      </c>
      <c r="Q42" s="182" t="b">
        <v>1</v>
      </c>
      <c r="R42" s="182" t="b">
        <v>0</v>
      </c>
      <c r="S42" s="182" t="b">
        <v>1</v>
      </c>
      <c r="T42" s="182" t="b">
        <v>1</v>
      </c>
      <c r="U42" s="182" t="b">
        <v>1</v>
      </c>
      <c r="V42" s="182" t="b">
        <v>1</v>
      </c>
      <c r="W42" s="182" t="b">
        <v>1</v>
      </c>
      <c r="X42" s="182" t="b">
        <v>1</v>
      </c>
      <c r="Y42" s="182" t="b">
        <v>1</v>
      </c>
      <c r="Z42" s="182" t="b">
        <v>1</v>
      </c>
      <c r="AA42" s="183">
        <f t="shared" si="1"/>
        <v>0.8</v>
      </c>
      <c r="AB42" s="184" t="str">
        <f>IFERROR(__xludf.DUMMYFUNCTION("SPARKLINE({AA42,1-AA42},{""charttype"",""bar"";""max"",1;""color1"",""#3053FF"";""color2"",""red""})"),"")</f>
        <v/>
      </c>
      <c r="AC42" s="33"/>
      <c r="AD42" s="34"/>
      <c r="AE42" s="20"/>
      <c r="AF42" s="171" t="s">
        <v>487</v>
      </c>
      <c r="AG42" s="185" t="b">
        <v>0</v>
      </c>
      <c r="AH42" s="185" t="b">
        <v>1</v>
      </c>
      <c r="AI42" s="185" t="b">
        <v>1</v>
      </c>
      <c r="AJ42" s="185" t="b">
        <v>1</v>
      </c>
      <c r="AK42" s="185" t="b">
        <v>1</v>
      </c>
      <c r="AL42" s="185" t="b">
        <v>1</v>
      </c>
      <c r="AM42" s="185" t="b">
        <v>1</v>
      </c>
      <c r="AN42" s="185" t="b">
        <v>0</v>
      </c>
      <c r="AO42" s="185" t="b">
        <v>1</v>
      </c>
      <c r="AP42" s="185" t="b">
        <v>0</v>
      </c>
      <c r="AQ42" s="185" t="b">
        <v>1</v>
      </c>
      <c r="AR42" s="185" t="b">
        <v>0</v>
      </c>
      <c r="AS42" s="185" t="b">
        <v>1</v>
      </c>
      <c r="AT42" s="185" t="b">
        <v>1</v>
      </c>
      <c r="AU42" s="185" t="b">
        <v>1</v>
      </c>
      <c r="AV42" s="185" t="b">
        <v>1</v>
      </c>
      <c r="AW42" s="185" t="b">
        <v>1</v>
      </c>
      <c r="AX42" s="185" t="b">
        <v>1</v>
      </c>
      <c r="AY42" s="185" t="b">
        <v>1</v>
      </c>
      <c r="AZ42" s="185" t="b">
        <v>1</v>
      </c>
      <c r="BA42" s="186">
        <f t="shared" si="2"/>
        <v>0.8</v>
      </c>
      <c r="BB42" s="173" t="str">
        <f>IFERROR(__xludf.DUMMYFUNCTION("SPARKLINE({BA42,1-BA42},{""charttype"",""bar"";""max"",1;""color1"",""#3053FF"";""color2"",""red""})"),"")</f>
        <v/>
      </c>
      <c r="BC42" s="168"/>
      <c r="BD42" s="169"/>
    </row>
    <row r="43">
      <c r="A43" s="25"/>
      <c r="B43" s="26"/>
      <c r="C43" s="26"/>
      <c r="E43" s="20"/>
      <c r="F43" s="151" t="s">
        <v>488</v>
      </c>
      <c r="G43" s="182" t="b">
        <v>1</v>
      </c>
      <c r="H43" s="182" t="b">
        <v>1</v>
      </c>
      <c r="I43" s="182" t="b">
        <v>0</v>
      </c>
      <c r="J43" s="182" t="b">
        <v>1</v>
      </c>
      <c r="K43" s="182" t="b">
        <v>1</v>
      </c>
      <c r="L43" s="182" t="b">
        <v>1</v>
      </c>
      <c r="M43" s="182" t="b">
        <v>0</v>
      </c>
      <c r="N43" s="182" t="b">
        <v>1</v>
      </c>
      <c r="O43" s="182" t="b">
        <v>1</v>
      </c>
      <c r="P43" s="182" t="b">
        <v>1</v>
      </c>
      <c r="Q43" s="182" t="b">
        <v>0</v>
      </c>
      <c r="R43" s="182" t="b">
        <v>1</v>
      </c>
      <c r="S43" s="182" t="b">
        <v>1</v>
      </c>
      <c r="T43" s="182" t="b">
        <v>1</v>
      </c>
      <c r="U43" s="182" t="b">
        <v>0</v>
      </c>
      <c r="V43" s="182" t="b">
        <v>0</v>
      </c>
      <c r="W43" s="182" t="b">
        <v>0</v>
      </c>
      <c r="X43" s="182" t="b">
        <v>1</v>
      </c>
      <c r="Y43" s="182" t="b">
        <v>1</v>
      </c>
      <c r="Z43" s="182" t="b">
        <v>1</v>
      </c>
      <c r="AA43" s="183">
        <f t="shared" si="1"/>
        <v>0.7</v>
      </c>
      <c r="AB43" s="184" t="str">
        <f>IFERROR(__xludf.DUMMYFUNCTION("SPARKLINE({AA43,1-AA43},{""charttype"",""bar"";""max"",1;""color1"",""#3053FF"";""color2"",""red""})"),"")</f>
        <v/>
      </c>
      <c r="AC43" s="33"/>
      <c r="AD43" s="34"/>
      <c r="AE43" s="20"/>
      <c r="AF43" s="171" t="s">
        <v>488</v>
      </c>
      <c r="AG43" s="185" t="b">
        <v>1</v>
      </c>
      <c r="AH43" s="185" t="b">
        <v>1</v>
      </c>
      <c r="AI43" s="185" t="b">
        <v>0</v>
      </c>
      <c r="AJ43" s="185" t="b">
        <v>1</v>
      </c>
      <c r="AK43" s="185" t="b">
        <v>1</v>
      </c>
      <c r="AL43" s="185" t="b">
        <v>1</v>
      </c>
      <c r="AM43" s="185" t="b">
        <v>0</v>
      </c>
      <c r="AN43" s="185" t="b">
        <v>1</v>
      </c>
      <c r="AO43" s="185" t="b">
        <v>1</v>
      </c>
      <c r="AP43" s="185" t="b">
        <v>1</v>
      </c>
      <c r="AQ43" s="185" t="b">
        <v>0</v>
      </c>
      <c r="AR43" s="185" t="b">
        <v>1</v>
      </c>
      <c r="AS43" s="185" t="b">
        <v>1</v>
      </c>
      <c r="AT43" s="185" t="b">
        <v>1</v>
      </c>
      <c r="AU43" s="185" t="b">
        <v>0</v>
      </c>
      <c r="AV43" s="185" t="b">
        <v>0</v>
      </c>
      <c r="AW43" s="185" t="b">
        <v>0</v>
      </c>
      <c r="AX43" s="185" t="b">
        <v>1</v>
      </c>
      <c r="AY43" s="185" t="b">
        <v>1</v>
      </c>
      <c r="AZ43" s="185" t="b">
        <v>1</v>
      </c>
      <c r="BA43" s="186">
        <f t="shared" si="2"/>
        <v>0.7</v>
      </c>
      <c r="BB43" s="173" t="str">
        <f>IFERROR(__xludf.DUMMYFUNCTION("SPARKLINE({BA43,1-BA43},{""charttype"",""bar"";""max"",1;""color1"",""#3053FF"";""color2"",""red""})"),"")</f>
        <v/>
      </c>
      <c r="BC43" s="168"/>
      <c r="BD43" s="169"/>
    </row>
    <row r="44">
      <c r="A44" s="25"/>
      <c r="B44" s="26"/>
      <c r="C44" s="26"/>
      <c r="E44" s="20"/>
      <c r="F44" s="151" t="s">
        <v>489</v>
      </c>
      <c r="G44" s="182" t="b">
        <v>1</v>
      </c>
      <c r="H44" s="182" t="b">
        <v>1</v>
      </c>
      <c r="I44" s="182" t="b">
        <v>1</v>
      </c>
      <c r="J44" s="182" t="b">
        <v>0</v>
      </c>
      <c r="K44" s="182" t="b">
        <v>1</v>
      </c>
      <c r="L44" s="182" t="b">
        <v>0</v>
      </c>
      <c r="M44" s="182" t="b">
        <v>0</v>
      </c>
      <c r="N44" s="182" t="b">
        <v>1</v>
      </c>
      <c r="O44" s="182" t="b">
        <v>1</v>
      </c>
      <c r="P44" s="182" t="b">
        <v>1</v>
      </c>
      <c r="Q44" s="182" t="b">
        <v>1</v>
      </c>
      <c r="R44" s="182" t="b">
        <v>0</v>
      </c>
      <c r="S44" s="182" t="b">
        <v>1</v>
      </c>
      <c r="T44" s="182" t="b">
        <v>1</v>
      </c>
      <c r="U44" s="182" t="b">
        <v>1</v>
      </c>
      <c r="V44" s="182" t="b">
        <v>0</v>
      </c>
      <c r="W44" s="182" t="b">
        <v>1</v>
      </c>
      <c r="X44" s="182" t="b">
        <v>0</v>
      </c>
      <c r="Y44" s="182" t="b">
        <v>1</v>
      </c>
      <c r="Z44" s="182" t="b">
        <v>1</v>
      </c>
      <c r="AA44" s="183">
        <f t="shared" si="1"/>
        <v>0.7</v>
      </c>
      <c r="AB44" s="184" t="str">
        <f>IFERROR(__xludf.DUMMYFUNCTION("SPARKLINE({AA44,1-AA44},{""charttype"",""bar"";""max"",1;""color1"",""#3053FF"";""color2"",""red""})"),"")</f>
        <v/>
      </c>
      <c r="AC44" s="33"/>
      <c r="AD44" s="34"/>
      <c r="AE44" s="20"/>
      <c r="AF44" s="171" t="s">
        <v>489</v>
      </c>
      <c r="AG44" s="185" t="b">
        <v>1</v>
      </c>
      <c r="AH44" s="185" t="b">
        <v>1</v>
      </c>
      <c r="AI44" s="185" t="b">
        <v>1</v>
      </c>
      <c r="AJ44" s="185" t="b">
        <v>0</v>
      </c>
      <c r="AK44" s="185" t="b">
        <v>1</v>
      </c>
      <c r="AL44" s="185" t="b">
        <v>0</v>
      </c>
      <c r="AM44" s="185" t="b">
        <v>0</v>
      </c>
      <c r="AN44" s="185" t="b">
        <v>1</v>
      </c>
      <c r="AO44" s="185" t="b">
        <v>1</v>
      </c>
      <c r="AP44" s="185" t="b">
        <v>1</v>
      </c>
      <c r="AQ44" s="185" t="b">
        <v>1</v>
      </c>
      <c r="AR44" s="185" t="b">
        <v>0</v>
      </c>
      <c r="AS44" s="185" t="b">
        <v>1</v>
      </c>
      <c r="AT44" s="185" t="b">
        <v>1</v>
      </c>
      <c r="AU44" s="185" t="b">
        <v>1</v>
      </c>
      <c r="AV44" s="185" t="b">
        <v>0</v>
      </c>
      <c r="AW44" s="185" t="b">
        <v>1</v>
      </c>
      <c r="AX44" s="185" t="b">
        <v>0</v>
      </c>
      <c r="AY44" s="185" t="b">
        <v>1</v>
      </c>
      <c r="AZ44" s="185" t="b">
        <v>1</v>
      </c>
      <c r="BA44" s="186">
        <f t="shared" si="2"/>
        <v>0.7</v>
      </c>
      <c r="BB44" s="173" t="str">
        <f>IFERROR(__xludf.DUMMYFUNCTION("SPARKLINE({BA44,1-BA44},{""charttype"",""bar"";""max"",1;""color1"",""#3053FF"";""color2"",""red""})"),"")</f>
        <v/>
      </c>
      <c r="BC44" s="168"/>
      <c r="BD44" s="169"/>
    </row>
    <row r="45">
      <c r="A45" s="25"/>
      <c r="B45" s="26"/>
      <c r="C45" s="26"/>
      <c r="E45" s="20"/>
      <c r="F45" s="151" t="s">
        <v>495</v>
      </c>
      <c r="G45" s="182" t="b">
        <v>1</v>
      </c>
      <c r="H45" s="182" t="b">
        <v>0</v>
      </c>
      <c r="I45" s="182" t="b">
        <v>1</v>
      </c>
      <c r="J45" s="182" t="b">
        <v>1</v>
      </c>
      <c r="K45" s="182" t="b">
        <v>1</v>
      </c>
      <c r="L45" s="182" t="b">
        <v>1</v>
      </c>
      <c r="M45" s="182" t="b">
        <v>1</v>
      </c>
      <c r="N45" s="182" t="b">
        <v>1</v>
      </c>
      <c r="O45" s="182" t="b">
        <v>1</v>
      </c>
      <c r="P45" s="182" t="b">
        <v>1</v>
      </c>
      <c r="Q45" s="182" t="b">
        <v>1</v>
      </c>
      <c r="R45" s="182" t="b">
        <v>0</v>
      </c>
      <c r="S45" s="182" t="b">
        <v>1</v>
      </c>
      <c r="T45" s="182" t="b">
        <v>1</v>
      </c>
      <c r="U45" s="182" t="b">
        <v>1</v>
      </c>
      <c r="V45" s="182" t="b">
        <v>1</v>
      </c>
      <c r="W45" s="182" t="b">
        <v>1</v>
      </c>
      <c r="X45" s="182" t="b">
        <v>1</v>
      </c>
      <c r="Y45" s="182" t="b">
        <v>0</v>
      </c>
      <c r="Z45" s="182" t="b">
        <v>1</v>
      </c>
      <c r="AA45" s="183">
        <f t="shared" si="1"/>
        <v>0.85</v>
      </c>
      <c r="AB45" s="184" t="str">
        <f>IFERROR(__xludf.DUMMYFUNCTION("SPARKLINE({AA45,1-AA45},{""charttype"",""bar"";""max"",1;""color1"",""#3053FF"";""color2"",""red""})"),"")</f>
        <v/>
      </c>
      <c r="AC45" s="33"/>
      <c r="AD45" s="34"/>
      <c r="AE45" s="20"/>
      <c r="AF45" s="171" t="s">
        <v>495</v>
      </c>
      <c r="AG45" s="185" t="b">
        <v>1</v>
      </c>
      <c r="AH45" s="185" t="b">
        <v>0</v>
      </c>
      <c r="AI45" s="185" t="b">
        <v>1</v>
      </c>
      <c r="AJ45" s="185" t="b">
        <v>1</v>
      </c>
      <c r="AK45" s="185" t="b">
        <v>1</v>
      </c>
      <c r="AL45" s="185" t="b">
        <v>1</v>
      </c>
      <c r="AM45" s="185" t="b">
        <v>1</v>
      </c>
      <c r="AN45" s="185" t="b">
        <v>1</v>
      </c>
      <c r="AO45" s="185" t="b">
        <v>1</v>
      </c>
      <c r="AP45" s="185" t="b">
        <v>1</v>
      </c>
      <c r="AQ45" s="185" t="b">
        <v>1</v>
      </c>
      <c r="AR45" s="185" t="b">
        <v>0</v>
      </c>
      <c r="AS45" s="185" t="b">
        <v>1</v>
      </c>
      <c r="AT45" s="185" t="b">
        <v>1</v>
      </c>
      <c r="AU45" s="185" t="b">
        <v>1</v>
      </c>
      <c r="AV45" s="185" t="b">
        <v>1</v>
      </c>
      <c r="AW45" s="185" t="b">
        <v>1</v>
      </c>
      <c r="AX45" s="185" t="b">
        <v>1</v>
      </c>
      <c r="AY45" s="185" t="b">
        <v>0</v>
      </c>
      <c r="AZ45" s="185" t="b">
        <v>1</v>
      </c>
      <c r="BA45" s="186">
        <f t="shared" si="2"/>
        <v>0.85</v>
      </c>
      <c r="BB45" s="173" t="str">
        <f>IFERROR(__xludf.DUMMYFUNCTION("SPARKLINE({BA45,1-BA45},{""charttype"",""bar"";""max"",1;""color1"",""#3053FF"";""color2"",""red""})"),"")</f>
        <v/>
      </c>
      <c r="BC45" s="168"/>
      <c r="BD45" s="169"/>
    </row>
    <row r="46">
      <c r="A46" s="25"/>
      <c r="B46" s="26"/>
      <c r="C46" s="26"/>
      <c r="E46" s="20"/>
      <c r="F46" s="151" t="s">
        <v>499</v>
      </c>
      <c r="G46" s="182" t="b">
        <v>1</v>
      </c>
      <c r="H46" s="182" t="b">
        <v>0</v>
      </c>
      <c r="I46" s="182" t="b">
        <v>1</v>
      </c>
      <c r="J46" s="182" t="b">
        <v>1</v>
      </c>
      <c r="K46" s="182" t="b">
        <v>1</v>
      </c>
      <c r="L46" s="182" t="b">
        <v>1</v>
      </c>
      <c r="M46" s="182" t="b">
        <v>1</v>
      </c>
      <c r="N46" s="182" t="b">
        <v>1</v>
      </c>
      <c r="O46" s="182" t="b">
        <v>1</v>
      </c>
      <c r="P46" s="182" t="b">
        <v>1</v>
      </c>
      <c r="Q46" s="182" t="b">
        <v>1</v>
      </c>
      <c r="R46" s="182" t="b">
        <v>1</v>
      </c>
      <c r="S46" s="182" t="b">
        <v>1</v>
      </c>
      <c r="T46" s="182" t="b">
        <v>1</v>
      </c>
      <c r="U46" s="182" t="b">
        <v>1</v>
      </c>
      <c r="V46" s="182" t="b">
        <v>1</v>
      </c>
      <c r="W46" s="182" t="b">
        <v>1</v>
      </c>
      <c r="X46" s="182" t="b">
        <v>1</v>
      </c>
      <c r="Y46" s="182" t="b">
        <v>1</v>
      </c>
      <c r="Z46" s="182" t="b">
        <v>0</v>
      </c>
      <c r="AA46" s="183">
        <f t="shared" si="1"/>
        <v>0.9</v>
      </c>
      <c r="AB46" s="184" t="str">
        <f>IFERROR(__xludf.DUMMYFUNCTION("SPARKLINE({AA46,1-AA46},{""charttype"",""bar"";""max"",1;""color1"",""#3053FF"";""color2"",""red""})"),"")</f>
        <v/>
      </c>
      <c r="AC46" s="33"/>
      <c r="AD46" s="34"/>
      <c r="AE46" s="20"/>
      <c r="AF46" s="171" t="s">
        <v>499</v>
      </c>
      <c r="AG46" s="185" t="b">
        <v>1</v>
      </c>
      <c r="AH46" s="185" t="b">
        <v>0</v>
      </c>
      <c r="AI46" s="185" t="b">
        <v>1</v>
      </c>
      <c r="AJ46" s="185" t="b">
        <v>1</v>
      </c>
      <c r="AK46" s="185" t="b">
        <v>1</v>
      </c>
      <c r="AL46" s="185" t="b">
        <v>1</v>
      </c>
      <c r="AM46" s="185" t="b">
        <v>1</v>
      </c>
      <c r="AN46" s="185" t="b">
        <v>1</v>
      </c>
      <c r="AO46" s="185" t="b">
        <v>1</v>
      </c>
      <c r="AP46" s="185" t="b">
        <v>1</v>
      </c>
      <c r="AQ46" s="185" t="b">
        <v>1</v>
      </c>
      <c r="AR46" s="185" t="b">
        <v>1</v>
      </c>
      <c r="AS46" s="185" t="b">
        <v>1</v>
      </c>
      <c r="AT46" s="185" t="b">
        <v>1</v>
      </c>
      <c r="AU46" s="185" t="b">
        <v>1</v>
      </c>
      <c r="AV46" s="185" t="b">
        <v>1</v>
      </c>
      <c r="AW46" s="185" t="b">
        <v>1</v>
      </c>
      <c r="AX46" s="185" t="b">
        <v>1</v>
      </c>
      <c r="AY46" s="185" t="b">
        <v>1</v>
      </c>
      <c r="AZ46" s="185" t="b">
        <v>0</v>
      </c>
      <c r="BA46" s="186">
        <f t="shared" si="2"/>
        <v>0.9</v>
      </c>
      <c r="BB46" s="173" t="str">
        <f>IFERROR(__xludf.DUMMYFUNCTION("SPARKLINE({BA46,1-BA46},{""charttype"",""bar"";""max"",1;""color1"",""#3053FF"";""color2"",""red""})"),"")</f>
        <v/>
      </c>
      <c r="BC46" s="168"/>
      <c r="BD46" s="169"/>
    </row>
    <row r="47">
      <c r="A47" s="25"/>
      <c r="B47" s="26"/>
      <c r="C47" s="26"/>
      <c r="E47" s="20"/>
      <c r="F47" s="151" t="s">
        <v>504</v>
      </c>
      <c r="G47" s="182" t="b">
        <v>1</v>
      </c>
      <c r="H47" s="182" t="b">
        <v>1</v>
      </c>
      <c r="I47" s="182" t="b">
        <v>1</v>
      </c>
      <c r="J47" s="182" t="b">
        <v>1</v>
      </c>
      <c r="K47" s="182" t="b">
        <v>1</v>
      </c>
      <c r="L47" s="182" t="b">
        <v>1</v>
      </c>
      <c r="M47" s="182" t="b">
        <v>1</v>
      </c>
      <c r="N47" s="182" t="b">
        <v>0</v>
      </c>
      <c r="O47" s="182" t="b">
        <v>1</v>
      </c>
      <c r="P47" s="182" t="b">
        <v>0</v>
      </c>
      <c r="Q47" s="182" t="b">
        <v>1</v>
      </c>
      <c r="R47" s="182" t="b">
        <v>1</v>
      </c>
      <c r="S47" s="182" t="b">
        <v>1</v>
      </c>
      <c r="T47" s="182" t="b">
        <v>0</v>
      </c>
      <c r="U47" s="182" t="b">
        <v>1</v>
      </c>
      <c r="V47" s="182" t="b">
        <v>0</v>
      </c>
      <c r="W47" s="182" t="b">
        <v>1</v>
      </c>
      <c r="X47" s="182" t="b">
        <v>1</v>
      </c>
      <c r="Y47" s="182" t="b">
        <v>1</v>
      </c>
      <c r="Z47" s="182" t="b">
        <v>1</v>
      </c>
      <c r="AA47" s="183">
        <f t="shared" si="1"/>
        <v>0.8</v>
      </c>
      <c r="AB47" s="184" t="str">
        <f>IFERROR(__xludf.DUMMYFUNCTION("SPARKLINE({AA47,1-AA47},{""charttype"",""bar"";""max"",1;""color1"",""#3053FF"";""color2"",""red""})"),"")</f>
        <v/>
      </c>
      <c r="AC47" s="33"/>
      <c r="AD47" s="34"/>
      <c r="AE47" s="20"/>
      <c r="AF47" s="171" t="s">
        <v>504</v>
      </c>
      <c r="AG47" s="185" t="b">
        <v>1</v>
      </c>
      <c r="AH47" s="185" t="b">
        <v>1</v>
      </c>
      <c r="AI47" s="185" t="b">
        <v>1</v>
      </c>
      <c r="AJ47" s="185" t="b">
        <v>1</v>
      </c>
      <c r="AK47" s="185" t="b">
        <v>1</v>
      </c>
      <c r="AL47" s="185" t="b">
        <v>1</v>
      </c>
      <c r="AM47" s="185" t="b">
        <v>1</v>
      </c>
      <c r="AN47" s="185" t="b">
        <v>0</v>
      </c>
      <c r="AO47" s="185" t="b">
        <v>1</v>
      </c>
      <c r="AP47" s="185" t="b">
        <v>0</v>
      </c>
      <c r="AQ47" s="185" t="b">
        <v>1</v>
      </c>
      <c r="AR47" s="185" t="b">
        <v>1</v>
      </c>
      <c r="AS47" s="185" t="b">
        <v>1</v>
      </c>
      <c r="AT47" s="185" t="b">
        <v>0</v>
      </c>
      <c r="AU47" s="185" t="b">
        <v>1</v>
      </c>
      <c r="AV47" s="185" t="b">
        <v>0</v>
      </c>
      <c r="AW47" s="185" t="b">
        <v>1</v>
      </c>
      <c r="AX47" s="185" t="b">
        <v>1</v>
      </c>
      <c r="AY47" s="185" t="b">
        <v>1</v>
      </c>
      <c r="AZ47" s="185" t="b">
        <v>1</v>
      </c>
      <c r="BA47" s="186">
        <f t="shared" si="2"/>
        <v>0.8</v>
      </c>
      <c r="BB47" s="173" t="str">
        <f>IFERROR(__xludf.DUMMYFUNCTION("SPARKLINE({BA47,1-BA47},{""charttype"",""bar"";""max"",1;""color1"",""#3053FF"";""color2"",""red""})"),"")</f>
        <v/>
      </c>
      <c r="BC47" s="168"/>
      <c r="BD47" s="169"/>
    </row>
    <row r="48" ht="24.0" customHeight="1">
      <c r="A48" s="25"/>
      <c r="B48" s="26"/>
      <c r="C48" s="26"/>
      <c r="E48" s="7"/>
      <c r="F48" s="200" t="s">
        <v>505</v>
      </c>
      <c r="G48" s="201">
        <f t="shared" ref="G48:Z48" si="3">COUNTIF(G33:G47,true)/COUNTA(G33:G47)</f>
        <v>0.8</v>
      </c>
      <c r="H48" s="201">
        <f t="shared" si="3"/>
        <v>0.7333333333</v>
      </c>
      <c r="I48" s="201">
        <f t="shared" si="3"/>
        <v>0.8</v>
      </c>
      <c r="J48" s="201">
        <f t="shared" si="3"/>
        <v>0.8</v>
      </c>
      <c r="K48" s="201">
        <f t="shared" si="3"/>
        <v>0.6666666667</v>
      </c>
      <c r="L48" s="201">
        <f t="shared" si="3"/>
        <v>0.6666666667</v>
      </c>
      <c r="M48" s="201">
        <f t="shared" si="3"/>
        <v>0.8666666667</v>
      </c>
      <c r="N48" s="201">
        <f t="shared" si="3"/>
        <v>0.7333333333</v>
      </c>
      <c r="O48" s="201">
        <f t="shared" si="3"/>
        <v>0.8</v>
      </c>
      <c r="P48" s="201">
        <f t="shared" si="3"/>
        <v>0.6666666667</v>
      </c>
      <c r="Q48" s="201">
        <f t="shared" si="3"/>
        <v>0.8</v>
      </c>
      <c r="R48" s="201">
        <f t="shared" si="3"/>
        <v>0.6666666667</v>
      </c>
      <c r="S48" s="201">
        <f t="shared" si="3"/>
        <v>0.8666666667</v>
      </c>
      <c r="T48" s="201">
        <f t="shared" si="3"/>
        <v>0.9333333333</v>
      </c>
      <c r="U48" s="201">
        <f t="shared" si="3"/>
        <v>0.7333333333</v>
      </c>
      <c r="V48" s="201">
        <f t="shared" si="3"/>
        <v>0.6</v>
      </c>
      <c r="W48" s="201">
        <f t="shared" si="3"/>
        <v>0.8</v>
      </c>
      <c r="X48" s="201">
        <f t="shared" si="3"/>
        <v>0.9333333333</v>
      </c>
      <c r="Y48" s="201">
        <f t="shared" si="3"/>
        <v>0.8</v>
      </c>
      <c r="Z48" s="201">
        <f t="shared" si="3"/>
        <v>0.7333333333</v>
      </c>
      <c r="AA48" s="128"/>
      <c r="AB48" s="7"/>
      <c r="AC48" s="7"/>
      <c r="AD48" s="7"/>
      <c r="AE48" s="7"/>
      <c r="AF48" s="202" t="s">
        <v>505</v>
      </c>
      <c r="AG48" s="203">
        <f t="shared" ref="AG48:AZ48" si="4">COUNTIF(AG33:AG47,true)/COUNTA(AG33:AG47)</f>
        <v>0.8</v>
      </c>
      <c r="AH48" s="203">
        <f t="shared" si="4"/>
        <v>0.7333333333</v>
      </c>
      <c r="AI48" s="203">
        <f t="shared" si="4"/>
        <v>0.8</v>
      </c>
      <c r="AJ48" s="203">
        <f t="shared" si="4"/>
        <v>0.8</v>
      </c>
      <c r="AK48" s="203">
        <f t="shared" si="4"/>
        <v>0.6666666667</v>
      </c>
      <c r="AL48" s="203">
        <f t="shared" si="4"/>
        <v>0.6666666667</v>
      </c>
      <c r="AM48" s="203">
        <f t="shared" si="4"/>
        <v>0.8666666667</v>
      </c>
      <c r="AN48" s="203">
        <f t="shared" si="4"/>
        <v>0.7333333333</v>
      </c>
      <c r="AO48" s="203">
        <f t="shared" si="4"/>
        <v>0.8</v>
      </c>
      <c r="AP48" s="203">
        <f t="shared" si="4"/>
        <v>0.6666666667</v>
      </c>
      <c r="AQ48" s="203">
        <f t="shared" si="4"/>
        <v>0.8</v>
      </c>
      <c r="AR48" s="203">
        <f t="shared" si="4"/>
        <v>0.6666666667</v>
      </c>
      <c r="AS48" s="203">
        <f t="shared" si="4"/>
        <v>0.8666666667</v>
      </c>
      <c r="AT48" s="203">
        <f t="shared" si="4"/>
        <v>0.9333333333</v>
      </c>
      <c r="AU48" s="203">
        <f t="shared" si="4"/>
        <v>0.7333333333</v>
      </c>
      <c r="AV48" s="203">
        <f t="shared" si="4"/>
        <v>0.6</v>
      </c>
      <c r="AW48" s="203">
        <f t="shared" si="4"/>
        <v>0.8</v>
      </c>
      <c r="AX48" s="203">
        <f t="shared" si="4"/>
        <v>0.9333333333</v>
      </c>
      <c r="AY48" s="203">
        <f t="shared" si="4"/>
        <v>0.8</v>
      </c>
      <c r="AZ48" s="203">
        <f t="shared" si="4"/>
        <v>0.7333333333</v>
      </c>
      <c r="BA48" s="204"/>
      <c r="BB48" s="205"/>
      <c r="BC48" s="205"/>
      <c r="BD48" s="205"/>
    </row>
    <row r="49" ht="65.25" customHeight="1">
      <c r="A49" s="25"/>
      <c r="B49" s="26"/>
      <c r="C49" s="26"/>
      <c r="E49" s="7"/>
      <c r="F49" s="206" t="s">
        <v>509</v>
      </c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128"/>
      <c r="AB49" s="7"/>
      <c r="AC49" s="7"/>
      <c r="AD49" s="7"/>
      <c r="AE49" s="7"/>
      <c r="AF49" s="207" t="s">
        <v>509</v>
      </c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4"/>
      <c r="BB49" s="205"/>
      <c r="BC49" s="205"/>
      <c r="BD49" s="205"/>
    </row>
    <row r="50">
      <c r="A50" s="25"/>
      <c r="B50" s="26"/>
      <c r="C50" s="26"/>
      <c r="D50" s="20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28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>
      <c r="A51" s="25"/>
      <c r="B51" s="26"/>
      <c r="C51" s="26"/>
      <c r="D51" s="208"/>
      <c r="E51" s="7"/>
      <c r="F51" s="210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128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 ht="65.25" customHeight="1">
      <c r="A52" s="25"/>
      <c r="B52" s="26"/>
      <c r="C52" s="26"/>
      <c r="D52" s="75"/>
      <c r="E52" s="7"/>
      <c r="F52" s="214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128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>
      <c r="A53" s="25"/>
      <c r="B53" s="26"/>
      <c r="C53" s="26"/>
      <c r="D53" s="7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28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>
      <c r="A54" s="25"/>
      <c r="B54" s="60"/>
      <c r="C54" s="60"/>
      <c r="D54" s="208"/>
      <c r="E54" s="20"/>
      <c r="F54" s="129" t="s">
        <v>365</v>
      </c>
      <c r="G54" s="7"/>
      <c r="H54" s="7"/>
      <c r="I54" s="7"/>
      <c r="J54" s="20"/>
      <c r="K54" s="20"/>
      <c r="L54" s="215"/>
      <c r="M54" s="215"/>
      <c r="N54" s="215"/>
      <c r="O54" s="215"/>
      <c r="P54" s="215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13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</row>
    <row r="55">
      <c r="A55" s="25"/>
      <c r="B55" s="31"/>
      <c r="C55" s="31"/>
      <c r="D55" s="208"/>
      <c r="E55" s="20"/>
      <c r="G55" s="131"/>
      <c r="H55" s="131"/>
      <c r="I55" s="132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13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</row>
    <row r="56">
      <c r="A56" s="25"/>
      <c r="B56" s="31"/>
      <c r="C56" s="31"/>
      <c r="D56" s="208"/>
      <c r="E56" s="20"/>
      <c r="F56" s="41" t="s">
        <v>528</v>
      </c>
      <c r="G56" s="7"/>
      <c r="H56" s="7"/>
      <c r="I56" s="7"/>
      <c r="J56" s="20"/>
      <c r="K56" s="20"/>
      <c r="L56" s="7"/>
      <c r="M56" s="215"/>
      <c r="N56" s="215"/>
      <c r="O56" s="215"/>
      <c r="P56" s="215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130"/>
      <c r="AB56" s="20"/>
      <c r="AC56" s="20"/>
      <c r="AD56" s="20"/>
      <c r="AE56" s="20"/>
      <c r="AF56" s="161" t="s">
        <v>528</v>
      </c>
      <c r="AG56" s="7"/>
      <c r="AH56" s="7"/>
      <c r="AI56" s="7"/>
      <c r="AJ56" s="20"/>
      <c r="AK56" s="20"/>
      <c r="AL56" s="7"/>
      <c r="AM56" s="215"/>
      <c r="AN56" s="215"/>
      <c r="AO56" s="215"/>
      <c r="AP56" s="215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30"/>
      <c r="BB56" s="20"/>
      <c r="BC56" s="20"/>
      <c r="BD56" s="20"/>
    </row>
    <row r="57" ht="24.0" customHeight="1">
      <c r="A57" s="25"/>
      <c r="B57" s="61"/>
      <c r="C57" s="61"/>
      <c r="D57" s="208"/>
      <c r="E57" s="20"/>
      <c r="F57" s="141" t="s">
        <v>529</v>
      </c>
      <c r="G57" s="164" t="s">
        <v>338</v>
      </c>
      <c r="H57" s="164" t="s">
        <v>340</v>
      </c>
      <c r="I57" s="164" t="s">
        <v>341</v>
      </c>
      <c r="J57" s="164" t="s">
        <v>342</v>
      </c>
      <c r="K57" s="164" t="s">
        <v>343</v>
      </c>
      <c r="L57" s="164" t="s">
        <v>344</v>
      </c>
      <c r="M57" s="164" t="s">
        <v>345</v>
      </c>
      <c r="N57" s="164" t="s">
        <v>347</v>
      </c>
      <c r="O57" s="164" t="s">
        <v>348</v>
      </c>
      <c r="P57" s="164" t="s">
        <v>349</v>
      </c>
      <c r="Q57" s="164" t="s">
        <v>351</v>
      </c>
      <c r="R57" s="164" t="s">
        <v>352</v>
      </c>
      <c r="S57" s="164" t="s">
        <v>353</v>
      </c>
      <c r="T57" s="164" t="s">
        <v>355</v>
      </c>
      <c r="U57" s="164" t="s">
        <v>356</v>
      </c>
      <c r="V57" s="164" t="s">
        <v>357</v>
      </c>
      <c r="W57" s="164" t="s">
        <v>358</v>
      </c>
      <c r="X57" s="164" t="s">
        <v>359</v>
      </c>
      <c r="Y57" s="164" t="s">
        <v>360</v>
      </c>
      <c r="Z57" s="164" t="s">
        <v>361</v>
      </c>
      <c r="AA57" s="134" t="s">
        <v>415</v>
      </c>
      <c r="AB57" s="33"/>
      <c r="AC57" s="33"/>
      <c r="AD57" s="34"/>
      <c r="AE57" s="20"/>
      <c r="AF57" s="179" t="s">
        <v>529</v>
      </c>
      <c r="AG57" s="166" t="s">
        <v>338</v>
      </c>
      <c r="AH57" s="166" t="s">
        <v>340</v>
      </c>
      <c r="AI57" s="166" t="s">
        <v>341</v>
      </c>
      <c r="AJ57" s="166" t="s">
        <v>342</v>
      </c>
      <c r="AK57" s="166" t="s">
        <v>343</v>
      </c>
      <c r="AL57" s="166" t="s">
        <v>344</v>
      </c>
      <c r="AM57" s="166" t="s">
        <v>345</v>
      </c>
      <c r="AN57" s="166" t="s">
        <v>347</v>
      </c>
      <c r="AO57" s="166" t="s">
        <v>348</v>
      </c>
      <c r="AP57" s="166" t="s">
        <v>349</v>
      </c>
      <c r="AQ57" s="166" t="s">
        <v>351</v>
      </c>
      <c r="AR57" s="166" t="s">
        <v>352</v>
      </c>
      <c r="AS57" s="166" t="s">
        <v>353</v>
      </c>
      <c r="AT57" s="166" t="s">
        <v>355</v>
      </c>
      <c r="AU57" s="166" t="s">
        <v>356</v>
      </c>
      <c r="AV57" s="166" t="s">
        <v>357</v>
      </c>
      <c r="AW57" s="166" t="s">
        <v>358</v>
      </c>
      <c r="AX57" s="166" t="s">
        <v>359</v>
      </c>
      <c r="AY57" s="166" t="s">
        <v>360</v>
      </c>
      <c r="AZ57" s="166" t="s">
        <v>361</v>
      </c>
      <c r="BA57" s="181" t="s">
        <v>415</v>
      </c>
      <c r="BB57" s="168"/>
      <c r="BC57" s="168"/>
      <c r="BD57" s="169"/>
    </row>
    <row r="58" ht="32.25" customHeight="1">
      <c r="A58" s="25"/>
      <c r="B58" s="26"/>
      <c r="C58" s="26"/>
      <c r="D58" s="208"/>
      <c r="E58" s="20"/>
      <c r="F58" s="151" t="s">
        <v>69</v>
      </c>
      <c r="G58" s="170">
        <v>4827.0</v>
      </c>
      <c r="H58" s="170">
        <v>6123.0</v>
      </c>
      <c r="I58" s="170">
        <v>5512.0</v>
      </c>
      <c r="J58" s="170">
        <v>7004.0</v>
      </c>
      <c r="K58" s="170">
        <v>-5000.0</v>
      </c>
      <c r="L58" s="170">
        <v>8457.0</v>
      </c>
      <c r="M58" s="170">
        <v>9112.0</v>
      </c>
      <c r="N58" s="170">
        <v>8234.0</v>
      </c>
      <c r="O58" s="170">
        <v>7467.0</v>
      </c>
      <c r="P58" s="170">
        <v>10000.0</v>
      </c>
      <c r="Q58" s="170">
        <v>6500.0</v>
      </c>
      <c r="R58" s="170">
        <v>5800.0</v>
      </c>
      <c r="S58" s="170">
        <v>6000.0</v>
      </c>
      <c r="T58" s="170">
        <v>-1000.0</v>
      </c>
      <c r="U58" s="170">
        <v>5200.0</v>
      </c>
      <c r="V58" s="170">
        <v>8800.0</v>
      </c>
      <c r="W58" s="170">
        <v>9300.0</v>
      </c>
      <c r="X58" s="170">
        <v>8500.0</v>
      </c>
      <c r="Y58" s="170">
        <v>7400.0</v>
      </c>
      <c r="Z58" s="170">
        <v>6800.0</v>
      </c>
      <c r="AA58" s="153"/>
      <c r="AB58" s="33"/>
      <c r="AC58" s="33"/>
      <c r="AD58" s="34"/>
      <c r="AE58" s="20"/>
      <c r="AF58" s="171" t="s">
        <v>69</v>
      </c>
      <c r="AG58" s="172">
        <v>4827.0</v>
      </c>
      <c r="AH58" s="172">
        <v>6123.0</v>
      </c>
      <c r="AI58" s="172">
        <v>5512.0</v>
      </c>
      <c r="AJ58" s="172">
        <v>7004.0</v>
      </c>
      <c r="AK58" s="172">
        <v>-5000.0</v>
      </c>
      <c r="AL58" s="172">
        <v>8457.0</v>
      </c>
      <c r="AM58" s="172">
        <v>9112.0</v>
      </c>
      <c r="AN58" s="172">
        <v>8234.0</v>
      </c>
      <c r="AO58" s="172">
        <v>7467.0</v>
      </c>
      <c r="AP58" s="172">
        <v>10000.0</v>
      </c>
      <c r="AQ58" s="172">
        <v>6500.0</v>
      </c>
      <c r="AR58" s="172">
        <v>5800.0</v>
      </c>
      <c r="AS58" s="172">
        <v>6000.0</v>
      </c>
      <c r="AT58" s="172">
        <v>-1000.0</v>
      </c>
      <c r="AU58" s="172">
        <v>5200.0</v>
      </c>
      <c r="AV58" s="172">
        <v>8800.0</v>
      </c>
      <c r="AW58" s="172">
        <v>9300.0</v>
      </c>
      <c r="AX58" s="172">
        <v>8500.0</v>
      </c>
      <c r="AY58" s="172">
        <v>7400.0</v>
      </c>
      <c r="AZ58" s="172">
        <v>6800.0</v>
      </c>
      <c r="BA58" s="173"/>
      <c r="BB58" s="168"/>
      <c r="BC58" s="168"/>
      <c r="BD58" s="169"/>
    </row>
    <row r="59" ht="32.25" customHeight="1">
      <c r="A59" s="25"/>
      <c r="B59" s="26"/>
      <c r="C59" s="26"/>
      <c r="D59" s="208"/>
      <c r="E59" s="20"/>
      <c r="F59" s="151" t="s">
        <v>78</v>
      </c>
      <c r="G59" s="170">
        <v>1293.0</v>
      </c>
      <c r="H59" s="170">
        <v>-1186.0</v>
      </c>
      <c r="I59" s="170">
        <v>1798.0</v>
      </c>
      <c r="J59" s="170">
        <v>2091.0</v>
      </c>
      <c r="K59" s="170">
        <v>-2267.0</v>
      </c>
      <c r="L59" s="170">
        <v>1432.0</v>
      </c>
      <c r="M59" s="170">
        <v>1875.0</v>
      </c>
      <c r="N59" s="170">
        <v>3000.0</v>
      </c>
      <c r="O59" s="170">
        <v>1635.0</v>
      </c>
      <c r="P59" s="170">
        <v>-3000.0</v>
      </c>
      <c r="Q59" s="170">
        <v>1900.0</v>
      </c>
      <c r="R59" s="170">
        <v>1700.0</v>
      </c>
      <c r="S59" s="170">
        <v>-1500.0</v>
      </c>
      <c r="T59" s="170">
        <v>1300.0</v>
      </c>
      <c r="U59" s="170">
        <v>1100.0</v>
      </c>
      <c r="V59" s="170">
        <v>1600.0</v>
      </c>
      <c r="W59" s="170">
        <v>-1200.0</v>
      </c>
      <c r="X59" s="170">
        <v>2100.0</v>
      </c>
      <c r="Y59" s="170">
        <v>1800.0</v>
      </c>
      <c r="Z59" s="170">
        <v>1400.0</v>
      </c>
      <c r="AA59" s="153"/>
      <c r="AB59" s="33"/>
      <c r="AC59" s="33"/>
      <c r="AD59" s="34"/>
      <c r="AE59" s="20"/>
      <c r="AF59" s="171" t="s">
        <v>78</v>
      </c>
      <c r="AG59" s="172">
        <v>1293.0</v>
      </c>
      <c r="AH59" s="172">
        <v>-1186.0</v>
      </c>
      <c r="AI59" s="172">
        <v>1798.0</v>
      </c>
      <c r="AJ59" s="172">
        <v>2091.0</v>
      </c>
      <c r="AK59" s="172">
        <v>-2267.0</v>
      </c>
      <c r="AL59" s="172">
        <v>1432.0</v>
      </c>
      <c r="AM59" s="172">
        <v>1875.0</v>
      </c>
      <c r="AN59" s="172">
        <v>3000.0</v>
      </c>
      <c r="AO59" s="172">
        <v>1635.0</v>
      </c>
      <c r="AP59" s="172">
        <v>-3000.0</v>
      </c>
      <c r="AQ59" s="172">
        <v>1900.0</v>
      </c>
      <c r="AR59" s="172">
        <v>1700.0</v>
      </c>
      <c r="AS59" s="172">
        <v>-1500.0</v>
      </c>
      <c r="AT59" s="172">
        <v>1300.0</v>
      </c>
      <c r="AU59" s="172">
        <v>1100.0</v>
      </c>
      <c r="AV59" s="172">
        <v>1600.0</v>
      </c>
      <c r="AW59" s="172">
        <v>-1200.0</v>
      </c>
      <c r="AX59" s="172">
        <v>2100.0</v>
      </c>
      <c r="AY59" s="172">
        <v>1800.0</v>
      </c>
      <c r="AZ59" s="172">
        <v>1400.0</v>
      </c>
      <c r="BA59" s="173"/>
      <c r="BB59" s="168"/>
      <c r="BC59" s="168"/>
      <c r="BD59" s="169"/>
    </row>
    <row r="60" ht="32.25" customHeight="1">
      <c r="A60" s="25"/>
      <c r="B60" s="26"/>
      <c r="C60" s="26"/>
      <c r="D60" s="208"/>
      <c r="E60" s="20"/>
      <c r="F60" s="151" t="s">
        <v>395</v>
      </c>
      <c r="G60" s="170">
        <v>-1013.0</v>
      </c>
      <c r="H60" s="170">
        <v>-783.0</v>
      </c>
      <c r="I60" s="170">
        <v>-1247.0</v>
      </c>
      <c r="J60" s="170">
        <v>-507.0</v>
      </c>
      <c r="K60" s="170">
        <v>-674.0</v>
      </c>
      <c r="L60" s="170">
        <v>684.0</v>
      </c>
      <c r="M60" s="170">
        <v>-1121.0</v>
      </c>
      <c r="N60" s="170">
        <v>943.0</v>
      </c>
      <c r="O60" s="170">
        <v>-789.0</v>
      </c>
      <c r="P60" s="170">
        <v>-963.0</v>
      </c>
      <c r="Q60" s="170">
        <v>1200.0</v>
      </c>
      <c r="R60" s="170">
        <v>-500.0</v>
      </c>
      <c r="S60" s="170">
        <v>-600.0</v>
      </c>
      <c r="T60" s="170">
        <v>-300.0</v>
      </c>
      <c r="U60" s="170">
        <v>-400.0</v>
      </c>
      <c r="V60" s="170">
        <v>-250.0</v>
      </c>
      <c r="W60" s="170">
        <v>1100.0</v>
      </c>
      <c r="X60" s="170">
        <v>-800.0</v>
      </c>
      <c r="Y60" s="170">
        <v>900.0</v>
      </c>
      <c r="Z60" s="170">
        <v>-700.0</v>
      </c>
      <c r="AA60" s="153"/>
      <c r="AB60" s="33"/>
      <c r="AC60" s="33"/>
      <c r="AD60" s="34"/>
      <c r="AE60" s="20"/>
      <c r="AF60" s="171" t="s">
        <v>395</v>
      </c>
      <c r="AG60" s="172">
        <v>-1013.0</v>
      </c>
      <c r="AH60" s="172">
        <v>-783.0</v>
      </c>
      <c r="AI60" s="172">
        <v>-1247.0</v>
      </c>
      <c r="AJ60" s="172">
        <v>-507.0</v>
      </c>
      <c r="AK60" s="172">
        <v>-674.0</v>
      </c>
      <c r="AL60" s="172">
        <v>684.0</v>
      </c>
      <c r="AM60" s="172">
        <v>-1121.0</v>
      </c>
      <c r="AN60" s="172">
        <v>943.0</v>
      </c>
      <c r="AO60" s="172">
        <v>-789.0</v>
      </c>
      <c r="AP60" s="172">
        <v>-963.0</v>
      </c>
      <c r="AQ60" s="172">
        <v>1200.0</v>
      </c>
      <c r="AR60" s="172">
        <v>-500.0</v>
      </c>
      <c r="AS60" s="172">
        <v>-600.0</v>
      </c>
      <c r="AT60" s="172">
        <v>-300.0</v>
      </c>
      <c r="AU60" s="172">
        <v>-400.0</v>
      </c>
      <c r="AV60" s="172">
        <v>-250.0</v>
      </c>
      <c r="AW60" s="172">
        <v>1100.0</v>
      </c>
      <c r="AX60" s="172">
        <v>-800.0</v>
      </c>
      <c r="AY60" s="172">
        <v>900.0</v>
      </c>
      <c r="AZ60" s="172">
        <v>-700.0</v>
      </c>
      <c r="BA60" s="173"/>
      <c r="BB60" s="168"/>
      <c r="BC60" s="168"/>
      <c r="BD60" s="169"/>
    </row>
    <row r="61" ht="32.25" customHeight="1">
      <c r="A61" s="25"/>
      <c r="B61" s="26"/>
      <c r="C61" s="26"/>
      <c r="D61" s="208"/>
      <c r="E61" s="20"/>
      <c r="F61" s="151" t="s">
        <v>404</v>
      </c>
      <c r="G61" s="170">
        <v>2149.0</v>
      </c>
      <c r="H61" s="170">
        <v>1827.0</v>
      </c>
      <c r="I61" s="170">
        <v>2569.0</v>
      </c>
      <c r="J61" s="170">
        <v>-2879.0</v>
      </c>
      <c r="K61" s="170">
        <v>2653.0</v>
      </c>
      <c r="L61" s="170">
        <v>2474.0</v>
      </c>
      <c r="M61" s="170">
        <v>2348.0</v>
      </c>
      <c r="N61" s="170">
        <v>3049.0</v>
      </c>
      <c r="O61" s="170">
        <v>3213.0</v>
      </c>
      <c r="P61" s="170">
        <v>-3512.0</v>
      </c>
      <c r="Q61" s="170">
        <v>2900.0</v>
      </c>
      <c r="R61" s="170">
        <v>2800.0</v>
      </c>
      <c r="S61" s="170">
        <v>3100.0</v>
      </c>
      <c r="T61" s="170">
        <v>2500.0</v>
      </c>
      <c r="U61" s="170">
        <v>-2200.0</v>
      </c>
      <c r="V61" s="170">
        <v>2700.0</v>
      </c>
      <c r="W61" s="170">
        <v>2300.0</v>
      </c>
      <c r="X61" s="170">
        <v>3100.0</v>
      </c>
      <c r="Y61" s="170">
        <v>3400.0</v>
      </c>
      <c r="Z61" s="170">
        <v>3200.0</v>
      </c>
      <c r="AA61" s="153"/>
      <c r="AB61" s="33"/>
      <c r="AC61" s="33"/>
      <c r="AD61" s="34"/>
      <c r="AE61" s="20"/>
      <c r="AF61" s="171" t="s">
        <v>404</v>
      </c>
      <c r="AG61" s="172">
        <v>2149.0</v>
      </c>
      <c r="AH61" s="172">
        <v>1827.0</v>
      </c>
      <c r="AI61" s="172">
        <v>2569.0</v>
      </c>
      <c r="AJ61" s="172">
        <v>-2879.0</v>
      </c>
      <c r="AK61" s="172">
        <v>2653.0</v>
      </c>
      <c r="AL61" s="172">
        <v>2474.0</v>
      </c>
      <c r="AM61" s="172">
        <v>2348.0</v>
      </c>
      <c r="AN61" s="172">
        <v>3049.0</v>
      </c>
      <c r="AO61" s="172">
        <v>3213.0</v>
      </c>
      <c r="AP61" s="172">
        <v>-3512.0</v>
      </c>
      <c r="AQ61" s="172">
        <v>2900.0</v>
      </c>
      <c r="AR61" s="172">
        <v>2800.0</v>
      </c>
      <c r="AS61" s="172">
        <v>3100.0</v>
      </c>
      <c r="AT61" s="172">
        <v>2500.0</v>
      </c>
      <c r="AU61" s="172">
        <v>-2200.0</v>
      </c>
      <c r="AV61" s="172">
        <v>2700.0</v>
      </c>
      <c r="AW61" s="172">
        <v>2300.0</v>
      </c>
      <c r="AX61" s="172">
        <v>3100.0</v>
      </c>
      <c r="AY61" s="172">
        <v>3400.0</v>
      </c>
      <c r="AZ61" s="172">
        <v>3200.0</v>
      </c>
      <c r="BA61" s="173"/>
      <c r="BB61" s="168"/>
      <c r="BC61" s="168"/>
      <c r="BD61" s="169"/>
    </row>
    <row r="62" ht="32.25" customHeight="1">
      <c r="A62" s="25"/>
      <c r="B62" s="26"/>
      <c r="C62" s="26"/>
      <c r="D62" s="208"/>
      <c r="E62" s="20"/>
      <c r="F62" s="151" t="s">
        <v>543</v>
      </c>
      <c r="G62" s="170">
        <v>512.0</v>
      </c>
      <c r="H62" s="170">
        <v>-431.0</v>
      </c>
      <c r="I62" s="170">
        <v>319.0</v>
      </c>
      <c r="J62" s="170">
        <v>624.0</v>
      </c>
      <c r="K62" s="170">
        <v>712.0</v>
      </c>
      <c r="L62" s="170">
        <v>859.0</v>
      </c>
      <c r="M62" s="170">
        <v>-936.0</v>
      </c>
      <c r="N62" s="170">
        <v>764.0</v>
      </c>
      <c r="O62" s="170">
        <v>617.0</v>
      </c>
      <c r="P62" s="170">
        <v>519.0</v>
      </c>
      <c r="Q62" s="170">
        <v>700.0</v>
      </c>
      <c r="R62" s="170">
        <v>-600.0</v>
      </c>
      <c r="S62" s="170">
        <v>500.0</v>
      </c>
      <c r="T62" s="170">
        <v>400.0</v>
      </c>
      <c r="U62" s="170">
        <v>-350.0</v>
      </c>
      <c r="V62" s="170">
        <v>800.0</v>
      </c>
      <c r="W62" s="170">
        <v>900.0</v>
      </c>
      <c r="X62" s="170">
        <v>850.0</v>
      </c>
      <c r="Y62" s="170">
        <v>-400.0</v>
      </c>
      <c r="Z62" s="170">
        <v>950.0</v>
      </c>
      <c r="AA62" s="153"/>
      <c r="AB62" s="33"/>
      <c r="AC62" s="33"/>
      <c r="AD62" s="34"/>
      <c r="AE62" s="20"/>
      <c r="AF62" s="171" t="s">
        <v>543</v>
      </c>
      <c r="AG62" s="172">
        <v>512.0</v>
      </c>
      <c r="AH62" s="172">
        <v>-431.0</v>
      </c>
      <c r="AI62" s="172">
        <v>319.0</v>
      </c>
      <c r="AJ62" s="172">
        <v>624.0</v>
      </c>
      <c r="AK62" s="172">
        <v>712.0</v>
      </c>
      <c r="AL62" s="172">
        <v>859.0</v>
      </c>
      <c r="AM62" s="172">
        <v>-936.0</v>
      </c>
      <c r="AN62" s="172">
        <v>764.0</v>
      </c>
      <c r="AO62" s="172">
        <v>617.0</v>
      </c>
      <c r="AP62" s="172">
        <v>519.0</v>
      </c>
      <c r="AQ62" s="172">
        <v>700.0</v>
      </c>
      <c r="AR62" s="172">
        <v>-600.0</v>
      </c>
      <c r="AS62" s="172">
        <v>500.0</v>
      </c>
      <c r="AT62" s="172">
        <v>400.0</v>
      </c>
      <c r="AU62" s="172">
        <v>-350.0</v>
      </c>
      <c r="AV62" s="172">
        <v>800.0</v>
      </c>
      <c r="AW62" s="172">
        <v>900.0</v>
      </c>
      <c r="AX62" s="172">
        <v>850.0</v>
      </c>
      <c r="AY62" s="172">
        <v>-400.0</v>
      </c>
      <c r="AZ62" s="172">
        <v>950.0</v>
      </c>
      <c r="BA62" s="173"/>
      <c r="BB62" s="168"/>
      <c r="BC62" s="168"/>
      <c r="BD62" s="169"/>
    </row>
    <row r="63" ht="32.25" customHeight="1">
      <c r="A63" s="25"/>
      <c r="B63" s="26"/>
      <c r="C63" s="26"/>
      <c r="D63" s="208"/>
      <c r="E63" s="20"/>
      <c r="F63" s="151" t="s">
        <v>381</v>
      </c>
      <c r="G63" s="170">
        <v>-43.0</v>
      </c>
      <c r="H63" s="170">
        <v>-202.0</v>
      </c>
      <c r="I63" s="170">
        <v>107.0</v>
      </c>
      <c r="J63" s="170">
        <v>49.0</v>
      </c>
      <c r="K63" s="170">
        <v>-123.0</v>
      </c>
      <c r="L63" s="170">
        <v>197.0</v>
      </c>
      <c r="M63" s="170">
        <v>153.0</v>
      </c>
      <c r="N63" s="170">
        <v>-97.0</v>
      </c>
      <c r="O63" s="170">
        <v>-61.0</v>
      </c>
      <c r="P63" s="170">
        <v>6.0</v>
      </c>
      <c r="Q63" s="170">
        <v>15.0</v>
      </c>
      <c r="R63" s="170">
        <v>-10.0</v>
      </c>
      <c r="S63" s="170">
        <v>0.0</v>
      </c>
      <c r="T63" s="170">
        <v>5.0</v>
      </c>
      <c r="U63" s="170">
        <v>-5.0</v>
      </c>
      <c r="V63" s="170">
        <v>12.0</v>
      </c>
      <c r="W63" s="170">
        <v>-7.0</v>
      </c>
      <c r="X63" s="170">
        <v>8.0</v>
      </c>
      <c r="Y63" s="170">
        <v>-3.0</v>
      </c>
      <c r="Z63" s="170">
        <v>4.0</v>
      </c>
      <c r="AA63" s="153"/>
      <c r="AB63" s="33"/>
      <c r="AC63" s="33"/>
      <c r="AD63" s="34"/>
      <c r="AE63" s="20"/>
      <c r="AF63" s="171" t="s">
        <v>381</v>
      </c>
      <c r="AG63" s="172">
        <v>-43.0</v>
      </c>
      <c r="AH63" s="172">
        <v>-202.0</v>
      </c>
      <c r="AI63" s="172">
        <v>107.0</v>
      </c>
      <c r="AJ63" s="172">
        <v>49.0</v>
      </c>
      <c r="AK63" s="172">
        <v>-123.0</v>
      </c>
      <c r="AL63" s="172">
        <v>197.0</v>
      </c>
      <c r="AM63" s="172">
        <v>153.0</v>
      </c>
      <c r="AN63" s="172">
        <v>-97.0</v>
      </c>
      <c r="AO63" s="172">
        <v>-61.0</v>
      </c>
      <c r="AP63" s="172">
        <v>6.0</v>
      </c>
      <c r="AQ63" s="172">
        <v>15.0</v>
      </c>
      <c r="AR63" s="172">
        <v>-10.0</v>
      </c>
      <c r="AS63" s="172">
        <v>0.0</v>
      </c>
      <c r="AT63" s="172">
        <v>5.0</v>
      </c>
      <c r="AU63" s="172">
        <v>-5.0</v>
      </c>
      <c r="AV63" s="172">
        <v>12.0</v>
      </c>
      <c r="AW63" s="172">
        <v>-7.0</v>
      </c>
      <c r="AX63" s="172">
        <v>8.0</v>
      </c>
      <c r="AY63" s="172">
        <v>-3.0</v>
      </c>
      <c r="AZ63" s="172">
        <v>4.0</v>
      </c>
      <c r="BA63" s="173"/>
      <c r="BB63" s="168"/>
      <c r="BC63" s="168"/>
      <c r="BD63" s="169"/>
    </row>
    <row r="64" ht="32.25" customHeight="1">
      <c r="A64" s="25"/>
      <c r="B64" s="26"/>
      <c r="C64" s="26"/>
      <c r="D64" s="208"/>
      <c r="E64" s="20"/>
      <c r="F64" s="151" t="s">
        <v>394</v>
      </c>
      <c r="G64" s="170">
        <v>981.0</v>
      </c>
      <c r="H64" s="170">
        <v>1487.0</v>
      </c>
      <c r="I64" s="170">
        <v>-821.0</v>
      </c>
      <c r="J64" s="170">
        <v>917.0</v>
      </c>
      <c r="K64" s="170">
        <v>1238.0</v>
      </c>
      <c r="L64" s="170">
        <v>1295.0</v>
      </c>
      <c r="M64" s="170">
        <v>-1627.0</v>
      </c>
      <c r="N64" s="170">
        <v>1462.0</v>
      </c>
      <c r="O64" s="170">
        <v>1021.0</v>
      </c>
      <c r="P64" s="170">
        <v>1793.0</v>
      </c>
      <c r="Q64" s="170">
        <v>1100.0</v>
      </c>
      <c r="R64" s="170">
        <v>1200.0</v>
      </c>
      <c r="S64" s="170">
        <v>1300.0</v>
      </c>
      <c r="T64" s="170">
        <v>1400.0</v>
      </c>
      <c r="U64" s="170">
        <v>-1000.0</v>
      </c>
      <c r="V64" s="170">
        <v>1500.0</v>
      </c>
      <c r="W64" s="170">
        <v>1800.0</v>
      </c>
      <c r="X64" s="170">
        <v>1600.0</v>
      </c>
      <c r="Y64" s="170">
        <v>1400.0</v>
      </c>
      <c r="Z64" s="170">
        <v>1300.0</v>
      </c>
      <c r="AA64" s="153"/>
      <c r="AB64" s="33"/>
      <c r="AC64" s="33"/>
      <c r="AD64" s="34"/>
      <c r="AE64" s="20"/>
      <c r="AF64" s="171" t="s">
        <v>394</v>
      </c>
      <c r="AG64" s="172">
        <v>981.0</v>
      </c>
      <c r="AH64" s="172">
        <v>1487.0</v>
      </c>
      <c r="AI64" s="172">
        <v>-821.0</v>
      </c>
      <c r="AJ64" s="172">
        <v>917.0</v>
      </c>
      <c r="AK64" s="172">
        <v>1238.0</v>
      </c>
      <c r="AL64" s="172">
        <v>1295.0</v>
      </c>
      <c r="AM64" s="172">
        <v>-1627.0</v>
      </c>
      <c r="AN64" s="172">
        <v>1462.0</v>
      </c>
      <c r="AO64" s="172">
        <v>1021.0</v>
      </c>
      <c r="AP64" s="172">
        <v>1793.0</v>
      </c>
      <c r="AQ64" s="172">
        <v>1100.0</v>
      </c>
      <c r="AR64" s="172">
        <v>1200.0</v>
      </c>
      <c r="AS64" s="172">
        <v>1300.0</v>
      </c>
      <c r="AT64" s="172">
        <v>1400.0</v>
      </c>
      <c r="AU64" s="172">
        <v>-1000.0</v>
      </c>
      <c r="AV64" s="172">
        <v>1500.0</v>
      </c>
      <c r="AW64" s="172">
        <v>1800.0</v>
      </c>
      <c r="AX64" s="172">
        <v>1600.0</v>
      </c>
      <c r="AY64" s="172">
        <v>1400.0</v>
      </c>
      <c r="AZ64" s="172">
        <v>1300.0</v>
      </c>
      <c r="BA64" s="173"/>
      <c r="BB64" s="168"/>
      <c r="BC64" s="168"/>
      <c r="BD64" s="169"/>
    </row>
    <row r="65" ht="32.25" customHeight="1">
      <c r="A65" s="25"/>
      <c r="B65" s="26"/>
      <c r="C65" s="26"/>
      <c r="D65" s="208"/>
      <c r="E65" s="20"/>
      <c r="F65" s="151" t="s">
        <v>550</v>
      </c>
      <c r="G65" s="170">
        <v>-800.0</v>
      </c>
      <c r="H65" s="170">
        <v>600.0</v>
      </c>
      <c r="I65" s="170">
        <v>400.0</v>
      </c>
      <c r="J65" s="170">
        <v>-100.0</v>
      </c>
      <c r="K65" s="170">
        <v>200.0</v>
      </c>
      <c r="L65" s="170">
        <v>100.0</v>
      </c>
      <c r="M65" s="170">
        <v>300.0</v>
      </c>
      <c r="N65" s="170">
        <v>-500.0</v>
      </c>
      <c r="O65" s="170">
        <v>50.0</v>
      </c>
      <c r="P65" s="170">
        <v>700.0</v>
      </c>
      <c r="Q65" s="170">
        <v>-300.0</v>
      </c>
      <c r="R65" s="170">
        <v>400.0</v>
      </c>
      <c r="S65" s="170">
        <v>500.0</v>
      </c>
      <c r="T65" s="170">
        <v>-200.0</v>
      </c>
      <c r="U65" s="170">
        <v>600.0</v>
      </c>
      <c r="V65" s="170">
        <v>500.0</v>
      </c>
      <c r="W65" s="170">
        <v>300.0</v>
      </c>
      <c r="X65" s="170">
        <v>200.0</v>
      </c>
      <c r="Y65" s="170">
        <v>100.0</v>
      </c>
      <c r="Z65" s="170">
        <v>-150.0</v>
      </c>
      <c r="AA65" s="153"/>
      <c r="AB65" s="33"/>
      <c r="AC65" s="33"/>
      <c r="AD65" s="34"/>
      <c r="AE65" s="20"/>
      <c r="AF65" s="171" t="s">
        <v>550</v>
      </c>
      <c r="AG65" s="172">
        <v>-800.0</v>
      </c>
      <c r="AH65" s="172">
        <v>600.0</v>
      </c>
      <c r="AI65" s="172">
        <v>400.0</v>
      </c>
      <c r="AJ65" s="172">
        <v>-100.0</v>
      </c>
      <c r="AK65" s="172">
        <v>200.0</v>
      </c>
      <c r="AL65" s="172">
        <v>100.0</v>
      </c>
      <c r="AM65" s="172">
        <v>300.0</v>
      </c>
      <c r="AN65" s="172">
        <v>-500.0</v>
      </c>
      <c r="AO65" s="172">
        <v>50.0</v>
      </c>
      <c r="AP65" s="172">
        <v>700.0</v>
      </c>
      <c r="AQ65" s="172">
        <v>-300.0</v>
      </c>
      <c r="AR65" s="172">
        <v>400.0</v>
      </c>
      <c r="AS65" s="172">
        <v>500.0</v>
      </c>
      <c r="AT65" s="172">
        <v>-200.0</v>
      </c>
      <c r="AU65" s="172">
        <v>600.0</v>
      </c>
      <c r="AV65" s="172">
        <v>500.0</v>
      </c>
      <c r="AW65" s="172">
        <v>300.0</v>
      </c>
      <c r="AX65" s="172">
        <v>200.0</v>
      </c>
      <c r="AY65" s="172">
        <v>100.0</v>
      </c>
      <c r="AZ65" s="172">
        <v>-150.0</v>
      </c>
      <c r="BA65" s="173"/>
      <c r="BB65" s="168"/>
      <c r="BC65" s="168"/>
      <c r="BD65" s="169"/>
    </row>
    <row r="66">
      <c r="A66" s="25"/>
      <c r="B66" s="26"/>
      <c r="C66" s="26"/>
      <c r="D66" s="208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13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</row>
    <row r="67" hidden="1">
      <c r="A67" s="25"/>
      <c r="B67" s="26"/>
      <c r="C67" s="26"/>
      <c r="D67" s="208"/>
      <c r="E67" s="20"/>
      <c r="F67" s="7"/>
      <c r="G67" s="7"/>
      <c r="H67" s="7"/>
      <c r="I67" s="7"/>
      <c r="J67" s="7"/>
      <c r="K67" s="7"/>
      <c r="L67" s="7"/>
      <c r="M67" s="215"/>
      <c r="N67" s="215"/>
      <c r="O67" s="215"/>
      <c r="P67" s="215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13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</row>
    <row r="68" hidden="1">
      <c r="A68" s="25"/>
      <c r="B68" s="26"/>
      <c r="C68" s="26"/>
      <c r="D68" s="208"/>
      <c r="E68" s="20"/>
      <c r="F68" s="222" t="s">
        <v>561</v>
      </c>
      <c r="G68" s="223" t="s">
        <v>562</v>
      </c>
      <c r="H68" s="33"/>
      <c r="I68" s="33"/>
      <c r="J68" s="33"/>
      <c r="K68" s="34"/>
      <c r="L68" s="215"/>
      <c r="M68" s="215"/>
      <c r="N68" s="215"/>
      <c r="O68" s="215"/>
      <c r="P68" s="215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13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</row>
    <row r="69" hidden="1">
      <c r="A69" s="25"/>
      <c r="B69" s="26"/>
      <c r="C69" s="26"/>
      <c r="D69" s="208"/>
      <c r="E69" s="20"/>
      <c r="F69" s="222" t="s">
        <v>566</v>
      </c>
      <c r="G69" s="223" t="s">
        <v>567</v>
      </c>
      <c r="H69" s="33"/>
      <c r="I69" s="33"/>
      <c r="J69" s="33"/>
      <c r="K69" s="34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13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</row>
    <row r="70" hidden="1">
      <c r="A70" s="25"/>
      <c r="B70" s="26"/>
      <c r="C70" s="26"/>
      <c r="D70" s="208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13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</row>
    <row r="71" hidden="1">
      <c r="A71" s="25"/>
      <c r="B71" s="26"/>
      <c r="C71" s="26"/>
      <c r="D71" s="208"/>
      <c r="E71" s="20"/>
      <c r="F71" s="226" t="s">
        <v>581</v>
      </c>
      <c r="G71" s="33"/>
      <c r="H71" s="227">
        <v>27.0</v>
      </c>
      <c r="I71" s="215"/>
      <c r="J71" s="215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13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hidden="1">
      <c r="A72" s="25"/>
      <c r="B72" s="26"/>
      <c r="C72" s="26"/>
      <c r="D72" s="208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13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</row>
    <row r="73" ht="24.0" hidden="1" customHeight="1">
      <c r="A73" s="25"/>
      <c r="B73" s="26"/>
      <c r="C73" s="26"/>
      <c r="D73" s="208"/>
      <c r="E73" s="20"/>
      <c r="F73" s="141" t="s">
        <v>584</v>
      </c>
      <c r="G73" s="134" t="str">
        <f>IF(H71="",100,MIN(100,H71))&amp;"-Day Chart"</f>
        <v>27-Day Chart</v>
      </c>
      <c r="H73" s="33"/>
      <c r="I73" s="33"/>
      <c r="J73" s="164" t="s">
        <v>585</v>
      </c>
      <c r="K73" s="164" t="s">
        <v>586</v>
      </c>
      <c r="L73" s="164" t="s">
        <v>587</v>
      </c>
      <c r="M73" s="164" t="s">
        <v>588</v>
      </c>
      <c r="N73" s="164" t="s">
        <v>589</v>
      </c>
      <c r="O73" s="164" t="s">
        <v>590</v>
      </c>
      <c r="P73" s="164" t="s">
        <v>591</v>
      </c>
      <c r="Q73" s="164" t="s">
        <v>592</v>
      </c>
      <c r="R73" s="164" t="s">
        <v>593</v>
      </c>
      <c r="S73" s="164" t="s">
        <v>594</v>
      </c>
      <c r="T73" s="164" t="s">
        <v>595</v>
      </c>
      <c r="U73" s="164" t="s">
        <v>596</v>
      </c>
      <c r="V73" s="164" t="s">
        <v>597</v>
      </c>
      <c r="W73" s="164" t="s">
        <v>598</v>
      </c>
      <c r="X73" s="164" t="s">
        <v>599</v>
      </c>
      <c r="Y73" s="164" t="s">
        <v>600</v>
      </c>
      <c r="Z73" s="164" t="s">
        <v>601</v>
      </c>
      <c r="AA73" s="164" t="s">
        <v>602</v>
      </c>
      <c r="AB73" s="164" t="s">
        <v>603</v>
      </c>
      <c r="AC73" s="164" t="s">
        <v>604</v>
      </c>
      <c r="AD73" s="164" t="s">
        <v>605</v>
      </c>
      <c r="AE73" s="164" t="s">
        <v>606</v>
      </c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</row>
    <row r="74" ht="23.25" hidden="1" customHeight="1">
      <c r="A74" s="25"/>
      <c r="B74" s="26"/>
      <c r="C74" s="26"/>
      <c r="D74" s="208"/>
      <c r="E74" s="7"/>
      <c r="F74" s="151" t="s">
        <v>607</v>
      </c>
      <c r="G74" s="229" t="str">
        <f>IFERROR(__xludf.DUMMYFUNCTION("SPARKLINE(OFFSET(J74,0,100-MIN(100,IF($H$71="""",100,$H$71)),1,MIN(100,IF($H$71="""",100,$H$71))),{""charttype"",""column"";""color"",""blue""})"),"#REF!")</f>
        <v>#REF!</v>
      </c>
      <c r="H74" s="33"/>
      <c r="I74" s="34"/>
      <c r="J74" s="170">
        <v>438.0</v>
      </c>
      <c r="K74" s="170">
        <v>534.36</v>
      </c>
      <c r="L74" s="170">
        <v>566.4216</v>
      </c>
      <c r="M74" s="170">
        <v>594.7426800000001</v>
      </c>
      <c r="N74" s="170">
        <v>600.6901068000001</v>
      </c>
      <c r="O74" s="170">
        <v>552.634898256</v>
      </c>
      <c r="P74" s="170">
        <v>491.84505944784</v>
      </c>
      <c r="Q74" s="170">
        <v>447.57900409753444</v>
      </c>
      <c r="R74" s="170">
        <v>537.0948049170413</v>
      </c>
      <c r="S74" s="170">
        <v>644.5137659004496</v>
      </c>
      <c r="T74" s="170">
        <v>831.42275801158</v>
      </c>
      <c r="U74" s="170">
        <v>856.3654407519274</v>
      </c>
      <c r="V74" s="170">
        <v>804.9835143068117</v>
      </c>
      <c r="W74" s="170">
        <v>635.9369763023813</v>
      </c>
      <c r="X74" s="170">
        <v>794.9212203779766</v>
      </c>
      <c r="Y74" s="170">
        <v>564.3940664683633</v>
      </c>
      <c r="Z74" s="170">
        <v>688.5607610914033</v>
      </c>
      <c r="AA74" s="170">
        <v>729.8744067568874</v>
      </c>
      <c r="AB74" s="170">
        <v>562.0032932028033</v>
      </c>
      <c r="AC74" s="170">
        <v>399.02233817399036</v>
      </c>
      <c r="AD74" s="170">
        <v>319.2178705391923</v>
      </c>
      <c r="AE74" s="170">
        <v>300.06479830684077</v>
      </c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</row>
    <row r="75" ht="23.25" hidden="1" customHeight="1">
      <c r="A75" s="25"/>
      <c r="B75" s="26"/>
      <c r="C75" s="26"/>
      <c r="D75" s="208"/>
      <c r="E75" s="7"/>
      <c r="F75" s="151" t="s">
        <v>608</v>
      </c>
      <c r="G75" s="229" t="str">
        <f>IFERROR(__xludf.DUMMYFUNCTION("SPARKLINE(OFFSET(J75,0,100-MIN(100,IF($H$71="""",100,$H$71)),1,MIN(100,IF($H$71="""",100,$H$71))),{""charttype"",""column"";""color"",""blue""})"),"#REF!")</f>
        <v>#REF!</v>
      </c>
      <c r="H75" s="33"/>
      <c r="I75" s="34"/>
      <c r="J75" s="170">
        <v>240.0</v>
      </c>
      <c r="K75" s="170">
        <v>177.6</v>
      </c>
      <c r="L75" s="170">
        <v>143.856</v>
      </c>
      <c r="M75" s="170">
        <v>133.78608</v>
      </c>
      <c r="N75" s="170">
        <v>169.9083216</v>
      </c>
      <c r="O75" s="170">
        <v>176.704654464</v>
      </c>
      <c r="P75" s="170">
        <v>166.10237519615998</v>
      </c>
      <c r="Q75" s="170">
        <v>129.55985265300478</v>
      </c>
      <c r="R75" s="170">
        <v>142.51583791830527</v>
      </c>
      <c r="S75" s="170">
        <v>169.59384712278327</v>
      </c>
      <c r="T75" s="170">
        <v>144.15477005436577</v>
      </c>
      <c r="U75" s="170">
        <v>112.44072064240531</v>
      </c>
      <c r="V75" s="170">
        <v>141.6753080094307</v>
      </c>
      <c r="W75" s="170">
        <v>182.7611473321656</v>
      </c>
      <c r="X75" s="170">
        <v>140.7260834457675</v>
      </c>
      <c r="Y75" s="170">
        <v>160.42773512817496</v>
      </c>
      <c r="Z75" s="170">
        <v>152.40634837176623</v>
      </c>
      <c r="AA75" s="170">
        <v>179.83949107868415</v>
      </c>
      <c r="AB75" s="170">
        <v>192.42825545419203</v>
      </c>
      <c r="AC75" s="170">
        <v>196.27682056327586</v>
      </c>
      <c r="AD75" s="170">
        <v>251.2343303209931</v>
      </c>
      <c r="AE75" s="170">
        <v>203.4998075600044</v>
      </c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</row>
    <row r="76" ht="23.25" hidden="1" customHeight="1">
      <c r="A76" s="25"/>
      <c r="B76" s="26"/>
      <c r="C76" s="26"/>
      <c r="D76" s="208"/>
      <c r="E76" s="7"/>
      <c r="F76" s="151" t="s">
        <v>609</v>
      </c>
      <c r="G76" s="229" t="str">
        <f>IFERROR(__xludf.DUMMYFUNCTION("SPARKLINE(OFFSET(J76,0,100-MIN(100,IF($H$71="""",100,$H$71)),1,MIN(100,IF($H$71="""",100,$H$71))),{""charttype"",""column"";""color"",""blue""})"),"#REF!")</f>
        <v>#REF!</v>
      </c>
      <c r="H76" s="33"/>
      <c r="I76" s="34"/>
      <c r="J76" s="170">
        <v>284.0</v>
      </c>
      <c r="K76" s="170">
        <v>335.12</v>
      </c>
      <c r="L76" s="170">
        <v>304.9592</v>
      </c>
      <c r="M76" s="170">
        <v>335.45512</v>
      </c>
      <c r="N76" s="170">
        <v>301.909608</v>
      </c>
      <c r="O76" s="170">
        <v>350.21514528</v>
      </c>
      <c r="P76" s="170">
        <v>252.15490460159998</v>
      </c>
      <c r="Q76" s="170">
        <v>259.71955173964795</v>
      </c>
      <c r="R76" s="170">
        <v>220.76161897870077</v>
      </c>
      <c r="S76" s="170">
        <v>258.2910942050799</v>
      </c>
      <c r="T76" s="170">
        <v>263.4569160891815</v>
      </c>
      <c r="U76" s="170">
        <v>255.55320860650605</v>
      </c>
      <c r="V76" s="170">
        <v>252.997676520441</v>
      </c>
      <c r="W76" s="170">
        <v>227.6979088683969</v>
      </c>
      <c r="X76" s="170">
        <v>198.09718071550532</v>
      </c>
      <c r="Y76" s="170">
        <v>239.69758866576143</v>
      </c>
      <c r="Z76" s="170">
        <v>220.52178157250052</v>
      </c>
      <c r="AA76" s="170">
        <v>284.47309822852566</v>
      </c>
      <c r="AB76" s="170">
        <v>347.0571798388013</v>
      </c>
      <c r="AC76" s="170">
        <v>416.46861580656156</v>
      </c>
      <c r="AD76" s="170">
        <v>424.79798812269274</v>
      </c>
      <c r="AE76" s="170">
        <v>416.3020283602389</v>
      </c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</row>
    <row r="77" ht="23.25" hidden="1" customHeight="1">
      <c r="A77" s="25"/>
      <c r="B77" s="26"/>
      <c r="C77" s="26"/>
      <c r="D77" s="208"/>
      <c r="E77" s="7"/>
      <c r="F77" s="151" t="s">
        <v>613</v>
      </c>
      <c r="G77" s="229" t="str">
        <f>IFERROR(__xludf.DUMMYFUNCTION("SPARKLINE(OFFSET(J77,0,100-MIN(100,IF($H$71="""",100,$H$71)),1,MIN(100,IF($H$71="""",100,$H$71))),{""charttype"",""column"";""color"",""blue""})"),"#REF!")</f>
        <v>#REF!</v>
      </c>
      <c r="H77" s="33"/>
      <c r="I77" s="34"/>
      <c r="J77" s="170">
        <v>462.0</v>
      </c>
      <c r="K77" s="170">
        <v>438.9</v>
      </c>
      <c r="L77" s="170">
        <v>386.23199999999997</v>
      </c>
      <c r="M77" s="170">
        <v>278.08704</v>
      </c>
      <c r="N77" s="170">
        <v>205.7844096</v>
      </c>
      <c r="O77" s="170">
        <v>205.7844096</v>
      </c>
      <c r="P77" s="170">
        <v>242.825603328</v>
      </c>
      <c r="Q77" s="170">
        <v>286.53421192704</v>
      </c>
      <c r="R77" s="170">
        <v>200.573948348928</v>
      </c>
      <c r="S77" s="170">
        <v>166.47637712961026</v>
      </c>
      <c r="T77" s="170">
        <v>156.48779450183363</v>
      </c>
      <c r="U77" s="170">
        <v>112.67121204132022</v>
      </c>
      <c r="V77" s="170">
        <v>79.99656054933736</v>
      </c>
      <c r="W77" s="170">
        <v>93.59597584272471</v>
      </c>
      <c r="X77" s="170">
        <v>94.53193560115196</v>
      </c>
      <c r="Y77" s="170">
        <v>80.35214526097916</v>
      </c>
      <c r="Z77" s="170">
        <v>74.72749509271061</v>
      </c>
      <c r="AA77" s="170">
        <v>90.42026906217983</v>
      </c>
      <c r="AB77" s="170">
        <v>97.65389058715422</v>
      </c>
      <c r="AC77" s="170">
        <v>119.13774651632815</v>
      </c>
      <c r="AD77" s="170">
        <v>119.13774651632815</v>
      </c>
      <c r="AE77" s="170">
        <v>114.37223665567502</v>
      </c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</row>
    <row r="78" ht="23.25" hidden="1" customHeight="1">
      <c r="A78" s="25"/>
      <c r="B78" s="26"/>
      <c r="C78" s="26"/>
      <c r="D78" s="208"/>
      <c r="E78" s="7"/>
      <c r="F78" s="151" t="s">
        <v>616</v>
      </c>
      <c r="G78" s="229" t="str">
        <f>IFERROR(__xludf.DUMMYFUNCTION("SPARKLINE(OFFSET(J78,0,100-MIN(100,IF($H$71="""",100,$H$71)),1,MIN(100,IF($H$71="""",100,$H$71))),{""charttype"",""column"";""color"",""blue""})"),"#REF!")</f>
        <v>#REF!</v>
      </c>
      <c r="H78" s="33"/>
      <c r="I78" s="34"/>
      <c r="J78" s="170">
        <v>189.0</v>
      </c>
      <c r="K78" s="170">
        <v>168.21</v>
      </c>
      <c r="L78" s="170">
        <v>121.11120000000001</v>
      </c>
      <c r="M78" s="170">
        <v>115.05564</v>
      </c>
      <c r="N78" s="170">
        <v>126.561204</v>
      </c>
      <c r="O78" s="170">
        <v>122.76436788000001</v>
      </c>
      <c r="P78" s="170">
        <v>147.317241456</v>
      </c>
      <c r="Q78" s="170">
        <v>128.16600006672002</v>
      </c>
      <c r="R78" s="170">
        <v>89.71620004670402</v>
      </c>
      <c r="S78" s="170">
        <v>74.46444603876434</v>
      </c>
      <c r="T78" s="170">
        <v>96.05913539000599</v>
      </c>
      <c r="U78" s="170">
        <v>78.76849101980491</v>
      </c>
      <c r="V78" s="170">
        <v>59.076368264853684</v>
      </c>
      <c r="W78" s="170">
        <v>47.261094611882946</v>
      </c>
      <c r="X78" s="170">
        <v>60.49420110321017</v>
      </c>
      <c r="Y78" s="170">
        <v>60.49420110321017</v>
      </c>
      <c r="Z78" s="170">
        <v>56.25960702598546</v>
      </c>
      <c r="AA78" s="170">
        <v>66.9489323609227</v>
      </c>
      <c r="AB78" s="170">
        <v>68.28791100814115</v>
      </c>
      <c r="AC78" s="170">
        <v>77.1653394391995</v>
      </c>
      <c r="AD78" s="170">
        <v>73.30707246723952</v>
      </c>
      <c r="AE78" s="170">
        <v>62.311011597153595</v>
      </c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</row>
    <row r="79" ht="23.25" hidden="1" customHeight="1">
      <c r="A79" s="232" t="s">
        <v>621</v>
      </c>
      <c r="B79" s="26"/>
      <c r="C79" s="26"/>
      <c r="D79" s="208"/>
      <c r="E79" s="7"/>
      <c r="F79" s="151" t="s">
        <v>622</v>
      </c>
      <c r="G79" s="229" t="str">
        <f>IFERROR(__xludf.DUMMYFUNCTION("SPARKLINE(OFFSET(J79,0,100-MIN(100,IF($H$71="""",100,$H$71)),1,MIN(100,IF($H$71="""",100,$H$71))),{""charttype"",""column"";""color"",""blue""})"),"#REF!")</f>
        <v>#REF!</v>
      </c>
      <c r="H79" s="33"/>
      <c r="I79" s="34"/>
      <c r="J79" s="170">
        <v>213.0</v>
      </c>
      <c r="K79" s="170">
        <v>261.99</v>
      </c>
      <c r="L79" s="170">
        <v>282.9492</v>
      </c>
      <c r="M79" s="170">
        <v>220.70037600000003</v>
      </c>
      <c r="N79" s="170">
        <v>229.52839104000003</v>
      </c>
      <c r="O79" s="170">
        <v>284.6152048896</v>
      </c>
      <c r="P79" s="170">
        <v>230.538315960576</v>
      </c>
      <c r="Q79" s="170">
        <v>260.5082970354509</v>
      </c>
      <c r="R79" s="170">
        <v>250.08796515403287</v>
      </c>
      <c r="S79" s="170">
        <v>175.061575607823</v>
      </c>
      <c r="T79" s="170">
        <v>155.80480229096244</v>
      </c>
      <c r="U79" s="170">
        <v>148.01456217641433</v>
      </c>
      <c r="V79" s="170">
        <v>105.09033914525416</v>
      </c>
      <c r="W79" s="170">
        <v>74.61414079313046</v>
      </c>
      <c r="X79" s="170">
        <v>58.199029818641755</v>
      </c>
      <c r="Y79" s="170">
        <v>47.14121415309982</v>
      </c>
      <c r="Z79" s="170">
        <v>51.8553355684098</v>
      </c>
      <c r="AA79" s="170">
        <v>43.039928521780126</v>
      </c>
      <c r="AB79" s="170">
        <v>32.7103456765529</v>
      </c>
      <c r="AC79" s="170">
        <v>40.88793209569112</v>
      </c>
      <c r="AD79" s="170">
        <v>47.83888055195861</v>
      </c>
      <c r="AE79" s="170">
        <v>57.88504546786992</v>
      </c>
      <c r="AF79" s="230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0"/>
      <c r="AW79" s="230"/>
      <c r="AX79" s="230"/>
      <c r="AY79" s="230"/>
      <c r="AZ79" s="230"/>
      <c r="BA79" s="230"/>
      <c r="BB79" s="230"/>
      <c r="BC79" s="230"/>
      <c r="BD79" s="230"/>
    </row>
    <row r="80" ht="23.25" hidden="1" customHeight="1">
      <c r="A80" s="25"/>
      <c r="B80" s="26"/>
      <c r="C80" s="26"/>
      <c r="D80" s="208"/>
      <c r="E80" s="7"/>
      <c r="F80" s="151" t="s">
        <v>627</v>
      </c>
      <c r="G80" s="229" t="str">
        <f>IFERROR(__xludf.DUMMYFUNCTION("SPARKLINE(OFFSET(J80,0,100-MIN(100,IF($H$71="""",100,$H$71)),1,MIN(100,IF($H$71="""",100,$H$71))),{""charttype"",""column"";""color"",""blue""})"),"#REF!")</f>
        <v>#REF!</v>
      </c>
      <c r="H80" s="33"/>
      <c r="I80" s="34"/>
      <c r="J80" s="170">
        <v>275.0</v>
      </c>
      <c r="K80" s="170">
        <v>357.5</v>
      </c>
      <c r="L80" s="170">
        <v>439.725</v>
      </c>
      <c r="M80" s="170">
        <v>523.27275</v>
      </c>
      <c r="N80" s="170">
        <v>533.738205</v>
      </c>
      <c r="O80" s="170">
        <v>416.3157999</v>
      </c>
      <c r="P80" s="170">
        <v>516.231591876</v>
      </c>
      <c r="Q80" s="170">
        <v>562.69243514484</v>
      </c>
      <c r="R80" s="170">
        <v>731.500165688292</v>
      </c>
      <c r="S80" s="170">
        <v>811.9651839140041</v>
      </c>
      <c r="T80" s="170">
        <v>852.5634431097044</v>
      </c>
      <c r="U80" s="170">
        <v>622.3713134700843</v>
      </c>
      <c r="V80" s="170">
        <v>566.3578952577767</v>
      </c>
      <c r="W80" s="170">
        <v>668.3023164041765</v>
      </c>
      <c r="X80" s="170">
        <v>715.0834785524689</v>
      </c>
      <c r="Y80" s="170">
        <v>850.949339477438</v>
      </c>
      <c r="Z80" s="170">
        <v>621.1930178185298</v>
      </c>
      <c r="AA80" s="170">
        <v>565.2856462148621</v>
      </c>
      <c r="AB80" s="170">
        <v>650.0784931470914</v>
      </c>
      <c r="AC80" s="170">
        <v>468.05651506590584</v>
      </c>
      <c r="AD80" s="170">
        <v>388.48690750470183</v>
      </c>
      <c r="AE80" s="170">
        <v>489.49350345592427</v>
      </c>
      <c r="AF80" s="230"/>
      <c r="AG80" s="230"/>
      <c r="AH80" s="230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0"/>
      <c r="AW80" s="230"/>
      <c r="AX80" s="230"/>
      <c r="AY80" s="230"/>
      <c r="AZ80" s="230"/>
      <c r="BA80" s="230"/>
      <c r="BB80" s="230"/>
      <c r="BC80" s="230"/>
      <c r="BD80" s="230"/>
    </row>
    <row r="81" ht="23.25" hidden="1" customHeight="1">
      <c r="A81" s="25"/>
      <c r="B81" s="26"/>
      <c r="C81" s="26"/>
      <c r="D81" s="208"/>
      <c r="E81" s="7"/>
      <c r="F81" s="151" t="s">
        <v>628</v>
      </c>
      <c r="G81" s="229" t="str">
        <f>IFERROR(__xludf.DUMMYFUNCTION("SPARKLINE(OFFSET(J81,0,100-MIN(100,IF($H$71="""",100,$H$71)),1,MIN(100,IF($H$71="""",100,$H$71))),{""charttype"",""column"";""color"",""blue""})"),"#REF!")</f>
        <v>#REF!</v>
      </c>
      <c r="H81" s="33"/>
      <c r="I81" s="34"/>
      <c r="J81" s="170">
        <v>482.0</v>
      </c>
      <c r="K81" s="170">
        <v>583.22</v>
      </c>
      <c r="L81" s="170">
        <v>641.542</v>
      </c>
      <c r="M81" s="170">
        <v>705.6962000000001</v>
      </c>
      <c r="N81" s="170">
        <v>529.27215</v>
      </c>
      <c r="O81" s="170">
        <v>635.12658</v>
      </c>
      <c r="P81" s="170">
        <v>711.3417696</v>
      </c>
      <c r="Q81" s="170">
        <v>825.1564527360001</v>
      </c>
      <c r="R81" s="170">
        <v>882.9174044275201</v>
      </c>
      <c r="S81" s="170">
        <v>653.3588792763649</v>
      </c>
      <c r="T81" s="170">
        <v>633.7581128980739</v>
      </c>
      <c r="U81" s="170">
        <v>519.6816525764206</v>
      </c>
      <c r="V81" s="170">
        <v>446.9262212157217</v>
      </c>
      <c r="W81" s="170">
        <v>442.45695900356446</v>
      </c>
      <c r="X81" s="170">
        <v>508.8255028540991</v>
      </c>
      <c r="Y81" s="170">
        <v>371.4426170834924</v>
      </c>
      <c r="Z81" s="170">
        <v>475.44654986687027</v>
      </c>
      <c r="AA81" s="170">
        <v>489.70994636287634</v>
      </c>
      <c r="AB81" s="170">
        <v>504.4012447537627</v>
      </c>
      <c r="AC81" s="170">
        <v>575.0174190192895</v>
      </c>
      <c r="AD81" s="170">
        <v>626.7689867310256</v>
      </c>
      <c r="AE81" s="170">
        <v>808.531992883023</v>
      </c>
      <c r="AF81" s="230"/>
      <c r="AG81" s="230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</row>
    <row r="82" ht="23.25" hidden="1" customHeight="1">
      <c r="A82" s="25"/>
      <c r="B82" s="26"/>
      <c r="C82" s="26"/>
      <c r="D82" s="208"/>
      <c r="E82" s="7"/>
      <c r="F82" s="151" t="s">
        <v>629</v>
      </c>
      <c r="G82" s="229" t="str">
        <f>IFERROR(__xludf.DUMMYFUNCTION("SPARKLINE(OFFSET(J82,0,100-MIN(100,IF($H$71="""",100,$H$71)),1,MIN(100,IF($H$71="""",100,$H$71))),{""charttype"",""column"";""color"",""blue""})"),"#REF!")</f>
        <v>#REF!</v>
      </c>
      <c r="H82" s="33"/>
      <c r="I82" s="34"/>
      <c r="J82" s="170">
        <v>168.0</v>
      </c>
      <c r="K82" s="170">
        <v>199.92</v>
      </c>
      <c r="L82" s="170">
        <v>169.93200000000002</v>
      </c>
      <c r="M82" s="170">
        <v>169.93200000000002</v>
      </c>
      <c r="N82" s="170">
        <v>124.05036000000001</v>
      </c>
      <c r="O82" s="170">
        <v>125.29086360000001</v>
      </c>
      <c r="P82" s="170">
        <v>121.53213769200002</v>
      </c>
      <c r="Q82" s="170">
        <v>92.36442464592001</v>
      </c>
      <c r="R82" s="170">
        <v>85.89891492070561</v>
      </c>
      <c r="S82" s="170">
        <v>75.59104513022093</v>
      </c>
      <c r="T82" s="170">
        <v>66.52011971459441</v>
      </c>
      <c r="U82" s="170">
        <v>71.17652809461602</v>
      </c>
      <c r="V82" s="170">
        <v>79.71771146596994</v>
      </c>
      <c r="W82" s="170">
        <v>100.44431644712213</v>
      </c>
      <c r="X82" s="170">
        <v>102.45320277606457</v>
      </c>
      <c r="Y82" s="170">
        <v>89.13428641517618</v>
      </c>
      <c r="Z82" s="170">
        <v>63.28534335477509</v>
      </c>
      <c r="AA82" s="170">
        <v>69.6138776902526</v>
      </c>
      <c r="AB82" s="170">
        <v>63.34862869812986</v>
      </c>
      <c r="AC82" s="170">
        <v>53.84633439341038</v>
      </c>
      <c r="AD82" s="170">
        <v>38.76936076325547</v>
      </c>
      <c r="AE82" s="170">
        <v>42.64629683958102</v>
      </c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</row>
    <row r="83" ht="23.25" hidden="1" customHeight="1">
      <c r="A83" s="25"/>
      <c r="B83" s="26"/>
      <c r="C83" s="26"/>
      <c r="D83" s="208"/>
      <c r="E83" s="7"/>
      <c r="F83" s="151" t="s">
        <v>632</v>
      </c>
      <c r="G83" s="229" t="str">
        <f>IFERROR(__xludf.DUMMYFUNCTION("SPARKLINE(OFFSET(J83,0,100-MIN(100,IF($H$71="""",100,$H$71)),1,MIN(100,IF($H$71="""",100,$H$71))),{""charttype"",""column"";""color"",""blue""})"),"#REF!")</f>
        <v>#REF!</v>
      </c>
      <c r="H83" s="33"/>
      <c r="I83" s="34"/>
      <c r="J83" s="170">
        <v>36.0</v>
      </c>
      <c r="K83" s="170">
        <v>28.44</v>
      </c>
      <c r="L83" s="170">
        <v>28.1556</v>
      </c>
      <c r="M83" s="170">
        <v>26.466264000000002</v>
      </c>
      <c r="N83" s="170">
        <v>23.29031232</v>
      </c>
      <c r="O83" s="170">
        <v>25.3864404288</v>
      </c>
      <c r="P83" s="170">
        <v>25.132576024512</v>
      </c>
      <c r="Q83" s="170">
        <v>31.164394270394883</v>
      </c>
      <c r="R83" s="170">
        <v>24.931515416315907</v>
      </c>
      <c r="S83" s="170">
        <v>26.67672149545802</v>
      </c>
      <c r="T83" s="170">
        <v>18.940472261775195</v>
      </c>
      <c r="U83" s="170">
        <v>20.64511476533496</v>
      </c>
      <c r="V83" s="170">
        <v>19.61285902706821</v>
      </c>
      <c r="W83" s="170">
        <v>23.143173651940486</v>
      </c>
      <c r="X83" s="170">
        <v>26.383217963212154</v>
      </c>
      <c r="Y83" s="170">
        <v>26.119385783580032</v>
      </c>
      <c r="Z83" s="170">
        <v>21.156702484699828</v>
      </c>
      <c r="AA83" s="170">
        <v>23.27237273316981</v>
      </c>
      <c r="AB83" s="170">
        <v>21.64330664184792</v>
      </c>
      <c r="AC83" s="170">
        <v>25.755534903799024</v>
      </c>
      <c r="AD83" s="170">
        <v>31.936863280710792</v>
      </c>
      <c r="AE83" s="170">
        <v>38.32423593685295</v>
      </c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</row>
    <row r="84" ht="23.25" hidden="1" customHeight="1">
      <c r="A84" s="25"/>
      <c r="B84" s="26"/>
      <c r="C84" s="26"/>
      <c r="D84" s="208"/>
      <c r="E84" s="7"/>
      <c r="F84" s="151" t="s">
        <v>633</v>
      </c>
      <c r="G84" s="229" t="str">
        <f>IFERROR(__xludf.DUMMYFUNCTION("SPARKLINE(OFFSET(J84,0,100-MIN(100,IF($H$71="""",100,$H$71)),1,MIN(100,IF($H$71="""",100,$H$71))),{""charttype"",""column"";""color"",""blue""})"),"#REF!")</f>
        <v>#REF!</v>
      </c>
      <c r="H84" s="33"/>
      <c r="I84" s="34"/>
      <c r="J84" s="170">
        <v>314.0</v>
      </c>
      <c r="K84" s="170">
        <v>386.22</v>
      </c>
      <c r="L84" s="170">
        <v>467.32620000000003</v>
      </c>
      <c r="M84" s="170">
        <v>411.247056</v>
      </c>
      <c r="N84" s="170">
        <v>403.02211488</v>
      </c>
      <c r="O84" s="170">
        <v>386.90123028479996</v>
      </c>
      <c r="P84" s="170">
        <v>421.722341010432</v>
      </c>
      <c r="Q84" s="170">
        <v>463.8945751114752</v>
      </c>
      <c r="R84" s="170">
        <v>487.08930386704895</v>
      </c>
      <c r="S84" s="170">
        <v>433.5094804416736</v>
      </c>
      <c r="T84" s="170">
        <v>498.5359025079246</v>
      </c>
      <c r="U84" s="170">
        <v>513.4919795831624</v>
      </c>
      <c r="V84" s="170">
        <v>559.7062577456471</v>
      </c>
      <c r="W84" s="170">
        <v>425.37675588669185</v>
      </c>
      <c r="X84" s="170">
        <v>374.3315451802888</v>
      </c>
      <c r="Y84" s="170">
        <v>277.0053434334137</v>
      </c>
      <c r="Z84" s="170">
        <v>354.56683959476953</v>
      </c>
      <c r="AA84" s="170">
        <v>326.201492427188</v>
      </c>
      <c r="AB84" s="170">
        <v>401.2278356854412</v>
      </c>
      <c r="AC84" s="170">
        <v>337.0313819757706</v>
      </c>
      <c r="AD84" s="170">
        <v>279.7360470398896</v>
      </c>
      <c r="AE84" s="170">
        <v>240.5730004543051</v>
      </c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</row>
    <row r="85" ht="23.25" hidden="1" customHeight="1">
      <c r="A85" s="25"/>
      <c r="B85" s="26"/>
      <c r="C85" s="26"/>
      <c r="D85" s="208"/>
      <c r="E85" s="7"/>
      <c r="F85" s="151" t="s">
        <v>634</v>
      </c>
      <c r="G85" s="229" t="str">
        <f>IFERROR(__xludf.DUMMYFUNCTION("SPARKLINE(OFFSET(J85,0,100-MIN(100,IF($H$71="""",100,$H$71)),1,MIN(100,IF($H$71="""",100,$H$71))),{""charttype"",""column"";""color"",""blue""})"),"#REF!")</f>
        <v>#REF!</v>
      </c>
      <c r="H85" s="33"/>
      <c r="I85" s="34"/>
      <c r="J85" s="170">
        <v>287.0</v>
      </c>
      <c r="K85" s="170">
        <v>261.17</v>
      </c>
      <c r="L85" s="170">
        <v>287.28700000000003</v>
      </c>
      <c r="M85" s="170">
        <v>290.15987000000007</v>
      </c>
      <c r="N85" s="170">
        <v>293.0614687000001</v>
      </c>
      <c r="O85" s="170">
        <v>225.65733089900007</v>
      </c>
      <c r="P85" s="170">
        <v>270.7887970788001</v>
      </c>
      <c r="Q85" s="170">
        <v>200.38370983831206</v>
      </c>
      <c r="R85" s="170">
        <v>158.3031307722665</v>
      </c>
      <c r="S85" s="170">
        <v>193.12981954216514</v>
      </c>
      <c r="T85" s="170">
        <v>208.58020510553834</v>
      </c>
      <c r="U85" s="170">
        <v>177.29317433970758</v>
      </c>
      <c r="V85" s="170">
        <v>140.06160772836898</v>
      </c>
      <c r="W85" s="170">
        <v>142.86283988293636</v>
      </c>
      <c r="X85" s="170">
        <v>108.57575831103162</v>
      </c>
      <c r="Y85" s="170">
        <v>138.97697063812046</v>
      </c>
      <c r="Z85" s="170">
        <v>166.77236476574456</v>
      </c>
      <c r="AA85" s="170">
        <v>193.45594312826367</v>
      </c>
      <c r="AB85" s="170">
        <v>247.6236072041775</v>
      </c>
      <c r="AC85" s="170">
        <v>237.7186629160104</v>
      </c>
      <c r="AD85" s="170">
        <v>285.26239549921246</v>
      </c>
      <c r="AE85" s="170">
        <v>336.6096266890707</v>
      </c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</row>
    <row r="86" ht="23.25" hidden="1" customHeight="1">
      <c r="A86" s="25"/>
      <c r="B86" s="26"/>
      <c r="C86" s="26"/>
      <c r="D86" s="208"/>
      <c r="E86" s="7"/>
      <c r="F86" s="151" t="s">
        <v>638</v>
      </c>
      <c r="G86" s="229" t="str">
        <f>IFERROR(__xludf.DUMMYFUNCTION("SPARKLINE(OFFSET(J86,0,100-MIN(100,IF($H$71="""",100,$H$71)),1,MIN(100,IF($H$71="""",100,$H$71))),{""charttype"",""column"";""color"",""blue""})"),"#REF!")</f>
        <v>#REF!</v>
      </c>
      <c r="H86" s="33"/>
      <c r="I86" s="34"/>
      <c r="J86" s="170">
        <v>152.0</v>
      </c>
      <c r="K86" s="170">
        <v>114.0</v>
      </c>
      <c r="L86" s="170">
        <v>143.64</v>
      </c>
      <c r="M86" s="170">
        <v>159.44039999999998</v>
      </c>
      <c r="N86" s="170">
        <v>154.657188</v>
      </c>
      <c r="O86" s="170">
        <v>137.64489732</v>
      </c>
      <c r="P86" s="170">
        <v>130.762652454</v>
      </c>
      <c r="Q86" s="170">
        <v>120.30164025768</v>
      </c>
      <c r="R86" s="170">
        <v>121.5046566602568</v>
      </c>
      <c r="S86" s="170">
        <v>154.31091395852616</v>
      </c>
      <c r="T86" s="170">
        <v>160.4833505168672</v>
      </c>
      <c r="U86" s="170">
        <v>198.99935464091533</v>
      </c>
      <c r="V86" s="170">
        <v>139.29954824864072</v>
      </c>
      <c r="W86" s="170">
        <v>111.43963859891257</v>
      </c>
      <c r="X86" s="170">
        <v>122.58360245880381</v>
      </c>
      <c r="Y86" s="170">
        <v>148.32615897515262</v>
      </c>
      <c r="Z86" s="170">
        <v>191.34074507794688</v>
      </c>
      <c r="AA86" s="170">
        <v>172.2066705701522</v>
      </c>
      <c r="AB86" s="170">
        <v>173.9287372758537</v>
      </c>
      <c r="AC86" s="170">
        <v>140.8822771934415</v>
      </c>
      <c r="AD86" s="170">
        <v>129.61169501796618</v>
      </c>
      <c r="AE86" s="170">
        <v>119.2427594165289</v>
      </c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  <c r="AY86" s="230"/>
      <c r="AZ86" s="230"/>
      <c r="BA86" s="230"/>
      <c r="BB86" s="230"/>
      <c r="BC86" s="230"/>
      <c r="BD86" s="230"/>
    </row>
    <row r="87" ht="23.25" hidden="1" customHeight="1">
      <c r="A87" s="25"/>
      <c r="B87" s="26"/>
      <c r="C87" s="26"/>
      <c r="D87" s="208"/>
      <c r="E87" s="7"/>
      <c r="F87" s="151" t="s">
        <v>643</v>
      </c>
      <c r="G87" s="229" t="str">
        <f>IFERROR(__xludf.DUMMYFUNCTION("SPARKLINE(OFFSET(J87,0,100-MIN(100,IF($H$71="""",100,$H$71)),1,MIN(100,IF($H$71="""",100,$H$71))),{""charttype"",""column"";""color"",""blue""})"),"#REF!")</f>
        <v>#REF!</v>
      </c>
      <c r="H87" s="33"/>
      <c r="I87" s="34"/>
      <c r="J87" s="170">
        <v>38.0</v>
      </c>
      <c r="K87" s="170">
        <v>46.74</v>
      </c>
      <c r="L87" s="170">
        <v>43.4682</v>
      </c>
      <c r="M87" s="170">
        <v>30.427740000000004</v>
      </c>
      <c r="N87" s="170">
        <v>26.4721338</v>
      </c>
      <c r="O87" s="170">
        <v>20.118821688</v>
      </c>
      <c r="P87" s="170">
        <v>17.90575130232</v>
      </c>
      <c r="Q87" s="170">
        <v>12.8921409376704</v>
      </c>
      <c r="R87" s="170">
        <v>13.923512212684031</v>
      </c>
      <c r="S87" s="170">
        <v>11.417280014400905</v>
      </c>
      <c r="T87" s="170">
        <v>12.559008015840995</v>
      </c>
      <c r="U87" s="170">
        <v>14.819629458692372</v>
      </c>
      <c r="V87" s="170">
        <v>12.152096156127746</v>
      </c>
      <c r="W87" s="170">
        <v>12.516659040811579</v>
      </c>
      <c r="X87" s="170">
        <v>12.766992221627811</v>
      </c>
      <c r="Y87" s="170">
        <v>10.468933621734804</v>
      </c>
      <c r="Z87" s="170">
        <v>7.328253535214362</v>
      </c>
      <c r="AA87" s="170">
        <v>6.741993252397212</v>
      </c>
      <c r="AB87" s="170">
        <v>6.000373994633519</v>
      </c>
      <c r="AC87" s="170">
        <v>5.460340335116502</v>
      </c>
      <c r="AD87" s="170">
        <v>4.750496091551357</v>
      </c>
      <c r="AE87" s="170">
        <v>3.895406795072113</v>
      </c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  <c r="AY87" s="230"/>
      <c r="AZ87" s="230"/>
      <c r="BA87" s="230"/>
      <c r="BB87" s="230"/>
      <c r="BC87" s="230"/>
      <c r="BD87" s="230"/>
    </row>
    <row r="88" ht="23.25" hidden="1" customHeight="1">
      <c r="A88" s="25"/>
      <c r="B88" s="26"/>
      <c r="C88" s="26"/>
      <c r="D88" s="208"/>
      <c r="E88" s="7"/>
      <c r="F88" s="151" t="s">
        <v>647</v>
      </c>
      <c r="G88" s="229" t="str">
        <f>IFERROR(__xludf.DUMMYFUNCTION("SPARKLINE(OFFSET(J88,0,100-MIN(100,IF($H$71="""",100,$H$71)),1,MIN(100,IF($H$71="""",100,$H$71))),{""charttype"",""column"";""color"",""blue""})"),"#REF!")</f>
        <v>#REF!</v>
      </c>
      <c r="H88" s="33"/>
      <c r="I88" s="34"/>
      <c r="J88" s="170">
        <v>14.0</v>
      </c>
      <c r="K88" s="170">
        <v>12.04</v>
      </c>
      <c r="L88" s="170">
        <v>11.558399999999999</v>
      </c>
      <c r="M88" s="170">
        <v>12.483072</v>
      </c>
      <c r="N88" s="170">
        <v>15.10451712</v>
      </c>
      <c r="O88" s="170">
        <v>19.3337819136</v>
      </c>
      <c r="P88" s="170">
        <v>19.527119732735997</v>
      </c>
      <c r="Q88" s="170">
        <v>17.96495015411712</v>
      </c>
      <c r="R88" s="170">
        <v>14.910908627917209</v>
      </c>
      <c r="S88" s="170">
        <v>18.340417612338168</v>
      </c>
      <c r="T88" s="170">
        <v>19.62424684520184</v>
      </c>
      <c r="U88" s="170">
        <v>21.390429061270005</v>
      </c>
      <c r="V88" s="170">
        <v>18.823577573917603</v>
      </c>
      <c r="W88" s="170">
        <v>17.50592714374337</v>
      </c>
      <c r="X88" s="170">
        <v>22.58264601542895</v>
      </c>
      <c r="Y88" s="170">
        <v>23.034298935737528</v>
      </c>
      <c r="Z88" s="170">
        <v>17.275724201803147</v>
      </c>
      <c r="AA88" s="170">
        <v>19.86708283207362</v>
      </c>
      <c r="AB88" s="170">
        <v>23.045816085205402</v>
      </c>
      <c r="AC88" s="170">
        <v>28.115895623950593</v>
      </c>
      <c r="AD88" s="170">
        <v>35.70718744241725</v>
      </c>
      <c r="AE88" s="170">
        <v>31.06525307490301</v>
      </c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  <c r="AY88" s="230"/>
      <c r="AZ88" s="230"/>
      <c r="BA88" s="230"/>
      <c r="BB88" s="230"/>
      <c r="BC88" s="230"/>
      <c r="BD88" s="230"/>
    </row>
    <row r="89" hidden="1">
      <c r="A89" s="25"/>
      <c r="B89" s="26"/>
      <c r="C89" s="26"/>
      <c r="D89" s="20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128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</row>
    <row r="90">
      <c r="A90" s="25"/>
      <c r="B90" s="26"/>
      <c r="C90" s="26"/>
      <c r="D90" s="20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128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</row>
    <row r="91">
      <c r="A91" s="25"/>
      <c r="B91" s="26"/>
      <c r="C91" s="26"/>
      <c r="D91" s="208"/>
      <c r="E91" s="234"/>
      <c r="F91" s="129" t="s">
        <v>380</v>
      </c>
      <c r="G91" s="7"/>
      <c r="H91" s="7"/>
      <c r="I91" s="7"/>
      <c r="J91" s="20"/>
      <c r="K91" s="20"/>
      <c r="L91" s="215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234"/>
      <c r="AN91" s="234"/>
      <c r="AO91" s="234"/>
      <c r="AP91" s="234"/>
      <c r="AQ91" s="234"/>
      <c r="AR91" s="234"/>
      <c r="AS91" s="234"/>
      <c r="AT91" s="234"/>
      <c r="AU91" s="234"/>
      <c r="AV91" s="234"/>
      <c r="AW91" s="234"/>
      <c r="AX91" s="234"/>
      <c r="AY91" s="234"/>
      <c r="AZ91" s="234"/>
      <c r="BA91" s="234"/>
      <c r="BB91" s="234"/>
      <c r="BC91" s="234"/>
      <c r="BD91" s="234"/>
    </row>
    <row r="92">
      <c r="A92" s="25"/>
      <c r="B92" s="26"/>
      <c r="C92" s="26"/>
      <c r="D92" s="208"/>
      <c r="E92" s="234"/>
      <c r="G92" s="131"/>
      <c r="H92" s="131"/>
      <c r="I92" s="132"/>
      <c r="J92" s="20"/>
      <c r="K92" s="20"/>
      <c r="L92" s="20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34"/>
      <c r="AO92" s="234"/>
      <c r="AP92" s="234"/>
      <c r="AQ92" s="234"/>
      <c r="AR92" s="234"/>
      <c r="AS92" s="234"/>
      <c r="AT92" s="234"/>
      <c r="AU92" s="234"/>
      <c r="AV92" s="234"/>
      <c r="AW92" s="234"/>
      <c r="AX92" s="234"/>
      <c r="AY92" s="234"/>
      <c r="AZ92" s="234"/>
      <c r="BA92" s="234"/>
      <c r="BB92" s="234"/>
      <c r="BC92" s="234"/>
      <c r="BD92" s="234"/>
    </row>
    <row r="93">
      <c r="A93" s="25"/>
      <c r="B93" s="26"/>
      <c r="C93" s="26"/>
      <c r="D93" s="208"/>
      <c r="E93" s="234"/>
      <c r="F93" s="41" t="s">
        <v>659</v>
      </c>
      <c r="G93" s="7"/>
      <c r="H93" s="7"/>
      <c r="I93" s="7"/>
      <c r="J93" s="20"/>
      <c r="K93" s="20"/>
      <c r="L93" s="7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  <c r="AZ93" s="234"/>
      <c r="BA93" s="234"/>
      <c r="BB93" s="234"/>
      <c r="BC93" s="234"/>
      <c r="BD93" s="234"/>
    </row>
    <row r="94">
      <c r="A94" s="25"/>
      <c r="B94" s="26"/>
      <c r="C94" s="26"/>
      <c r="D94" s="208"/>
      <c r="E94" s="234"/>
      <c r="F94" s="235" t="s">
        <v>99</v>
      </c>
      <c r="G94" s="236" t="s">
        <v>661</v>
      </c>
      <c r="H94" s="237"/>
      <c r="I94" s="238" t="s">
        <v>662</v>
      </c>
      <c r="J94" s="34"/>
      <c r="K94" s="238" t="s">
        <v>663</v>
      </c>
      <c r="L94" s="34"/>
      <c r="N94" s="261" t="s">
        <v>99</v>
      </c>
      <c r="O94" s="262" t="s">
        <v>661</v>
      </c>
      <c r="P94" s="263" t="s">
        <v>66</v>
      </c>
      <c r="Q94" s="264" t="s">
        <v>684</v>
      </c>
      <c r="U94" s="273" t="s">
        <v>99</v>
      </c>
      <c r="V94" s="274" t="s">
        <v>661</v>
      </c>
      <c r="W94" s="275" t="s">
        <v>66</v>
      </c>
      <c r="X94" s="275" t="s">
        <v>684</v>
      </c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4"/>
      <c r="AL94" s="234"/>
      <c r="AM94" s="234"/>
      <c r="AN94" s="234"/>
      <c r="AO94" s="234"/>
      <c r="AP94" s="234"/>
      <c r="AQ94" s="234"/>
      <c r="AR94" s="234"/>
      <c r="AS94" s="234"/>
      <c r="AT94" s="234"/>
      <c r="AU94" s="234"/>
      <c r="AV94" s="234"/>
      <c r="AW94" s="234"/>
      <c r="AX94" s="234"/>
      <c r="AY94" s="234"/>
      <c r="AZ94" s="234"/>
      <c r="BA94" s="234"/>
      <c r="BB94" s="234"/>
      <c r="BC94" s="234"/>
      <c r="BD94" s="234"/>
    </row>
    <row r="95">
      <c r="A95" s="25"/>
      <c r="B95" s="26"/>
      <c r="C95" s="26"/>
      <c r="D95" s="208"/>
      <c r="E95" s="7"/>
      <c r="F95" s="276" t="s">
        <v>697</v>
      </c>
      <c r="G95" s="278" t="s">
        <v>698</v>
      </c>
      <c r="H95" s="279"/>
      <c r="I95" s="280">
        <v>45474.0</v>
      </c>
      <c r="J95" s="34"/>
      <c r="K95" s="281">
        <v>0.3</v>
      </c>
      <c r="L95" s="34"/>
      <c r="N95" s="282" t="s">
        <v>697</v>
      </c>
      <c r="O95" s="282" t="s">
        <v>700</v>
      </c>
      <c r="P95" s="64">
        <v>0.7574939759036146</v>
      </c>
      <c r="Q95" s="283"/>
      <c r="U95" s="205" t="s">
        <v>697</v>
      </c>
      <c r="V95" s="205" t="s">
        <v>700</v>
      </c>
      <c r="W95" s="284">
        <v>0.7574939759036146</v>
      </c>
      <c r="X95" s="275"/>
      <c r="Z95" s="7"/>
      <c r="AA95" s="128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</row>
    <row r="96">
      <c r="A96" s="25"/>
      <c r="B96" s="26"/>
      <c r="C96" s="26"/>
      <c r="D96" s="208"/>
      <c r="E96" s="7"/>
      <c r="F96" s="276" t="s">
        <v>704</v>
      </c>
      <c r="G96" s="278" t="s">
        <v>705</v>
      </c>
      <c r="H96" s="279"/>
      <c r="I96" s="280">
        <v>45474.0</v>
      </c>
      <c r="J96" s="34"/>
      <c r="K96" s="281">
        <v>0.3</v>
      </c>
      <c r="L96" s="34"/>
      <c r="N96" s="25"/>
      <c r="O96" s="25" t="s">
        <v>706</v>
      </c>
      <c r="P96" s="64">
        <v>0.4779761904761906</v>
      </c>
      <c r="Q96" s="283"/>
      <c r="U96" s="275"/>
      <c r="V96" s="275" t="s">
        <v>706</v>
      </c>
      <c r="W96" s="284">
        <v>0.4779761904761906</v>
      </c>
      <c r="X96" s="275"/>
      <c r="Z96" s="7"/>
      <c r="AA96" s="128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</row>
    <row r="97">
      <c r="A97" s="25"/>
      <c r="B97" s="26"/>
      <c r="C97" s="26"/>
      <c r="D97" s="208"/>
      <c r="E97" s="7"/>
      <c r="F97" s="276" t="s">
        <v>704</v>
      </c>
      <c r="G97" s="278" t="s">
        <v>705</v>
      </c>
      <c r="H97" s="279"/>
      <c r="I97" s="280">
        <v>45474.0</v>
      </c>
      <c r="J97" s="34"/>
      <c r="K97" s="281">
        <v>0.27599999999999997</v>
      </c>
      <c r="L97" s="34"/>
      <c r="N97" s="25"/>
      <c r="O97" s="25" t="s">
        <v>698</v>
      </c>
      <c r="P97" s="64">
        <v>0.2843108108108108</v>
      </c>
      <c r="Q97" s="283"/>
      <c r="U97" s="275"/>
      <c r="V97" s="275" t="s">
        <v>698</v>
      </c>
      <c r="W97" s="284">
        <v>0.2843108108108108</v>
      </c>
      <c r="X97" s="275"/>
      <c r="Z97" s="7"/>
      <c r="AA97" s="128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</row>
    <row r="98">
      <c r="A98" s="25"/>
      <c r="B98" s="26"/>
      <c r="C98" s="26"/>
      <c r="D98" s="208"/>
      <c r="E98" s="7"/>
      <c r="F98" s="276" t="s">
        <v>707</v>
      </c>
      <c r="G98" s="278" t="s">
        <v>708</v>
      </c>
      <c r="H98" s="279"/>
      <c r="I98" s="280">
        <v>45474.0</v>
      </c>
      <c r="J98" s="34"/>
      <c r="K98" s="281">
        <v>0.235</v>
      </c>
      <c r="L98" s="34"/>
      <c r="N98" s="288" t="s">
        <v>710</v>
      </c>
      <c r="O98" s="288"/>
      <c r="P98" s="290">
        <v>0.5147759336099577</v>
      </c>
      <c r="Q98" s="291"/>
      <c r="U98" s="292" t="s">
        <v>710</v>
      </c>
      <c r="V98" s="292"/>
      <c r="W98" s="293">
        <v>0.5147759336099577</v>
      </c>
      <c r="X98" s="292"/>
      <c r="Z98" s="7"/>
      <c r="AA98" s="128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</row>
    <row r="99">
      <c r="A99" s="25"/>
      <c r="B99" s="26"/>
      <c r="C99" s="26"/>
      <c r="D99" s="208"/>
      <c r="E99" s="7"/>
      <c r="F99" s="276" t="s">
        <v>707</v>
      </c>
      <c r="G99" s="278" t="s">
        <v>712</v>
      </c>
      <c r="H99" s="279"/>
      <c r="I99" s="280">
        <v>45474.0</v>
      </c>
      <c r="J99" s="34"/>
      <c r="K99" s="281">
        <v>0.873</v>
      </c>
      <c r="L99" s="34"/>
      <c r="N99" s="25" t="s">
        <v>704</v>
      </c>
      <c r="O99" s="25" t="s">
        <v>713</v>
      </c>
      <c r="P99" s="64">
        <v>0.6660769230769232</v>
      </c>
      <c r="Q99" s="283"/>
      <c r="U99" s="275" t="s">
        <v>704</v>
      </c>
      <c r="V99" s="275" t="s">
        <v>713</v>
      </c>
      <c r="W99" s="284">
        <v>0.6660769230769232</v>
      </c>
      <c r="X99" s="275"/>
      <c r="Z99" s="7"/>
      <c r="AA99" s="128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</row>
    <row r="100">
      <c r="A100" s="25"/>
      <c r="B100" s="26"/>
      <c r="C100" s="26"/>
      <c r="D100" s="208"/>
      <c r="E100" s="7"/>
      <c r="F100" s="276" t="s">
        <v>716</v>
      </c>
      <c r="G100" s="278" t="s">
        <v>717</v>
      </c>
      <c r="H100" s="279"/>
      <c r="I100" s="280">
        <v>45474.0</v>
      </c>
      <c r="J100" s="34"/>
      <c r="K100" s="281">
        <v>0.76</v>
      </c>
      <c r="L100" s="34"/>
      <c r="N100" s="283"/>
      <c r="O100" s="283" t="s">
        <v>719</v>
      </c>
      <c r="P100" s="64">
        <v>0.37919101123595494</v>
      </c>
      <c r="Q100" s="283"/>
      <c r="U100" s="275"/>
      <c r="V100" s="275" t="s">
        <v>719</v>
      </c>
      <c r="W100" s="284">
        <v>0.37919101123595494</v>
      </c>
      <c r="X100" s="275"/>
      <c r="Z100" s="7"/>
      <c r="AA100" s="128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</row>
    <row r="101">
      <c r="A101" s="25"/>
      <c r="B101" s="26"/>
      <c r="C101" s="26"/>
      <c r="D101" s="208"/>
      <c r="E101" s="7"/>
      <c r="F101" s="276" t="s">
        <v>707</v>
      </c>
      <c r="G101" s="278" t="s">
        <v>720</v>
      </c>
      <c r="H101" s="279"/>
      <c r="I101" s="280">
        <v>45474.0</v>
      </c>
      <c r="J101" s="34"/>
      <c r="K101" s="281">
        <v>0.19200000000000003</v>
      </c>
      <c r="L101" s="34"/>
      <c r="N101" s="283"/>
      <c r="O101" s="283" t="s">
        <v>705</v>
      </c>
      <c r="P101" s="64">
        <v>0.28476623376623383</v>
      </c>
      <c r="Q101" s="283"/>
      <c r="U101" s="275"/>
      <c r="V101" s="275" t="s">
        <v>705</v>
      </c>
      <c r="W101" s="284">
        <v>0.28476623376623383</v>
      </c>
      <c r="X101" s="275"/>
      <c r="Z101" s="7"/>
      <c r="AA101" s="128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</row>
    <row r="102">
      <c r="A102" s="25"/>
      <c r="B102" s="26"/>
      <c r="C102" s="26"/>
      <c r="D102" s="208"/>
      <c r="E102" s="7"/>
      <c r="F102" s="276" t="s">
        <v>707</v>
      </c>
      <c r="G102" s="278" t="s">
        <v>708</v>
      </c>
      <c r="H102" s="279"/>
      <c r="I102" s="280">
        <v>45474.0</v>
      </c>
      <c r="J102" s="34"/>
      <c r="K102" s="281">
        <v>0.25</v>
      </c>
      <c r="L102" s="34"/>
      <c r="N102" s="294" t="s">
        <v>721</v>
      </c>
      <c r="O102" s="294"/>
      <c r="P102" s="290">
        <v>0.4411024590163931</v>
      </c>
      <c r="Q102" s="291"/>
      <c r="U102" s="275" t="s">
        <v>721</v>
      </c>
      <c r="V102" s="274"/>
      <c r="W102" s="295">
        <v>0.4411024590163931</v>
      </c>
      <c r="X102" s="275"/>
      <c r="Z102" s="7"/>
      <c r="AA102" s="128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</row>
    <row r="103">
      <c r="A103" s="25"/>
      <c r="B103" s="26"/>
      <c r="C103" s="26"/>
      <c r="D103" s="208"/>
      <c r="E103" s="7"/>
      <c r="F103" s="276" t="s">
        <v>707</v>
      </c>
      <c r="G103" s="278" t="s">
        <v>720</v>
      </c>
      <c r="H103" s="279"/>
      <c r="I103" s="280">
        <v>45474.0</v>
      </c>
      <c r="J103" s="34"/>
      <c r="K103" s="281">
        <v>0.18</v>
      </c>
      <c r="L103" s="34"/>
      <c r="N103" s="283" t="s">
        <v>707</v>
      </c>
      <c r="O103" s="283" t="s">
        <v>712</v>
      </c>
      <c r="P103" s="64">
        <v>0.8581153846153845</v>
      </c>
      <c r="Q103" s="283"/>
      <c r="U103" s="275" t="s">
        <v>707</v>
      </c>
      <c r="V103" s="274" t="s">
        <v>712</v>
      </c>
      <c r="W103" s="295">
        <v>0.8581153846153845</v>
      </c>
      <c r="X103" s="275"/>
      <c r="Z103" s="7"/>
      <c r="AA103" s="128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</row>
    <row r="104">
      <c r="A104" s="25"/>
      <c r="B104" s="26"/>
      <c r="C104" s="26"/>
      <c r="D104" s="208"/>
      <c r="E104" s="7"/>
      <c r="F104" s="276" t="s">
        <v>707</v>
      </c>
      <c r="G104" s="278" t="s">
        <v>720</v>
      </c>
      <c r="H104" s="279"/>
      <c r="I104" s="280">
        <v>45474.0</v>
      </c>
      <c r="J104" s="34"/>
      <c r="K104" s="281">
        <v>0.18</v>
      </c>
      <c r="L104" s="34"/>
      <c r="N104" s="283"/>
      <c r="O104" s="283" t="s">
        <v>708</v>
      </c>
      <c r="P104" s="64">
        <v>0.23741935483870966</v>
      </c>
      <c r="Q104" s="283"/>
      <c r="U104" s="275"/>
      <c r="V104" s="274" t="s">
        <v>708</v>
      </c>
      <c r="W104" s="295">
        <v>0.23741935483870966</v>
      </c>
      <c r="X104" s="275"/>
      <c r="Z104" s="7"/>
      <c r="AA104" s="128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</row>
    <row r="105">
      <c r="A105" s="25"/>
      <c r="B105" s="26"/>
      <c r="C105" s="26"/>
      <c r="D105" s="208"/>
      <c r="E105" s="7"/>
      <c r="F105" s="276" t="s">
        <v>704</v>
      </c>
      <c r="G105" s="278" t="s">
        <v>719</v>
      </c>
      <c r="H105" s="279"/>
      <c r="I105" s="280">
        <v>45474.0</v>
      </c>
      <c r="J105" s="34"/>
      <c r="K105" s="281">
        <v>0.392</v>
      </c>
      <c r="L105" s="34"/>
      <c r="N105" s="283"/>
      <c r="O105" s="283" t="s">
        <v>720</v>
      </c>
      <c r="P105" s="64">
        <v>0.18898076923076926</v>
      </c>
      <c r="Q105" s="283"/>
      <c r="U105" s="275"/>
      <c r="V105" s="274" t="s">
        <v>720</v>
      </c>
      <c r="W105" s="295">
        <v>0.18898076923076926</v>
      </c>
      <c r="X105" s="275"/>
      <c r="Z105" s="7"/>
      <c r="AA105" s="128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</row>
    <row r="106">
      <c r="A106" s="25"/>
      <c r="B106" s="26"/>
      <c r="C106" s="26"/>
      <c r="D106" s="208"/>
      <c r="E106" s="7"/>
      <c r="F106" s="276" t="s">
        <v>707</v>
      </c>
      <c r="G106" s="278" t="s">
        <v>708</v>
      </c>
      <c r="H106" s="279"/>
      <c r="I106" s="280">
        <v>45475.0</v>
      </c>
      <c r="J106" s="34"/>
      <c r="K106" s="281">
        <v>0.2275</v>
      </c>
      <c r="L106" s="34"/>
      <c r="N106" s="294" t="s">
        <v>727</v>
      </c>
      <c r="O106" s="294"/>
      <c r="P106" s="290">
        <v>0.3951527272727278</v>
      </c>
      <c r="Q106" s="291"/>
      <c r="U106" s="275" t="s">
        <v>727</v>
      </c>
      <c r="V106" s="274"/>
      <c r="W106" s="295">
        <v>0.3951527272727278</v>
      </c>
      <c r="X106" s="275"/>
      <c r="Z106" s="7"/>
      <c r="AA106" s="128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</row>
    <row r="107">
      <c r="A107" s="25"/>
      <c r="B107" s="26"/>
      <c r="C107" s="26"/>
      <c r="D107" s="208"/>
      <c r="E107" s="7"/>
      <c r="F107" s="276" t="s">
        <v>704</v>
      </c>
      <c r="G107" s="278" t="s">
        <v>713</v>
      </c>
      <c r="H107" s="279"/>
      <c r="I107" s="280">
        <v>45475.0</v>
      </c>
      <c r="J107" s="34"/>
      <c r="K107" s="281">
        <v>0.6509999999999999</v>
      </c>
      <c r="L107" s="34"/>
      <c r="N107" s="283" t="s">
        <v>716</v>
      </c>
      <c r="O107" s="283" t="s">
        <v>717</v>
      </c>
      <c r="P107" s="64">
        <v>0.7641081081081081</v>
      </c>
      <c r="Q107" s="283"/>
      <c r="U107" s="275" t="s">
        <v>716</v>
      </c>
      <c r="V107" s="274" t="s">
        <v>717</v>
      </c>
      <c r="W107" s="295">
        <v>0.7641081081081081</v>
      </c>
      <c r="X107" s="275"/>
      <c r="Z107" s="7"/>
      <c r="AA107" s="128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</row>
    <row r="108">
      <c r="A108" s="25"/>
      <c r="B108" s="26"/>
      <c r="C108" s="26"/>
      <c r="D108" s="208"/>
      <c r="E108" s="7"/>
      <c r="F108" s="276" t="s">
        <v>697</v>
      </c>
      <c r="G108" s="278" t="s">
        <v>706</v>
      </c>
      <c r="H108" s="279"/>
      <c r="I108" s="280">
        <v>45475.0</v>
      </c>
      <c r="J108" s="34"/>
      <c r="K108" s="281">
        <v>0.455</v>
      </c>
      <c r="L108" s="34"/>
      <c r="N108" s="283"/>
      <c r="O108" s="283" t="s">
        <v>729</v>
      </c>
      <c r="P108" s="64">
        <v>0.7104838709677412</v>
      </c>
      <c r="Q108" s="283"/>
      <c r="U108" s="275"/>
      <c r="V108" s="274" t="s">
        <v>729</v>
      </c>
      <c r="W108" s="295">
        <v>0.7104838709677412</v>
      </c>
      <c r="X108" s="275"/>
      <c r="Z108" s="7"/>
      <c r="AA108" s="128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</row>
    <row r="109">
      <c r="A109" s="25"/>
      <c r="B109" s="26"/>
      <c r="C109" s="26"/>
      <c r="D109" s="208"/>
      <c r="E109" s="7"/>
      <c r="F109" s="276" t="s">
        <v>716</v>
      </c>
      <c r="G109" s="278" t="s">
        <v>717</v>
      </c>
      <c r="H109" s="279"/>
      <c r="I109" s="280">
        <v>45475.0</v>
      </c>
      <c r="J109" s="34"/>
      <c r="K109" s="281">
        <v>0.7440000000000001</v>
      </c>
      <c r="L109" s="34"/>
      <c r="N109" s="283"/>
      <c r="O109" s="283" t="s">
        <v>732</v>
      </c>
      <c r="P109" s="64">
        <v>0.6642794117647055</v>
      </c>
      <c r="Q109" s="283"/>
      <c r="U109" s="275"/>
      <c r="V109" s="274" t="s">
        <v>732</v>
      </c>
      <c r="W109" s="295">
        <v>0.6642794117647055</v>
      </c>
      <c r="X109" s="275"/>
      <c r="Z109" s="7"/>
      <c r="AA109" s="128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</row>
    <row r="110">
      <c r="A110" s="25"/>
      <c r="B110" s="26"/>
      <c r="C110" s="26"/>
      <c r="D110" s="208"/>
      <c r="E110" s="7"/>
      <c r="F110" s="276" t="s">
        <v>716</v>
      </c>
      <c r="G110" s="278" t="s">
        <v>732</v>
      </c>
      <c r="H110" s="279"/>
      <c r="I110" s="280">
        <v>45475.0</v>
      </c>
      <c r="J110" s="34"/>
      <c r="K110" s="281">
        <v>0.6859999999999999</v>
      </c>
      <c r="L110" s="34"/>
      <c r="N110" s="294" t="s">
        <v>737</v>
      </c>
      <c r="O110" s="294"/>
      <c r="P110" s="290">
        <v>0.7140000000000002</v>
      </c>
      <c r="Q110" s="291"/>
      <c r="U110" s="275" t="s">
        <v>737</v>
      </c>
      <c r="V110" s="274"/>
      <c r="W110" s="295">
        <v>0.7140000000000002</v>
      </c>
      <c r="X110" s="275"/>
      <c r="Z110" s="7"/>
      <c r="AA110" s="128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</row>
    <row r="111">
      <c r="A111" s="25"/>
      <c r="B111" s="26"/>
      <c r="C111" s="26"/>
      <c r="D111" s="208"/>
      <c r="E111" s="7"/>
      <c r="F111" s="276" t="s">
        <v>716</v>
      </c>
      <c r="G111" s="278" t="s">
        <v>717</v>
      </c>
      <c r="H111" s="279"/>
      <c r="I111" s="280">
        <v>45475.0</v>
      </c>
      <c r="J111" s="34"/>
      <c r="K111" s="281">
        <v>0.784</v>
      </c>
      <c r="L111" s="34"/>
      <c r="O111" s="7"/>
      <c r="P111" s="7"/>
      <c r="Q111" s="7"/>
      <c r="R111" s="7"/>
      <c r="S111" s="7"/>
      <c r="T111" s="7"/>
      <c r="U111" s="234"/>
      <c r="V111" s="234"/>
      <c r="W111" s="234"/>
      <c r="X111" s="234"/>
      <c r="Y111" s="7"/>
      <c r="Z111" s="7"/>
      <c r="AA111" s="128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</row>
    <row r="112">
      <c r="A112" s="25"/>
      <c r="B112" s="26"/>
      <c r="C112" s="26"/>
      <c r="D112" s="208"/>
      <c r="E112" s="7"/>
      <c r="F112" s="276" t="s">
        <v>704</v>
      </c>
      <c r="G112" s="278" t="s">
        <v>719</v>
      </c>
      <c r="H112" s="279"/>
      <c r="I112" s="280">
        <v>45475.0</v>
      </c>
      <c r="J112" s="34"/>
      <c r="K112" s="281">
        <v>0.38400000000000006</v>
      </c>
      <c r="L112" s="34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128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</row>
    <row r="113">
      <c r="A113" s="302" t="s">
        <v>740</v>
      </c>
      <c r="B113" s="26"/>
      <c r="C113" s="26"/>
      <c r="D113" s="208"/>
      <c r="E113" s="7"/>
      <c r="F113" s="276" t="s">
        <v>697</v>
      </c>
      <c r="G113" s="278" t="s">
        <v>700</v>
      </c>
      <c r="H113" s="279"/>
      <c r="I113" s="280">
        <v>45475.0</v>
      </c>
      <c r="J113" s="34"/>
      <c r="K113" s="281">
        <v>0.76</v>
      </c>
      <c r="L113" s="34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28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</row>
    <row r="114" hidden="1">
      <c r="A114" s="25"/>
      <c r="B114" s="26"/>
      <c r="C114" s="26"/>
      <c r="D114" s="208"/>
      <c r="E114" s="7"/>
      <c r="F114" s="276" t="s">
        <v>697</v>
      </c>
      <c r="G114" s="278" t="s">
        <v>698</v>
      </c>
      <c r="H114" s="279"/>
      <c r="I114" s="280">
        <v>45475.0</v>
      </c>
      <c r="J114" s="34"/>
      <c r="K114" s="281">
        <v>0.291</v>
      </c>
      <c r="L114" s="34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128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</row>
    <row r="115" hidden="1">
      <c r="A115" s="25"/>
      <c r="B115" s="26"/>
      <c r="C115" s="26"/>
      <c r="D115" s="208"/>
      <c r="E115" s="7"/>
      <c r="F115" s="276" t="s">
        <v>697</v>
      </c>
      <c r="G115" s="278" t="s">
        <v>700</v>
      </c>
      <c r="H115" s="279"/>
      <c r="I115" s="280">
        <v>45475.0</v>
      </c>
      <c r="J115" s="34"/>
      <c r="K115" s="281">
        <v>0.72</v>
      </c>
      <c r="L115" s="3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28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</row>
    <row r="116" hidden="1">
      <c r="A116" s="25"/>
      <c r="B116" s="26"/>
      <c r="C116" s="26"/>
      <c r="D116" s="208"/>
      <c r="E116" s="7"/>
      <c r="F116" s="276" t="s">
        <v>707</v>
      </c>
      <c r="G116" s="278" t="s">
        <v>708</v>
      </c>
      <c r="H116" s="279"/>
      <c r="I116" s="280">
        <v>45475.0</v>
      </c>
      <c r="J116" s="34"/>
      <c r="K116" s="281">
        <v>0.2325</v>
      </c>
      <c r="L116" s="3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128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</row>
    <row r="117" hidden="1">
      <c r="A117" s="25"/>
      <c r="B117" s="26"/>
      <c r="C117" s="26"/>
      <c r="D117" s="208"/>
      <c r="E117" s="7"/>
      <c r="F117" s="276" t="s">
        <v>716</v>
      </c>
      <c r="G117" s="278" t="s">
        <v>717</v>
      </c>
      <c r="H117" s="279"/>
      <c r="I117" s="280">
        <v>45475.0</v>
      </c>
      <c r="J117" s="34"/>
      <c r="K117" s="281">
        <v>0.784</v>
      </c>
      <c r="L117" s="3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128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</row>
    <row r="118" hidden="1">
      <c r="A118" s="25"/>
      <c r="B118" s="26"/>
      <c r="C118" s="26"/>
      <c r="D118" s="208"/>
      <c r="E118" s="7"/>
      <c r="F118" s="276" t="s">
        <v>716</v>
      </c>
      <c r="G118" s="278" t="s">
        <v>732</v>
      </c>
      <c r="H118" s="279"/>
      <c r="I118" s="280">
        <v>45475.0</v>
      </c>
      <c r="J118" s="34"/>
      <c r="K118" s="281">
        <v>0.6439999999999999</v>
      </c>
      <c r="L118" s="3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128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</row>
    <row r="119" hidden="1">
      <c r="A119" s="25"/>
      <c r="B119" s="26"/>
      <c r="C119" s="26"/>
      <c r="D119" s="208"/>
      <c r="E119" s="7"/>
      <c r="F119" s="276" t="s">
        <v>716</v>
      </c>
      <c r="G119" s="278" t="s">
        <v>732</v>
      </c>
      <c r="H119" s="279"/>
      <c r="I119" s="280">
        <v>45475.0</v>
      </c>
      <c r="J119" s="34"/>
      <c r="K119" s="281">
        <v>0.6579999999999999</v>
      </c>
      <c r="L119" s="3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128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</row>
    <row r="120" hidden="1">
      <c r="A120" s="25"/>
      <c r="B120" s="26"/>
      <c r="C120" s="26"/>
      <c r="D120" s="208"/>
      <c r="E120" s="7"/>
      <c r="F120" s="276" t="s">
        <v>704</v>
      </c>
      <c r="G120" s="278" t="s">
        <v>705</v>
      </c>
      <c r="H120" s="279"/>
      <c r="I120" s="280">
        <v>45476.0</v>
      </c>
      <c r="J120" s="34"/>
      <c r="K120" s="281">
        <v>0.291</v>
      </c>
      <c r="L120" s="3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128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</row>
    <row r="121" hidden="1">
      <c r="A121" s="25"/>
      <c r="B121" s="26"/>
      <c r="C121" s="26"/>
      <c r="D121" s="208"/>
      <c r="E121" s="7"/>
      <c r="F121" s="276" t="s">
        <v>716</v>
      </c>
      <c r="G121" s="278" t="s">
        <v>729</v>
      </c>
      <c r="H121" s="279"/>
      <c r="I121" s="280">
        <v>45476.0</v>
      </c>
      <c r="J121" s="34"/>
      <c r="K121" s="281">
        <v>0.6975</v>
      </c>
      <c r="L121" s="3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28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</row>
    <row r="122" hidden="1">
      <c r="A122" s="25"/>
      <c r="B122" s="26"/>
      <c r="C122" s="26"/>
      <c r="D122" s="208"/>
      <c r="E122" s="7"/>
      <c r="F122" s="276" t="s">
        <v>704</v>
      </c>
      <c r="G122" s="278" t="s">
        <v>713</v>
      </c>
      <c r="H122" s="279"/>
      <c r="I122" s="280">
        <v>45476.0</v>
      </c>
      <c r="J122" s="34"/>
      <c r="K122" s="281">
        <v>0.693</v>
      </c>
      <c r="L122" s="34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28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</row>
    <row r="123" hidden="1">
      <c r="A123" s="25"/>
      <c r="B123" s="26"/>
      <c r="C123" s="26"/>
      <c r="D123" s="208"/>
      <c r="E123" s="7"/>
      <c r="F123" s="276" t="s">
        <v>707</v>
      </c>
      <c r="G123" s="278" t="s">
        <v>720</v>
      </c>
      <c r="H123" s="279"/>
      <c r="I123" s="280">
        <v>45476.0</v>
      </c>
      <c r="J123" s="34"/>
      <c r="K123" s="281">
        <v>0.2</v>
      </c>
      <c r="L123" s="34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128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</row>
    <row r="124" hidden="1">
      <c r="A124" s="25"/>
      <c r="B124" s="26"/>
      <c r="C124" s="26"/>
      <c r="D124" s="208"/>
      <c r="E124" s="7"/>
      <c r="F124" s="276" t="s">
        <v>704</v>
      </c>
      <c r="G124" s="278" t="s">
        <v>719</v>
      </c>
      <c r="H124" s="279"/>
      <c r="I124" s="280">
        <v>45476.0</v>
      </c>
      <c r="J124" s="34"/>
      <c r="K124" s="281">
        <v>0.38</v>
      </c>
      <c r="L124" s="34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128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</row>
    <row r="125" hidden="1">
      <c r="A125" s="25"/>
      <c r="B125" s="26"/>
      <c r="C125" s="26"/>
      <c r="D125" s="208"/>
      <c r="E125" s="7"/>
      <c r="F125" s="276" t="s">
        <v>707</v>
      </c>
      <c r="G125" s="278" t="s">
        <v>712</v>
      </c>
      <c r="H125" s="279"/>
      <c r="I125" s="280">
        <v>45476.0</v>
      </c>
      <c r="J125" s="34"/>
      <c r="K125" s="281">
        <v>0.8370000000000001</v>
      </c>
      <c r="L125" s="34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128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</row>
    <row r="126" hidden="1">
      <c r="A126" s="25"/>
      <c r="B126" s="26"/>
      <c r="C126" s="26"/>
      <c r="D126" s="208"/>
      <c r="E126" s="7"/>
      <c r="F126" s="276" t="s">
        <v>707</v>
      </c>
      <c r="G126" s="278" t="s">
        <v>708</v>
      </c>
      <c r="H126" s="279"/>
      <c r="I126" s="280">
        <v>45476.0</v>
      </c>
      <c r="J126" s="34"/>
      <c r="K126" s="281">
        <v>0.225</v>
      </c>
      <c r="L126" s="34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128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</row>
    <row r="127" hidden="1">
      <c r="A127" s="25"/>
      <c r="B127" s="26"/>
      <c r="C127" s="26"/>
      <c r="D127" s="208"/>
      <c r="E127" s="7"/>
      <c r="F127" s="276" t="s">
        <v>704</v>
      </c>
      <c r="G127" s="278" t="s">
        <v>705</v>
      </c>
      <c r="H127" s="279"/>
      <c r="I127" s="280">
        <v>45477.0</v>
      </c>
      <c r="J127" s="34"/>
      <c r="K127" s="281">
        <v>0.3</v>
      </c>
      <c r="L127" s="34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128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</row>
    <row r="128" hidden="1">
      <c r="A128" s="25"/>
      <c r="B128" s="26"/>
      <c r="C128" s="26"/>
      <c r="D128" s="208"/>
      <c r="E128" s="7"/>
      <c r="F128" s="276" t="s">
        <v>697</v>
      </c>
      <c r="G128" s="278" t="s">
        <v>700</v>
      </c>
      <c r="H128" s="279"/>
      <c r="I128" s="280">
        <v>45477.0</v>
      </c>
      <c r="J128" s="34"/>
      <c r="K128" s="281">
        <v>0.7440000000000001</v>
      </c>
      <c r="L128" s="34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128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</row>
    <row r="129" hidden="1">
      <c r="A129" s="25"/>
      <c r="B129" s="26"/>
      <c r="C129" s="26"/>
      <c r="D129" s="208"/>
      <c r="E129" s="7"/>
      <c r="F129" s="276" t="s">
        <v>704</v>
      </c>
      <c r="G129" s="278" t="s">
        <v>713</v>
      </c>
      <c r="H129" s="279"/>
      <c r="I129" s="280">
        <v>45477.0</v>
      </c>
      <c r="J129" s="34"/>
      <c r="K129" s="281">
        <v>0.6439999999999999</v>
      </c>
      <c r="L129" s="34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128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</row>
    <row r="130" hidden="1">
      <c r="A130" s="25"/>
      <c r="B130" s="26"/>
      <c r="C130" s="26"/>
      <c r="D130" s="208"/>
      <c r="E130" s="7"/>
      <c r="F130" s="276" t="s">
        <v>707</v>
      </c>
      <c r="G130" s="278" t="s">
        <v>720</v>
      </c>
      <c r="H130" s="279"/>
      <c r="I130" s="280">
        <v>45477.0</v>
      </c>
      <c r="J130" s="34"/>
      <c r="K130" s="281">
        <v>0.182</v>
      </c>
      <c r="L130" s="3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128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</row>
    <row r="131" hidden="1">
      <c r="A131" s="25"/>
      <c r="B131" s="26"/>
      <c r="C131" s="26"/>
      <c r="D131" s="208"/>
      <c r="E131" s="7"/>
      <c r="F131" s="276" t="s">
        <v>707</v>
      </c>
      <c r="G131" s="278" t="s">
        <v>708</v>
      </c>
      <c r="H131" s="279"/>
      <c r="I131" s="280">
        <v>45477.0</v>
      </c>
      <c r="J131" s="34"/>
      <c r="K131" s="281">
        <v>0.2325</v>
      </c>
      <c r="L131" s="3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128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</row>
    <row r="132" hidden="1">
      <c r="A132" s="25"/>
      <c r="B132" s="26"/>
      <c r="C132" s="26"/>
      <c r="D132" s="208"/>
      <c r="E132" s="7"/>
      <c r="F132" s="276" t="s">
        <v>697</v>
      </c>
      <c r="G132" s="278" t="s">
        <v>700</v>
      </c>
      <c r="H132" s="279"/>
      <c r="I132" s="280">
        <v>45477.0</v>
      </c>
      <c r="J132" s="34"/>
      <c r="K132" s="281">
        <v>0.728</v>
      </c>
      <c r="L132" s="3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128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</row>
    <row r="133" hidden="1">
      <c r="A133" s="25"/>
      <c r="B133" s="26"/>
      <c r="C133" s="26"/>
      <c r="D133" s="208"/>
      <c r="E133" s="7"/>
      <c r="F133" s="276" t="s">
        <v>697</v>
      </c>
      <c r="G133" s="278" t="s">
        <v>698</v>
      </c>
      <c r="H133" s="279"/>
      <c r="I133" s="280">
        <v>45477.0</v>
      </c>
      <c r="J133" s="34"/>
      <c r="K133" s="281">
        <v>0.27899999999999997</v>
      </c>
      <c r="L133" s="3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28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</row>
    <row r="134" hidden="1">
      <c r="A134" s="25"/>
      <c r="B134" s="26"/>
      <c r="C134" s="26"/>
      <c r="D134" s="208"/>
      <c r="E134" s="7"/>
      <c r="F134" s="276" t="s">
        <v>707</v>
      </c>
      <c r="G134" s="278" t="s">
        <v>708</v>
      </c>
      <c r="H134" s="279"/>
      <c r="I134" s="280">
        <v>45477.0</v>
      </c>
      <c r="J134" s="34"/>
      <c r="K134" s="281">
        <v>0.24</v>
      </c>
      <c r="L134" s="3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28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</row>
    <row r="135" hidden="1">
      <c r="A135" s="25"/>
      <c r="B135" s="26"/>
      <c r="C135" s="26"/>
      <c r="D135" s="208"/>
      <c r="E135" s="7"/>
      <c r="F135" s="276" t="s">
        <v>707</v>
      </c>
      <c r="G135" s="278" t="s">
        <v>720</v>
      </c>
      <c r="H135" s="279"/>
      <c r="I135" s="280">
        <v>45477.0</v>
      </c>
      <c r="J135" s="34"/>
      <c r="K135" s="281">
        <v>0.19400000000000003</v>
      </c>
      <c r="L135" s="3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28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</row>
    <row r="136" hidden="1">
      <c r="A136" s="25"/>
      <c r="B136" s="26"/>
      <c r="C136" s="26"/>
      <c r="D136" s="208"/>
      <c r="E136" s="7"/>
      <c r="F136" s="276" t="s">
        <v>704</v>
      </c>
      <c r="G136" s="278" t="s">
        <v>713</v>
      </c>
      <c r="H136" s="279"/>
      <c r="I136" s="280">
        <v>45477.0</v>
      </c>
      <c r="J136" s="34"/>
      <c r="K136" s="281">
        <v>0.6299999999999999</v>
      </c>
      <c r="L136" s="3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128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</row>
    <row r="137" hidden="1">
      <c r="A137" s="25"/>
      <c r="B137" s="26"/>
      <c r="C137" s="26"/>
      <c r="D137" s="208"/>
      <c r="E137" s="7"/>
      <c r="F137" s="276" t="s">
        <v>704</v>
      </c>
      <c r="G137" s="278" t="s">
        <v>705</v>
      </c>
      <c r="H137" s="279"/>
      <c r="I137" s="280">
        <v>45477.0</v>
      </c>
      <c r="J137" s="34"/>
      <c r="K137" s="281">
        <v>0.282</v>
      </c>
      <c r="L137" s="34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28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</row>
    <row r="138" hidden="1">
      <c r="A138" s="25"/>
      <c r="B138" s="26"/>
      <c r="C138" s="26"/>
      <c r="D138" s="208"/>
      <c r="E138" s="7"/>
      <c r="F138" s="276" t="s">
        <v>707</v>
      </c>
      <c r="G138" s="278" t="s">
        <v>720</v>
      </c>
      <c r="H138" s="279"/>
      <c r="I138" s="280">
        <v>45477.0</v>
      </c>
      <c r="J138" s="34"/>
      <c r="K138" s="281">
        <v>0.182</v>
      </c>
      <c r="L138" s="3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128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</row>
    <row r="139" hidden="1">
      <c r="A139" s="25"/>
      <c r="B139" s="26"/>
      <c r="C139" s="26"/>
      <c r="D139" s="208"/>
      <c r="E139" s="7"/>
      <c r="F139" s="276" t="s">
        <v>697</v>
      </c>
      <c r="G139" s="278" t="s">
        <v>706</v>
      </c>
      <c r="H139" s="279"/>
      <c r="I139" s="280">
        <v>45477.0</v>
      </c>
      <c r="J139" s="34"/>
      <c r="K139" s="281">
        <v>0.5</v>
      </c>
      <c r="L139" s="3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128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</row>
    <row r="140" hidden="1">
      <c r="A140" s="25"/>
      <c r="B140" s="26"/>
      <c r="C140" s="26"/>
      <c r="D140" s="208"/>
      <c r="E140" s="7"/>
      <c r="F140" s="276" t="s">
        <v>704</v>
      </c>
      <c r="G140" s="278" t="s">
        <v>713</v>
      </c>
      <c r="H140" s="279"/>
      <c r="I140" s="280">
        <v>45477.0</v>
      </c>
      <c r="J140" s="34"/>
      <c r="K140" s="281">
        <v>0.6509999999999999</v>
      </c>
      <c r="L140" s="3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128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</row>
    <row r="141" hidden="1">
      <c r="A141" s="25"/>
      <c r="B141" s="26"/>
      <c r="C141" s="26"/>
      <c r="D141" s="208"/>
      <c r="E141" s="7"/>
      <c r="F141" s="276" t="s">
        <v>707</v>
      </c>
      <c r="G141" s="278" t="s">
        <v>712</v>
      </c>
      <c r="H141" s="279"/>
      <c r="I141" s="280">
        <v>45478.0</v>
      </c>
      <c r="J141" s="34"/>
      <c r="K141" s="281">
        <v>0.81</v>
      </c>
      <c r="L141" s="3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28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</row>
    <row r="142" hidden="1">
      <c r="A142" s="25"/>
      <c r="B142" s="26"/>
      <c r="C142" s="26"/>
      <c r="D142" s="208"/>
      <c r="E142" s="7"/>
      <c r="F142" s="276" t="s">
        <v>697</v>
      </c>
      <c r="G142" s="278" t="s">
        <v>706</v>
      </c>
      <c r="H142" s="279"/>
      <c r="I142" s="280">
        <v>45478.0</v>
      </c>
      <c r="J142" s="34"/>
      <c r="K142" s="281">
        <v>0.465</v>
      </c>
      <c r="L142" s="3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28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</row>
    <row r="143" hidden="1">
      <c r="A143" s="25"/>
      <c r="B143" s="26"/>
      <c r="C143" s="26"/>
      <c r="D143" s="208"/>
      <c r="E143" s="7"/>
      <c r="F143" s="276" t="s">
        <v>704</v>
      </c>
      <c r="G143" s="278" t="s">
        <v>705</v>
      </c>
      <c r="H143" s="279"/>
      <c r="I143" s="280">
        <v>45478.0</v>
      </c>
      <c r="J143" s="34"/>
      <c r="K143" s="281">
        <v>0.282</v>
      </c>
      <c r="L143" s="3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28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</row>
    <row r="144" hidden="1">
      <c r="A144" s="25"/>
      <c r="B144" s="26"/>
      <c r="C144" s="26"/>
      <c r="D144" s="208"/>
      <c r="E144" s="7"/>
      <c r="F144" s="276" t="s">
        <v>716</v>
      </c>
      <c r="G144" s="278" t="s">
        <v>729</v>
      </c>
      <c r="H144" s="279"/>
      <c r="I144" s="280">
        <v>45478.0</v>
      </c>
      <c r="J144" s="34"/>
      <c r="K144" s="281">
        <v>0.6975</v>
      </c>
      <c r="L144" s="3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28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</row>
    <row r="145" hidden="1">
      <c r="A145" s="25"/>
      <c r="B145" s="26"/>
      <c r="C145" s="26"/>
      <c r="D145" s="208"/>
      <c r="E145" s="7"/>
      <c r="F145" s="276" t="s">
        <v>716</v>
      </c>
      <c r="G145" s="278" t="s">
        <v>717</v>
      </c>
      <c r="H145" s="279"/>
      <c r="I145" s="280">
        <v>45478.0</v>
      </c>
      <c r="J145" s="34"/>
      <c r="K145" s="281">
        <v>0.752</v>
      </c>
      <c r="L145" s="3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128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</row>
    <row r="146" hidden="1">
      <c r="A146" s="25"/>
      <c r="B146" s="26"/>
      <c r="C146" s="26"/>
      <c r="D146" s="208"/>
      <c r="E146" s="7"/>
      <c r="F146" s="276" t="s">
        <v>697</v>
      </c>
      <c r="G146" s="278" t="s">
        <v>700</v>
      </c>
      <c r="H146" s="279"/>
      <c r="I146" s="280">
        <v>45478.0</v>
      </c>
      <c r="J146" s="34"/>
      <c r="K146" s="281">
        <v>0.72</v>
      </c>
      <c r="L146" s="3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28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</row>
    <row r="147" hidden="1">
      <c r="A147" s="25"/>
      <c r="B147" s="26"/>
      <c r="C147" s="26"/>
      <c r="D147" s="208"/>
      <c r="E147" s="7"/>
      <c r="F147" s="276" t="s">
        <v>704</v>
      </c>
      <c r="G147" s="278" t="s">
        <v>705</v>
      </c>
      <c r="H147" s="279"/>
      <c r="I147" s="280">
        <v>45478.0</v>
      </c>
      <c r="J147" s="34"/>
      <c r="K147" s="281">
        <v>0.282</v>
      </c>
      <c r="L147" s="3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28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</row>
    <row r="148" hidden="1">
      <c r="A148" s="25"/>
      <c r="B148" s="26"/>
      <c r="C148" s="26"/>
      <c r="D148" s="208"/>
      <c r="E148" s="7"/>
      <c r="F148" s="276" t="s">
        <v>716</v>
      </c>
      <c r="G148" s="278" t="s">
        <v>729</v>
      </c>
      <c r="H148" s="279"/>
      <c r="I148" s="280">
        <v>45478.0</v>
      </c>
      <c r="J148" s="34"/>
      <c r="K148" s="281">
        <v>0.6975</v>
      </c>
      <c r="L148" s="3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28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</row>
    <row r="149" hidden="1">
      <c r="A149" s="25"/>
      <c r="B149" s="26"/>
      <c r="C149" s="26"/>
      <c r="D149" s="208"/>
      <c r="E149" s="7"/>
      <c r="F149" s="276" t="s">
        <v>704</v>
      </c>
      <c r="G149" s="278" t="s">
        <v>705</v>
      </c>
      <c r="H149" s="279"/>
      <c r="I149" s="280">
        <v>45478.0</v>
      </c>
      <c r="J149" s="34"/>
      <c r="K149" s="281">
        <v>0.3</v>
      </c>
      <c r="L149" s="3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128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</row>
    <row r="150" hidden="1">
      <c r="A150" s="25"/>
      <c r="B150" s="26"/>
      <c r="C150" s="26"/>
      <c r="D150" s="208"/>
      <c r="E150" s="7"/>
      <c r="F150" s="276" t="s">
        <v>707</v>
      </c>
      <c r="G150" s="278" t="s">
        <v>712</v>
      </c>
      <c r="H150" s="279"/>
      <c r="I150" s="280">
        <v>45478.0</v>
      </c>
      <c r="J150" s="34"/>
      <c r="K150" s="281">
        <v>0.8370000000000001</v>
      </c>
      <c r="L150" s="3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128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</row>
    <row r="151" hidden="1">
      <c r="A151" s="25"/>
      <c r="B151" s="26"/>
      <c r="C151" s="26"/>
      <c r="D151" s="208"/>
      <c r="E151" s="7"/>
      <c r="F151" s="276" t="s">
        <v>716</v>
      </c>
      <c r="G151" s="278" t="s">
        <v>729</v>
      </c>
      <c r="H151" s="279"/>
      <c r="I151" s="280">
        <v>45479.0</v>
      </c>
      <c r="J151" s="34"/>
      <c r="K151" s="281">
        <v>0.6825</v>
      </c>
      <c r="L151" s="3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28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</row>
    <row r="152" hidden="1">
      <c r="A152" s="25"/>
      <c r="B152" s="26"/>
      <c r="C152" s="26"/>
      <c r="D152" s="208"/>
      <c r="E152" s="7"/>
      <c r="F152" s="276" t="s">
        <v>697</v>
      </c>
      <c r="G152" s="278" t="s">
        <v>698</v>
      </c>
      <c r="H152" s="279"/>
      <c r="I152" s="280">
        <v>45479.0</v>
      </c>
      <c r="J152" s="34"/>
      <c r="K152" s="281">
        <v>0.294</v>
      </c>
      <c r="L152" s="3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128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</row>
    <row r="153" hidden="1">
      <c r="A153" s="25"/>
      <c r="B153" s="26"/>
      <c r="C153" s="26"/>
      <c r="D153" s="208"/>
      <c r="E153" s="7"/>
      <c r="F153" s="276" t="s">
        <v>716</v>
      </c>
      <c r="G153" s="278" t="s">
        <v>732</v>
      </c>
      <c r="H153" s="279"/>
      <c r="I153" s="280">
        <v>45479.0</v>
      </c>
      <c r="J153" s="34"/>
      <c r="K153" s="281">
        <v>0.6509999999999999</v>
      </c>
      <c r="L153" s="34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128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</row>
    <row r="154" hidden="1">
      <c r="A154" s="25"/>
      <c r="B154" s="26"/>
      <c r="C154" s="26"/>
      <c r="D154" s="208"/>
      <c r="E154" s="7"/>
      <c r="F154" s="276" t="s">
        <v>716</v>
      </c>
      <c r="G154" s="278" t="s">
        <v>717</v>
      </c>
      <c r="H154" s="279"/>
      <c r="I154" s="280">
        <v>45479.0</v>
      </c>
      <c r="J154" s="34"/>
      <c r="K154" s="281">
        <v>0.7760000000000001</v>
      </c>
      <c r="L154" s="34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128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</row>
    <row r="155" hidden="1">
      <c r="A155" s="25"/>
      <c r="B155" s="26"/>
      <c r="C155" s="26"/>
      <c r="D155" s="208"/>
      <c r="E155" s="7"/>
      <c r="F155" s="276" t="s">
        <v>707</v>
      </c>
      <c r="G155" s="278" t="s">
        <v>720</v>
      </c>
      <c r="H155" s="279"/>
      <c r="I155" s="280">
        <v>45480.0</v>
      </c>
      <c r="J155" s="34"/>
      <c r="K155" s="281">
        <v>0.18600000000000003</v>
      </c>
      <c r="L155" s="34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128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</row>
    <row r="156" hidden="1">
      <c r="A156" s="25"/>
      <c r="B156" s="26"/>
      <c r="C156" s="26"/>
      <c r="D156" s="208"/>
      <c r="E156" s="7"/>
      <c r="F156" s="276" t="s">
        <v>716</v>
      </c>
      <c r="G156" s="278" t="s">
        <v>717</v>
      </c>
      <c r="H156" s="279"/>
      <c r="I156" s="280">
        <v>45480.0</v>
      </c>
      <c r="J156" s="34"/>
      <c r="K156" s="281">
        <v>0.7680000000000001</v>
      </c>
      <c r="L156" s="34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128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</row>
    <row r="157" hidden="1">
      <c r="A157" s="25"/>
      <c r="B157" s="26"/>
      <c r="C157" s="26"/>
      <c r="D157" s="208"/>
      <c r="E157" s="7"/>
      <c r="F157" s="276" t="s">
        <v>704</v>
      </c>
      <c r="G157" s="278" t="s">
        <v>713</v>
      </c>
      <c r="H157" s="279"/>
      <c r="I157" s="280">
        <v>45480.0</v>
      </c>
      <c r="J157" s="34"/>
      <c r="K157" s="281">
        <v>0.6789999999999999</v>
      </c>
      <c r="L157" s="34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128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</row>
    <row r="158" hidden="1">
      <c r="A158" s="25"/>
      <c r="B158" s="26"/>
      <c r="C158" s="26"/>
      <c r="D158" s="208"/>
      <c r="E158" s="7"/>
      <c r="F158" s="276" t="s">
        <v>697</v>
      </c>
      <c r="G158" s="278" t="s">
        <v>706</v>
      </c>
      <c r="H158" s="279"/>
      <c r="I158" s="280">
        <v>45480.0</v>
      </c>
      <c r="J158" s="34"/>
      <c r="K158" s="281">
        <v>0.495</v>
      </c>
      <c r="L158" s="34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128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</row>
    <row r="159" hidden="1">
      <c r="A159" s="25"/>
      <c r="B159" s="26"/>
      <c r="C159" s="26"/>
      <c r="D159" s="208"/>
      <c r="E159" s="7"/>
      <c r="F159" s="276" t="s">
        <v>704</v>
      </c>
      <c r="G159" s="278" t="s">
        <v>719</v>
      </c>
      <c r="H159" s="279"/>
      <c r="I159" s="280">
        <v>45480.0</v>
      </c>
      <c r="J159" s="34"/>
      <c r="K159" s="281">
        <v>0.38800000000000007</v>
      </c>
      <c r="L159" s="34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128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</row>
    <row r="160" hidden="1">
      <c r="A160" s="25"/>
      <c r="B160" s="26"/>
      <c r="C160" s="26"/>
      <c r="D160" s="208"/>
      <c r="E160" s="7"/>
      <c r="F160" s="276" t="s">
        <v>697</v>
      </c>
      <c r="G160" s="278" t="s">
        <v>706</v>
      </c>
      <c r="H160" s="279"/>
      <c r="I160" s="280">
        <v>45480.0</v>
      </c>
      <c r="J160" s="34"/>
      <c r="K160" s="281">
        <v>0.495</v>
      </c>
      <c r="L160" s="34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128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</row>
    <row r="161" hidden="1">
      <c r="A161" s="25"/>
      <c r="B161" s="26"/>
      <c r="C161" s="26"/>
      <c r="D161" s="208"/>
      <c r="E161" s="7"/>
      <c r="F161" s="276" t="s">
        <v>697</v>
      </c>
      <c r="G161" s="278" t="s">
        <v>700</v>
      </c>
      <c r="H161" s="279"/>
      <c r="I161" s="280">
        <v>45480.0</v>
      </c>
      <c r="J161" s="34"/>
      <c r="K161" s="281">
        <v>0.76</v>
      </c>
      <c r="L161" s="3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128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</row>
    <row r="162" hidden="1">
      <c r="A162" s="25"/>
      <c r="B162" s="26"/>
      <c r="C162" s="26"/>
      <c r="D162" s="208"/>
      <c r="E162" s="7"/>
      <c r="F162" s="276" t="s">
        <v>697</v>
      </c>
      <c r="G162" s="278" t="s">
        <v>706</v>
      </c>
      <c r="H162" s="279"/>
      <c r="I162" s="280">
        <v>45480.0</v>
      </c>
      <c r="J162" s="34"/>
      <c r="K162" s="281">
        <v>0.495</v>
      </c>
      <c r="L162" s="3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128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</row>
    <row r="163" hidden="1">
      <c r="A163" s="25"/>
      <c r="B163" s="26"/>
      <c r="C163" s="26"/>
      <c r="D163" s="208"/>
      <c r="E163" s="7"/>
      <c r="F163" s="276" t="s">
        <v>704</v>
      </c>
      <c r="G163" s="278" t="s">
        <v>713</v>
      </c>
      <c r="H163" s="279"/>
      <c r="I163" s="280">
        <v>45480.0</v>
      </c>
      <c r="J163" s="34"/>
      <c r="K163" s="281">
        <v>0.6579999999999999</v>
      </c>
      <c r="L163" s="3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128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</row>
    <row r="164" hidden="1">
      <c r="A164" s="25"/>
      <c r="B164" s="26"/>
      <c r="C164" s="26"/>
      <c r="D164" s="208"/>
      <c r="E164" s="7"/>
      <c r="F164" s="276" t="s">
        <v>697</v>
      </c>
      <c r="G164" s="278" t="s">
        <v>706</v>
      </c>
      <c r="H164" s="279"/>
      <c r="I164" s="280">
        <v>45480.0</v>
      </c>
      <c r="J164" s="34"/>
      <c r="K164" s="281">
        <v>0.455</v>
      </c>
      <c r="L164" s="3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128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</row>
    <row r="165" hidden="1">
      <c r="A165" s="25"/>
      <c r="B165" s="26"/>
      <c r="C165" s="26"/>
      <c r="D165" s="208"/>
      <c r="E165" s="7"/>
      <c r="F165" s="276" t="s">
        <v>697</v>
      </c>
      <c r="G165" s="278" t="s">
        <v>706</v>
      </c>
      <c r="H165" s="279"/>
      <c r="I165" s="280">
        <v>45480.0</v>
      </c>
      <c r="J165" s="34"/>
      <c r="K165" s="281">
        <v>0.5</v>
      </c>
      <c r="L165" s="3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28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</row>
    <row r="166" hidden="1">
      <c r="A166" s="25"/>
      <c r="B166" s="26"/>
      <c r="C166" s="26"/>
      <c r="D166" s="208"/>
      <c r="E166" s="7"/>
      <c r="F166" s="276" t="s">
        <v>704</v>
      </c>
      <c r="G166" s="278" t="s">
        <v>713</v>
      </c>
      <c r="H166" s="279"/>
      <c r="I166" s="280">
        <v>45480.0</v>
      </c>
      <c r="J166" s="34"/>
      <c r="K166" s="281">
        <v>0.6509999999999999</v>
      </c>
      <c r="L166" s="3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28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</row>
    <row r="167" hidden="1">
      <c r="A167" s="25"/>
      <c r="B167" s="26"/>
      <c r="C167" s="26"/>
      <c r="D167" s="208"/>
      <c r="E167" s="7"/>
      <c r="F167" s="276" t="s">
        <v>716</v>
      </c>
      <c r="G167" s="278" t="s">
        <v>729</v>
      </c>
      <c r="H167" s="279"/>
      <c r="I167" s="280">
        <v>45480.0</v>
      </c>
      <c r="J167" s="34"/>
      <c r="K167" s="281">
        <v>0.72</v>
      </c>
      <c r="L167" s="3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28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</row>
    <row r="168" hidden="1">
      <c r="A168" s="25"/>
      <c r="B168" s="26"/>
      <c r="C168" s="26"/>
      <c r="D168" s="208"/>
      <c r="E168" s="7"/>
      <c r="F168" s="276" t="s">
        <v>716</v>
      </c>
      <c r="G168" s="278" t="s">
        <v>732</v>
      </c>
      <c r="H168" s="279"/>
      <c r="I168" s="280">
        <v>45480.0</v>
      </c>
      <c r="J168" s="34"/>
      <c r="K168" s="281">
        <v>0.7</v>
      </c>
      <c r="L168" s="3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28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</row>
    <row r="169" hidden="1">
      <c r="A169" s="25"/>
      <c r="B169" s="26"/>
      <c r="C169" s="26"/>
      <c r="D169" s="208"/>
      <c r="E169" s="7"/>
      <c r="F169" s="276" t="s">
        <v>716</v>
      </c>
      <c r="G169" s="278" t="s">
        <v>717</v>
      </c>
      <c r="H169" s="279"/>
      <c r="I169" s="280">
        <v>45481.0</v>
      </c>
      <c r="J169" s="34"/>
      <c r="K169" s="281">
        <v>0.7440000000000001</v>
      </c>
      <c r="L169" s="34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128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</row>
    <row r="170" hidden="1">
      <c r="A170" s="25"/>
      <c r="B170" s="26"/>
      <c r="C170" s="26"/>
      <c r="D170" s="208"/>
      <c r="E170" s="7"/>
      <c r="F170" s="276" t="s">
        <v>716</v>
      </c>
      <c r="G170" s="278" t="s">
        <v>732</v>
      </c>
      <c r="H170" s="279"/>
      <c r="I170" s="280">
        <v>45481.0</v>
      </c>
      <c r="J170" s="34"/>
      <c r="K170" s="281">
        <v>0.6579999999999999</v>
      </c>
      <c r="L170" s="34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128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</row>
    <row r="171" hidden="1">
      <c r="A171" s="25"/>
      <c r="B171" s="26"/>
      <c r="C171" s="26"/>
      <c r="D171" s="208"/>
      <c r="E171" s="7"/>
      <c r="F171" s="276" t="s">
        <v>707</v>
      </c>
      <c r="G171" s="278" t="s">
        <v>712</v>
      </c>
      <c r="H171" s="279"/>
      <c r="I171" s="280">
        <v>45481.0</v>
      </c>
      <c r="J171" s="34"/>
      <c r="K171" s="281">
        <v>0.873</v>
      </c>
      <c r="L171" s="34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128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</row>
    <row r="172" hidden="1">
      <c r="A172" s="25"/>
      <c r="B172" s="26"/>
      <c r="C172" s="26"/>
      <c r="D172" s="208"/>
      <c r="E172" s="7"/>
      <c r="F172" s="276" t="s">
        <v>716</v>
      </c>
      <c r="G172" s="278" t="s">
        <v>732</v>
      </c>
      <c r="H172" s="279"/>
      <c r="I172" s="280">
        <v>45481.0</v>
      </c>
      <c r="J172" s="34"/>
      <c r="K172" s="281">
        <v>0.6299999999999999</v>
      </c>
      <c r="L172" s="34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128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</row>
    <row r="173" hidden="1">
      <c r="A173" s="25"/>
      <c r="B173" s="26"/>
      <c r="C173" s="26"/>
      <c r="D173" s="208"/>
      <c r="E173" s="7"/>
      <c r="F173" s="276" t="s">
        <v>697</v>
      </c>
      <c r="G173" s="278" t="s">
        <v>700</v>
      </c>
      <c r="H173" s="279"/>
      <c r="I173" s="280">
        <v>45481.0</v>
      </c>
      <c r="J173" s="34"/>
      <c r="K173" s="281">
        <v>0.7440000000000001</v>
      </c>
      <c r="L173" s="34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128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</row>
    <row r="174" hidden="1">
      <c r="A174" s="25"/>
      <c r="B174" s="26"/>
      <c r="C174" s="26"/>
      <c r="D174" s="208"/>
      <c r="E174" s="7"/>
      <c r="F174" s="276" t="s">
        <v>707</v>
      </c>
      <c r="G174" s="278" t="s">
        <v>708</v>
      </c>
      <c r="H174" s="279"/>
      <c r="I174" s="280">
        <v>45481.0</v>
      </c>
      <c r="J174" s="34"/>
      <c r="K174" s="281">
        <v>0.2425</v>
      </c>
      <c r="L174" s="34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128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</row>
    <row r="175" hidden="1">
      <c r="A175" s="25"/>
      <c r="B175" s="26"/>
      <c r="C175" s="26"/>
      <c r="D175" s="208"/>
      <c r="E175" s="7"/>
      <c r="F175" s="276" t="s">
        <v>704</v>
      </c>
      <c r="G175" s="278" t="s">
        <v>705</v>
      </c>
      <c r="H175" s="279"/>
      <c r="I175" s="280">
        <v>45481.0</v>
      </c>
      <c r="J175" s="34"/>
      <c r="K175" s="281">
        <v>0.294</v>
      </c>
      <c r="L175" s="34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128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</row>
    <row r="176" hidden="1">
      <c r="A176" s="25"/>
      <c r="B176" s="26"/>
      <c r="C176" s="26"/>
      <c r="D176" s="208"/>
      <c r="E176" s="7"/>
      <c r="F176" s="276" t="s">
        <v>707</v>
      </c>
      <c r="G176" s="278" t="s">
        <v>708</v>
      </c>
      <c r="H176" s="279"/>
      <c r="I176" s="280">
        <v>45481.0</v>
      </c>
      <c r="J176" s="34"/>
      <c r="K176" s="281">
        <v>0.2325</v>
      </c>
      <c r="L176" s="34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128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</row>
    <row r="177" hidden="1">
      <c r="A177" s="25"/>
      <c r="B177" s="26"/>
      <c r="C177" s="26"/>
      <c r="D177" s="208"/>
      <c r="E177" s="7"/>
      <c r="F177" s="276" t="s">
        <v>707</v>
      </c>
      <c r="G177" s="278" t="s">
        <v>708</v>
      </c>
      <c r="H177" s="279"/>
      <c r="I177" s="280">
        <v>45481.0</v>
      </c>
      <c r="J177" s="34"/>
      <c r="K177" s="281">
        <v>0.2275</v>
      </c>
      <c r="L177" s="3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28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</row>
    <row r="178" hidden="1">
      <c r="A178" s="25"/>
      <c r="B178" s="26"/>
      <c r="C178" s="26"/>
      <c r="D178" s="208"/>
      <c r="E178" s="7"/>
      <c r="F178" s="276" t="s">
        <v>697</v>
      </c>
      <c r="G178" s="278" t="s">
        <v>698</v>
      </c>
      <c r="H178" s="279"/>
      <c r="I178" s="280">
        <v>45481.0</v>
      </c>
      <c r="J178" s="34"/>
      <c r="K178" s="281">
        <v>0.288</v>
      </c>
      <c r="L178" s="3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128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</row>
    <row r="179" hidden="1">
      <c r="A179" s="25"/>
      <c r="B179" s="26"/>
      <c r="C179" s="26"/>
      <c r="D179" s="208"/>
      <c r="E179" s="7"/>
      <c r="F179" s="276" t="s">
        <v>716</v>
      </c>
      <c r="G179" s="278" t="s">
        <v>729</v>
      </c>
      <c r="H179" s="279"/>
      <c r="I179" s="280">
        <v>45481.0</v>
      </c>
      <c r="J179" s="34"/>
      <c r="K179" s="281">
        <v>0.7125</v>
      </c>
      <c r="L179" s="3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28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</row>
    <row r="180" hidden="1">
      <c r="A180" s="25"/>
      <c r="B180" s="26"/>
      <c r="C180" s="26"/>
      <c r="D180" s="208"/>
      <c r="E180" s="7"/>
      <c r="F180" s="276" t="s">
        <v>707</v>
      </c>
      <c r="G180" s="278" t="s">
        <v>712</v>
      </c>
      <c r="H180" s="279"/>
      <c r="I180" s="280">
        <v>45482.0</v>
      </c>
      <c r="J180" s="34"/>
      <c r="K180" s="281">
        <v>0.8910000000000001</v>
      </c>
      <c r="L180" s="3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28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</row>
    <row r="181" hidden="1">
      <c r="A181" s="25"/>
      <c r="B181" s="26"/>
      <c r="C181" s="26"/>
      <c r="D181" s="208"/>
      <c r="E181" s="7"/>
      <c r="F181" s="276" t="s">
        <v>716</v>
      </c>
      <c r="G181" s="278" t="s">
        <v>732</v>
      </c>
      <c r="H181" s="279"/>
      <c r="I181" s="280">
        <v>45482.0</v>
      </c>
      <c r="J181" s="34"/>
      <c r="K181" s="281">
        <v>0.6789999999999999</v>
      </c>
      <c r="L181" s="3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28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</row>
    <row r="182" hidden="1">
      <c r="A182" s="25"/>
      <c r="B182" s="26"/>
      <c r="C182" s="26"/>
      <c r="D182" s="208"/>
      <c r="E182" s="7"/>
      <c r="F182" s="276" t="s">
        <v>707</v>
      </c>
      <c r="G182" s="278" t="s">
        <v>708</v>
      </c>
      <c r="H182" s="279"/>
      <c r="I182" s="280">
        <v>45482.0</v>
      </c>
      <c r="J182" s="34"/>
      <c r="K182" s="281">
        <v>0.2425</v>
      </c>
      <c r="L182" s="3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128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</row>
    <row r="183" hidden="1">
      <c r="A183" s="25"/>
      <c r="B183" s="26"/>
      <c r="C183" s="26"/>
      <c r="D183" s="208"/>
      <c r="E183" s="7"/>
      <c r="F183" s="276" t="s">
        <v>707</v>
      </c>
      <c r="G183" s="278" t="s">
        <v>708</v>
      </c>
      <c r="H183" s="279"/>
      <c r="I183" s="280">
        <v>45482.0</v>
      </c>
      <c r="J183" s="34"/>
      <c r="K183" s="281">
        <v>0.2475</v>
      </c>
      <c r="L183" s="3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128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</row>
    <row r="184" hidden="1">
      <c r="A184" s="25"/>
      <c r="B184" s="26"/>
      <c r="C184" s="26"/>
      <c r="D184" s="208"/>
      <c r="E184" s="7"/>
      <c r="F184" s="276" t="s">
        <v>704</v>
      </c>
      <c r="G184" s="278" t="s">
        <v>713</v>
      </c>
      <c r="H184" s="279"/>
      <c r="I184" s="280">
        <v>45482.0</v>
      </c>
      <c r="J184" s="34"/>
      <c r="K184" s="281">
        <v>0.6509999999999999</v>
      </c>
      <c r="L184" s="3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128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</row>
    <row r="185" hidden="1">
      <c r="A185" s="25"/>
      <c r="B185" s="26"/>
      <c r="C185" s="26"/>
      <c r="D185" s="208"/>
      <c r="E185" s="7"/>
      <c r="F185" s="276" t="s">
        <v>704</v>
      </c>
      <c r="G185" s="278" t="s">
        <v>705</v>
      </c>
      <c r="H185" s="279"/>
      <c r="I185" s="280">
        <v>45482.0</v>
      </c>
      <c r="J185" s="34"/>
      <c r="K185" s="281">
        <v>0.291</v>
      </c>
      <c r="L185" s="34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28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</row>
    <row r="186" hidden="1">
      <c r="A186" s="25"/>
      <c r="B186" s="26"/>
      <c r="C186" s="26"/>
      <c r="D186" s="208"/>
      <c r="E186" s="7"/>
      <c r="F186" s="276" t="s">
        <v>716</v>
      </c>
      <c r="G186" s="278" t="s">
        <v>729</v>
      </c>
      <c r="H186" s="279"/>
      <c r="I186" s="280">
        <v>45482.0</v>
      </c>
      <c r="J186" s="34"/>
      <c r="K186" s="281">
        <v>0.72</v>
      </c>
      <c r="L186" s="3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128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</row>
    <row r="187" hidden="1">
      <c r="A187" s="25"/>
      <c r="B187" s="26"/>
      <c r="C187" s="26"/>
      <c r="D187" s="208"/>
      <c r="E187" s="7"/>
      <c r="F187" s="276" t="s">
        <v>707</v>
      </c>
      <c r="G187" s="278" t="s">
        <v>720</v>
      </c>
      <c r="H187" s="279"/>
      <c r="I187" s="280">
        <v>45482.0</v>
      </c>
      <c r="J187" s="34"/>
      <c r="K187" s="281">
        <v>0.2</v>
      </c>
      <c r="L187" s="34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28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</row>
    <row r="188" hidden="1">
      <c r="A188" s="25"/>
      <c r="B188" s="26"/>
      <c r="C188" s="26"/>
      <c r="D188" s="208"/>
      <c r="E188" s="7"/>
      <c r="F188" s="276" t="s">
        <v>716</v>
      </c>
      <c r="G188" s="278" t="s">
        <v>729</v>
      </c>
      <c r="H188" s="279"/>
      <c r="I188" s="280">
        <v>45482.0</v>
      </c>
      <c r="J188" s="34"/>
      <c r="K188" s="281">
        <v>0.735</v>
      </c>
      <c r="L188" s="34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28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</row>
    <row r="189" hidden="1">
      <c r="A189" s="25"/>
      <c r="B189" s="26"/>
      <c r="C189" s="26"/>
      <c r="D189" s="208"/>
      <c r="E189" s="7"/>
      <c r="F189" s="276" t="s">
        <v>697</v>
      </c>
      <c r="G189" s="278" t="s">
        <v>706</v>
      </c>
      <c r="H189" s="279"/>
      <c r="I189" s="280">
        <v>45482.0</v>
      </c>
      <c r="J189" s="34"/>
      <c r="K189" s="281">
        <v>0.47</v>
      </c>
      <c r="L189" s="34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128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</row>
    <row r="190" hidden="1">
      <c r="A190" s="25"/>
      <c r="B190" s="26"/>
      <c r="C190" s="26"/>
      <c r="D190" s="208"/>
      <c r="E190" s="7"/>
      <c r="F190" s="276" t="s">
        <v>704</v>
      </c>
      <c r="G190" s="278" t="s">
        <v>713</v>
      </c>
      <c r="H190" s="279"/>
      <c r="I190" s="280">
        <v>45482.0</v>
      </c>
      <c r="J190" s="34"/>
      <c r="K190" s="281">
        <v>0.6859999999999999</v>
      </c>
      <c r="L190" s="34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128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</row>
    <row r="191" hidden="1">
      <c r="A191" s="25"/>
      <c r="B191" s="26"/>
      <c r="C191" s="26"/>
      <c r="D191" s="208"/>
      <c r="E191" s="7"/>
      <c r="F191" s="276" t="s">
        <v>707</v>
      </c>
      <c r="G191" s="278" t="s">
        <v>712</v>
      </c>
      <c r="H191" s="279"/>
      <c r="I191" s="280">
        <v>45482.0</v>
      </c>
      <c r="J191" s="34"/>
      <c r="K191" s="281">
        <v>0.8910000000000001</v>
      </c>
      <c r="L191" s="34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128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</row>
    <row r="192" hidden="1">
      <c r="A192" s="25"/>
      <c r="B192" s="26"/>
      <c r="C192" s="26"/>
      <c r="D192" s="208"/>
      <c r="E192" s="7"/>
      <c r="F192" s="276" t="s">
        <v>704</v>
      </c>
      <c r="G192" s="278" t="s">
        <v>705</v>
      </c>
      <c r="H192" s="279"/>
      <c r="I192" s="280">
        <v>45482.0</v>
      </c>
      <c r="J192" s="34"/>
      <c r="K192" s="281">
        <v>0.27899999999999997</v>
      </c>
      <c r="L192" s="34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128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</row>
    <row r="193" hidden="1">
      <c r="A193" s="25"/>
      <c r="B193" s="26"/>
      <c r="C193" s="26"/>
      <c r="D193" s="208"/>
      <c r="E193" s="7"/>
      <c r="F193" s="276" t="s">
        <v>707</v>
      </c>
      <c r="G193" s="278" t="s">
        <v>708</v>
      </c>
      <c r="H193" s="279"/>
      <c r="I193" s="280">
        <v>45483.0</v>
      </c>
      <c r="J193" s="34"/>
      <c r="K193" s="281">
        <v>0.24</v>
      </c>
      <c r="L193" s="3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28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</row>
    <row r="194" hidden="1">
      <c r="A194" s="25"/>
      <c r="B194" s="26"/>
      <c r="C194" s="26"/>
      <c r="D194" s="208"/>
      <c r="E194" s="7"/>
      <c r="F194" s="276" t="s">
        <v>716</v>
      </c>
      <c r="G194" s="278" t="s">
        <v>717</v>
      </c>
      <c r="H194" s="279"/>
      <c r="I194" s="280">
        <v>45483.0</v>
      </c>
      <c r="J194" s="34"/>
      <c r="K194" s="281">
        <v>0.728</v>
      </c>
      <c r="L194" s="3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128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</row>
    <row r="195" hidden="1">
      <c r="A195" s="25"/>
      <c r="B195" s="26"/>
      <c r="C195" s="26"/>
      <c r="D195" s="208"/>
      <c r="E195" s="7"/>
      <c r="F195" s="276" t="s">
        <v>707</v>
      </c>
      <c r="G195" s="278" t="s">
        <v>708</v>
      </c>
      <c r="H195" s="279"/>
      <c r="I195" s="280">
        <v>45483.0</v>
      </c>
      <c r="J195" s="34"/>
      <c r="K195" s="281">
        <v>0.225</v>
      </c>
      <c r="L195" s="3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128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</row>
    <row r="196" hidden="1">
      <c r="A196" s="25"/>
      <c r="B196" s="26"/>
      <c r="C196" s="26"/>
      <c r="D196" s="208"/>
      <c r="E196" s="7"/>
      <c r="F196" s="276" t="s">
        <v>707</v>
      </c>
      <c r="G196" s="278" t="s">
        <v>720</v>
      </c>
      <c r="H196" s="279"/>
      <c r="I196" s="280">
        <v>45483.0</v>
      </c>
      <c r="J196" s="34"/>
      <c r="K196" s="281">
        <v>0.198</v>
      </c>
      <c r="L196" s="3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28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</row>
    <row r="197" hidden="1">
      <c r="A197" s="25"/>
      <c r="B197" s="26"/>
      <c r="C197" s="26"/>
      <c r="D197" s="208"/>
      <c r="E197" s="7"/>
      <c r="F197" s="276" t="s">
        <v>704</v>
      </c>
      <c r="G197" s="278" t="s">
        <v>719</v>
      </c>
      <c r="H197" s="279"/>
      <c r="I197" s="280">
        <v>45483.0</v>
      </c>
      <c r="J197" s="34"/>
      <c r="K197" s="281">
        <v>0.38</v>
      </c>
      <c r="L197" s="3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128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</row>
    <row r="198" hidden="1">
      <c r="A198" s="25"/>
      <c r="B198" s="26"/>
      <c r="C198" s="26"/>
      <c r="D198" s="208"/>
      <c r="E198" s="7"/>
      <c r="F198" s="276" t="s">
        <v>697</v>
      </c>
      <c r="G198" s="278" t="s">
        <v>698</v>
      </c>
      <c r="H198" s="279"/>
      <c r="I198" s="280">
        <v>45483.0</v>
      </c>
      <c r="J198" s="34"/>
      <c r="K198" s="281">
        <v>0.285</v>
      </c>
      <c r="L198" s="3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28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</row>
    <row r="199" hidden="1">
      <c r="A199" s="25"/>
      <c r="B199" s="26"/>
      <c r="C199" s="26"/>
      <c r="D199" s="208"/>
      <c r="E199" s="7"/>
      <c r="F199" s="276" t="s">
        <v>707</v>
      </c>
      <c r="G199" s="278" t="s">
        <v>708</v>
      </c>
      <c r="H199" s="279"/>
      <c r="I199" s="280">
        <v>45483.0</v>
      </c>
      <c r="J199" s="34"/>
      <c r="K199" s="281">
        <v>0.2425</v>
      </c>
      <c r="L199" s="3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128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</row>
    <row r="200" hidden="1">
      <c r="A200" s="25"/>
      <c r="B200" s="26"/>
      <c r="C200" s="26"/>
      <c r="D200" s="208"/>
      <c r="E200" s="7"/>
      <c r="F200" s="276" t="s">
        <v>716</v>
      </c>
      <c r="G200" s="278" t="s">
        <v>729</v>
      </c>
      <c r="H200" s="279"/>
      <c r="I200" s="280">
        <v>45483.0</v>
      </c>
      <c r="J200" s="34"/>
      <c r="K200" s="281">
        <v>0.6975</v>
      </c>
      <c r="L200" s="3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28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</row>
    <row r="201" hidden="1">
      <c r="A201" s="25"/>
      <c r="B201" s="26"/>
      <c r="C201" s="26"/>
      <c r="D201" s="208"/>
      <c r="E201" s="7"/>
      <c r="F201" s="276" t="s">
        <v>697</v>
      </c>
      <c r="G201" s="278" t="s">
        <v>706</v>
      </c>
      <c r="H201" s="279"/>
      <c r="I201" s="280">
        <v>45483.0</v>
      </c>
      <c r="J201" s="34"/>
      <c r="K201" s="281">
        <v>0.485</v>
      </c>
      <c r="L201" s="34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28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</row>
    <row r="202" hidden="1">
      <c r="A202" s="25"/>
      <c r="B202" s="26"/>
      <c r="C202" s="26"/>
      <c r="D202" s="208"/>
      <c r="E202" s="7"/>
      <c r="F202" s="276" t="s">
        <v>707</v>
      </c>
      <c r="G202" s="278" t="s">
        <v>720</v>
      </c>
      <c r="H202" s="279"/>
      <c r="I202" s="280">
        <v>45483.0</v>
      </c>
      <c r="J202" s="34"/>
      <c r="K202" s="281">
        <v>0.182</v>
      </c>
      <c r="L202" s="34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28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</row>
    <row r="203" hidden="1">
      <c r="A203" s="25"/>
      <c r="B203" s="26"/>
      <c r="C203" s="26"/>
      <c r="D203" s="208"/>
      <c r="E203" s="7"/>
      <c r="F203" s="276" t="s">
        <v>704</v>
      </c>
      <c r="G203" s="278" t="s">
        <v>705</v>
      </c>
      <c r="H203" s="279"/>
      <c r="I203" s="280">
        <v>45484.0</v>
      </c>
      <c r="J203" s="34"/>
      <c r="K203" s="281">
        <v>0.27599999999999997</v>
      </c>
      <c r="L203" s="34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128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</row>
    <row r="204" hidden="1">
      <c r="A204" s="25"/>
      <c r="B204" s="26"/>
      <c r="C204" s="26"/>
      <c r="D204" s="208"/>
      <c r="E204" s="7"/>
      <c r="F204" s="276" t="s">
        <v>707</v>
      </c>
      <c r="G204" s="278" t="s">
        <v>712</v>
      </c>
      <c r="H204" s="279"/>
      <c r="I204" s="280">
        <v>45484.0</v>
      </c>
      <c r="J204" s="34"/>
      <c r="K204" s="281">
        <v>0.8370000000000001</v>
      </c>
      <c r="L204" s="34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128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</row>
    <row r="205" hidden="1">
      <c r="A205" s="25"/>
      <c r="B205" s="26"/>
      <c r="C205" s="26"/>
      <c r="D205" s="208"/>
      <c r="E205" s="7"/>
      <c r="F205" s="276" t="s">
        <v>716</v>
      </c>
      <c r="G205" s="278" t="s">
        <v>732</v>
      </c>
      <c r="H205" s="279"/>
      <c r="I205" s="280">
        <v>45484.0</v>
      </c>
      <c r="J205" s="34"/>
      <c r="K205" s="281">
        <v>0.665</v>
      </c>
      <c r="L205" s="34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128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</row>
    <row r="206" hidden="1">
      <c r="A206" s="25"/>
      <c r="B206" s="26"/>
      <c r="C206" s="26"/>
      <c r="D206" s="208"/>
      <c r="E206" s="7"/>
      <c r="F206" s="276" t="s">
        <v>707</v>
      </c>
      <c r="G206" s="278" t="s">
        <v>720</v>
      </c>
      <c r="H206" s="279"/>
      <c r="I206" s="280">
        <v>45484.0</v>
      </c>
      <c r="J206" s="34"/>
      <c r="K206" s="281">
        <v>0.182</v>
      </c>
      <c r="L206" s="34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128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</row>
    <row r="207" hidden="1">
      <c r="A207" s="25"/>
      <c r="B207" s="26"/>
      <c r="C207" s="26"/>
      <c r="D207" s="208"/>
      <c r="E207" s="7"/>
      <c r="F207" s="276" t="s">
        <v>707</v>
      </c>
      <c r="G207" s="278" t="s">
        <v>712</v>
      </c>
      <c r="H207" s="279"/>
      <c r="I207" s="280">
        <v>45484.0</v>
      </c>
      <c r="J207" s="34"/>
      <c r="K207" s="281">
        <v>0.9</v>
      </c>
      <c r="L207" s="34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128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</row>
    <row r="208" hidden="1">
      <c r="A208" s="25"/>
      <c r="B208" s="26"/>
      <c r="C208" s="26"/>
      <c r="D208" s="208"/>
      <c r="E208" s="7"/>
      <c r="F208" s="276" t="s">
        <v>704</v>
      </c>
      <c r="G208" s="278" t="s">
        <v>719</v>
      </c>
      <c r="H208" s="279"/>
      <c r="I208" s="280">
        <v>45484.0</v>
      </c>
      <c r="J208" s="34"/>
      <c r="K208" s="281">
        <v>0.376</v>
      </c>
      <c r="L208" s="34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128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</row>
    <row r="209" hidden="1">
      <c r="A209" s="25"/>
      <c r="B209" s="26"/>
      <c r="C209" s="26"/>
      <c r="D209" s="208"/>
      <c r="E209" s="7"/>
      <c r="F209" s="276" t="s">
        <v>707</v>
      </c>
      <c r="G209" s="278" t="s">
        <v>708</v>
      </c>
      <c r="H209" s="279"/>
      <c r="I209" s="280">
        <v>45484.0</v>
      </c>
      <c r="J209" s="34"/>
      <c r="K209" s="281">
        <v>0.235</v>
      </c>
      <c r="L209" s="3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128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</row>
    <row r="210" hidden="1">
      <c r="A210" s="25"/>
      <c r="B210" s="26"/>
      <c r="C210" s="26"/>
      <c r="D210" s="208"/>
      <c r="E210" s="7"/>
      <c r="F210" s="276" t="s">
        <v>716</v>
      </c>
      <c r="G210" s="278" t="s">
        <v>732</v>
      </c>
      <c r="H210" s="279"/>
      <c r="I210" s="280">
        <v>45484.0</v>
      </c>
      <c r="J210" s="34"/>
      <c r="K210" s="281">
        <v>0.6859999999999999</v>
      </c>
      <c r="L210" s="3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128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</row>
    <row r="211" hidden="1">
      <c r="A211" s="25"/>
      <c r="B211" s="26"/>
      <c r="C211" s="26"/>
      <c r="D211" s="208"/>
      <c r="E211" s="7"/>
      <c r="F211" s="276" t="s">
        <v>697</v>
      </c>
      <c r="G211" s="278" t="s">
        <v>706</v>
      </c>
      <c r="H211" s="279"/>
      <c r="I211" s="280">
        <v>45484.0</v>
      </c>
      <c r="J211" s="34"/>
      <c r="K211" s="281">
        <v>0.45</v>
      </c>
      <c r="L211" s="3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128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</row>
    <row r="212" hidden="1">
      <c r="A212" s="25"/>
      <c r="B212" s="26"/>
      <c r="C212" s="26"/>
      <c r="D212" s="208"/>
      <c r="E212" s="7"/>
      <c r="F212" s="276" t="s">
        <v>704</v>
      </c>
      <c r="G212" s="278" t="s">
        <v>713</v>
      </c>
      <c r="H212" s="279"/>
      <c r="I212" s="280">
        <v>45484.0</v>
      </c>
      <c r="J212" s="34"/>
      <c r="K212" s="281">
        <v>0.6789999999999999</v>
      </c>
      <c r="L212" s="3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128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</row>
    <row r="213" hidden="1">
      <c r="A213" s="25"/>
      <c r="B213" s="26"/>
      <c r="C213" s="26"/>
      <c r="D213" s="208"/>
      <c r="E213" s="7"/>
      <c r="F213" s="276" t="s">
        <v>707</v>
      </c>
      <c r="G213" s="278" t="s">
        <v>708</v>
      </c>
      <c r="H213" s="279"/>
      <c r="I213" s="280">
        <v>45484.0</v>
      </c>
      <c r="J213" s="34"/>
      <c r="K213" s="281">
        <v>0.24</v>
      </c>
      <c r="L213" s="3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128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</row>
    <row r="214" hidden="1">
      <c r="A214" s="25"/>
      <c r="B214" s="26"/>
      <c r="C214" s="26"/>
      <c r="D214" s="208"/>
      <c r="E214" s="7"/>
      <c r="F214" s="276" t="s">
        <v>704</v>
      </c>
      <c r="G214" s="278" t="s">
        <v>713</v>
      </c>
      <c r="H214" s="279"/>
      <c r="I214" s="280">
        <v>45484.0</v>
      </c>
      <c r="J214" s="34"/>
      <c r="K214" s="281">
        <v>0.6439999999999999</v>
      </c>
      <c r="L214" s="3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128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</row>
    <row r="215" hidden="1">
      <c r="A215" s="25"/>
      <c r="B215" s="26"/>
      <c r="C215" s="26"/>
      <c r="D215" s="208"/>
      <c r="E215" s="7"/>
      <c r="F215" s="276" t="s">
        <v>707</v>
      </c>
      <c r="G215" s="278" t="s">
        <v>712</v>
      </c>
      <c r="H215" s="279"/>
      <c r="I215" s="280">
        <v>45484.0</v>
      </c>
      <c r="J215" s="34"/>
      <c r="K215" s="281">
        <v>0.8190000000000001</v>
      </c>
      <c r="L215" s="3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128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</row>
    <row r="216" hidden="1">
      <c r="A216" s="25"/>
      <c r="B216" s="26"/>
      <c r="C216" s="26"/>
      <c r="D216" s="208"/>
      <c r="E216" s="7"/>
      <c r="F216" s="276" t="s">
        <v>697</v>
      </c>
      <c r="G216" s="278" t="s">
        <v>700</v>
      </c>
      <c r="H216" s="279"/>
      <c r="I216" s="280">
        <v>45484.0</v>
      </c>
      <c r="J216" s="34"/>
      <c r="K216" s="281">
        <v>0.7680000000000001</v>
      </c>
      <c r="L216" s="3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128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</row>
    <row r="217" hidden="1">
      <c r="A217" s="25"/>
      <c r="B217" s="26"/>
      <c r="C217" s="26"/>
      <c r="D217" s="208"/>
      <c r="E217" s="7"/>
      <c r="F217" s="276" t="s">
        <v>716</v>
      </c>
      <c r="G217" s="278" t="s">
        <v>717</v>
      </c>
      <c r="H217" s="279"/>
      <c r="I217" s="280">
        <v>45484.0</v>
      </c>
      <c r="J217" s="34"/>
      <c r="K217" s="281">
        <v>0.784</v>
      </c>
      <c r="L217" s="3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128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</row>
    <row r="218" hidden="1">
      <c r="A218" s="25"/>
      <c r="B218" s="26"/>
      <c r="C218" s="26"/>
      <c r="D218" s="208"/>
      <c r="E218" s="7"/>
      <c r="F218" s="276" t="s">
        <v>716</v>
      </c>
      <c r="G218" s="278" t="s">
        <v>732</v>
      </c>
      <c r="H218" s="279"/>
      <c r="I218" s="280">
        <v>45485.0</v>
      </c>
      <c r="J218" s="34"/>
      <c r="K218" s="281">
        <v>0.6439999999999999</v>
      </c>
      <c r="L218" s="34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128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</row>
    <row r="219" hidden="1">
      <c r="A219" s="25"/>
      <c r="B219" s="26"/>
      <c r="C219" s="26"/>
      <c r="D219" s="208"/>
      <c r="E219" s="7"/>
      <c r="F219" s="276" t="s">
        <v>707</v>
      </c>
      <c r="G219" s="278" t="s">
        <v>712</v>
      </c>
      <c r="H219" s="279"/>
      <c r="I219" s="280">
        <v>45485.0</v>
      </c>
      <c r="J219" s="34"/>
      <c r="K219" s="281">
        <v>0.8640000000000001</v>
      </c>
      <c r="L219" s="34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128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</row>
    <row r="220" hidden="1">
      <c r="A220" s="25"/>
      <c r="B220" s="26"/>
      <c r="C220" s="26"/>
      <c r="D220" s="208"/>
      <c r="E220" s="7"/>
      <c r="F220" s="276" t="s">
        <v>716</v>
      </c>
      <c r="G220" s="278" t="s">
        <v>717</v>
      </c>
      <c r="H220" s="279"/>
      <c r="I220" s="280">
        <v>45485.0</v>
      </c>
      <c r="J220" s="34"/>
      <c r="K220" s="281">
        <v>0.784</v>
      </c>
      <c r="L220" s="34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128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</row>
    <row r="221" hidden="1">
      <c r="A221" s="25"/>
      <c r="B221" s="26"/>
      <c r="C221" s="26"/>
      <c r="D221" s="208"/>
      <c r="E221" s="7"/>
      <c r="F221" s="276" t="s">
        <v>716</v>
      </c>
      <c r="G221" s="278" t="s">
        <v>732</v>
      </c>
      <c r="H221" s="279"/>
      <c r="I221" s="280">
        <v>45485.0</v>
      </c>
      <c r="J221" s="34"/>
      <c r="K221" s="281">
        <v>0.637</v>
      </c>
      <c r="L221" s="34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128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</row>
    <row r="222" hidden="1">
      <c r="A222" s="25"/>
      <c r="B222" s="26"/>
      <c r="C222" s="26"/>
      <c r="D222" s="208"/>
      <c r="E222" s="7"/>
      <c r="F222" s="276" t="s">
        <v>697</v>
      </c>
      <c r="G222" s="278" t="s">
        <v>706</v>
      </c>
      <c r="H222" s="279"/>
      <c r="I222" s="280">
        <v>45485.0</v>
      </c>
      <c r="J222" s="34"/>
      <c r="K222" s="281">
        <v>0.475</v>
      </c>
      <c r="L222" s="34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128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</row>
    <row r="223" hidden="1">
      <c r="A223" s="25"/>
      <c r="B223" s="26"/>
      <c r="C223" s="26"/>
      <c r="D223" s="208"/>
      <c r="E223" s="7"/>
      <c r="F223" s="276" t="s">
        <v>716</v>
      </c>
      <c r="G223" s="278" t="s">
        <v>729</v>
      </c>
      <c r="H223" s="279"/>
      <c r="I223" s="280">
        <v>45485.0</v>
      </c>
      <c r="J223" s="34"/>
      <c r="K223" s="281">
        <v>0.72</v>
      </c>
      <c r="L223" s="34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128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</row>
    <row r="224" hidden="1">
      <c r="A224" s="25"/>
      <c r="B224" s="26"/>
      <c r="C224" s="26"/>
      <c r="D224" s="208"/>
      <c r="E224" s="7"/>
      <c r="F224" s="276" t="s">
        <v>716</v>
      </c>
      <c r="G224" s="278" t="s">
        <v>732</v>
      </c>
      <c r="H224" s="279"/>
      <c r="I224" s="280">
        <v>45485.0</v>
      </c>
      <c r="J224" s="34"/>
      <c r="K224" s="281">
        <v>0.637</v>
      </c>
      <c r="L224" s="34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128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</row>
    <row r="225" hidden="1">
      <c r="A225" s="25"/>
      <c r="B225" s="26"/>
      <c r="C225" s="26"/>
      <c r="D225" s="208"/>
      <c r="E225" s="7"/>
      <c r="F225" s="276" t="s">
        <v>716</v>
      </c>
      <c r="G225" s="278" t="s">
        <v>717</v>
      </c>
      <c r="H225" s="279"/>
      <c r="I225" s="280">
        <v>45485.0</v>
      </c>
      <c r="J225" s="34"/>
      <c r="K225" s="281">
        <v>0.7440000000000001</v>
      </c>
      <c r="L225" s="34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128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</row>
    <row r="226" hidden="1">
      <c r="A226" s="25"/>
      <c r="B226" s="26"/>
      <c r="C226" s="26"/>
      <c r="D226" s="208"/>
      <c r="E226" s="7"/>
      <c r="F226" s="276" t="s">
        <v>716</v>
      </c>
      <c r="G226" s="278" t="s">
        <v>729</v>
      </c>
      <c r="H226" s="279"/>
      <c r="I226" s="280">
        <v>45485.0</v>
      </c>
      <c r="J226" s="34"/>
      <c r="K226" s="281">
        <v>0.735</v>
      </c>
      <c r="L226" s="3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128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</row>
    <row r="227" hidden="1">
      <c r="A227" s="25"/>
      <c r="B227" s="26"/>
      <c r="C227" s="26"/>
      <c r="D227" s="208"/>
      <c r="E227" s="7"/>
      <c r="F227" s="276" t="s">
        <v>697</v>
      </c>
      <c r="G227" s="278" t="s">
        <v>700</v>
      </c>
      <c r="H227" s="279"/>
      <c r="I227" s="280">
        <v>45485.0</v>
      </c>
      <c r="J227" s="34"/>
      <c r="K227" s="281">
        <v>0.752</v>
      </c>
      <c r="L227" s="3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128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</row>
    <row r="228" hidden="1">
      <c r="A228" s="25"/>
      <c r="B228" s="26"/>
      <c r="C228" s="26"/>
      <c r="D228" s="208"/>
      <c r="E228" s="7"/>
      <c r="F228" s="276" t="s">
        <v>707</v>
      </c>
      <c r="G228" s="278" t="s">
        <v>712</v>
      </c>
      <c r="H228" s="279"/>
      <c r="I228" s="280">
        <v>45485.0</v>
      </c>
      <c r="J228" s="34"/>
      <c r="K228" s="281">
        <v>0.8370000000000001</v>
      </c>
      <c r="L228" s="3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128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</row>
    <row r="229" hidden="1">
      <c r="A229" s="25"/>
      <c r="B229" s="26"/>
      <c r="C229" s="26"/>
      <c r="D229" s="208"/>
      <c r="E229" s="7"/>
      <c r="F229" s="276" t="s">
        <v>697</v>
      </c>
      <c r="G229" s="278" t="s">
        <v>706</v>
      </c>
      <c r="H229" s="279"/>
      <c r="I229" s="280">
        <v>45485.0</v>
      </c>
      <c r="J229" s="34"/>
      <c r="K229" s="281">
        <v>0.5</v>
      </c>
      <c r="L229" s="3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128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</row>
    <row r="230" hidden="1">
      <c r="A230" s="25"/>
      <c r="B230" s="26"/>
      <c r="C230" s="26"/>
      <c r="D230" s="208"/>
      <c r="E230" s="7"/>
      <c r="F230" s="276" t="s">
        <v>704</v>
      </c>
      <c r="G230" s="278" t="s">
        <v>719</v>
      </c>
      <c r="H230" s="279"/>
      <c r="I230" s="280">
        <v>45485.0</v>
      </c>
      <c r="J230" s="34"/>
      <c r="K230" s="281">
        <v>0.38</v>
      </c>
      <c r="L230" s="3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128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</row>
    <row r="231" hidden="1">
      <c r="A231" s="25"/>
      <c r="B231" s="26"/>
      <c r="C231" s="26"/>
      <c r="D231" s="208"/>
      <c r="E231" s="7"/>
      <c r="F231" s="276" t="s">
        <v>707</v>
      </c>
      <c r="G231" s="278" t="s">
        <v>720</v>
      </c>
      <c r="H231" s="279"/>
      <c r="I231" s="280">
        <v>45485.0</v>
      </c>
      <c r="J231" s="34"/>
      <c r="K231" s="281">
        <v>0.19</v>
      </c>
      <c r="L231" s="3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128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</row>
    <row r="232" hidden="1">
      <c r="A232" s="25"/>
      <c r="B232" s="26"/>
      <c r="C232" s="26"/>
      <c r="D232" s="208"/>
      <c r="E232" s="7"/>
      <c r="F232" s="276" t="s">
        <v>707</v>
      </c>
      <c r="G232" s="278" t="s">
        <v>708</v>
      </c>
      <c r="H232" s="279"/>
      <c r="I232" s="280">
        <v>45485.0</v>
      </c>
      <c r="J232" s="34"/>
      <c r="K232" s="281">
        <v>0.24</v>
      </c>
      <c r="L232" s="3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128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</row>
    <row r="233" hidden="1">
      <c r="A233" s="25"/>
      <c r="B233" s="26"/>
      <c r="C233" s="26"/>
      <c r="D233" s="208"/>
      <c r="E233" s="7"/>
      <c r="F233" s="276" t="s">
        <v>704</v>
      </c>
      <c r="G233" s="278" t="s">
        <v>705</v>
      </c>
      <c r="H233" s="279"/>
      <c r="I233" s="280">
        <v>45485.0</v>
      </c>
      <c r="J233" s="34"/>
      <c r="K233" s="281">
        <v>0.3</v>
      </c>
      <c r="L233" s="3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128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</row>
    <row r="234" hidden="1">
      <c r="A234" s="25"/>
      <c r="B234" s="26"/>
      <c r="C234" s="26"/>
      <c r="D234" s="208"/>
      <c r="E234" s="7"/>
      <c r="F234" s="276" t="s">
        <v>704</v>
      </c>
      <c r="G234" s="278" t="s">
        <v>719</v>
      </c>
      <c r="H234" s="279"/>
      <c r="I234" s="280">
        <v>45486.0</v>
      </c>
      <c r="J234" s="34"/>
      <c r="K234" s="281">
        <v>0.38400000000000006</v>
      </c>
      <c r="L234" s="3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128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</row>
    <row r="235" hidden="1">
      <c r="A235" s="25"/>
      <c r="B235" s="26"/>
      <c r="C235" s="26"/>
      <c r="D235" s="208"/>
      <c r="E235" s="7"/>
      <c r="F235" s="276" t="s">
        <v>704</v>
      </c>
      <c r="G235" s="278" t="s">
        <v>705</v>
      </c>
      <c r="H235" s="279"/>
      <c r="I235" s="280">
        <v>45486.0</v>
      </c>
      <c r="J235" s="34"/>
      <c r="K235" s="281">
        <v>0.288</v>
      </c>
      <c r="L235" s="34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128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</row>
    <row r="236" hidden="1">
      <c r="A236" s="25"/>
      <c r="B236" s="26"/>
      <c r="C236" s="26"/>
      <c r="D236" s="208"/>
      <c r="E236" s="7"/>
      <c r="F236" s="276" t="s">
        <v>707</v>
      </c>
      <c r="G236" s="278" t="s">
        <v>720</v>
      </c>
      <c r="H236" s="279"/>
      <c r="I236" s="280">
        <v>45486.0</v>
      </c>
      <c r="J236" s="34"/>
      <c r="K236" s="281">
        <v>0.2</v>
      </c>
      <c r="L236" s="34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128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</row>
    <row r="237" hidden="1">
      <c r="A237" s="25"/>
      <c r="B237" s="26"/>
      <c r="C237" s="26"/>
      <c r="D237" s="208"/>
      <c r="E237" s="7"/>
      <c r="F237" s="276" t="s">
        <v>716</v>
      </c>
      <c r="G237" s="278" t="s">
        <v>729</v>
      </c>
      <c r="H237" s="279"/>
      <c r="I237" s="280">
        <v>45486.0</v>
      </c>
      <c r="J237" s="34"/>
      <c r="K237" s="281">
        <v>0.69</v>
      </c>
      <c r="L237" s="34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128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</row>
    <row r="238" hidden="1">
      <c r="A238" s="25"/>
      <c r="B238" s="26"/>
      <c r="C238" s="26"/>
      <c r="D238" s="208"/>
      <c r="E238" s="7"/>
      <c r="F238" s="276" t="s">
        <v>704</v>
      </c>
      <c r="G238" s="278" t="s">
        <v>705</v>
      </c>
      <c r="H238" s="279"/>
      <c r="I238" s="280">
        <v>45486.0</v>
      </c>
      <c r="J238" s="34"/>
      <c r="K238" s="281">
        <v>0.27599999999999997</v>
      </c>
      <c r="L238" s="34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128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</row>
    <row r="239" hidden="1">
      <c r="A239" s="25"/>
      <c r="B239" s="26"/>
      <c r="C239" s="26"/>
      <c r="D239" s="208"/>
      <c r="E239" s="7"/>
      <c r="F239" s="276" t="s">
        <v>716</v>
      </c>
      <c r="G239" s="278" t="s">
        <v>717</v>
      </c>
      <c r="H239" s="279"/>
      <c r="I239" s="280">
        <v>45486.0</v>
      </c>
      <c r="J239" s="34"/>
      <c r="K239" s="281">
        <v>0.8</v>
      </c>
      <c r="L239" s="34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128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</row>
    <row r="240" hidden="1">
      <c r="A240" s="25"/>
      <c r="B240" s="26"/>
      <c r="C240" s="26"/>
      <c r="D240" s="208"/>
      <c r="E240" s="7"/>
      <c r="F240" s="276" t="s">
        <v>704</v>
      </c>
      <c r="G240" s="278" t="s">
        <v>719</v>
      </c>
      <c r="H240" s="279"/>
      <c r="I240" s="280">
        <v>45486.0</v>
      </c>
      <c r="J240" s="34"/>
      <c r="K240" s="281">
        <v>0.36800000000000005</v>
      </c>
      <c r="L240" s="34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128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</row>
    <row r="241" hidden="1">
      <c r="A241" s="25"/>
      <c r="B241" s="26"/>
      <c r="C241" s="26"/>
      <c r="D241" s="208"/>
      <c r="E241" s="7"/>
      <c r="F241" s="276" t="s">
        <v>707</v>
      </c>
      <c r="G241" s="278" t="s">
        <v>712</v>
      </c>
      <c r="H241" s="279"/>
      <c r="I241" s="280">
        <v>45486.0</v>
      </c>
      <c r="J241" s="34"/>
      <c r="K241" s="281">
        <v>0.9</v>
      </c>
      <c r="L241" s="34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128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</row>
    <row r="242" hidden="1">
      <c r="A242" s="25"/>
      <c r="B242" s="26"/>
      <c r="C242" s="26"/>
      <c r="D242" s="208"/>
      <c r="E242" s="7"/>
      <c r="F242" s="276" t="s">
        <v>704</v>
      </c>
      <c r="G242" s="278" t="s">
        <v>719</v>
      </c>
      <c r="H242" s="279"/>
      <c r="I242" s="280">
        <v>45486.0</v>
      </c>
      <c r="J242" s="34"/>
      <c r="K242" s="281">
        <v>0.392</v>
      </c>
      <c r="L242" s="3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128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</row>
    <row r="243" hidden="1">
      <c r="A243" s="25"/>
      <c r="B243" s="26"/>
      <c r="C243" s="26"/>
      <c r="D243" s="208"/>
      <c r="E243" s="7"/>
      <c r="F243" s="276" t="s">
        <v>704</v>
      </c>
      <c r="G243" s="278" t="s">
        <v>713</v>
      </c>
      <c r="H243" s="279"/>
      <c r="I243" s="280">
        <v>45486.0</v>
      </c>
      <c r="J243" s="34"/>
      <c r="K243" s="281">
        <v>0.6859999999999999</v>
      </c>
      <c r="L243" s="3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128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</row>
    <row r="244" hidden="1">
      <c r="A244" s="25"/>
      <c r="B244" s="26"/>
      <c r="C244" s="26"/>
      <c r="D244" s="208"/>
      <c r="E244" s="7"/>
      <c r="F244" s="276" t="s">
        <v>704</v>
      </c>
      <c r="G244" s="278" t="s">
        <v>705</v>
      </c>
      <c r="H244" s="279"/>
      <c r="I244" s="280">
        <v>45487.0</v>
      </c>
      <c r="J244" s="34"/>
      <c r="K244" s="281">
        <v>0.297</v>
      </c>
      <c r="L244" s="3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128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</row>
    <row r="245" hidden="1">
      <c r="A245" s="25"/>
      <c r="B245" s="26"/>
      <c r="C245" s="26"/>
      <c r="D245" s="208"/>
      <c r="E245" s="7"/>
      <c r="F245" s="276" t="s">
        <v>697</v>
      </c>
      <c r="G245" s="278" t="s">
        <v>700</v>
      </c>
      <c r="H245" s="279"/>
      <c r="I245" s="280">
        <v>45487.0</v>
      </c>
      <c r="J245" s="34"/>
      <c r="K245" s="281">
        <v>0.8</v>
      </c>
      <c r="L245" s="3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128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</row>
    <row r="246" hidden="1">
      <c r="A246" s="25"/>
      <c r="B246" s="26"/>
      <c r="C246" s="26"/>
      <c r="D246" s="208"/>
      <c r="E246" s="7"/>
      <c r="F246" s="276" t="s">
        <v>707</v>
      </c>
      <c r="G246" s="278" t="s">
        <v>708</v>
      </c>
      <c r="H246" s="279"/>
      <c r="I246" s="280">
        <v>45487.0</v>
      </c>
      <c r="J246" s="34"/>
      <c r="K246" s="281">
        <v>0.235</v>
      </c>
      <c r="L246" s="3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128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</row>
    <row r="247" hidden="1">
      <c r="A247" s="25"/>
      <c r="B247" s="26"/>
      <c r="C247" s="26"/>
      <c r="D247" s="208"/>
      <c r="E247" s="7"/>
      <c r="F247" s="276" t="s">
        <v>707</v>
      </c>
      <c r="G247" s="278" t="s">
        <v>712</v>
      </c>
      <c r="H247" s="279"/>
      <c r="I247" s="280">
        <v>45487.0</v>
      </c>
      <c r="J247" s="34"/>
      <c r="K247" s="281">
        <v>0.873</v>
      </c>
      <c r="L247" s="3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128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</row>
    <row r="248" hidden="1">
      <c r="A248" s="25"/>
      <c r="B248" s="26"/>
      <c r="C248" s="26"/>
      <c r="D248" s="208"/>
      <c r="E248" s="7"/>
      <c r="F248" s="276" t="s">
        <v>707</v>
      </c>
      <c r="G248" s="278" t="s">
        <v>712</v>
      </c>
      <c r="H248" s="279"/>
      <c r="I248" s="280">
        <v>45487.0</v>
      </c>
      <c r="J248" s="34"/>
      <c r="K248" s="281">
        <v>0.8640000000000001</v>
      </c>
      <c r="L248" s="3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128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</row>
    <row r="249" hidden="1">
      <c r="A249" s="25"/>
      <c r="B249" s="26"/>
      <c r="C249" s="26"/>
      <c r="D249" s="208"/>
      <c r="E249" s="7"/>
      <c r="F249" s="276" t="s">
        <v>707</v>
      </c>
      <c r="G249" s="278" t="s">
        <v>712</v>
      </c>
      <c r="H249" s="279"/>
      <c r="I249" s="280">
        <v>45487.0</v>
      </c>
      <c r="J249" s="34"/>
      <c r="K249" s="281">
        <v>0.8640000000000001</v>
      </c>
      <c r="L249" s="3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128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 hidden="1">
      <c r="A250" s="25"/>
      <c r="B250" s="26"/>
      <c r="C250" s="26"/>
      <c r="D250" s="208"/>
      <c r="E250" s="7"/>
      <c r="F250" s="276" t="s">
        <v>697</v>
      </c>
      <c r="G250" s="278" t="s">
        <v>706</v>
      </c>
      <c r="H250" s="279"/>
      <c r="I250" s="280">
        <v>45487.0</v>
      </c>
      <c r="J250" s="34"/>
      <c r="K250" s="281">
        <v>0.49</v>
      </c>
      <c r="L250" s="3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128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 hidden="1">
      <c r="A251" s="25"/>
      <c r="B251" s="26"/>
      <c r="C251" s="26"/>
      <c r="D251" s="208"/>
      <c r="E251" s="7"/>
      <c r="F251" s="276" t="s">
        <v>704</v>
      </c>
      <c r="G251" s="278" t="s">
        <v>705</v>
      </c>
      <c r="H251" s="279"/>
      <c r="I251" s="280">
        <v>45487.0</v>
      </c>
      <c r="J251" s="34"/>
      <c r="K251" s="281">
        <v>0.297</v>
      </c>
      <c r="L251" s="3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128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</row>
    <row r="252" hidden="1">
      <c r="A252" s="25"/>
      <c r="B252" s="26"/>
      <c r="C252" s="26"/>
      <c r="D252" s="208"/>
      <c r="E252" s="7"/>
      <c r="F252" s="276" t="s">
        <v>704</v>
      </c>
      <c r="G252" s="278" t="s">
        <v>719</v>
      </c>
      <c r="H252" s="279"/>
      <c r="I252" s="280">
        <v>45487.0</v>
      </c>
      <c r="J252" s="34"/>
      <c r="K252" s="281">
        <v>0.4</v>
      </c>
      <c r="L252" s="34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128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</row>
    <row r="253" hidden="1">
      <c r="A253" s="25"/>
      <c r="B253" s="26"/>
      <c r="C253" s="26"/>
      <c r="D253" s="208"/>
      <c r="E253" s="7"/>
      <c r="F253" s="276" t="s">
        <v>697</v>
      </c>
      <c r="G253" s="278" t="s">
        <v>706</v>
      </c>
      <c r="H253" s="279"/>
      <c r="I253" s="280">
        <v>45487.0</v>
      </c>
      <c r="J253" s="34"/>
      <c r="K253" s="281">
        <v>0.5</v>
      </c>
      <c r="L253" s="34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128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</row>
    <row r="254" hidden="1">
      <c r="A254" s="25"/>
      <c r="B254" s="26"/>
      <c r="C254" s="26"/>
      <c r="D254" s="208"/>
      <c r="E254" s="7"/>
      <c r="F254" s="276" t="s">
        <v>704</v>
      </c>
      <c r="G254" s="278" t="s">
        <v>713</v>
      </c>
      <c r="H254" s="279"/>
      <c r="I254" s="280">
        <v>45487.0</v>
      </c>
      <c r="J254" s="34"/>
      <c r="K254" s="281">
        <v>0.6299999999999999</v>
      </c>
      <c r="L254" s="34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128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</row>
    <row r="255" hidden="1">
      <c r="A255" s="25"/>
      <c r="B255" s="26"/>
      <c r="C255" s="26"/>
      <c r="D255" s="208"/>
      <c r="E255" s="7"/>
      <c r="F255" s="276" t="s">
        <v>716</v>
      </c>
      <c r="G255" s="278" t="s">
        <v>732</v>
      </c>
      <c r="H255" s="279"/>
      <c r="I255" s="280">
        <v>45487.0</v>
      </c>
      <c r="J255" s="34"/>
      <c r="K255" s="281">
        <v>0.665</v>
      </c>
      <c r="L255" s="34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128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</row>
    <row r="256" hidden="1">
      <c r="A256" s="25"/>
      <c r="B256" s="26"/>
      <c r="C256" s="26"/>
      <c r="D256" s="208"/>
      <c r="E256" s="7"/>
      <c r="F256" s="276" t="s">
        <v>697</v>
      </c>
      <c r="G256" s="278" t="s">
        <v>700</v>
      </c>
      <c r="H256" s="279"/>
      <c r="I256" s="280">
        <v>45487.0</v>
      </c>
      <c r="J256" s="34"/>
      <c r="K256" s="281">
        <v>0.784</v>
      </c>
      <c r="L256" s="34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128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</row>
    <row r="257" hidden="1">
      <c r="A257" s="25"/>
      <c r="B257" s="26"/>
      <c r="C257" s="26"/>
      <c r="D257" s="208"/>
      <c r="E257" s="7"/>
      <c r="F257" s="276" t="s">
        <v>697</v>
      </c>
      <c r="G257" s="278" t="s">
        <v>698</v>
      </c>
      <c r="H257" s="279"/>
      <c r="I257" s="280">
        <v>45488.0</v>
      </c>
      <c r="J257" s="34"/>
      <c r="K257" s="281">
        <v>0.3</v>
      </c>
      <c r="L257" s="34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128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</row>
    <row r="258" hidden="1">
      <c r="A258" s="25"/>
      <c r="B258" s="26"/>
      <c r="C258" s="26"/>
      <c r="D258" s="208"/>
      <c r="E258" s="7"/>
      <c r="F258" s="276" t="s">
        <v>704</v>
      </c>
      <c r="G258" s="278" t="s">
        <v>705</v>
      </c>
      <c r="H258" s="279"/>
      <c r="I258" s="280">
        <v>45488.0</v>
      </c>
      <c r="J258" s="34"/>
      <c r="K258" s="281">
        <v>0.285</v>
      </c>
      <c r="L258" s="34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128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</row>
    <row r="259" hidden="1">
      <c r="A259" s="25"/>
      <c r="B259" s="26"/>
      <c r="C259" s="26"/>
      <c r="D259" s="208"/>
      <c r="E259" s="7"/>
      <c r="F259" s="276" t="s">
        <v>716</v>
      </c>
      <c r="G259" s="278" t="s">
        <v>717</v>
      </c>
      <c r="H259" s="279"/>
      <c r="I259" s="280">
        <v>45488.0</v>
      </c>
      <c r="J259" s="34"/>
      <c r="K259" s="281">
        <v>0.7440000000000001</v>
      </c>
      <c r="L259" s="34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128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</row>
    <row r="260" hidden="1">
      <c r="A260" s="25"/>
      <c r="B260" s="26"/>
      <c r="C260" s="26"/>
      <c r="D260" s="208"/>
      <c r="E260" s="7"/>
      <c r="F260" s="276" t="s">
        <v>707</v>
      </c>
      <c r="G260" s="278" t="s">
        <v>708</v>
      </c>
      <c r="H260" s="279"/>
      <c r="I260" s="280">
        <v>45488.0</v>
      </c>
      <c r="J260" s="34"/>
      <c r="K260" s="281">
        <v>0.23</v>
      </c>
      <c r="L260" s="3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128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</row>
    <row r="261" hidden="1">
      <c r="A261" s="25"/>
      <c r="B261" s="26"/>
      <c r="C261" s="26"/>
      <c r="D261" s="208"/>
      <c r="E261" s="7"/>
      <c r="F261" s="276" t="s">
        <v>697</v>
      </c>
      <c r="G261" s="278" t="s">
        <v>698</v>
      </c>
      <c r="H261" s="279"/>
      <c r="I261" s="280">
        <v>45488.0</v>
      </c>
      <c r="J261" s="34"/>
      <c r="K261" s="281">
        <v>0.27899999999999997</v>
      </c>
      <c r="L261" s="3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128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</row>
    <row r="262" hidden="1">
      <c r="A262" s="25"/>
      <c r="B262" s="26"/>
      <c r="C262" s="26"/>
      <c r="D262" s="208"/>
      <c r="E262" s="7"/>
      <c r="F262" s="276" t="s">
        <v>704</v>
      </c>
      <c r="G262" s="278" t="s">
        <v>719</v>
      </c>
      <c r="H262" s="279"/>
      <c r="I262" s="280">
        <v>45488.0</v>
      </c>
      <c r="J262" s="34"/>
      <c r="K262" s="281">
        <v>0.36800000000000005</v>
      </c>
      <c r="L262" s="3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128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</row>
    <row r="263" hidden="1">
      <c r="A263" s="25"/>
      <c r="B263" s="26"/>
      <c r="C263" s="26"/>
      <c r="D263" s="208"/>
      <c r="E263" s="7"/>
      <c r="F263" s="276" t="s">
        <v>716</v>
      </c>
      <c r="G263" s="278" t="s">
        <v>717</v>
      </c>
      <c r="H263" s="279"/>
      <c r="I263" s="280">
        <v>45488.0</v>
      </c>
      <c r="J263" s="34"/>
      <c r="K263" s="281">
        <v>0.792</v>
      </c>
      <c r="L263" s="3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128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 hidden="1">
      <c r="A264" s="25"/>
      <c r="B264" s="26"/>
      <c r="C264" s="26"/>
      <c r="D264" s="208"/>
      <c r="E264" s="7"/>
      <c r="F264" s="276" t="s">
        <v>704</v>
      </c>
      <c r="G264" s="278" t="s">
        <v>713</v>
      </c>
      <c r="H264" s="279"/>
      <c r="I264" s="280">
        <v>45489.0</v>
      </c>
      <c r="J264" s="34"/>
      <c r="K264" s="281">
        <v>0.6509999999999999</v>
      </c>
      <c r="L264" s="3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128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 hidden="1">
      <c r="A265" s="25"/>
      <c r="B265" s="26"/>
      <c r="C265" s="26"/>
      <c r="D265" s="208"/>
      <c r="E265" s="7"/>
      <c r="F265" s="276" t="s">
        <v>697</v>
      </c>
      <c r="G265" s="278" t="s">
        <v>698</v>
      </c>
      <c r="H265" s="279"/>
      <c r="I265" s="280">
        <v>45489.0</v>
      </c>
      <c r="J265" s="34"/>
      <c r="K265" s="281">
        <v>0.297</v>
      </c>
      <c r="L265" s="3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128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 hidden="1">
      <c r="A266" s="25"/>
      <c r="B266" s="26"/>
      <c r="C266" s="26"/>
      <c r="D266" s="208"/>
      <c r="E266" s="7"/>
      <c r="F266" s="276" t="s">
        <v>704</v>
      </c>
      <c r="G266" s="278" t="s">
        <v>713</v>
      </c>
      <c r="H266" s="279"/>
      <c r="I266" s="280">
        <v>45489.0</v>
      </c>
      <c r="J266" s="34"/>
      <c r="K266" s="281">
        <v>0.6299999999999999</v>
      </c>
      <c r="L266" s="3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128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</row>
    <row r="267" hidden="1">
      <c r="A267" s="25"/>
      <c r="B267" s="26"/>
      <c r="C267" s="26"/>
      <c r="D267" s="208"/>
      <c r="E267" s="7"/>
      <c r="F267" s="276" t="s">
        <v>704</v>
      </c>
      <c r="G267" s="278" t="s">
        <v>705</v>
      </c>
      <c r="H267" s="279"/>
      <c r="I267" s="280">
        <v>45489.0</v>
      </c>
      <c r="J267" s="34"/>
      <c r="K267" s="281">
        <v>0.27899999999999997</v>
      </c>
      <c r="L267" s="3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128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</row>
    <row r="268" hidden="1">
      <c r="A268" s="25"/>
      <c r="B268" s="26"/>
      <c r="C268" s="26"/>
      <c r="D268" s="208"/>
      <c r="E268" s="7"/>
      <c r="F268" s="276" t="s">
        <v>716</v>
      </c>
      <c r="G268" s="278" t="s">
        <v>717</v>
      </c>
      <c r="H268" s="279"/>
      <c r="I268" s="280">
        <v>45489.0</v>
      </c>
      <c r="J268" s="34"/>
      <c r="K268" s="281">
        <v>0.7680000000000001</v>
      </c>
      <c r="L268" s="3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128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</row>
    <row r="269" hidden="1">
      <c r="A269" s="25"/>
      <c r="B269" s="26"/>
      <c r="C269" s="26"/>
      <c r="D269" s="208"/>
      <c r="E269" s="7"/>
      <c r="F269" s="276" t="s">
        <v>707</v>
      </c>
      <c r="G269" s="278" t="s">
        <v>720</v>
      </c>
      <c r="H269" s="279"/>
      <c r="I269" s="280">
        <v>45489.0</v>
      </c>
      <c r="J269" s="34"/>
      <c r="K269" s="281">
        <v>0.18600000000000003</v>
      </c>
      <c r="L269" s="34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128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</row>
    <row r="270" hidden="1">
      <c r="A270" s="25"/>
      <c r="B270" s="26"/>
      <c r="C270" s="26"/>
      <c r="D270" s="208"/>
      <c r="E270" s="7"/>
      <c r="F270" s="276" t="s">
        <v>707</v>
      </c>
      <c r="G270" s="278" t="s">
        <v>712</v>
      </c>
      <c r="H270" s="279"/>
      <c r="I270" s="280">
        <v>45489.0</v>
      </c>
      <c r="J270" s="34"/>
      <c r="K270" s="281">
        <v>0.81</v>
      </c>
      <c r="L270" s="3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128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</row>
    <row r="271" hidden="1">
      <c r="A271" s="25"/>
      <c r="B271" s="26"/>
      <c r="C271" s="26"/>
      <c r="D271" s="208"/>
      <c r="E271" s="7"/>
      <c r="F271" s="276" t="s">
        <v>704</v>
      </c>
      <c r="G271" s="278" t="s">
        <v>719</v>
      </c>
      <c r="H271" s="279"/>
      <c r="I271" s="280">
        <v>45489.0</v>
      </c>
      <c r="J271" s="34"/>
      <c r="K271" s="281">
        <v>0.38800000000000007</v>
      </c>
      <c r="L271" s="3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128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</row>
    <row r="272" hidden="1">
      <c r="A272" s="25"/>
      <c r="B272" s="26"/>
      <c r="C272" s="26"/>
      <c r="D272" s="208"/>
      <c r="E272" s="7"/>
      <c r="F272" s="276" t="s">
        <v>697</v>
      </c>
      <c r="G272" s="278" t="s">
        <v>698</v>
      </c>
      <c r="H272" s="279"/>
      <c r="I272" s="280">
        <v>45489.0</v>
      </c>
      <c r="J272" s="34"/>
      <c r="K272" s="281">
        <v>0.27899999999999997</v>
      </c>
      <c r="L272" s="34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128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</row>
    <row r="273" hidden="1">
      <c r="A273" s="25"/>
      <c r="B273" s="26"/>
      <c r="C273" s="26"/>
      <c r="D273" s="208"/>
      <c r="E273" s="7"/>
      <c r="F273" s="276" t="s">
        <v>697</v>
      </c>
      <c r="G273" s="278" t="s">
        <v>706</v>
      </c>
      <c r="H273" s="279"/>
      <c r="I273" s="280">
        <v>45489.0</v>
      </c>
      <c r="J273" s="34"/>
      <c r="K273" s="281">
        <v>0.45</v>
      </c>
      <c r="L273" s="34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128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</row>
    <row r="274" hidden="1">
      <c r="A274" s="25"/>
      <c r="B274" s="26"/>
      <c r="C274" s="26"/>
      <c r="D274" s="208"/>
      <c r="E274" s="7"/>
      <c r="F274" s="276" t="s">
        <v>707</v>
      </c>
      <c r="G274" s="278" t="s">
        <v>708</v>
      </c>
      <c r="H274" s="279"/>
      <c r="I274" s="280">
        <v>45489.0</v>
      </c>
      <c r="J274" s="34"/>
      <c r="K274" s="281">
        <v>0.25</v>
      </c>
      <c r="L274" s="3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128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</row>
    <row r="275" hidden="1">
      <c r="A275" s="25"/>
      <c r="B275" s="26"/>
      <c r="C275" s="26"/>
      <c r="D275" s="208"/>
      <c r="E275" s="7"/>
      <c r="F275" s="276" t="s">
        <v>716</v>
      </c>
      <c r="G275" s="278" t="s">
        <v>732</v>
      </c>
      <c r="H275" s="279"/>
      <c r="I275" s="280">
        <v>45490.0</v>
      </c>
      <c r="J275" s="34"/>
      <c r="K275" s="281">
        <v>0.6719999999999999</v>
      </c>
      <c r="L275" s="3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128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</row>
    <row r="276" hidden="1">
      <c r="A276" s="25"/>
      <c r="B276" s="26"/>
      <c r="C276" s="26"/>
      <c r="D276" s="208"/>
      <c r="E276" s="7"/>
      <c r="F276" s="276" t="s">
        <v>704</v>
      </c>
      <c r="G276" s="278" t="s">
        <v>719</v>
      </c>
      <c r="H276" s="279"/>
      <c r="I276" s="280">
        <v>45490.0</v>
      </c>
      <c r="J276" s="34"/>
      <c r="K276" s="281">
        <v>0.364</v>
      </c>
      <c r="L276" s="34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128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</row>
    <row r="277" hidden="1">
      <c r="A277" s="25"/>
      <c r="B277" s="26"/>
      <c r="C277" s="26"/>
      <c r="D277" s="208"/>
      <c r="E277" s="7"/>
      <c r="F277" s="276" t="s">
        <v>704</v>
      </c>
      <c r="G277" s="278" t="s">
        <v>719</v>
      </c>
      <c r="H277" s="279"/>
      <c r="I277" s="280">
        <v>45490.0</v>
      </c>
      <c r="J277" s="34"/>
      <c r="K277" s="281">
        <v>0.396</v>
      </c>
      <c r="L277" s="3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128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</row>
    <row r="278" hidden="1">
      <c r="A278" s="25"/>
      <c r="B278" s="26"/>
      <c r="C278" s="26"/>
      <c r="D278" s="208"/>
      <c r="E278" s="7"/>
      <c r="F278" s="276" t="s">
        <v>697</v>
      </c>
      <c r="G278" s="278" t="s">
        <v>700</v>
      </c>
      <c r="H278" s="279"/>
      <c r="I278" s="280">
        <v>45490.0</v>
      </c>
      <c r="J278" s="34"/>
      <c r="K278" s="281">
        <v>0.7680000000000001</v>
      </c>
      <c r="L278" s="3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128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</row>
    <row r="279" hidden="1">
      <c r="A279" s="25"/>
      <c r="B279" s="26"/>
      <c r="C279" s="26"/>
      <c r="D279" s="208"/>
      <c r="E279" s="7"/>
      <c r="F279" s="276" t="s">
        <v>716</v>
      </c>
      <c r="G279" s="278" t="s">
        <v>732</v>
      </c>
      <c r="H279" s="279"/>
      <c r="I279" s="280">
        <v>45490.0</v>
      </c>
      <c r="J279" s="34"/>
      <c r="K279" s="281">
        <v>0.693</v>
      </c>
      <c r="L279" s="3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128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</row>
    <row r="280" hidden="1">
      <c r="A280" s="25"/>
      <c r="B280" s="26"/>
      <c r="C280" s="26"/>
      <c r="D280" s="208"/>
      <c r="E280" s="7"/>
      <c r="F280" s="276" t="s">
        <v>707</v>
      </c>
      <c r="G280" s="278" t="s">
        <v>708</v>
      </c>
      <c r="H280" s="279"/>
      <c r="I280" s="280">
        <v>45490.0</v>
      </c>
      <c r="J280" s="34"/>
      <c r="K280" s="281">
        <v>0.235</v>
      </c>
      <c r="L280" s="3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128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</row>
    <row r="281" hidden="1">
      <c r="A281" s="25"/>
      <c r="B281" s="26"/>
      <c r="C281" s="26"/>
      <c r="D281" s="208"/>
      <c r="E281" s="7"/>
      <c r="F281" s="276" t="s">
        <v>716</v>
      </c>
      <c r="G281" s="278" t="s">
        <v>729</v>
      </c>
      <c r="H281" s="279"/>
      <c r="I281" s="280">
        <v>45490.0</v>
      </c>
      <c r="J281" s="34"/>
      <c r="K281" s="281">
        <v>0.675</v>
      </c>
      <c r="L281" s="3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128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</row>
    <row r="282" hidden="1">
      <c r="A282" s="25"/>
      <c r="B282" s="26"/>
      <c r="C282" s="26"/>
      <c r="D282" s="208"/>
      <c r="E282" s="7"/>
      <c r="F282" s="276" t="s">
        <v>716</v>
      </c>
      <c r="G282" s="278" t="s">
        <v>732</v>
      </c>
      <c r="H282" s="279"/>
      <c r="I282" s="280">
        <v>45490.0</v>
      </c>
      <c r="J282" s="34"/>
      <c r="K282" s="281">
        <v>0.6439999999999999</v>
      </c>
      <c r="L282" s="3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128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</row>
    <row r="283" hidden="1">
      <c r="A283" s="25"/>
      <c r="B283" s="26"/>
      <c r="C283" s="26"/>
      <c r="D283" s="208"/>
      <c r="E283" s="7"/>
      <c r="F283" s="276" t="s">
        <v>704</v>
      </c>
      <c r="G283" s="278" t="s">
        <v>719</v>
      </c>
      <c r="H283" s="279"/>
      <c r="I283" s="280">
        <v>45490.0</v>
      </c>
      <c r="J283" s="34"/>
      <c r="K283" s="281">
        <v>0.364</v>
      </c>
      <c r="L283" s="3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128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</row>
    <row r="284" hidden="1">
      <c r="A284" s="25"/>
      <c r="B284" s="26"/>
      <c r="C284" s="26"/>
      <c r="D284" s="208"/>
      <c r="E284" s="7"/>
      <c r="F284" s="276" t="s">
        <v>697</v>
      </c>
      <c r="G284" s="278" t="s">
        <v>698</v>
      </c>
      <c r="H284" s="279"/>
      <c r="I284" s="280">
        <v>45490.0</v>
      </c>
      <c r="J284" s="34"/>
      <c r="K284" s="281">
        <v>0.27899999999999997</v>
      </c>
      <c r="L284" s="3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128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</row>
    <row r="285" hidden="1">
      <c r="A285" s="25"/>
      <c r="B285" s="26"/>
      <c r="C285" s="26"/>
      <c r="D285" s="208"/>
      <c r="E285" s="7"/>
      <c r="F285" s="276" t="s">
        <v>716</v>
      </c>
      <c r="G285" s="278" t="s">
        <v>729</v>
      </c>
      <c r="H285" s="279"/>
      <c r="I285" s="280">
        <v>45490.0</v>
      </c>
      <c r="J285" s="34"/>
      <c r="K285" s="281">
        <v>0.7425</v>
      </c>
      <c r="L285" s="3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128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</row>
    <row r="286" hidden="1">
      <c r="A286" s="25"/>
      <c r="B286" s="26"/>
      <c r="C286" s="26"/>
      <c r="D286" s="208"/>
      <c r="E286" s="7"/>
      <c r="F286" s="276" t="s">
        <v>704</v>
      </c>
      <c r="G286" s="278" t="s">
        <v>719</v>
      </c>
      <c r="H286" s="279"/>
      <c r="I286" s="280">
        <v>45490.0</v>
      </c>
      <c r="J286" s="34"/>
      <c r="K286" s="281">
        <v>0.36</v>
      </c>
      <c r="L286" s="3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128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</row>
    <row r="287" hidden="1">
      <c r="A287" s="25"/>
      <c r="B287" s="26"/>
      <c r="C287" s="26"/>
      <c r="D287" s="208"/>
      <c r="E287" s="7"/>
      <c r="F287" s="276" t="s">
        <v>716</v>
      </c>
      <c r="G287" s="278" t="s">
        <v>729</v>
      </c>
      <c r="H287" s="279"/>
      <c r="I287" s="280">
        <v>45490.0</v>
      </c>
      <c r="J287" s="34"/>
      <c r="K287" s="281">
        <v>0.72</v>
      </c>
      <c r="L287" s="3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128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</row>
    <row r="288" hidden="1">
      <c r="A288" s="25"/>
      <c r="B288" s="26"/>
      <c r="C288" s="26"/>
      <c r="D288" s="208"/>
      <c r="E288" s="7"/>
      <c r="F288" s="276" t="s">
        <v>704</v>
      </c>
      <c r="G288" s="278" t="s">
        <v>713</v>
      </c>
      <c r="H288" s="279"/>
      <c r="I288" s="280">
        <v>45490.0</v>
      </c>
      <c r="J288" s="34"/>
      <c r="K288" s="281">
        <v>0.7</v>
      </c>
      <c r="L288" s="34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128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</row>
    <row r="289" hidden="1">
      <c r="A289" s="25"/>
      <c r="B289" s="26"/>
      <c r="C289" s="26"/>
      <c r="D289" s="208"/>
      <c r="E289" s="7"/>
      <c r="F289" s="276" t="s">
        <v>707</v>
      </c>
      <c r="G289" s="278" t="s">
        <v>708</v>
      </c>
      <c r="H289" s="279"/>
      <c r="I289" s="280">
        <v>45491.0</v>
      </c>
      <c r="J289" s="34"/>
      <c r="K289" s="281">
        <v>0.2325</v>
      </c>
      <c r="L289" s="34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128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</row>
    <row r="290" hidden="1">
      <c r="A290" s="25"/>
      <c r="B290" s="26"/>
      <c r="C290" s="26"/>
      <c r="D290" s="208"/>
      <c r="E290" s="7"/>
      <c r="F290" s="276" t="s">
        <v>707</v>
      </c>
      <c r="G290" s="278" t="s">
        <v>708</v>
      </c>
      <c r="H290" s="279"/>
      <c r="I290" s="280">
        <v>45491.0</v>
      </c>
      <c r="J290" s="34"/>
      <c r="K290" s="281">
        <v>0.24</v>
      </c>
      <c r="L290" s="34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128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</row>
    <row r="291" hidden="1">
      <c r="A291" s="25"/>
      <c r="B291" s="26"/>
      <c r="C291" s="26"/>
      <c r="D291" s="208"/>
      <c r="E291" s="7"/>
      <c r="F291" s="276" t="s">
        <v>697</v>
      </c>
      <c r="G291" s="278" t="s">
        <v>706</v>
      </c>
      <c r="H291" s="279"/>
      <c r="I291" s="280">
        <v>45491.0</v>
      </c>
      <c r="J291" s="34"/>
      <c r="K291" s="281">
        <v>0.49</v>
      </c>
      <c r="L291" s="34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128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</row>
    <row r="292" hidden="1">
      <c r="A292" s="25"/>
      <c r="B292" s="26"/>
      <c r="C292" s="26"/>
      <c r="D292" s="208"/>
      <c r="E292" s="7"/>
      <c r="F292" s="276" t="s">
        <v>707</v>
      </c>
      <c r="G292" s="278" t="s">
        <v>708</v>
      </c>
      <c r="H292" s="279"/>
      <c r="I292" s="280">
        <v>45491.0</v>
      </c>
      <c r="J292" s="34"/>
      <c r="K292" s="281">
        <v>0.25</v>
      </c>
      <c r="L292" s="34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128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</row>
    <row r="293" hidden="1">
      <c r="A293" s="25"/>
      <c r="B293" s="26"/>
      <c r="C293" s="26"/>
      <c r="D293" s="208"/>
      <c r="E293" s="7"/>
      <c r="F293" s="276" t="s">
        <v>707</v>
      </c>
      <c r="G293" s="278" t="s">
        <v>720</v>
      </c>
      <c r="H293" s="279"/>
      <c r="I293" s="280">
        <v>45491.0</v>
      </c>
      <c r="J293" s="34"/>
      <c r="K293" s="281">
        <v>0.2</v>
      </c>
      <c r="L293" s="34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128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</row>
    <row r="294" hidden="1">
      <c r="A294" s="25"/>
      <c r="B294" s="26"/>
      <c r="C294" s="26"/>
      <c r="D294" s="208"/>
      <c r="E294" s="7"/>
      <c r="F294" s="276" t="s">
        <v>697</v>
      </c>
      <c r="G294" s="278" t="s">
        <v>698</v>
      </c>
      <c r="H294" s="279"/>
      <c r="I294" s="280">
        <v>45491.0</v>
      </c>
      <c r="J294" s="34"/>
      <c r="K294" s="281">
        <v>0.282</v>
      </c>
      <c r="L294" s="34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128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</row>
    <row r="295" hidden="1">
      <c r="A295" s="25"/>
      <c r="B295" s="26"/>
      <c r="C295" s="26"/>
      <c r="D295" s="208"/>
      <c r="E295" s="7"/>
      <c r="F295" s="276" t="s">
        <v>704</v>
      </c>
      <c r="G295" s="278" t="s">
        <v>719</v>
      </c>
      <c r="H295" s="279"/>
      <c r="I295" s="280">
        <v>45491.0</v>
      </c>
      <c r="J295" s="34"/>
      <c r="K295" s="281">
        <v>0.38800000000000007</v>
      </c>
      <c r="L295" s="34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128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</row>
    <row r="296" hidden="1">
      <c r="A296" s="25"/>
      <c r="B296" s="26"/>
      <c r="C296" s="26"/>
      <c r="D296" s="208"/>
      <c r="E296" s="7"/>
      <c r="F296" s="276" t="s">
        <v>707</v>
      </c>
      <c r="G296" s="278" t="s">
        <v>708</v>
      </c>
      <c r="H296" s="279"/>
      <c r="I296" s="280">
        <v>45491.0</v>
      </c>
      <c r="J296" s="34"/>
      <c r="K296" s="281">
        <v>0.225</v>
      </c>
      <c r="L296" s="34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128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</row>
    <row r="297" hidden="1">
      <c r="A297" s="25"/>
      <c r="B297" s="26"/>
      <c r="C297" s="26"/>
      <c r="D297" s="208"/>
      <c r="E297" s="7"/>
      <c r="F297" s="276" t="s">
        <v>704</v>
      </c>
      <c r="G297" s="278" t="s">
        <v>713</v>
      </c>
      <c r="H297" s="279"/>
      <c r="I297" s="280">
        <v>45491.0</v>
      </c>
      <c r="J297" s="34"/>
      <c r="K297" s="281">
        <v>0.6509999999999999</v>
      </c>
      <c r="L297" s="34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128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</row>
    <row r="298" hidden="1">
      <c r="A298" s="25"/>
      <c r="B298" s="26"/>
      <c r="C298" s="26"/>
      <c r="D298" s="208"/>
      <c r="E298" s="7"/>
      <c r="F298" s="276" t="s">
        <v>704</v>
      </c>
      <c r="G298" s="278" t="s">
        <v>713</v>
      </c>
      <c r="H298" s="279"/>
      <c r="I298" s="280">
        <v>45492.0</v>
      </c>
      <c r="J298" s="34"/>
      <c r="K298" s="281">
        <v>0.6719999999999999</v>
      </c>
      <c r="L298" s="34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128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</row>
    <row r="299" hidden="1">
      <c r="A299" s="25"/>
      <c r="B299" s="26"/>
      <c r="C299" s="26"/>
      <c r="D299" s="208"/>
      <c r="E299" s="7"/>
      <c r="F299" s="276" t="s">
        <v>697</v>
      </c>
      <c r="G299" s="278" t="s">
        <v>700</v>
      </c>
      <c r="H299" s="279"/>
      <c r="I299" s="280">
        <v>45492.0</v>
      </c>
      <c r="J299" s="34"/>
      <c r="K299" s="281">
        <v>0.76</v>
      </c>
      <c r="L299" s="34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128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</row>
    <row r="300" hidden="1">
      <c r="A300" s="25"/>
      <c r="B300" s="26"/>
      <c r="C300" s="26"/>
      <c r="D300" s="208"/>
      <c r="E300" s="7"/>
      <c r="F300" s="276" t="s">
        <v>704</v>
      </c>
      <c r="G300" s="278" t="s">
        <v>705</v>
      </c>
      <c r="H300" s="279"/>
      <c r="I300" s="280">
        <v>45492.0</v>
      </c>
      <c r="J300" s="34"/>
      <c r="K300" s="281">
        <v>0.3</v>
      </c>
      <c r="L300" s="34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128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</row>
    <row r="301" hidden="1">
      <c r="A301" s="25"/>
      <c r="B301" s="26"/>
      <c r="C301" s="26"/>
      <c r="D301" s="208"/>
      <c r="E301" s="7"/>
      <c r="F301" s="276" t="s">
        <v>716</v>
      </c>
      <c r="G301" s="278" t="s">
        <v>729</v>
      </c>
      <c r="H301" s="279"/>
      <c r="I301" s="280">
        <v>45492.0</v>
      </c>
      <c r="J301" s="34"/>
      <c r="K301" s="281">
        <v>0.7275</v>
      </c>
      <c r="L301" s="34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128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</row>
    <row r="302" hidden="1">
      <c r="A302" s="25"/>
      <c r="B302" s="26"/>
      <c r="C302" s="26"/>
      <c r="D302" s="208"/>
      <c r="E302" s="7"/>
      <c r="F302" s="276" t="s">
        <v>716</v>
      </c>
      <c r="G302" s="278" t="s">
        <v>732</v>
      </c>
      <c r="H302" s="279"/>
      <c r="I302" s="280">
        <v>45492.0</v>
      </c>
      <c r="J302" s="34"/>
      <c r="K302" s="281">
        <v>0.6509999999999999</v>
      </c>
      <c r="L302" s="34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128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</row>
    <row r="303" hidden="1">
      <c r="A303" s="25"/>
      <c r="B303" s="26"/>
      <c r="C303" s="26"/>
      <c r="D303" s="208"/>
      <c r="E303" s="7"/>
      <c r="F303" s="276" t="s">
        <v>707</v>
      </c>
      <c r="G303" s="278" t="s">
        <v>708</v>
      </c>
      <c r="H303" s="279"/>
      <c r="I303" s="280">
        <v>45492.0</v>
      </c>
      <c r="J303" s="34"/>
      <c r="K303" s="281">
        <v>0.235</v>
      </c>
      <c r="L303" s="34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128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</row>
    <row r="304" hidden="1">
      <c r="A304" s="25"/>
      <c r="B304" s="26"/>
      <c r="C304" s="26"/>
      <c r="D304" s="208"/>
      <c r="E304" s="7"/>
      <c r="F304" s="276" t="s">
        <v>697</v>
      </c>
      <c r="G304" s="278" t="s">
        <v>706</v>
      </c>
      <c r="H304" s="279"/>
      <c r="I304" s="280">
        <v>45492.0</v>
      </c>
      <c r="J304" s="34"/>
      <c r="K304" s="281">
        <v>0.465</v>
      </c>
      <c r="L304" s="34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128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</row>
    <row r="305" hidden="1">
      <c r="A305" s="25"/>
      <c r="B305" s="26"/>
      <c r="C305" s="26"/>
      <c r="D305" s="208"/>
      <c r="E305" s="7"/>
      <c r="F305" s="276" t="s">
        <v>697</v>
      </c>
      <c r="G305" s="278" t="s">
        <v>700</v>
      </c>
      <c r="H305" s="279"/>
      <c r="I305" s="280">
        <v>45492.0</v>
      </c>
      <c r="J305" s="34"/>
      <c r="K305" s="281">
        <v>0.7360000000000001</v>
      </c>
      <c r="L305" s="34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128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</row>
    <row r="306" hidden="1">
      <c r="A306" s="25"/>
      <c r="B306" s="26"/>
      <c r="C306" s="26"/>
      <c r="D306" s="208"/>
      <c r="E306" s="7"/>
      <c r="F306" s="276" t="s">
        <v>704</v>
      </c>
      <c r="G306" s="278" t="s">
        <v>719</v>
      </c>
      <c r="H306" s="279"/>
      <c r="I306" s="280">
        <v>45492.0</v>
      </c>
      <c r="J306" s="34"/>
      <c r="K306" s="281">
        <v>0.36</v>
      </c>
      <c r="L306" s="34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128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</row>
    <row r="307" hidden="1">
      <c r="A307" s="25"/>
      <c r="B307" s="26"/>
      <c r="C307" s="26"/>
      <c r="D307" s="208"/>
      <c r="E307" s="7"/>
      <c r="F307" s="276" t="s">
        <v>707</v>
      </c>
      <c r="G307" s="278" t="s">
        <v>720</v>
      </c>
      <c r="H307" s="279"/>
      <c r="I307" s="280">
        <v>45492.0</v>
      </c>
      <c r="J307" s="34"/>
      <c r="K307" s="281">
        <v>0.18</v>
      </c>
      <c r="L307" s="34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128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</row>
    <row r="308" hidden="1">
      <c r="A308" s="25"/>
      <c r="B308" s="26"/>
      <c r="C308" s="26"/>
      <c r="D308" s="208"/>
      <c r="E308" s="7"/>
      <c r="F308" s="276" t="s">
        <v>704</v>
      </c>
      <c r="G308" s="278" t="s">
        <v>719</v>
      </c>
      <c r="H308" s="279"/>
      <c r="I308" s="280">
        <v>45492.0</v>
      </c>
      <c r="J308" s="34"/>
      <c r="K308" s="281">
        <v>0.38</v>
      </c>
      <c r="L308" s="34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128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</row>
    <row r="309" hidden="1">
      <c r="A309" s="25"/>
      <c r="B309" s="26"/>
      <c r="C309" s="26"/>
      <c r="D309" s="208"/>
      <c r="E309" s="7"/>
      <c r="F309" s="276" t="s">
        <v>707</v>
      </c>
      <c r="G309" s="278" t="s">
        <v>712</v>
      </c>
      <c r="H309" s="279"/>
      <c r="I309" s="280">
        <v>45492.0</v>
      </c>
      <c r="J309" s="34"/>
      <c r="K309" s="281">
        <v>0.81</v>
      </c>
      <c r="L309" s="34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128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</row>
    <row r="310" hidden="1">
      <c r="A310" s="25"/>
      <c r="B310" s="26"/>
      <c r="C310" s="26"/>
      <c r="D310" s="208"/>
      <c r="E310" s="7"/>
      <c r="F310" s="276" t="s">
        <v>716</v>
      </c>
      <c r="G310" s="278" t="s">
        <v>732</v>
      </c>
      <c r="H310" s="279"/>
      <c r="I310" s="280">
        <v>45493.0</v>
      </c>
      <c r="J310" s="34"/>
      <c r="K310" s="281">
        <v>0.6789999999999999</v>
      </c>
      <c r="L310" s="34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128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</row>
    <row r="311" hidden="1">
      <c r="A311" s="25"/>
      <c r="B311" s="26"/>
      <c r="C311" s="26"/>
      <c r="D311" s="208"/>
      <c r="E311" s="7"/>
      <c r="F311" s="276" t="s">
        <v>716</v>
      </c>
      <c r="G311" s="278" t="s">
        <v>729</v>
      </c>
      <c r="H311" s="279"/>
      <c r="I311" s="280">
        <v>45493.0</v>
      </c>
      <c r="J311" s="34"/>
      <c r="K311" s="281">
        <v>0.675</v>
      </c>
      <c r="L311" s="34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128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</row>
    <row r="312" hidden="1">
      <c r="A312" s="25"/>
      <c r="B312" s="26"/>
      <c r="C312" s="26"/>
      <c r="D312" s="208"/>
      <c r="E312" s="7"/>
      <c r="F312" s="276" t="s">
        <v>704</v>
      </c>
      <c r="G312" s="278" t="s">
        <v>705</v>
      </c>
      <c r="H312" s="279"/>
      <c r="I312" s="280">
        <v>45493.0</v>
      </c>
      <c r="J312" s="34"/>
      <c r="K312" s="281">
        <v>0.27599999999999997</v>
      </c>
      <c r="L312" s="34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128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</row>
    <row r="313" hidden="1">
      <c r="A313" s="25"/>
      <c r="B313" s="26"/>
      <c r="C313" s="26"/>
      <c r="D313" s="208"/>
      <c r="E313" s="7"/>
      <c r="F313" s="276" t="s">
        <v>716</v>
      </c>
      <c r="G313" s="278" t="s">
        <v>732</v>
      </c>
      <c r="H313" s="279"/>
      <c r="I313" s="280">
        <v>45493.0</v>
      </c>
      <c r="J313" s="34"/>
      <c r="K313" s="281">
        <v>0.6719999999999999</v>
      </c>
      <c r="L313" s="34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128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</row>
    <row r="314" hidden="1">
      <c r="A314" s="25"/>
      <c r="B314" s="26"/>
      <c r="C314" s="26"/>
      <c r="D314" s="208"/>
      <c r="E314" s="7"/>
      <c r="F314" s="276" t="s">
        <v>704</v>
      </c>
      <c r="G314" s="278" t="s">
        <v>719</v>
      </c>
      <c r="H314" s="279"/>
      <c r="I314" s="280">
        <v>45493.0</v>
      </c>
      <c r="J314" s="34"/>
      <c r="K314" s="281">
        <v>0.4</v>
      </c>
      <c r="L314" s="34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128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</row>
    <row r="315" hidden="1">
      <c r="A315" s="25"/>
      <c r="B315" s="26"/>
      <c r="C315" s="26"/>
      <c r="D315" s="208"/>
      <c r="E315" s="7"/>
      <c r="F315" s="276" t="s">
        <v>716</v>
      </c>
      <c r="G315" s="278" t="s">
        <v>717</v>
      </c>
      <c r="H315" s="279"/>
      <c r="I315" s="280">
        <v>45493.0</v>
      </c>
      <c r="J315" s="34"/>
      <c r="K315" s="281">
        <v>0.8</v>
      </c>
      <c r="L315" s="34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128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</row>
    <row r="316" hidden="1">
      <c r="A316" s="25"/>
      <c r="B316" s="26"/>
      <c r="C316" s="26"/>
      <c r="D316" s="208"/>
      <c r="E316" s="7"/>
      <c r="F316" s="276" t="s">
        <v>697</v>
      </c>
      <c r="G316" s="278" t="s">
        <v>700</v>
      </c>
      <c r="H316" s="279"/>
      <c r="I316" s="280">
        <v>45493.0</v>
      </c>
      <c r="J316" s="34"/>
      <c r="K316" s="281">
        <v>0.72</v>
      </c>
      <c r="L316" s="34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128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</row>
    <row r="317" hidden="1">
      <c r="A317" s="25"/>
      <c r="B317" s="26"/>
      <c r="C317" s="26"/>
      <c r="D317" s="208"/>
      <c r="E317" s="7"/>
      <c r="F317" s="276" t="s">
        <v>707</v>
      </c>
      <c r="G317" s="278" t="s">
        <v>720</v>
      </c>
      <c r="H317" s="279"/>
      <c r="I317" s="280">
        <v>45493.0</v>
      </c>
      <c r="J317" s="34"/>
      <c r="K317" s="281">
        <v>0.182</v>
      </c>
      <c r="L317" s="34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128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</row>
    <row r="318" hidden="1">
      <c r="A318" s="25"/>
      <c r="B318" s="26"/>
      <c r="C318" s="26"/>
      <c r="D318" s="208"/>
      <c r="E318" s="7"/>
      <c r="F318" s="276" t="s">
        <v>704</v>
      </c>
      <c r="G318" s="278" t="s">
        <v>713</v>
      </c>
      <c r="H318" s="279"/>
      <c r="I318" s="280">
        <v>45494.0</v>
      </c>
      <c r="J318" s="34"/>
      <c r="K318" s="281">
        <v>0.6789999999999999</v>
      </c>
      <c r="L318" s="34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128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</row>
    <row r="319" hidden="1">
      <c r="A319" s="25"/>
      <c r="B319" s="26"/>
      <c r="C319" s="26"/>
      <c r="D319" s="208"/>
      <c r="E319" s="7"/>
      <c r="F319" s="276" t="s">
        <v>707</v>
      </c>
      <c r="G319" s="278" t="s">
        <v>708</v>
      </c>
      <c r="H319" s="279"/>
      <c r="I319" s="280">
        <v>45494.0</v>
      </c>
      <c r="J319" s="34"/>
      <c r="K319" s="281">
        <v>0.235</v>
      </c>
      <c r="L319" s="34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128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</row>
    <row r="320" hidden="1">
      <c r="A320" s="25"/>
      <c r="B320" s="26"/>
      <c r="C320" s="26"/>
      <c r="D320" s="208"/>
      <c r="E320" s="7"/>
      <c r="F320" s="276" t="s">
        <v>716</v>
      </c>
      <c r="G320" s="278" t="s">
        <v>717</v>
      </c>
      <c r="H320" s="279"/>
      <c r="I320" s="280">
        <v>45494.0</v>
      </c>
      <c r="J320" s="34"/>
      <c r="K320" s="281">
        <v>0.7680000000000001</v>
      </c>
      <c r="L320" s="34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128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</row>
    <row r="321" hidden="1">
      <c r="A321" s="25"/>
      <c r="B321" s="26"/>
      <c r="C321" s="26"/>
      <c r="D321" s="208"/>
      <c r="E321" s="7"/>
      <c r="F321" s="276" t="s">
        <v>697</v>
      </c>
      <c r="G321" s="278" t="s">
        <v>706</v>
      </c>
      <c r="H321" s="279"/>
      <c r="I321" s="280">
        <v>45494.0</v>
      </c>
      <c r="J321" s="34"/>
      <c r="K321" s="281">
        <v>0.495</v>
      </c>
      <c r="L321" s="34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128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</row>
    <row r="322" hidden="1">
      <c r="A322" s="25"/>
      <c r="B322" s="26"/>
      <c r="C322" s="26"/>
      <c r="D322" s="208"/>
      <c r="E322" s="7"/>
      <c r="F322" s="276" t="s">
        <v>707</v>
      </c>
      <c r="G322" s="278" t="s">
        <v>712</v>
      </c>
      <c r="H322" s="279"/>
      <c r="I322" s="280">
        <v>45494.0</v>
      </c>
      <c r="J322" s="34"/>
      <c r="K322" s="281">
        <v>0.8460000000000001</v>
      </c>
      <c r="L322" s="34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128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</row>
    <row r="323" hidden="1">
      <c r="A323" s="25"/>
      <c r="B323" s="26"/>
      <c r="C323" s="26"/>
      <c r="D323" s="208"/>
      <c r="E323" s="7"/>
      <c r="F323" s="276" t="s">
        <v>697</v>
      </c>
      <c r="G323" s="278" t="s">
        <v>698</v>
      </c>
      <c r="H323" s="279"/>
      <c r="I323" s="280">
        <v>45494.0</v>
      </c>
      <c r="J323" s="34"/>
      <c r="K323" s="281">
        <v>0.27599999999999997</v>
      </c>
      <c r="L323" s="34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128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</row>
    <row r="324" hidden="1">
      <c r="A324" s="25"/>
      <c r="B324" s="26"/>
      <c r="C324" s="26"/>
      <c r="D324" s="208"/>
      <c r="E324" s="7"/>
      <c r="F324" s="276" t="s">
        <v>697</v>
      </c>
      <c r="G324" s="278" t="s">
        <v>698</v>
      </c>
      <c r="H324" s="279"/>
      <c r="I324" s="280">
        <v>45494.0</v>
      </c>
      <c r="J324" s="34"/>
      <c r="K324" s="281">
        <v>0.285</v>
      </c>
      <c r="L324" s="34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128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</row>
    <row r="325" hidden="1">
      <c r="A325" s="25"/>
      <c r="B325" s="26"/>
      <c r="C325" s="26"/>
      <c r="D325" s="208"/>
      <c r="E325" s="7"/>
      <c r="F325" s="276" t="s">
        <v>697</v>
      </c>
      <c r="G325" s="278" t="s">
        <v>706</v>
      </c>
      <c r="H325" s="279"/>
      <c r="I325" s="280">
        <v>45494.0</v>
      </c>
      <c r="J325" s="34"/>
      <c r="K325" s="281">
        <v>0.46</v>
      </c>
      <c r="L325" s="34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128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</row>
    <row r="326" hidden="1">
      <c r="A326" s="25"/>
      <c r="B326" s="26"/>
      <c r="C326" s="26"/>
      <c r="D326" s="208"/>
      <c r="E326" s="7"/>
      <c r="F326" s="276" t="s">
        <v>716</v>
      </c>
      <c r="G326" s="278" t="s">
        <v>729</v>
      </c>
      <c r="H326" s="279"/>
      <c r="I326" s="280">
        <v>45495.0</v>
      </c>
      <c r="J326" s="34"/>
      <c r="K326" s="281">
        <v>0.7275</v>
      </c>
      <c r="L326" s="34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128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</row>
    <row r="327" hidden="1">
      <c r="A327" s="25"/>
      <c r="B327" s="26"/>
      <c r="C327" s="26"/>
      <c r="D327" s="208"/>
      <c r="E327" s="7"/>
      <c r="F327" s="276" t="s">
        <v>716</v>
      </c>
      <c r="G327" s="278" t="s">
        <v>732</v>
      </c>
      <c r="H327" s="279"/>
      <c r="I327" s="280">
        <v>45495.0</v>
      </c>
      <c r="J327" s="34"/>
      <c r="K327" s="281">
        <v>0.6719999999999999</v>
      </c>
      <c r="L327" s="34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128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</row>
    <row r="328" hidden="1">
      <c r="A328" s="25"/>
      <c r="B328" s="26"/>
      <c r="C328" s="26"/>
      <c r="D328" s="208"/>
      <c r="E328" s="7"/>
      <c r="F328" s="276" t="s">
        <v>716</v>
      </c>
      <c r="G328" s="278" t="s">
        <v>729</v>
      </c>
      <c r="H328" s="279"/>
      <c r="I328" s="280">
        <v>45495.0</v>
      </c>
      <c r="J328" s="34"/>
      <c r="K328" s="281">
        <v>0.72</v>
      </c>
      <c r="L328" s="34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128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</row>
    <row r="329" hidden="1">
      <c r="A329" s="25"/>
      <c r="B329" s="26"/>
      <c r="C329" s="26"/>
      <c r="D329" s="208"/>
      <c r="E329" s="7"/>
      <c r="F329" s="276" t="s">
        <v>707</v>
      </c>
      <c r="G329" s="278" t="s">
        <v>708</v>
      </c>
      <c r="H329" s="279"/>
      <c r="I329" s="280">
        <v>45495.0</v>
      </c>
      <c r="J329" s="34"/>
      <c r="K329" s="281">
        <v>0.2375</v>
      </c>
      <c r="L329" s="34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128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</row>
    <row r="330" hidden="1">
      <c r="A330" s="25"/>
      <c r="B330" s="26"/>
      <c r="C330" s="26"/>
      <c r="D330" s="208"/>
      <c r="E330" s="7"/>
      <c r="F330" s="276" t="s">
        <v>707</v>
      </c>
      <c r="G330" s="278" t="s">
        <v>720</v>
      </c>
      <c r="H330" s="279"/>
      <c r="I330" s="280">
        <v>45495.0</v>
      </c>
      <c r="J330" s="34"/>
      <c r="K330" s="281">
        <v>0.2</v>
      </c>
      <c r="L330" s="34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128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</row>
    <row r="331" hidden="1">
      <c r="A331" s="25"/>
      <c r="B331" s="26"/>
      <c r="C331" s="26"/>
      <c r="D331" s="208"/>
      <c r="E331" s="7"/>
      <c r="F331" s="276" t="s">
        <v>704</v>
      </c>
      <c r="G331" s="278" t="s">
        <v>705</v>
      </c>
      <c r="H331" s="279"/>
      <c r="I331" s="280">
        <v>45495.0</v>
      </c>
      <c r="J331" s="34"/>
      <c r="K331" s="281">
        <v>0.3</v>
      </c>
      <c r="L331" s="34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128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</row>
    <row r="332" hidden="1">
      <c r="A332" s="25"/>
      <c r="B332" s="26"/>
      <c r="C332" s="26"/>
      <c r="D332" s="208"/>
      <c r="E332" s="7"/>
      <c r="F332" s="276" t="s">
        <v>707</v>
      </c>
      <c r="G332" s="278" t="s">
        <v>712</v>
      </c>
      <c r="H332" s="279"/>
      <c r="I332" s="280">
        <v>45495.0</v>
      </c>
      <c r="J332" s="34"/>
      <c r="K332" s="281">
        <v>0.873</v>
      </c>
      <c r="L332" s="34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128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</row>
    <row r="333" hidden="1">
      <c r="A333" s="25"/>
      <c r="B333" s="26"/>
      <c r="C333" s="26"/>
      <c r="D333" s="208"/>
      <c r="E333" s="7"/>
      <c r="F333" s="276" t="s">
        <v>697</v>
      </c>
      <c r="G333" s="278" t="s">
        <v>706</v>
      </c>
      <c r="H333" s="279"/>
      <c r="I333" s="280">
        <v>45495.0</v>
      </c>
      <c r="J333" s="34"/>
      <c r="K333" s="281">
        <v>0.47</v>
      </c>
      <c r="L333" s="34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128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</row>
    <row r="334" hidden="1">
      <c r="A334" s="25"/>
      <c r="B334" s="26"/>
      <c r="C334" s="26"/>
      <c r="D334" s="208"/>
      <c r="E334" s="7"/>
      <c r="F334" s="276" t="s">
        <v>716</v>
      </c>
      <c r="G334" s="278" t="s">
        <v>732</v>
      </c>
      <c r="H334" s="279"/>
      <c r="I334" s="280">
        <v>45495.0</v>
      </c>
      <c r="J334" s="34"/>
      <c r="K334" s="281">
        <v>0.6439999999999999</v>
      </c>
      <c r="L334" s="34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128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</row>
    <row r="335" hidden="1">
      <c r="A335" s="25"/>
      <c r="B335" s="26"/>
      <c r="C335" s="26"/>
      <c r="D335" s="208"/>
      <c r="E335" s="7"/>
      <c r="F335" s="276" t="s">
        <v>697</v>
      </c>
      <c r="G335" s="278" t="s">
        <v>700</v>
      </c>
      <c r="H335" s="279"/>
      <c r="I335" s="280">
        <v>45495.0</v>
      </c>
      <c r="J335" s="34"/>
      <c r="K335" s="281">
        <v>0.7680000000000001</v>
      </c>
      <c r="L335" s="34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128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</row>
    <row r="336" hidden="1">
      <c r="A336" s="25"/>
      <c r="B336" s="26"/>
      <c r="C336" s="26"/>
      <c r="D336" s="208"/>
      <c r="E336" s="7"/>
      <c r="F336" s="276" t="s">
        <v>704</v>
      </c>
      <c r="G336" s="278" t="s">
        <v>719</v>
      </c>
      <c r="H336" s="279"/>
      <c r="I336" s="280">
        <v>45495.0</v>
      </c>
      <c r="J336" s="34"/>
      <c r="K336" s="281">
        <v>0.36800000000000005</v>
      </c>
      <c r="L336" s="34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128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</row>
    <row r="337" hidden="1">
      <c r="A337" s="25"/>
      <c r="B337" s="26"/>
      <c r="C337" s="26"/>
      <c r="D337" s="208"/>
      <c r="E337" s="7"/>
      <c r="F337" s="276" t="s">
        <v>707</v>
      </c>
      <c r="G337" s="278" t="s">
        <v>720</v>
      </c>
      <c r="H337" s="279"/>
      <c r="I337" s="280">
        <v>45495.0</v>
      </c>
      <c r="J337" s="34"/>
      <c r="K337" s="281">
        <v>0.18400000000000002</v>
      </c>
      <c r="L337" s="34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128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</row>
    <row r="338" hidden="1">
      <c r="A338" s="25"/>
      <c r="B338" s="26"/>
      <c r="C338" s="26"/>
      <c r="D338" s="208"/>
      <c r="E338" s="7"/>
      <c r="F338" s="276" t="s">
        <v>697</v>
      </c>
      <c r="G338" s="278" t="s">
        <v>700</v>
      </c>
      <c r="H338" s="279"/>
      <c r="I338" s="280">
        <v>45495.0</v>
      </c>
      <c r="J338" s="34"/>
      <c r="K338" s="281">
        <v>0.7760000000000001</v>
      </c>
      <c r="L338" s="34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128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</row>
    <row r="339" hidden="1">
      <c r="A339" s="25"/>
      <c r="B339" s="26"/>
      <c r="C339" s="26"/>
      <c r="D339" s="208"/>
      <c r="E339" s="7"/>
      <c r="F339" s="276" t="s">
        <v>707</v>
      </c>
      <c r="G339" s="278" t="s">
        <v>720</v>
      </c>
      <c r="H339" s="279"/>
      <c r="I339" s="280">
        <v>45495.0</v>
      </c>
      <c r="J339" s="34"/>
      <c r="K339" s="281">
        <v>0.196</v>
      </c>
      <c r="L339" s="34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128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</row>
    <row r="340" hidden="1">
      <c r="A340" s="25"/>
      <c r="B340" s="26"/>
      <c r="C340" s="26"/>
      <c r="D340" s="208"/>
      <c r="E340" s="7"/>
      <c r="F340" s="276" t="s">
        <v>716</v>
      </c>
      <c r="G340" s="278" t="s">
        <v>732</v>
      </c>
      <c r="H340" s="279"/>
      <c r="I340" s="280">
        <v>45496.0</v>
      </c>
      <c r="J340" s="34"/>
      <c r="K340" s="281">
        <v>0.693</v>
      </c>
      <c r="L340" s="34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128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</row>
    <row r="341" hidden="1">
      <c r="A341" s="25"/>
      <c r="B341" s="26"/>
      <c r="C341" s="26"/>
      <c r="D341" s="208"/>
      <c r="E341" s="7"/>
      <c r="F341" s="276" t="s">
        <v>704</v>
      </c>
      <c r="G341" s="278" t="s">
        <v>719</v>
      </c>
      <c r="H341" s="279"/>
      <c r="I341" s="280">
        <v>45496.0</v>
      </c>
      <c r="J341" s="34"/>
      <c r="K341" s="281">
        <v>0.36800000000000005</v>
      </c>
      <c r="L341" s="34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128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</row>
    <row r="342" hidden="1">
      <c r="A342" s="25"/>
      <c r="B342" s="26"/>
      <c r="C342" s="26"/>
      <c r="D342" s="208"/>
      <c r="E342" s="7"/>
      <c r="F342" s="276" t="s">
        <v>697</v>
      </c>
      <c r="G342" s="278" t="s">
        <v>698</v>
      </c>
      <c r="H342" s="279"/>
      <c r="I342" s="280">
        <v>45496.0</v>
      </c>
      <c r="J342" s="34"/>
      <c r="K342" s="281">
        <v>0.27899999999999997</v>
      </c>
      <c r="L342" s="34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128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</row>
    <row r="343" hidden="1">
      <c r="A343" s="25"/>
      <c r="B343" s="26"/>
      <c r="C343" s="26"/>
      <c r="D343" s="208"/>
      <c r="E343" s="7"/>
      <c r="F343" s="276" t="s">
        <v>716</v>
      </c>
      <c r="G343" s="278" t="s">
        <v>729</v>
      </c>
      <c r="H343" s="279"/>
      <c r="I343" s="280">
        <v>45496.0</v>
      </c>
      <c r="J343" s="34"/>
      <c r="K343" s="281">
        <v>0.705</v>
      </c>
      <c r="L343" s="34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128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</row>
    <row r="344" hidden="1">
      <c r="A344" s="25"/>
      <c r="B344" s="26"/>
      <c r="C344" s="26"/>
      <c r="D344" s="208"/>
      <c r="E344" s="7"/>
      <c r="F344" s="276" t="s">
        <v>716</v>
      </c>
      <c r="G344" s="278" t="s">
        <v>729</v>
      </c>
      <c r="H344" s="279"/>
      <c r="I344" s="280">
        <v>45496.0</v>
      </c>
      <c r="J344" s="34"/>
      <c r="K344" s="281">
        <v>0.75</v>
      </c>
      <c r="L344" s="34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128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</row>
    <row r="345" hidden="1">
      <c r="A345" s="25"/>
      <c r="B345" s="26"/>
      <c r="C345" s="26"/>
      <c r="D345" s="208"/>
      <c r="E345" s="7"/>
      <c r="F345" s="276" t="s">
        <v>697</v>
      </c>
      <c r="G345" s="278" t="s">
        <v>698</v>
      </c>
      <c r="H345" s="279"/>
      <c r="I345" s="280">
        <v>45496.0</v>
      </c>
      <c r="J345" s="34"/>
      <c r="K345" s="281">
        <v>0.294</v>
      </c>
      <c r="L345" s="34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128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</row>
    <row r="346" hidden="1">
      <c r="A346" s="25"/>
      <c r="B346" s="26"/>
      <c r="C346" s="26"/>
      <c r="D346" s="208"/>
      <c r="E346" s="7"/>
      <c r="F346" s="276" t="s">
        <v>707</v>
      </c>
      <c r="G346" s="278" t="s">
        <v>720</v>
      </c>
      <c r="H346" s="279"/>
      <c r="I346" s="280">
        <v>45496.0</v>
      </c>
      <c r="J346" s="34"/>
      <c r="K346" s="281">
        <v>0.2</v>
      </c>
      <c r="L346" s="34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128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</row>
    <row r="347" hidden="1">
      <c r="A347" s="25"/>
      <c r="B347" s="26"/>
      <c r="C347" s="26"/>
      <c r="D347" s="208"/>
      <c r="E347" s="7"/>
      <c r="F347" s="276" t="s">
        <v>704</v>
      </c>
      <c r="G347" s="278" t="s">
        <v>719</v>
      </c>
      <c r="H347" s="279"/>
      <c r="I347" s="280">
        <v>45496.0</v>
      </c>
      <c r="J347" s="34"/>
      <c r="K347" s="281">
        <v>0.37200000000000005</v>
      </c>
      <c r="L347" s="34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128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</row>
    <row r="348" hidden="1">
      <c r="A348" s="25"/>
      <c r="B348" s="26"/>
      <c r="C348" s="26"/>
      <c r="D348" s="208"/>
      <c r="E348" s="7"/>
      <c r="F348" s="276" t="s">
        <v>704</v>
      </c>
      <c r="G348" s="278" t="s">
        <v>719</v>
      </c>
      <c r="H348" s="279"/>
      <c r="I348" s="280">
        <v>45496.0</v>
      </c>
      <c r="J348" s="34"/>
      <c r="K348" s="281">
        <v>0.376</v>
      </c>
      <c r="L348" s="34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128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</row>
    <row r="349" hidden="1">
      <c r="A349" s="25"/>
      <c r="B349" s="26"/>
      <c r="C349" s="26"/>
      <c r="D349" s="208"/>
      <c r="E349" s="7"/>
      <c r="F349" s="276" t="s">
        <v>716</v>
      </c>
      <c r="G349" s="278" t="s">
        <v>729</v>
      </c>
      <c r="H349" s="279"/>
      <c r="I349" s="280">
        <v>45496.0</v>
      </c>
      <c r="J349" s="34"/>
      <c r="K349" s="281">
        <v>0.6975</v>
      </c>
      <c r="L349" s="34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128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</row>
    <row r="350" hidden="1">
      <c r="A350" s="25"/>
      <c r="B350" s="26"/>
      <c r="C350" s="26"/>
      <c r="D350" s="208"/>
      <c r="E350" s="7"/>
      <c r="F350" s="276" t="s">
        <v>707</v>
      </c>
      <c r="G350" s="278" t="s">
        <v>712</v>
      </c>
      <c r="H350" s="279"/>
      <c r="I350" s="280">
        <v>45497.0</v>
      </c>
      <c r="J350" s="34"/>
      <c r="K350" s="281">
        <v>0.8910000000000001</v>
      </c>
      <c r="L350" s="34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128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</row>
    <row r="351" hidden="1">
      <c r="A351" s="25"/>
      <c r="B351" s="26"/>
      <c r="C351" s="26"/>
      <c r="D351" s="208"/>
      <c r="E351" s="7"/>
      <c r="F351" s="276" t="s">
        <v>704</v>
      </c>
      <c r="G351" s="278" t="s">
        <v>719</v>
      </c>
      <c r="H351" s="279"/>
      <c r="I351" s="280">
        <v>45497.0</v>
      </c>
      <c r="J351" s="34"/>
      <c r="K351" s="281">
        <v>0.364</v>
      </c>
      <c r="L351" s="34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128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</row>
    <row r="352" hidden="1">
      <c r="A352" s="25"/>
      <c r="B352" s="26"/>
      <c r="C352" s="26"/>
      <c r="D352" s="208"/>
      <c r="E352" s="7"/>
      <c r="F352" s="276" t="s">
        <v>707</v>
      </c>
      <c r="G352" s="278" t="s">
        <v>708</v>
      </c>
      <c r="H352" s="279"/>
      <c r="I352" s="280">
        <v>45497.0</v>
      </c>
      <c r="J352" s="34"/>
      <c r="K352" s="281">
        <v>0.2275</v>
      </c>
      <c r="L352" s="34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128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</row>
    <row r="353" hidden="1">
      <c r="A353" s="25"/>
      <c r="B353" s="26"/>
      <c r="C353" s="26"/>
      <c r="D353" s="208"/>
      <c r="E353" s="7"/>
      <c r="F353" s="276" t="s">
        <v>704</v>
      </c>
      <c r="G353" s="278" t="s">
        <v>719</v>
      </c>
      <c r="H353" s="279"/>
      <c r="I353" s="280">
        <v>45497.0</v>
      </c>
      <c r="J353" s="34"/>
      <c r="K353" s="281">
        <v>0.36</v>
      </c>
      <c r="L353" s="34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128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</row>
    <row r="354" hidden="1">
      <c r="A354" s="25"/>
      <c r="B354" s="26"/>
      <c r="C354" s="26"/>
      <c r="D354" s="208"/>
      <c r="E354" s="7"/>
      <c r="F354" s="276" t="s">
        <v>716</v>
      </c>
      <c r="G354" s="278" t="s">
        <v>729</v>
      </c>
      <c r="H354" s="279"/>
      <c r="I354" s="280">
        <v>45497.0</v>
      </c>
      <c r="J354" s="34"/>
      <c r="K354" s="281">
        <v>0.675</v>
      </c>
      <c r="L354" s="34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128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</row>
    <row r="355" hidden="1">
      <c r="A355" s="25"/>
      <c r="B355" s="26"/>
      <c r="C355" s="26"/>
      <c r="D355" s="208"/>
      <c r="E355" s="7"/>
      <c r="F355" s="276" t="s">
        <v>707</v>
      </c>
      <c r="G355" s="278" t="s">
        <v>720</v>
      </c>
      <c r="H355" s="279"/>
      <c r="I355" s="280">
        <v>45497.0</v>
      </c>
      <c r="J355" s="34"/>
      <c r="K355" s="281">
        <v>0.19400000000000003</v>
      </c>
      <c r="L355" s="34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128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</row>
    <row r="356" hidden="1">
      <c r="A356" s="25"/>
      <c r="B356" s="26"/>
      <c r="C356" s="26"/>
      <c r="D356" s="208"/>
      <c r="E356" s="7"/>
      <c r="F356" s="276" t="s">
        <v>697</v>
      </c>
      <c r="G356" s="278" t="s">
        <v>700</v>
      </c>
      <c r="H356" s="279"/>
      <c r="I356" s="280">
        <v>45497.0</v>
      </c>
      <c r="J356" s="34"/>
      <c r="K356" s="281">
        <v>0.728</v>
      </c>
      <c r="L356" s="34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128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</row>
    <row r="357" hidden="1">
      <c r="A357" s="25"/>
      <c r="B357" s="26"/>
      <c r="C357" s="26"/>
      <c r="D357" s="208"/>
      <c r="E357" s="7"/>
      <c r="F357" s="276" t="s">
        <v>704</v>
      </c>
      <c r="G357" s="278" t="s">
        <v>719</v>
      </c>
      <c r="H357" s="279"/>
      <c r="I357" s="280">
        <v>45498.0</v>
      </c>
      <c r="J357" s="34"/>
      <c r="K357" s="281">
        <v>0.38800000000000007</v>
      </c>
      <c r="L357" s="34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128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</row>
    <row r="358" hidden="1">
      <c r="A358" s="25"/>
      <c r="B358" s="26"/>
      <c r="C358" s="26"/>
      <c r="D358" s="208"/>
      <c r="E358" s="7"/>
      <c r="F358" s="276" t="s">
        <v>704</v>
      </c>
      <c r="G358" s="278" t="s">
        <v>719</v>
      </c>
      <c r="H358" s="279"/>
      <c r="I358" s="280">
        <v>45498.0</v>
      </c>
      <c r="J358" s="34"/>
      <c r="K358" s="281">
        <v>0.38400000000000006</v>
      </c>
      <c r="L358" s="34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128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</row>
    <row r="359" hidden="1">
      <c r="A359" s="25"/>
      <c r="B359" s="26"/>
      <c r="C359" s="26"/>
      <c r="D359" s="208"/>
      <c r="E359" s="7"/>
      <c r="F359" s="276" t="s">
        <v>707</v>
      </c>
      <c r="G359" s="278" t="s">
        <v>712</v>
      </c>
      <c r="H359" s="279"/>
      <c r="I359" s="280">
        <v>45498.0</v>
      </c>
      <c r="J359" s="34"/>
      <c r="K359" s="281">
        <v>0.8190000000000001</v>
      </c>
      <c r="L359" s="34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128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</row>
    <row r="360" hidden="1">
      <c r="A360" s="25"/>
      <c r="B360" s="26"/>
      <c r="C360" s="26"/>
      <c r="D360" s="208"/>
      <c r="E360" s="7"/>
      <c r="F360" s="276" t="s">
        <v>716</v>
      </c>
      <c r="G360" s="278" t="s">
        <v>717</v>
      </c>
      <c r="H360" s="279"/>
      <c r="I360" s="280">
        <v>45498.0</v>
      </c>
      <c r="J360" s="34"/>
      <c r="K360" s="281">
        <v>0.72</v>
      </c>
      <c r="L360" s="34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128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</row>
    <row r="361" hidden="1">
      <c r="A361" s="25"/>
      <c r="B361" s="26"/>
      <c r="C361" s="26"/>
      <c r="D361" s="208"/>
      <c r="E361" s="7"/>
      <c r="F361" s="276" t="s">
        <v>704</v>
      </c>
      <c r="G361" s="278" t="s">
        <v>705</v>
      </c>
      <c r="H361" s="279"/>
      <c r="I361" s="280">
        <v>45498.0</v>
      </c>
      <c r="J361" s="34"/>
      <c r="K361" s="281">
        <v>0.282</v>
      </c>
      <c r="L361" s="34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128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</row>
    <row r="362" hidden="1">
      <c r="A362" s="25"/>
      <c r="B362" s="26"/>
      <c r="C362" s="26"/>
      <c r="D362" s="208"/>
      <c r="E362" s="7"/>
      <c r="F362" s="276" t="s">
        <v>697</v>
      </c>
      <c r="G362" s="278" t="s">
        <v>700</v>
      </c>
      <c r="H362" s="279"/>
      <c r="I362" s="280">
        <v>45498.0</v>
      </c>
      <c r="J362" s="34"/>
      <c r="K362" s="281">
        <v>0.728</v>
      </c>
      <c r="L362" s="34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128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</row>
    <row r="363" hidden="1">
      <c r="A363" s="25"/>
      <c r="B363" s="26"/>
      <c r="C363" s="26"/>
      <c r="D363" s="208"/>
      <c r="E363" s="7"/>
      <c r="F363" s="276" t="s">
        <v>704</v>
      </c>
      <c r="G363" s="278" t="s">
        <v>719</v>
      </c>
      <c r="H363" s="279"/>
      <c r="I363" s="280">
        <v>45498.0</v>
      </c>
      <c r="J363" s="34"/>
      <c r="K363" s="281">
        <v>0.38</v>
      </c>
      <c r="L363" s="34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128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</row>
    <row r="364" hidden="1">
      <c r="A364" s="25"/>
      <c r="B364" s="26"/>
      <c r="C364" s="26"/>
      <c r="D364" s="208"/>
      <c r="E364" s="7"/>
      <c r="F364" s="276" t="s">
        <v>716</v>
      </c>
      <c r="G364" s="278" t="s">
        <v>729</v>
      </c>
      <c r="H364" s="279"/>
      <c r="I364" s="280">
        <v>45499.0</v>
      </c>
      <c r="J364" s="34"/>
      <c r="K364" s="281">
        <v>0.69</v>
      </c>
      <c r="L364" s="3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128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</row>
    <row r="365" hidden="1">
      <c r="A365" s="25"/>
      <c r="B365" s="26"/>
      <c r="C365" s="26"/>
      <c r="D365" s="208"/>
      <c r="E365" s="7"/>
      <c r="F365" s="276" t="s">
        <v>716</v>
      </c>
      <c r="G365" s="278" t="s">
        <v>729</v>
      </c>
      <c r="H365" s="279"/>
      <c r="I365" s="280">
        <v>45499.0</v>
      </c>
      <c r="J365" s="34"/>
      <c r="K365" s="281">
        <v>0.6975</v>
      </c>
      <c r="L365" s="34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128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</row>
    <row r="366" hidden="1">
      <c r="A366" s="25"/>
      <c r="B366" s="26"/>
      <c r="C366" s="26"/>
      <c r="D366" s="208"/>
      <c r="E366" s="7"/>
      <c r="F366" s="276" t="s">
        <v>697</v>
      </c>
      <c r="G366" s="278" t="s">
        <v>698</v>
      </c>
      <c r="H366" s="279"/>
      <c r="I366" s="280">
        <v>45499.0</v>
      </c>
      <c r="J366" s="34"/>
      <c r="K366" s="281">
        <v>0.3</v>
      </c>
      <c r="L366" s="34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128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</row>
    <row r="367" hidden="1">
      <c r="A367" s="25"/>
      <c r="B367" s="26"/>
      <c r="C367" s="26"/>
      <c r="D367" s="208"/>
      <c r="E367" s="7"/>
      <c r="F367" s="276" t="s">
        <v>707</v>
      </c>
      <c r="G367" s="278" t="s">
        <v>720</v>
      </c>
      <c r="H367" s="279"/>
      <c r="I367" s="280">
        <v>45499.0</v>
      </c>
      <c r="J367" s="34"/>
      <c r="K367" s="281">
        <v>0.18400000000000002</v>
      </c>
      <c r="L367" s="34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128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</row>
    <row r="368" hidden="1">
      <c r="A368" s="25"/>
      <c r="B368" s="26"/>
      <c r="C368" s="26"/>
      <c r="D368" s="208"/>
      <c r="E368" s="7"/>
      <c r="F368" s="276" t="s">
        <v>704</v>
      </c>
      <c r="G368" s="278" t="s">
        <v>713</v>
      </c>
      <c r="H368" s="279"/>
      <c r="I368" s="280">
        <v>45499.0</v>
      </c>
      <c r="J368" s="34"/>
      <c r="K368" s="281">
        <v>0.637</v>
      </c>
      <c r="L368" s="34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128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</row>
    <row r="369" hidden="1">
      <c r="A369" s="25"/>
      <c r="B369" s="26"/>
      <c r="C369" s="26"/>
      <c r="D369" s="208"/>
      <c r="E369" s="7"/>
      <c r="F369" s="276" t="s">
        <v>697</v>
      </c>
      <c r="G369" s="278" t="s">
        <v>706</v>
      </c>
      <c r="H369" s="279"/>
      <c r="I369" s="280">
        <v>45499.0</v>
      </c>
      <c r="J369" s="34"/>
      <c r="K369" s="281">
        <v>0.495</v>
      </c>
      <c r="L369" s="34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128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</row>
    <row r="370" hidden="1">
      <c r="A370" s="25"/>
      <c r="B370" s="26"/>
      <c r="C370" s="26"/>
      <c r="D370" s="208"/>
      <c r="E370" s="7"/>
      <c r="F370" s="276" t="s">
        <v>697</v>
      </c>
      <c r="G370" s="278" t="s">
        <v>698</v>
      </c>
      <c r="H370" s="279"/>
      <c r="I370" s="280">
        <v>45499.0</v>
      </c>
      <c r="J370" s="34"/>
      <c r="K370" s="281">
        <v>0.297</v>
      </c>
      <c r="L370" s="34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128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</row>
    <row r="371" hidden="1">
      <c r="A371" s="25"/>
      <c r="B371" s="26"/>
      <c r="C371" s="26"/>
      <c r="D371" s="208"/>
      <c r="E371" s="7"/>
      <c r="F371" s="276" t="s">
        <v>704</v>
      </c>
      <c r="G371" s="278" t="s">
        <v>705</v>
      </c>
      <c r="H371" s="279"/>
      <c r="I371" s="280">
        <v>45499.0</v>
      </c>
      <c r="J371" s="34"/>
      <c r="K371" s="281">
        <v>0.291</v>
      </c>
      <c r="L371" s="34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128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</row>
    <row r="372" hidden="1">
      <c r="A372" s="25"/>
      <c r="B372" s="26"/>
      <c r="C372" s="26"/>
      <c r="D372" s="208"/>
      <c r="E372" s="7"/>
      <c r="F372" s="276" t="s">
        <v>697</v>
      </c>
      <c r="G372" s="278" t="s">
        <v>706</v>
      </c>
      <c r="H372" s="279"/>
      <c r="I372" s="280">
        <v>45499.0</v>
      </c>
      <c r="J372" s="34"/>
      <c r="K372" s="281">
        <v>0.485</v>
      </c>
      <c r="L372" s="34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128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</row>
    <row r="373" hidden="1">
      <c r="A373" s="25"/>
      <c r="B373" s="26"/>
      <c r="C373" s="26"/>
      <c r="D373" s="208"/>
      <c r="E373" s="7"/>
      <c r="F373" s="276" t="s">
        <v>716</v>
      </c>
      <c r="G373" s="278" t="s">
        <v>729</v>
      </c>
      <c r="H373" s="279"/>
      <c r="I373" s="280">
        <v>45499.0</v>
      </c>
      <c r="J373" s="34"/>
      <c r="K373" s="281">
        <v>0.7275</v>
      </c>
      <c r="L373" s="34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128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</row>
    <row r="374" hidden="1">
      <c r="A374" s="25"/>
      <c r="B374" s="26"/>
      <c r="C374" s="26"/>
      <c r="D374" s="208"/>
      <c r="E374" s="7"/>
      <c r="F374" s="276" t="s">
        <v>697</v>
      </c>
      <c r="G374" s="278" t="s">
        <v>706</v>
      </c>
      <c r="H374" s="279"/>
      <c r="I374" s="280">
        <v>45499.0</v>
      </c>
      <c r="J374" s="34"/>
      <c r="K374" s="281">
        <v>0.49</v>
      </c>
      <c r="L374" s="34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128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</row>
    <row r="375" hidden="1">
      <c r="A375" s="25"/>
      <c r="B375" s="26"/>
      <c r="C375" s="26"/>
      <c r="D375" s="208"/>
      <c r="E375" s="7"/>
      <c r="F375" s="276" t="s">
        <v>704</v>
      </c>
      <c r="G375" s="278" t="s">
        <v>713</v>
      </c>
      <c r="H375" s="279"/>
      <c r="I375" s="280">
        <v>45499.0</v>
      </c>
      <c r="J375" s="34"/>
      <c r="K375" s="281">
        <v>0.6579999999999999</v>
      </c>
      <c r="L375" s="34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128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</row>
    <row r="376" hidden="1">
      <c r="A376" s="25"/>
      <c r="B376" s="26"/>
      <c r="C376" s="26"/>
      <c r="D376" s="208"/>
      <c r="E376" s="7"/>
      <c r="F376" s="276" t="s">
        <v>704</v>
      </c>
      <c r="G376" s="278" t="s">
        <v>713</v>
      </c>
      <c r="H376" s="279"/>
      <c r="I376" s="280">
        <v>45499.0</v>
      </c>
      <c r="J376" s="34"/>
      <c r="K376" s="281">
        <v>0.693</v>
      </c>
      <c r="L376" s="34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128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</row>
    <row r="377" hidden="1">
      <c r="A377" s="25"/>
      <c r="B377" s="26"/>
      <c r="C377" s="26"/>
      <c r="D377" s="208"/>
      <c r="E377" s="7"/>
      <c r="F377" s="276" t="s">
        <v>716</v>
      </c>
      <c r="G377" s="278" t="s">
        <v>729</v>
      </c>
      <c r="H377" s="279"/>
      <c r="I377" s="280">
        <v>45499.0</v>
      </c>
      <c r="J377" s="34"/>
      <c r="K377" s="281">
        <v>0.7275</v>
      </c>
      <c r="L377" s="34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128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</row>
    <row r="378" hidden="1">
      <c r="A378" s="25"/>
      <c r="B378" s="26"/>
      <c r="C378" s="26"/>
      <c r="D378" s="208"/>
      <c r="E378" s="7"/>
      <c r="F378" s="276" t="s">
        <v>697</v>
      </c>
      <c r="G378" s="278" t="s">
        <v>698</v>
      </c>
      <c r="H378" s="279"/>
      <c r="I378" s="280">
        <v>45499.0</v>
      </c>
      <c r="J378" s="34"/>
      <c r="K378" s="281">
        <v>0.294</v>
      </c>
      <c r="L378" s="34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128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</row>
    <row r="379" hidden="1">
      <c r="A379" s="25"/>
      <c r="B379" s="26"/>
      <c r="C379" s="26"/>
      <c r="D379" s="208"/>
      <c r="E379" s="7"/>
      <c r="F379" s="276" t="s">
        <v>716</v>
      </c>
      <c r="G379" s="278" t="s">
        <v>729</v>
      </c>
      <c r="H379" s="279"/>
      <c r="I379" s="280">
        <v>45500.0</v>
      </c>
      <c r="J379" s="34"/>
      <c r="K379" s="281">
        <v>0.735</v>
      </c>
      <c r="L379" s="34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128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</row>
    <row r="380" hidden="1">
      <c r="A380" s="25"/>
      <c r="B380" s="26"/>
      <c r="C380" s="26"/>
      <c r="D380" s="208"/>
      <c r="E380" s="7"/>
      <c r="F380" s="276" t="s">
        <v>704</v>
      </c>
      <c r="G380" s="278" t="s">
        <v>713</v>
      </c>
      <c r="H380" s="279"/>
      <c r="I380" s="280">
        <v>45500.0</v>
      </c>
      <c r="J380" s="34"/>
      <c r="K380" s="281">
        <v>0.6789999999999999</v>
      </c>
      <c r="L380" s="34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128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</row>
    <row r="381" hidden="1">
      <c r="A381" s="25"/>
      <c r="B381" s="26"/>
      <c r="C381" s="26"/>
      <c r="D381" s="208"/>
      <c r="E381" s="7"/>
      <c r="F381" s="276" t="s">
        <v>697</v>
      </c>
      <c r="G381" s="278" t="s">
        <v>706</v>
      </c>
      <c r="H381" s="279"/>
      <c r="I381" s="280">
        <v>45500.0</v>
      </c>
      <c r="J381" s="34"/>
      <c r="K381" s="281">
        <v>0.47</v>
      </c>
      <c r="L381" s="34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128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</row>
    <row r="382" hidden="1">
      <c r="A382" s="25"/>
      <c r="B382" s="26"/>
      <c r="C382" s="26"/>
      <c r="D382" s="208"/>
      <c r="E382" s="7"/>
      <c r="F382" s="276" t="s">
        <v>697</v>
      </c>
      <c r="G382" s="278" t="s">
        <v>698</v>
      </c>
      <c r="H382" s="279"/>
      <c r="I382" s="280">
        <v>45500.0</v>
      </c>
      <c r="J382" s="34"/>
      <c r="K382" s="281">
        <v>0.3</v>
      </c>
      <c r="L382" s="34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128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</row>
    <row r="383" hidden="1">
      <c r="A383" s="25"/>
      <c r="B383" s="26"/>
      <c r="C383" s="26"/>
      <c r="D383" s="208"/>
      <c r="E383" s="7"/>
      <c r="F383" s="276" t="s">
        <v>697</v>
      </c>
      <c r="G383" s="278" t="s">
        <v>706</v>
      </c>
      <c r="H383" s="279"/>
      <c r="I383" s="280">
        <v>45500.0</v>
      </c>
      <c r="J383" s="34"/>
      <c r="K383" s="281">
        <v>0.495</v>
      </c>
      <c r="L383" s="34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128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</row>
    <row r="384" hidden="1">
      <c r="A384" s="25"/>
      <c r="B384" s="26"/>
      <c r="C384" s="26"/>
      <c r="D384" s="208"/>
      <c r="E384" s="7"/>
      <c r="F384" s="276" t="s">
        <v>716</v>
      </c>
      <c r="G384" s="278" t="s">
        <v>732</v>
      </c>
      <c r="H384" s="279"/>
      <c r="I384" s="280">
        <v>45500.0</v>
      </c>
      <c r="J384" s="34"/>
      <c r="K384" s="281">
        <v>0.637</v>
      </c>
      <c r="L384" s="34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128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</row>
    <row r="385" hidden="1">
      <c r="A385" s="25"/>
      <c r="B385" s="26"/>
      <c r="C385" s="26"/>
      <c r="D385" s="208"/>
      <c r="E385" s="7"/>
      <c r="F385" s="276" t="s">
        <v>707</v>
      </c>
      <c r="G385" s="278" t="s">
        <v>720</v>
      </c>
      <c r="H385" s="279"/>
      <c r="I385" s="280">
        <v>45500.0</v>
      </c>
      <c r="J385" s="34"/>
      <c r="K385" s="281">
        <v>0.18</v>
      </c>
      <c r="L385" s="34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128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</row>
    <row r="386" hidden="1">
      <c r="A386" s="25"/>
      <c r="B386" s="26"/>
      <c r="C386" s="26"/>
      <c r="D386" s="208"/>
      <c r="E386" s="7"/>
      <c r="F386" s="276" t="s">
        <v>697</v>
      </c>
      <c r="G386" s="278" t="s">
        <v>700</v>
      </c>
      <c r="H386" s="279"/>
      <c r="I386" s="280">
        <v>45500.0</v>
      </c>
      <c r="J386" s="34"/>
      <c r="K386" s="281">
        <v>0.7360000000000001</v>
      </c>
      <c r="L386" s="34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128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</row>
    <row r="387" hidden="1">
      <c r="A387" s="25"/>
      <c r="B387" s="26"/>
      <c r="C387" s="26"/>
      <c r="D387" s="208"/>
      <c r="E387" s="7"/>
      <c r="F387" s="276" t="s">
        <v>707</v>
      </c>
      <c r="G387" s="278" t="s">
        <v>708</v>
      </c>
      <c r="H387" s="279"/>
      <c r="I387" s="280">
        <v>45500.0</v>
      </c>
      <c r="J387" s="34"/>
      <c r="K387" s="281">
        <v>0.2375</v>
      </c>
      <c r="L387" s="34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128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</row>
    <row r="388" hidden="1">
      <c r="A388" s="25"/>
      <c r="B388" s="26"/>
      <c r="C388" s="26"/>
      <c r="D388" s="208"/>
      <c r="E388" s="7"/>
      <c r="F388" s="276" t="s">
        <v>707</v>
      </c>
      <c r="G388" s="278" t="s">
        <v>720</v>
      </c>
      <c r="H388" s="279"/>
      <c r="I388" s="280">
        <v>45500.0</v>
      </c>
      <c r="J388" s="34"/>
      <c r="K388" s="281">
        <v>0.188</v>
      </c>
      <c r="L388" s="34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128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</row>
    <row r="389" hidden="1">
      <c r="A389" s="25"/>
      <c r="B389" s="26"/>
      <c r="C389" s="26"/>
      <c r="D389" s="208"/>
      <c r="E389" s="7"/>
      <c r="F389" s="276" t="s">
        <v>707</v>
      </c>
      <c r="G389" s="278" t="s">
        <v>712</v>
      </c>
      <c r="H389" s="279"/>
      <c r="I389" s="280">
        <v>45501.0</v>
      </c>
      <c r="J389" s="34"/>
      <c r="K389" s="281">
        <v>0.8910000000000001</v>
      </c>
      <c r="L389" s="34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128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</row>
    <row r="390" hidden="1">
      <c r="A390" s="25"/>
      <c r="B390" s="26"/>
      <c r="C390" s="26"/>
      <c r="D390" s="208"/>
      <c r="E390" s="7"/>
      <c r="F390" s="276" t="s">
        <v>704</v>
      </c>
      <c r="G390" s="278" t="s">
        <v>713</v>
      </c>
      <c r="H390" s="279"/>
      <c r="I390" s="280">
        <v>45501.0</v>
      </c>
      <c r="J390" s="34"/>
      <c r="K390" s="281">
        <v>0.6859999999999999</v>
      </c>
      <c r="L390" s="34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128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</row>
    <row r="391" hidden="1">
      <c r="A391" s="25"/>
      <c r="B391" s="26"/>
      <c r="C391" s="26"/>
      <c r="D391" s="208"/>
      <c r="E391" s="7"/>
      <c r="F391" s="276" t="s">
        <v>704</v>
      </c>
      <c r="G391" s="278" t="s">
        <v>705</v>
      </c>
      <c r="H391" s="279"/>
      <c r="I391" s="280">
        <v>45501.0</v>
      </c>
      <c r="J391" s="34"/>
      <c r="K391" s="281">
        <v>0.273</v>
      </c>
      <c r="L391" s="34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128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</row>
    <row r="392" hidden="1">
      <c r="A392" s="25"/>
      <c r="B392" s="26"/>
      <c r="C392" s="26"/>
      <c r="D392" s="208"/>
      <c r="E392" s="7"/>
      <c r="F392" s="276" t="s">
        <v>707</v>
      </c>
      <c r="G392" s="278" t="s">
        <v>712</v>
      </c>
      <c r="H392" s="279"/>
      <c r="I392" s="280">
        <v>45501.0</v>
      </c>
      <c r="J392" s="34"/>
      <c r="K392" s="281">
        <v>0.9</v>
      </c>
      <c r="L392" s="34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128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</row>
    <row r="393" hidden="1">
      <c r="A393" s="25"/>
      <c r="B393" s="26"/>
      <c r="C393" s="26"/>
      <c r="D393" s="208"/>
      <c r="E393" s="7"/>
      <c r="F393" s="276" t="s">
        <v>707</v>
      </c>
      <c r="G393" s="278" t="s">
        <v>720</v>
      </c>
      <c r="H393" s="279"/>
      <c r="I393" s="280">
        <v>45501.0</v>
      </c>
      <c r="J393" s="34"/>
      <c r="K393" s="281">
        <v>0.19</v>
      </c>
      <c r="L393" s="34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128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</row>
    <row r="394" hidden="1">
      <c r="A394" s="25"/>
      <c r="B394" s="26"/>
      <c r="C394" s="26"/>
      <c r="D394" s="208"/>
      <c r="E394" s="7"/>
      <c r="F394" s="276" t="s">
        <v>707</v>
      </c>
      <c r="G394" s="278" t="s">
        <v>708</v>
      </c>
      <c r="H394" s="279"/>
      <c r="I394" s="280">
        <v>45501.0</v>
      </c>
      <c r="J394" s="34"/>
      <c r="K394" s="281">
        <v>0.225</v>
      </c>
      <c r="L394" s="34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128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</row>
    <row r="395" hidden="1">
      <c r="A395" s="25"/>
      <c r="B395" s="26"/>
      <c r="C395" s="26"/>
      <c r="D395" s="208"/>
      <c r="E395" s="7"/>
      <c r="F395" s="276" t="s">
        <v>704</v>
      </c>
      <c r="G395" s="278" t="s">
        <v>705</v>
      </c>
      <c r="H395" s="279"/>
      <c r="I395" s="280">
        <v>45501.0</v>
      </c>
      <c r="J395" s="34"/>
      <c r="K395" s="281">
        <v>0.285</v>
      </c>
      <c r="L395" s="34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128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</row>
    <row r="396" hidden="1">
      <c r="A396" s="25"/>
      <c r="B396" s="26"/>
      <c r="C396" s="26"/>
      <c r="D396" s="208"/>
      <c r="E396" s="7"/>
      <c r="F396" s="276" t="s">
        <v>716</v>
      </c>
      <c r="G396" s="278" t="s">
        <v>717</v>
      </c>
      <c r="H396" s="279"/>
      <c r="I396" s="280">
        <v>45501.0</v>
      </c>
      <c r="J396" s="34"/>
      <c r="K396" s="281">
        <v>0.7760000000000001</v>
      </c>
      <c r="L396" s="34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128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</row>
    <row r="397" hidden="1">
      <c r="A397" s="25"/>
      <c r="B397" s="26"/>
      <c r="C397" s="26"/>
      <c r="D397" s="208"/>
      <c r="E397" s="7"/>
      <c r="F397" s="276" t="s">
        <v>697</v>
      </c>
      <c r="G397" s="278" t="s">
        <v>700</v>
      </c>
      <c r="H397" s="279"/>
      <c r="I397" s="280">
        <v>45501.0</v>
      </c>
      <c r="J397" s="34"/>
      <c r="K397" s="281">
        <v>0.784</v>
      </c>
      <c r="L397" s="34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128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</row>
    <row r="398" hidden="1">
      <c r="A398" s="25"/>
      <c r="B398" s="26"/>
      <c r="C398" s="26"/>
      <c r="D398" s="208"/>
      <c r="E398" s="7"/>
      <c r="F398" s="276" t="s">
        <v>716</v>
      </c>
      <c r="G398" s="278" t="s">
        <v>729</v>
      </c>
      <c r="H398" s="279"/>
      <c r="I398" s="280">
        <v>45501.0</v>
      </c>
      <c r="J398" s="34"/>
      <c r="K398" s="281">
        <v>0.69</v>
      </c>
      <c r="L398" s="34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128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</row>
    <row r="399" hidden="1">
      <c r="A399" s="25"/>
      <c r="B399" s="26"/>
      <c r="C399" s="26"/>
      <c r="D399" s="208"/>
      <c r="E399" s="7"/>
      <c r="F399" s="276" t="s">
        <v>707</v>
      </c>
      <c r="G399" s="278" t="s">
        <v>720</v>
      </c>
      <c r="H399" s="279"/>
      <c r="I399" s="280">
        <v>45501.0</v>
      </c>
      <c r="J399" s="34"/>
      <c r="K399" s="281">
        <v>0.19</v>
      </c>
      <c r="L399" s="34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128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</row>
    <row r="400" hidden="1">
      <c r="A400" s="25"/>
      <c r="B400" s="26"/>
      <c r="C400" s="26"/>
      <c r="D400" s="208"/>
      <c r="E400" s="7"/>
      <c r="F400" s="276" t="s">
        <v>707</v>
      </c>
      <c r="G400" s="278" t="s">
        <v>712</v>
      </c>
      <c r="H400" s="279"/>
      <c r="I400" s="280">
        <v>45501.0</v>
      </c>
      <c r="J400" s="34"/>
      <c r="K400" s="281">
        <v>0.8370000000000001</v>
      </c>
      <c r="L400" s="34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128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</row>
    <row r="401" hidden="1">
      <c r="A401" s="25"/>
      <c r="B401" s="26"/>
      <c r="C401" s="26"/>
      <c r="D401" s="208"/>
      <c r="E401" s="7"/>
      <c r="F401" s="276" t="s">
        <v>697</v>
      </c>
      <c r="G401" s="278" t="s">
        <v>706</v>
      </c>
      <c r="H401" s="279"/>
      <c r="I401" s="280">
        <v>45501.0</v>
      </c>
      <c r="J401" s="34"/>
      <c r="K401" s="281">
        <v>0.495</v>
      </c>
      <c r="L401" s="34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128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</row>
    <row r="402" hidden="1">
      <c r="A402" s="25"/>
      <c r="B402" s="26"/>
      <c r="C402" s="26"/>
      <c r="D402" s="208"/>
      <c r="E402" s="7"/>
      <c r="F402" s="276" t="s">
        <v>697</v>
      </c>
      <c r="G402" s="278" t="s">
        <v>700</v>
      </c>
      <c r="H402" s="279"/>
      <c r="I402" s="280">
        <v>45501.0</v>
      </c>
      <c r="J402" s="34"/>
      <c r="K402" s="281">
        <v>0.752</v>
      </c>
      <c r="L402" s="34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128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</row>
    <row r="403" hidden="1">
      <c r="A403" s="25"/>
      <c r="B403" s="26"/>
      <c r="C403" s="26"/>
      <c r="D403" s="208"/>
      <c r="E403" s="7"/>
      <c r="F403" s="276" t="s">
        <v>707</v>
      </c>
      <c r="G403" s="278" t="s">
        <v>712</v>
      </c>
      <c r="H403" s="279"/>
      <c r="I403" s="280">
        <v>45501.0</v>
      </c>
      <c r="J403" s="34"/>
      <c r="K403" s="281">
        <v>0.873</v>
      </c>
      <c r="L403" s="34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128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</row>
    <row r="404" hidden="1">
      <c r="A404" s="25"/>
      <c r="B404" s="26"/>
      <c r="C404" s="26"/>
      <c r="D404" s="208"/>
      <c r="E404" s="7"/>
      <c r="F404" s="276" t="s">
        <v>704</v>
      </c>
      <c r="G404" s="278" t="s">
        <v>719</v>
      </c>
      <c r="H404" s="279"/>
      <c r="I404" s="280">
        <v>45502.0</v>
      </c>
      <c r="J404" s="34"/>
      <c r="K404" s="281">
        <v>0.38400000000000006</v>
      </c>
      <c r="L404" s="34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128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</row>
    <row r="405" hidden="1">
      <c r="A405" s="25"/>
      <c r="B405" s="26"/>
      <c r="C405" s="26"/>
      <c r="D405" s="208"/>
      <c r="E405" s="7"/>
      <c r="F405" s="276" t="s">
        <v>716</v>
      </c>
      <c r="G405" s="278" t="s">
        <v>729</v>
      </c>
      <c r="H405" s="279"/>
      <c r="I405" s="280">
        <v>45502.0</v>
      </c>
      <c r="J405" s="34"/>
      <c r="K405" s="281">
        <v>0.6825</v>
      </c>
      <c r="L405" s="34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128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</row>
    <row r="406" hidden="1">
      <c r="A406" s="25"/>
      <c r="B406" s="26"/>
      <c r="C406" s="26"/>
      <c r="D406" s="208"/>
      <c r="E406" s="7"/>
      <c r="F406" s="276" t="s">
        <v>716</v>
      </c>
      <c r="G406" s="278" t="s">
        <v>729</v>
      </c>
      <c r="H406" s="279"/>
      <c r="I406" s="280">
        <v>45502.0</v>
      </c>
      <c r="J406" s="34"/>
      <c r="K406" s="281">
        <v>0.72</v>
      </c>
      <c r="L406" s="34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128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</row>
    <row r="407" hidden="1">
      <c r="A407" s="25"/>
      <c r="B407" s="26"/>
      <c r="C407" s="26"/>
      <c r="D407" s="208"/>
      <c r="E407" s="7"/>
      <c r="F407" s="276" t="s">
        <v>707</v>
      </c>
      <c r="G407" s="278" t="s">
        <v>712</v>
      </c>
      <c r="H407" s="279"/>
      <c r="I407" s="280">
        <v>45502.0</v>
      </c>
      <c r="J407" s="34"/>
      <c r="K407" s="281">
        <v>0.873</v>
      </c>
      <c r="L407" s="34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128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</row>
    <row r="408" hidden="1">
      <c r="A408" s="25"/>
      <c r="B408" s="26"/>
      <c r="C408" s="26"/>
      <c r="D408" s="208"/>
      <c r="E408" s="7"/>
      <c r="F408" s="276" t="s">
        <v>707</v>
      </c>
      <c r="G408" s="278" t="s">
        <v>712</v>
      </c>
      <c r="H408" s="279"/>
      <c r="I408" s="280">
        <v>45502.0</v>
      </c>
      <c r="J408" s="34"/>
      <c r="K408" s="281">
        <v>0.873</v>
      </c>
      <c r="L408" s="34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128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</row>
    <row r="409" hidden="1">
      <c r="A409" s="25"/>
      <c r="B409" s="26"/>
      <c r="C409" s="26"/>
      <c r="D409" s="208"/>
      <c r="E409" s="7"/>
      <c r="F409" s="276" t="s">
        <v>716</v>
      </c>
      <c r="G409" s="278" t="s">
        <v>729</v>
      </c>
      <c r="H409" s="279"/>
      <c r="I409" s="280">
        <v>45502.0</v>
      </c>
      <c r="J409" s="34"/>
      <c r="K409" s="281">
        <v>0.735</v>
      </c>
      <c r="L409" s="34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128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</row>
    <row r="410" hidden="1">
      <c r="A410" s="25"/>
      <c r="B410" s="26"/>
      <c r="C410" s="26"/>
      <c r="D410" s="208"/>
      <c r="E410" s="7"/>
      <c r="F410" s="276" t="s">
        <v>697</v>
      </c>
      <c r="G410" s="278" t="s">
        <v>706</v>
      </c>
      <c r="H410" s="279"/>
      <c r="I410" s="280">
        <v>45502.0</v>
      </c>
      <c r="J410" s="34"/>
      <c r="K410" s="281">
        <v>0.485</v>
      </c>
      <c r="L410" s="34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128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</row>
    <row r="411" hidden="1">
      <c r="A411" s="25"/>
      <c r="B411" s="26"/>
      <c r="C411" s="26"/>
      <c r="D411" s="208"/>
      <c r="E411" s="7"/>
      <c r="F411" s="276" t="s">
        <v>716</v>
      </c>
      <c r="G411" s="278" t="s">
        <v>717</v>
      </c>
      <c r="H411" s="279"/>
      <c r="I411" s="280">
        <v>45502.0</v>
      </c>
      <c r="J411" s="34"/>
      <c r="K411" s="281">
        <v>0.7440000000000001</v>
      </c>
      <c r="L411" s="34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128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</row>
    <row r="412" hidden="1">
      <c r="A412" s="25"/>
      <c r="B412" s="26"/>
      <c r="C412" s="26"/>
      <c r="D412" s="208"/>
      <c r="E412" s="7"/>
      <c r="F412" s="276" t="s">
        <v>707</v>
      </c>
      <c r="G412" s="278" t="s">
        <v>712</v>
      </c>
      <c r="H412" s="279"/>
      <c r="I412" s="280">
        <v>45502.0</v>
      </c>
      <c r="J412" s="34"/>
      <c r="K412" s="281">
        <v>0.8370000000000001</v>
      </c>
      <c r="L412" s="34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128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</row>
    <row r="413" hidden="1">
      <c r="A413" s="25"/>
      <c r="B413" s="26"/>
      <c r="C413" s="26"/>
      <c r="D413" s="208"/>
      <c r="E413" s="7"/>
      <c r="F413" s="276" t="s">
        <v>707</v>
      </c>
      <c r="G413" s="278" t="s">
        <v>712</v>
      </c>
      <c r="H413" s="279"/>
      <c r="I413" s="280">
        <v>45502.0</v>
      </c>
      <c r="J413" s="34"/>
      <c r="K413" s="281">
        <v>0.882</v>
      </c>
      <c r="L413" s="34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128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</row>
    <row r="414" hidden="1">
      <c r="A414" s="25"/>
      <c r="B414" s="26"/>
      <c r="C414" s="26"/>
      <c r="D414" s="208"/>
      <c r="E414" s="7"/>
      <c r="F414" s="276" t="s">
        <v>716</v>
      </c>
      <c r="G414" s="278" t="s">
        <v>732</v>
      </c>
      <c r="H414" s="279"/>
      <c r="I414" s="280">
        <v>45502.0</v>
      </c>
      <c r="J414" s="34"/>
      <c r="K414" s="281">
        <v>0.7</v>
      </c>
      <c r="L414" s="34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128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</row>
    <row r="415" hidden="1">
      <c r="A415" s="25"/>
      <c r="B415" s="26"/>
      <c r="C415" s="26"/>
      <c r="D415" s="208"/>
      <c r="E415" s="7"/>
      <c r="F415" s="276" t="s">
        <v>707</v>
      </c>
      <c r="G415" s="278" t="s">
        <v>720</v>
      </c>
      <c r="H415" s="279"/>
      <c r="I415" s="280">
        <v>45502.0</v>
      </c>
      <c r="J415" s="34"/>
      <c r="K415" s="281">
        <v>0.198</v>
      </c>
      <c r="L415" s="34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128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</row>
    <row r="416" hidden="1">
      <c r="A416" s="25"/>
      <c r="B416" s="26"/>
      <c r="C416" s="26"/>
      <c r="D416" s="208"/>
      <c r="E416" s="7"/>
      <c r="F416" s="276" t="s">
        <v>707</v>
      </c>
      <c r="G416" s="278" t="s">
        <v>708</v>
      </c>
      <c r="H416" s="279"/>
      <c r="I416" s="280">
        <v>45502.0</v>
      </c>
      <c r="J416" s="34"/>
      <c r="K416" s="281">
        <v>0.24</v>
      </c>
      <c r="L416" s="34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128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</row>
    <row r="417" hidden="1">
      <c r="A417" s="25"/>
      <c r="B417" s="26"/>
      <c r="C417" s="26"/>
      <c r="D417" s="208"/>
      <c r="E417" s="7"/>
      <c r="F417" s="276" t="s">
        <v>704</v>
      </c>
      <c r="G417" s="278" t="s">
        <v>719</v>
      </c>
      <c r="H417" s="279"/>
      <c r="I417" s="280">
        <v>45503.0</v>
      </c>
      <c r="J417" s="34"/>
      <c r="K417" s="281">
        <v>0.38400000000000006</v>
      </c>
      <c r="L417" s="34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128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</row>
    <row r="418" hidden="1">
      <c r="A418" s="25"/>
      <c r="B418" s="26"/>
      <c r="C418" s="26"/>
      <c r="D418" s="208"/>
      <c r="E418" s="7"/>
      <c r="F418" s="276" t="s">
        <v>704</v>
      </c>
      <c r="G418" s="278" t="s">
        <v>719</v>
      </c>
      <c r="H418" s="279"/>
      <c r="I418" s="280">
        <v>45503.0</v>
      </c>
      <c r="J418" s="34"/>
      <c r="K418" s="281">
        <v>0.36</v>
      </c>
      <c r="L418" s="34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128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</row>
    <row r="419" hidden="1">
      <c r="A419" s="25"/>
      <c r="B419" s="26"/>
      <c r="C419" s="26"/>
      <c r="D419" s="208"/>
      <c r="E419" s="7"/>
      <c r="F419" s="276" t="s">
        <v>716</v>
      </c>
      <c r="G419" s="278" t="s">
        <v>729</v>
      </c>
      <c r="H419" s="279"/>
      <c r="I419" s="280">
        <v>45503.0</v>
      </c>
      <c r="J419" s="34"/>
      <c r="K419" s="281">
        <v>0.7275</v>
      </c>
      <c r="L419" s="34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128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</row>
    <row r="420" hidden="1">
      <c r="A420" s="25"/>
      <c r="B420" s="26"/>
      <c r="C420" s="26"/>
      <c r="D420" s="208"/>
      <c r="E420" s="7"/>
      <c r="F420" s="276" t="s">
        <v>707</v>
      </c>
      <c r="G420" s="278" t="s">
        <v>720</v>
      </c>
      <c r="H420" s="279"/>
      <c r="I420" s="280">
        <v>45503.0</v>
      </c>
      <c r="J420" s="34"/>
      <c r="K420" s="281">
        <v>0.19400000000000003</v>
      </c>
      <c r="L420" s="34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128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</row>
    <row r="421" hidden="1">
      <c r="A421" s="25"/>
      <c r="B421" s="26"/>
      <c r="C421" s="26"/>
      <c r="D421" s="208"/>
      <c r="E421" s="7"/>
      <c r="F421" s="276" t="s">
        <v>697</v>
      </c>
      <c r="G421" s="278" t="s">
        <v>698</v>
      </c>
      <c r="H421" s="279"/>
      <c r="I421" s="280">
        <v>45503.0</v>
      </c>
      <c r="J421" s="34"/>
      <c r="K421" s="281">
        <v>0.27</v>
      </c>
      <c r="L421" s="34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128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</row>
    <row r="422" hidden="1">
      <c r="A422" s="25"/>
      <c r="B422" s="26"/>
      <c r="C422" s="26"/>
      <c r="E422" s="7"/>
      <c r="F422" s="276" t="s">
        <v>716</v>
      </c>
      <c r="G422" s="278" t="s">
        <v>717</v>
      </c>
      <c r="H422" s="279"/>
      <c r="I422" s="280">
        <v>45503.0</v>
      </c>
      <c r="J422" s="34"/>
      <c r="K422" s="281">
        <v>0.792</v>
      </c>
      <c r="L422" s="34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128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</row>
    <row r="423" hidden="1">
      <c r="A423" s="7"/>
      <c r="B423" s="7"/>
      <c r="C423" s="7"/>
      <c r="D423" s="7"/>
      <c r="E423" s="7"/>
      <c r="F423" s="276" t="s">
        <v>704</v>
      </c>
      <c r="G423" s="278" t="s">
        <v>719</v>
      </c>
      <c r="H423" s="279"/>
      <c r="I423" s="280">
        <v>45503.0</v>
      </c>
      <c r="J423" s="34"/>
      <c r="K423" s="281">
        <v>0.392</v>
      </c>
      <c r="L423" s="34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128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</row>
    <row r="424" hidden="1">
      <c r="A424" s="7"/>
      <c r="B424" s="7"/>
      <c r="C424" s="7"/>
      <c r="D424" s="7"/>
      <c r="E424" s="7"/>
      <c r="F424" s="276" t="s">
        <v>697</v>
      </c>
      <c r="G424" s="278" t="s">
        <v>698</v>
      </c>
      <c r="H424" s="279"/>
      <c r="I424" s="280">
        <v>45503.0</v>
      </c>
      <c r="J424" s="34"/>
      <c r="K424" s="281">
        <v>0.273</v>
      </c>
      <c r="L424" s="34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128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</row>
    <row r="425" hidden="1">
      <c r="A425" s="7"/>
      <c r="B425" s="7"/>
      <c r="C425" s="7"/>
      <c r="D425" s="7"/>
      <c r="E425" s="7"/>
      <c r="F425" s="276" t="s">
        <v>697</v>
      </c>
      <c r="G425" s="278" t="s">
        <v>700</v>
      </c>
      <c r="H425" s="279"/>
      <c r="I425" s="280">
        <v>45503.0</v>
      </c>
      <c r="J425" s="34"/>
      <c r="K425" s="281">
        <v>0.7680000000000001</v>
      </c>
      <c r="L425" s="34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128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</row>
    <row r="426" hidden="1">
      <c r="A426" s="7"/>
      <c r="B426" s="7"/>
      <c r="C426" s="7"/>
      <c r="D426" s="7"/>
      <c r="E426" s="7"/>
      <c r="F426" s="276" t="s">
        <v>704</v>
      </c>
      <c r="G426" s="278" t="s">
        <v>713</v>
      </c>
      <c r="H426" s="279"/>
      <c r="I426" s="280">
        <v>45503.0</v>
      </c>
      <c r="J426" s="34"/>
      <c r="K426" s="281">
        <v>0.6509999999999999</v>
      </c>
      <c r="L426" s="34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128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</row>
    <row r="427" hidden="1">
      <c r="A427" s="7"/>
      <c r="B427" s="7"/>
      <c r="C427" s="7"/>
      <c r="D427" s="7"/>
      <c r="E427" s="7"/>
      <c r="F427" s="276" t="s">
        <v>716</v>
      </c>
      <c r="G427" s="278" t="s">
        <v>717</v>
      </c>
      <c r="H427" s="279"/>
      <c r="I427" s="280">
        <v>45503.0</v>
      </c>
      <c r="J427" s="34"/>
      <c r="K427" s="281">
        <v>0.784</v>
      </c>
      <c r="L427" s="34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128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</row>
    <row r="428" hidden="1">
      <c r="A428" s="7"/>
      <c r="B428" s="7"/>
      <c r="C428" s="7"/>
      <c r="D428" s="7"/>
      <c r="E428" s="7"/>
      <c r="F428" s="276" t="s">
        <v>707</v>
      </c>
      <c r="G428" s="278" t="s">
        <v>720</v>
      </c>
      <c r="H428" s="279"/>
      <c r="I428" s="280">
        <v>45503.0</v>
      </c>
      <c r="J428" s="34"/>
      <c r="K428" s="281">
        <v>0.19</v>
      </c>
      <c r="L428" s="34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128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</row>
    <row r="429" hidden="1">
      <c r="A429" s="7"/>
      <c r="B429" s="7"/>
      <c r="C429" s="7"/>
      <c r="D429" s="7"/>
      <c r="E429" s="7"/>
      <c r="F429" s="276" t="s">
        <v>704</v>
      </c>
      <c r="G429" s="278" t="s">
        <v>719</v>
      </c>
      <c r="H429" s="279"/>
      <c r="I429" s="280">
        <v>45504.0</v>
      </c>
      <c r="J429" s="34"/>
      <c r="K429" s="281">
        <v>0.38800000000000007</v>
      </c>
      <c r="L429" s="34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128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</row>
    <row r="430" hidden="1">
      <c r="A430" s="7"/>
      <c r="B430" s="7"/>
      <c r="C430" s="7"/>
      <c r="D430" s="7"/>
      <c r="E430" s="7"/>
      <c r="F430" s="276" t="s">
        <v>704</v>
      </c>
      <c r="G430" s="278" t="s">
        <v>719</v>
      </c>
      <c r="H430" s="279"/>
      <c r="I430" s="280">
        <v>45504.0</v>
      </c>
      <c r="J430" s="34"/>
      <c r="K430" s="281">
        <v>0.38800000000000007</v>
      </c>
      <c r="L430" s="34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128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</row>
    <row r="431" hidden="1">
      <c r="A431" s="7"/>
      <c r="B431" s="7"/>
      <c r="C431" s="7"/>
      <c r="D431" s="7"/>
      <c r="E431" s="7"/>
      <c r="F431" s="276" t="s">
        <v>697</v>
      </c>
      <c r="G431" s="278" t="s">
        <v>706</v>
      </c>
      <c r="H431" s="279"/>
      <c r="I431" s="280">
        <v>45504.0</v>
      </c>
      <c r="J431" s="34"/>
      <c r="K431" s="281">
        <v>0.5</v>
      </c>
      <c r="L431" s="34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128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</row>
    <row r="432" hidden="1">
      <c r="A432" s="7"/>
      <c r="B432" s="7"/>
      <c r="C432" s="7"/>
      <c r="D432" s="7"/>
      <c r="E432" s="7"/>
      <c r="F432" s="276" t="s">
        <v>707</v>
      </c>
      <c r="G432" s="278" t="s">
        <v>712</v>
      </c>
      <c r="H432" s="279"/>
      <c r="I432" s="280">
        <v>45504.0</v>
      </c>
      <c r="J432" s="34"/>
      <c r="K432" s="281">
        <v>0.81</v>
      </c>
      <c r="L432" s="34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128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</row>
    <row r="433" hidden="1">
      <c r="A433" s="7"/>
      <c r="B433" s="7"/>
      <c r="C433" s="7"/>
      <c r="D433" s="7"/>
      <c r="E433" s="7"/>
      <c r="F433" s="276" t="s">
        <v>704</v>
      </c>
      <c r="G433" s="278" t="s">
        <v>705</v>
      </c>
      <c r="H433" s="279"/>
      <c r="I433" s="280">
        <v>45504.0</v>
      </c>
      <c r="J433" s="34"/>
      <c r="K433" s="281">
        <v>0.282</v>
      </c>
      <c r="L433" s="34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128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</row>
    <row r="434" hidden="1">
      <c r="A434" s="7"/>
      <c r="B434" s="7"/>
      <c r="C434" s="7"/>
      <c r="D434" s="7"/>
      <c r="E434" s="7"/>
      <c r="F434" s="276" t="s">
        <v>704</v>
      </c>
      <c r="G434" s="278" t="s">
        <v>713</v>
      </c>
      <c r="H434" s="279"/>
      <c r="I434" s="280">
        <v>45504.0</v>
      </c>
      <c r="J434" s="34"/>
      <c r="K434" s="281">
        <v>0.637</v>
      </c>
      <c r="L434" s="34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128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</row>
    <row r="435" hidden="1">
      <c r="A435" s="7"/>
      <c r="B435" s="7"/>
      <c r="C435" s="7"/>
      <c r="D435" s="7"/>
      <c r="E435" s="7"/>
      <c r="F435" s="276" t="s">
        <v>704</v>
      </c>
      <c r="G435" s="278" t="s">
        <v>719</v>
      </c>
      <c r="H435" s="279"/>
      <c r="I435" s="280">
        <v>45504.0</v>
      </c>
      <c r="J435" s="34"/>
      <c r="K435" s="281">
        <v>0.38800000000000007</v>
      </c>
      <c r="L435" s="34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128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</row>
    <row r="436" hidden="1">
      <c r="A436" s="7"/>
      <c r="B436" s="7"/>
      <c r="C436" s="7"/>
      <c r="D436" s="7"/>
      <c r="E436" s="7"/>
      <c r="F436" s="276" t="s">
        <v>707</v>
      </c>
      <c r="G436" s="278" t="s">
        <v>720</v>
      </c>
      <c r="H436" s="279"/>
      <c r="I436" s="280">
        <v>45504.0</v>
      </c>
      <c r="J436" s="34"/>
      <c r="K436" s="281">
        <v>0.188</v>
      </c>
      <c r="L436" s="34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128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</row>
    <row r="437" hidden="1">
      <c r="A437" s="7"/>
      <c r="B437" s="7"/>
      <c r="C437" s="7"/>
      <c r="D437" s="7"/>
      <c r="E437" s="7"/>
      <c r="F437" s="276" t="s">
        <v>704</v>
      </c>
      <c r="G437" s="278" t="s">
        <v>705</v>
      </c>
      <c r="H437" s="279"/>
      <c r="I437" s="280">
        <v>45504.0</v>
      </c>
      <c r="J437" s="34"/>
      <c r="K437" s="281">
        <v>0.288</v>
      </c>
      <c r="L437" s="34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128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</row>
    <row r="438" hidden="1">
      <c r="A438" s="7"/>
      <c r="B438" s="7"/>
      <c r="C438" s="7"/>
      <c r="D438" s="7"/>
      <c r="E438" s="7"/>
      <c r="F438" s="276" t="s">
        <v>707</v>
      </c>
      <c r="G438" s="278" t="s">
        <v>720</v>
      </c>
      <c r="H438" s="279"/>
      <c r="I438" s="280">
        <v>45504.0</v>
      </c>
      <c r="J438" s="34"/>
      <c r="K438" s="281">
        <v>0.182</v>
      </c>
      <c r="L438" s="34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128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</row>
    <row r="439" hidden="1">
      <c r="A439" s="7"/>
      <c r="B439" s="7"/>
      <c r="C439" s="7"/>
      <c r="D439" s="7"/>
      <c r="E439" s="7"/>
      <c r="F439" s="276" t="s">
        <v>704</v>
      </c>
      <c r="G439" s="278" t="s">
        <v>719</v>
      </c>
      <c r="H439" s="279"/>
      <c r="I439" s="280">
        <v>45504.0</v>
      </c>
      <c r="J439" s="34"/>
      <c r="K439" s="281">
        <v>0.396</v>
      </c>
      <c r="L439" s="34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128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</row>
    <row r="440" hidden="1">
      <c r="A440" s="7"/>
      <c r="B440" s="7"/>
      <c r="C440" s="7"/>
      <c r="D440" s="7"/>
      <c r="E440" s="7"/>
      <c r="F440" s="276" t="s">
        <v>707</v>
      </c>
      <c r="G440" s="278" t="s">
        <v>708</v>
      </c>
      <c r="H440" s="279"/>
      <c r="I440" s="280">
        <v>45504.0</v>
      </c>
      <c r="J440" s="34"/>
      <c r="K440" s="281">
        <v>0.23</v>
      </c>
      <c r="L440" s="34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128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</row>
    <row r="441" hidden="1">
      <c r="A441" s="7"/>
      <c r="B441" s="7"/>
      <c r="C441" s="7"/>
      <c r="D441" s="7"/>
      <c r="E441" s="7"/>
      <c r="F441" s="276" t="s">
        <v>707</v>
      </c>
      <c r="G441" s="278" t="s">
        <v>720</v>
      </c>
      <c r="H441" s="279"/>
      <c r="I441" s="280">
        <v>45504.0</v>
      </c>
      <c r="J441" s="34"/>
      <c r="K441" s="281">
        <v>0.18400000000000002</v>
      </c>
      <c r="L441" s="34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128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</row>
    <row r="442" hidden="1">
      <c r="A442" s="7"/>
      <c r="B442" s="7"/>
      <c r="C442" s="7"/>
      <c r="D442" s="7"/>
      <c r="E442" s="7"/>
      <c r="F442" s="276" t="s">
        <v>716</v>
      </c>
      <c r="G442" s="278" t="s">
        <v>717</v>
      </c>
      <c r="H442" s="279"/>
      <c r="I442" s="280">
        <v>45504.0</v>
      </c>
      <c r="J442" s="34"/>
      <c r="K442" s="281">
        <v>0.792</v>
      </c>
      <c r="L442" s="34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128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</row>
    <row r="443" hidden="1">
      <c r="A443" s="7"/>
      <c r="B443" s="7"/>
      <c r="C443" s="7"/>
      <c r="D443" s="7"/>
      <c r="E443" s="7"/>
      <c r="F443" s="276" t="s">
        <v>716</v>
      </c>
      <c r="G443" s="278" t="s">
        <v>717</v>
      </c>
      <c r="H443" s="279"/>
      <c r="I443" s="280">
        <v>45505.0</v>
      </c>
      <c r="J443" s="34"/>
      <c r="K443" s="281">
        <v>0.7680000000000001</v>
      </c>
      <c r="L443" s="34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128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</row>
    <row r="444" hidden="1">
      <c r="A444" s="7"/>
      <c r="B444" s="7"/>
      <c r="C444" s="7"/>
      <c r="D444" s="7"/>
      <c r="E444" s="7"/>
      <c r="F444" s="276" t="s">
        <v>716</v>
      </c>
      <c r="G444" s="278" t="s">
        <v>732</v>
      </c>
      <c r="H444" s="279"/>
      <c r="I444" s="280">
        <v>45505.0</v>
      </c>
      <c r="J444" s="34"/>
      <c r="K444" s="281">
        <v>0.6719999999999999</v>
      </c>
      <c r="L444" s="34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128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</row>
    <row r="445" hidden="1">
      <c r="A445" s="7"/>
      <c r="B445" s="7"/>
      <c r="C445" s="7"/>
      <c r="D445" s="7"/>
      <c r="E445" s="7"/>
      <c r="F445" s="276" t="s">
        <v>707</v>
      </c>
      <c r="G445" s="278" t="s">
        <v>708</v>
      </c>
      <c r="H445" s="279"/>
      <c r="I445" s="280">
        <v>45505.0</v>
      </c>
      <c r="J445" s="34"/>
      <c r="K445" s="281">
        <v>0.2375</v>
      </c>
      <c r="L445" s="34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128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</row>
    <row r="446" hidden="1">
      <c r="A446" s="7"/>
      <c r="B446" s="7"/>
      <c r="C446" s="7"/>
      <c r="D446" s="7"/>
      <c r="E446" s="7"/>
      <c r="F446" s="276" t="s">
        <v>716</v>
      </c>
      <c r="G446" s="278" t="s">
        <v>729</v>
      </c>
      <c r="H446" s="279"/>
      <c r="I446" s="280">
        <v>45505.0</v>
      </c>
      <c r="J446" s="34"/>
      <c r="K446" s="281">
        <v>0.72</v>
      </c>
      <c r="L446" s="34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128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</row>
    <row r="447" hidden="1">
      <c r="A447" s="7"/>
      <c r="B447" s="7"/>
      <c r="C447" s="7"/>
      <c r="D447" s="7"/>
      <c r="E447" s="7"/>
      <c r="F447" s="276" t="s">
        <v>697</v>
      </c>
      <c r="G447" s="278" t="s">
        <v>698</v>
      </c>
      <c r="H447" s="279"/>
      <c r="I447" s="280">
        <v>45505.0</v>
      </c>
      <c r="J447" s="34"/>
      <c r="K447" s="281">
        <v>0.3</v>
      </c>
      <c r="L447" s="34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128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</row>
    <row r="448" hidden="1">
      <c r="A448" s="7"/>
      <c r="B448" s="7"/>
      <c r="C448" s="7"/>
      <c r="D448" s="7"/>
      <c r="E448" s="7"/>
      <c r="F448" s="276" t="s">
        <v>716</v>
      </c>
      <c r="G448" s="278" t="s">
        <v>729</v>
      </c>
      <c r="H448" s="279"/>
      <c r="I448" s="280">
        <v>45505.0</v>
      </c>
      <c r="J448" s="34"/>
      <c r="K448" s="281">
        <v>0.675</v>
      </c>
      <c r="L448" s="34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128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</row>
    <row r="449" hidden="1">
      <c r="A449" s="7"/>
      <c r="B449" s="7"/>
      <c r="C449" s="7"/>
      <c r="D449" s="7"/>
      <c r="E449" s="7"/>
      <c r="F449" s="276" t="s">
        <v>716</v>
      </c>
      <c r="G449" s="278" t="s">
        <v>729</v>
      </c>
      <c r="H449" s="279"/>
      <c r="I449" s="280">
        <v>45505.0</v>
      </c>
      <c r="J449" s="34"/>
      <c r="K449" s="281">
        <v>0.7425</v>
      </c>
      <c r="L449" s="34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128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</row>
    <row r="450" hidden="1">
      <c r="A450" s="7"/>
      <c r="B450" s="7"/>
      <c r="C450" s="7"/>
      <c r="D450" s="7"/>
      <c r="E450" s="7"/>
      <c r="F450" s="276" t="s">
        <v>697</v>
      </c>
      <c r="G450" s="278" t="s">
        <v>706</v>
      </c>
      <c r="H450" s="279"/>
      <c r="I450" s="280">
        <v>45505.0</v>
      </c>
      <c r="J450" s="34"/>
      <c r="K450" s="281">
        <v>0.46</v>
      </c>
      <c r="L450" s="34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128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</row>
    <row r="451" hidden="1">
      <c r="A451" s="7"/>
      <c r="B451" s="7"/>
      <c r="C451" s="7"/>
      <c r="D451" s="7"/>
      <c r="E451" s="7"/>
      <c r="F451" s="276" t="s">
        <v>707</v>
      </c>
      <c r="G451" s="278" t="s">
        <v>708</v>
      </c>
      <c r="H451" s="279"/>
      <c r="I451" s="280">
        <v>45505.0</v>
      </c>
      <c r="J451" s="34"/>
      <c r="K451" s="281">
        <v>0.2375</v>
      </c>
      <c r="L451" s="34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128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</row>
    <row r="452" hidden="1">
      <c r="A452" s="7"/>
      <c r="B452" s="7"/>
      <c r="C452" s="7"/>
      <c r="D452" s="7"/>
      <c r="E452" s="7"/>
      <c r="F452" s="276" t="s">
        <v>697</v>
      </c>
      <c r="G452" s="278" t="s">
        <v>700</v>
      </c>
      <c r="H452" s="279"/>
      <c r="I452" s="280">
        <v>45505.0</v>
      </c>
      <c r="J452" s="34"/>
      <c r="K452" s="281">
        <v>0.7440000000000001</v>
      </c>
      <c r="L452" s="34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128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</row>
    <row r="453" hidden="1">
      <c r="A453" s="7"/>
      <c r="B453" s="7"/>
      <c r="C453" s="7"/>
      <c r="D453" s="7"/>
      <c r="E453" s="7"/>
      <c r="F453" s="276" t="s">
        <v>704</v>
      </c>
      <c r="G453" s="278" t="s">
        <v>719</v>
      </c>
      <c r="H453" s="279"/>
      <c r="I453" s="280">
        <v>45505.0</v>
      </c>
      <c r="J453" s="34"/>
      <c r="K453" s="281">
        <v>0.38</v>
      </c>
      <c r="L453" s="34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128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</row>
    <row r="454" hidden="1">
      <c r="A454" s="7"/>
      <c r="B454" s="7"/>
      <c r="C454" s="7"/>
      <c r="D454" s="7"/>
      <c r="E454" s="7"/>
      <c r="F454" s="276" t="s">
        <v>704</v>
      </c>
      <c r="G454" s="278" t="s">
        <v>713</v>
      </c>
      <c r="H454" s="279"/>
      <c r="I454" s="280">
        <v>45505.0</v>
      </c>
      <c r="J454" s="34"/>
      <c r="K454" s="281">
        <v>0.693</v>
      </c>
      <c r="L454" s="34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128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</row>
    <row r="455" hidden="1">
      <c r="A455" s="7"/>
      <c r="B455" s="7"/>
      <c r="C455" s="7"/>
      <c r="D455" s="7"/>
      <c r="E455" s="7"/>
      <c r="F455" s="276" t="s">
        <v>704</v>
      </c>
      <c r="G455" s="278" t="s">
        <v>713</v>
      </c>
      <c r="H455" s="279"/>
      <c r="I455" s="280">
        <v>45505.0</v>
      </c>
      <c r="J455" s="34"/>
      <c r="K455" s="281">
        <v>0.665</v>
      </c>
      <c r="L455" s="34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128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</row>
    <row r="456" hidden="1">
      <c r="A456" s="7"/>
      <c r="B456" s="7"/>
      <c r="C456" s="7"/>
      <c r="D456" s="7"/>
      <c r="E456" s="7"/>
      <c r="F456" s="276" t="s">
        <v>704</v>
      </c>
      <c r="G456" s="278" t="s">
        <v>719</v>
      </c>
      <c r="H456" s="279"/>
      <c r="I456" s="280">
        <v>45505.0</v>
      </c>
      <c r="J456" s="34"/>
      <c r="K456" s="281">
        <v>0.376</v>
      </c>
      <c r="L456" s="34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128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</row>
    <row r="457" hidden="1">
      <c r="A457" s="7"/>
      <c r="B457" s="7"/>
      <c r="C457" s="7"/>
      <c r="D457" s="7"/>
      <c r="E457" s="7"/>
      <c r="F457" s="276" t="s">
        <v>707</v>
      </c>
      <c r="G457" s="278" t="s">
        <v>708</v>
      </c>
      <c r="H457" s="279"/>
      <c r="I457" s="280">
        <v>45506.0</v>
      </c>
      <c r="J457" s="34"/>
      <c r="K457" s="281">
        <v>0.23</v>
      </c>
      <c r="L457" s="34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128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</row>
    <row r="458" hidden="1">
      <c r="A458" s="7"/>
      <c r="B458" s="7"/>
      <c r="C458" s="7"/>
      <c r="D458" s="7"/>
      <c r="E458" s="7"/>
      <c r="F458" s="276" t="s">
        <v>697</v>
      </c>
      <c r="G458" s="278" t="s">
        <v>700</v>
      </c>
      <c r="H458" s="279"/>
      <c r="I458" s="280">
        <v>45506.0</v>
      </c>
      <c r="J458" s="34"/>
      <c r="K458" s="281">
        <v>0.728</v>
      </c>
      <c r="L458" s="34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128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</row>
    <row r="459" hidden="1">
      <c r="A459" s="7"/>
      <c r="B459" s="7"/>
      <c r="C459" s="7"/>
      <c r="D459" s="7"/>
      <c r="E459" s="7"/>
      <c r="F459" s="276" t="s">
        <v>716</v>
      </c>
      <c r="G459" s="278" t="s">
        <v>717</v>
      </c>
      <c r="H459" s="279"/>
      <c r="I459" s="280">
        <v>45506.0</v>
      </c>
      <c r="J459" s="34"/>
      <c r="K459" s="281">
        <v>0.76</v>
      </c>
      <c r="L459" s="34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128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</row>
    <row r="460" hidden="1">
      <c r="A460" s="7"/>
      <c r="B460" s="7"/>
      <c r="C460" s="7"/>
      <c r="D460" s="7"/>
      <c r="E460" s="7"/>
      <c r="F460" s="276" t="s">
        <v>716</v>
      </c>
      <c r="G460" s="278" t="s">
        <v>717</v>
      </c>
      <c r="H460" s="279"/>
      <c r="I460" s="280">
        <v>45506.0</v>
      </c>
      <c r="J460" s="34"/>
      <c r="K460" s="281">
        <v>0.792</v>
      </c>
      <c r="L460" s="34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128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</row>
    <row r="461" hidden="1">
      <c r="A461" s="7"/>
      <c r="B461" s="7"/>
      <c r="C461" s="7"/>
      <c r="D461" s="7"/>
      <c r="E461" s="7"/>
      <c r="F461" s="276" t="s">
        <v>707</v>
      </c>
      <c r="G461" s="278" t="s">
        <v>720</v>
      </c>
      <c r="H461" s="279"/>
      <c r="I461" s="280">
        <v>45506.0</v>
      </c>
      <c r="J461" s="34"/>
      <c r="K461" s="281">
        <v>0.19</v>
      </c>
      <c r="L461" s="34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128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</row>
    <row r="462" hidden="1">
      <c r="A462" s="7"/>
      <c r="B462" s="7"/>
      <c r="C462" s="7"/>
      <c r="D462" s="7"/>
      <c r="E462" s="7"/>
      <c r="F462" s="276" t="s">
        <v>697</v>
      </c>
      <c r="G462" s="278" t="s">
        <v>706</v>
      </c>
      <c r="H462" s="279"/>
      <c r="I462" s="280">
        <v>45506.0</v>
      </c>
      <c r="J462" s="34"/>
      <c r="K462" s="281">
        <v>0.47</v>
      </c>
      <c r="L462" s="34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128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</row>
    <row r="463" hidden="1">
      <c r="A463" s="7"/>
      <c r="B463" s="7"/>
      <c r="C463" s="7"/>
      <c r="D463" s="7"/>
      <c r="E463" s="7"/>
      <c r="F463" s="276" t="s">
        <v>697</v>
      </c>
      <c r="G463" s="278" t="s">
        <v>700</v>
      </c>
      <c r="H463" s="279"/>
      <c r="I463" s="280">
        <v>45506.0</v>
      </c>
      <c r="J463" s="34"/>
      <c r="K463" s="281">
        <v>0.72</v>
      </c>
      <c r="L463" s="34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128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</row>
    <row r="464" hidden="1">
      <c r="A464" s="7"/>
      <c r="B464" s="7"/>
      <c r="C464" s="7"/>
      <c r="D464" s="7"/>
      <c r="E464" s="7"/>
      <c r="F464" s="276" t="s">
        <v>697</v>
      </c>
      <c r="G464" s="278" t="s">
        <v>698</v>
      </c>
      <c r="H464" s="279"/>
      <c r="I464" s="280">
        <v>45506.0</v>
      </c>
      <c r="J464" s="34"/>
      <c r="K464" s="281">
        <v>0.27899999999999997</v>
      </c>
      <c r="L464" s="34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128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</row>
    <row r="465" hidden="1">
      <c r="A465" s="7"/>
      <c r="B465" s="7"/>
      <c r="C465" s="7"/>
      <c r="D465" s="7"/>
      <c r="E465" s="7"/>
      <c r="F465" s="276" t="s">
        <v>704</v>
      </c>
      <c r="G465" s="278" t="s">
        <v>719</v>
      </c>
      <c r="H465" s="279"/>
      <c r="I465" s="280">
        <v>45506.0</v>
      </c>
      <c r="J465" s="34"/>
      <c r="K465" s="281">
        <v>0.38400000000000006</v>
      </c>
      <c r="L465" s="34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128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</row>
    <row r="466" hidden="1">
      <c r="A466" s="7"/>
      <c r="B466" s="7"/>
      <c r="C466" s="7"/>
      <c r="D466" s="7"/>
      <c r="E466" s="7"/>
      <c r="F466" s="276" t="s">
        <v>697</v>
      </c>
      <c r="G466" s="278" t="s">
        <v>706</v>
      </c>
      <c r="H466" s="279"/>
      <c r="I466" s="280">
        <v>45506.0</v>
      </c>
      <c r="J466" s="34"/>
      <c r="K466" s="281">
        <v>0.5</v>
      </c>
      <c r="L466" s="34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128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</row>
    <row r="467" hidden="1">
      <c r="A467" s="7"/>
      <c r="B467" s="7"/>
      <c r="C467" s="7"/>
      <c r="D467" s="7"/>
      <c r="E467" s="7"/>
      <c r="F467" s="276" t="s">
        <v>704</v>
      </c>
      <c r="G467" s="278" t="s">
        <v>705</v>
      </c>
      <c r="H467" s="279"/>
      <c r="I467" s="280">
        <v>45506.0</v>
      </c>
      <c r="J467" s="34"/>
      <c r="K467" s="281">
        <v>0.285</v>
      </c>
      <c r="L467" s="34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128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</row>
    <row r="468" hidden="1">
      <c r="A468" s="7"/>
      <c r="B468" s="7"/>
      <c r="C468" s="7"/>
      <c r="D468" s="7"/>
      <c r="E468" s="7"/>
      <c r="F468" s="276" t="s">
        <v>704</v>
      </c>
      <c r="G468" s="278" t="s">
        <v>719</v>
      </c>
      <c r="H468" s="279"/>
      <c r="I468" s="280">
        <v>45506.0</v>
      </c>
      <c r="J468" s="34"/>
      <c r="K468" s="281">
        <v>0.38</v>
      </c>
      <c r="L468" s="34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128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</row>
    <row r="469" hidden="1">
      <c r="A469" s="7"/>
      <c r="B469" s="7"/>
      <c r="C469" s="7"/>
      <c r="D469" s="7"/>
      <c r="E469" s="7"/>
      <c r="F469" s="276" t="s">
        <v>697</v>
      </c>
      <c r="G469" s="278" t="s">
        <v>698</v>
      </c>
      <c r="H469" s="279"/>
      <c r="I469" s="280">
        <v>45506.0</v>
      </c>
      <c r="J469" s="34"/>
      <c r="K469" s="281">
        <v>0.288</v>
      </c>
      <c r="L469" s="34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128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</row>
    <row r="470" hidden="1">
      <c r="A470" s="7"/>
      <c r="B470" s="7"/>
      <c r="C470" s="7"/>
      <c r="D470" s="7"/>
      <c r="E470" s="7"/>
      <c r="F470" s="276" t="s">
        <v>707</v>
      </c>
      <c r="G470" s="278" t="s">
        <v>708</v>
      </c>
      <c r="H470" s="279"/>
      <c r="I470" s="280">
        <v>45507.0</v>
      </c>
      <c r="J470" s="34"/>
      <c r="K470" s="281">
        <v>0.245</v>
      </c>
      <c r="L470" s="34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128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</row>
    <row r="471" hidden="1">
      <c r="A471" s="7"/>
      <c r="B471" s="7"/>
      <c r="C471" s="7"/>
      <c r="D471" s="7"/>
      <c r="E471" s="7"/>
      <c r="F471" s="276" t="s">
        <v>716</v>
      </c>
      <c r="G471" s="278" t="s">
        <v>717</v>
      </c>
      <c r="H471" s="279"/>
      <c r="I471" s="280">
        <v>45507.0</v>
      </c>
      <c r="J471" s="34"/>
      <c r="K471" s="281">
        <v>0.7680000000000001</v>
      </c>
      <c r="L471" s="34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128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</row>
    <row r="472" hidden="1">
      <c r="A472" s="7"/>
      <c r="B472" s="7"/>
      <c r="C472" s="7"/>
      <c r="D472" s="7"/>
      <c r="E472" s="7"/>
      <c r="F472" s="276" t="s">
        <v>704</v>
      </c>
      <c r="G472" s="278" t="s">
        <v>713</v>
      </c>
      <c r="H472" s="279"/>
      <c r="I472" s="280">
        <v>45507.0</v>
      </c>
      <c r="J472" s="34"/>
      <c r="K472" s="281">
        <v>0.637</v>
      </c>
      <c r="L472" s="34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128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</row>
    <row r="473" hidden="1">
      <c r="A473" s="7"/>
      <c r="B473" s="7"/>
      <c r="C473" s="7"/>
      <c r="D473" s="7"/>
      <c r="E473" s="7"/>
      <c r="F473" s="276" t="s">
        <v>707</v>
      </c>
      <c r="G473" s="278" t="s">
        <v>708</v>
      </c>
      <c r="H473" s="279"/>
      <c r="I473" s="280">
        <v>45507.0</v>
      </c>
      <c r="J473" s="34"/>
      <c r="K473" s="281">
        <v>0.245</v>
      </c>
      <c r="L473" s="34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128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</row>
    <row r="474" hidden="1">
      <c r="A474" s="7"/>
      <c r="B474" s="7"/>
      <c r="C474" s="7"/>
      <c r="D474" s="7"/>
      <c r="E474" s="7"/>
      <c r="F474" s="276" t="s">
        <v>707</v>
      </c>
      <c r="G474" s="278" t="s">
        <v>708</v>
      </c>
      <c r="H474" s="279"/>
      <c r="I474" s="280">
        <v>45507.0</v>
      </c>
      <c r="J474" s="34"/>
      <c r="K474" s="281">
        <v>0.25</v>
      </c>
      <c r="L474" s="34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128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</row>
    <row r="475" hidden="1">
      <c r="A475" s="7"/>
      <c r="B475" s="7"/>
      <c r="C475" s="7"/>
      <c r="D475" s="7"/>
      <c r="E475" s="7"/>
      <c r="F475" s="276" t="s">
        <v>707</v>
      </c>
      <c r="G475" s="278" t="s">
        <v>720</v>
      </c>
      <c r="H475" s="279"/>
      <c r="I475" s="280">
        <v>45507.0</v>
      </c>
      <c r="J475" s="34"/>
      <c r="K475" s="281">
        <v>0.19400000000000003</v>
      </c>
      <c r="L475" s="34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128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</row>
    <row r="476" hidden="1">
      <c r="A476" s="7"/>
      <c r="B476" s="7"/>
      <c r="C476" s="7"/>
      <c r="D476" s="7"/>
      <c r="E476" s="7"/>
      <c r="F476" s="276" t="s">
        <v>704</v>
      </c>
      <c r="G476" s="278" t="s">
        <v>713</v>
      </c>
      <c r="H476" s="279"/>
      <c r="I476" s="280">
        <v>45507.0</v>
      </c>
      <c r="J476" s="34"/>
      <c r="K476" s="281">
        <v>0.6439999999999999</v>
      </c>
      <c r="L476" s="34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128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</row>
    <row r="477" hidden="1">
      <c r="A477" s="7"/>
      <c r="B477" s="7"/>
      <c r="C477" s="7"/>
      <c r="D477" s="7"/>
      <c r="E477" s="7"/>
      <c r="F477" s="276" t="s">
        <v>707</v>
      </c>
      <c r="G477" s="278" t="s">
        <v>712</v>
      </c>
      <c r="H477" s="279"/>
      <c r="I477" s="280">
        <v>45507.0</v>
      </c>
      <c r="J477" s="34"/>
      <c r="K477" s="281">
        <v>0.855</v>
      </c>
      <c r="L477" s="34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128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</row>
    <row r="478" hidden="1">
      <c r="A478" s="7"/>
      <c r="B478" s="7"/>
      <c r="C478" s="7"/>
      <c r="D478" s="7"/>
      <c r="E478" s="7"/>
      <c r="F478" s="276" t="s">
        <v>716</v>
      </c>
      <c r="G478" s="278" t="s">
        <v>729</v>
      </c>
      <c r="H478" s="279"/>
      <c r="I478" s="280">
        <v>45507.0</v>
      </c>
      <c r="J478" s="34"/>
      <c r="K478" s="281">
        <v>0.6825</v>
      </c>
      <c r="L478" s="34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128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</row>
    <row r="479" hidden="1">
      <c r="A479" s="7"/>
      <c r="B479" s="7"/>
      <c r="C479" s="7"/>
      <c r="D479" s="7"/>
      <c r="E479" s="7"/>
      <c r="F479" s="276" t="s">
        <v>707</v>
      </c>
      <c r="G479" s="278" t="s">
        <v>708</v>
      </c>
      <c r="H479" s="279"/>
      <c r="I479" s="280">
        <v>45508.0</v>
      </c>
      <c r="J479" s="34"/>
      <c r="K479" s="281">
        <v>0.2375</v>
      </c>
      <c r="L479" s="34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128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</row>
    <row r="480" hidden="1">
      <c r="A480" s="7"/>
      <c r="B480" s="7"/>
      <c r="C480" s="7"/>
      <c r="D480" s="7"/>
      <c r="E480" s="7"/>
      <c r="F480" s="276" t="s">
        <v>704</v>
      </c>
      <c r="G480" s="278" t="s">
        <v>705</v>
      </c>
      <c r="H480" s="279"/>
      <c r="I480" s="280">
        <v>45508.0</v>
      </c>
      <c r="J480" s="34"/>
      <c r="K480" s="281">
        <v>0.27599999999999997</v>
      </c>
      <c r="L480" s="34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128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</row>
    <row r="481" hidden="1">
      <c r="A481" s="7"/>
      <c r="B481" s="7"/>
      <c r="C481" s="7"/>
      <c r="D481" s="7"/>
      <c r="E481" s="7"/>
      <c r="F481" s="276" t="s">
        <v>697</v>
      </c>
      <c r="G481" s="278" t="s">
        <v>706</v>
      </c>
      <c r="H481" s="279"/>
      <c r="I481" s="280">
        <v>45508.0</v>
      </c>
      <c r="J481" s="34"/>
      <c r="K481" s="281">
        <v>0.47</v>
      </c>
      <c r="L481" s="34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128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</row>
    <row r="482" hidden="1">
      <c r="A482" s="7"/>
      <c r="B482" s="7"/>
      <c r="C482" s="7"/>
      <c r="D482" s="7"/>
      <c r="E482" s="7"/>
      <c r="F482" s="276" t="s">
        <v>716</v>
      </c>
      <c r="G482" s="278" t="s">
        <v>717</v>
      </c>
      <c r="H482" s="279"/>
      <c r="I482" s="280">
        <v>45508.0</v>
      </c>
      <c r="J482" s="34"/>
      <c r="K482" s="281">
        <v>0.792</v>
      </c>
      <c r="L482" s="34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128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</row>
    <row r="483" hidden="1">
      <c r="A483" s="7"/>
      <c r="B483" s="7"/>
      <c r="C483" s="7"/>
      <c r="D483" s="7"/>
      <c r="E483" s="7"/>
      <c r="F483" s="276" t="s">
        <v>716</v>
      </c>
      <c r="G483" s="278" t="s">
        <v>732</v>
      </c>
      <c r="H483" s="279"/>
      <c r="I483" s="280">
        <v>45508.0</v>
      </c>
      <c r="J483" s="34"/>
      <c r="K483" s="281">
        <v>0.6299999999999999</v>
      </c>
      <c r="L483" s="34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128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</row>
    <row r="484" hidden="1">
      <c r="A484" s="7"/>
      <c r="B484" s="7"/>
      <c r="C484" s="7"/>
      <c r="D484" s="7"/>
      <c r="E484" s="7"/>
      <c r="F484" s="276" t="s">
        <v>697</v>
      </c>
      <c r="G484" s="278" t="s">
        <v>706</v>
      </c>
      <c r="H484" s="279"/>
      <c r="I484" s="280">
        <v>45508.0</v>
      </c>
      <c r="J484" s="34"/>
      <c r="K484" s="281">
        <v>0.45</v>
      </c>
      <c r="L484" s="34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128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</row>
    <row r="485" hidden="1">
      <c r="A485" s="7"/>
      <c r="B485" s="7"/>
      <c r="C485" s="7"/>
      <c r="D485" s="7"/>
      <c r="E485" s="7"/>
      <c r="F485" s="276" t="s">
        <v>697</v>
      </c>
      <c r="G485" s="278" t="s">
        <v>700</v>
      </c>
      <c r="H485" s="279"/>
      <c r="I485" s="280">
        <v>45508.0</v>
      </c>
      <c r="J485" s="34"/>
      <c r="K485" s="281">
        <v>0.8</v>
      </c>
      <c r="L485" s="34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128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</row>
    <row r="486" hidden="1">
      <c r="A486" s="7"/>
      <c r="B486" s="7"/>
      <c r="C486" s="7"/>
      <c r="D486" s="7"/>
      <c r="E486" s="7"/>
      <c r="F486" s="276" t="s">
        <v>697</v>
      </c>
      <c r="G486" s="278" t="s">
        <v>700</v>
      </c>
      <c r="H486" s="279"/>
      <c r="I486" s="280">
        <v>45508.0</v>
      </c>
      <c r="J486" s="34"/>
      <c r="K486" s="281">
        <v>0.7760000000000001</v>
      </c>
      <c r="L486" s="34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128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</row>
    <row r="487" hidden="1">
      <c r="A487" s="7"/>
      <c r="B487" s="7"/>
      <c r="C487" s="7"/>
      <c r="D487" s="7"/>
      <c r="E487" s="7"/>
      <c r="F487" s="276" t="s">
        <v>716</v>
      </c>
      <c r="G487" s="278" t="s">
        <v>732</v>
      </c>
      <c r="H487" s="279"/>
      <c r="I487" s="280">
        <v>45508.0</v>
      </c>
      <c r="J487" s="34"/>
      <c r="K487" s="281">
        <v>0.6439999999999999</v>
      </c>
      <c r="L487" s="34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128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</row>
    <row r="488" hidden="1">
      <c r="A488" s="7"/>
      <c r="B488" s="7"/>
      <c r="C488" s="7"/>
      <c r="D488" s="7"/>
      <c r="E488" s="7"/>
      <c r="F488" s="276" t="s">
        <v>704</v>
      </c>
      <c r="G488" s="278" t="s">
        <v>713</v>
      </c>
      <c r="H488" s="279"/>
      <c r="I488" s="280">
        <v>45508.0</v>
      </c>
      <c r="J488" s="34"/>
      <c r="K488" s="281">
        <v>0.665</v>
      </c>
      <c r="L488" s="34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128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</row>
    <row r="489" hidden="1">
      <c r="A489" s="7"/>
      <c r="B489" s="7"/>
      <c r="C489" s="7"/>
      <c r="D489" s="7"/>
      <c r="E489" s="7"/>
      <c r="F489" s="276" t="s">
        <v>697</v>
      </c>
      <c r="G489" s="278" t="s">
        <v>700</v>
      </c>
      <c r="H489" s="279"/>
      <c r="I489" s="280">
        <v>45508.0</v>
      </c>
      <c r="J489" s="34"/>
      <c r="K489" s="281">
        <v>0.8</v>
      </c>
      <c r="L489" s="34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128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</row>
    <row r="490" hidden="1">
      <c r="A490" s="7"/>
      <c r="B490" s="7"/>
      <c r="C490" s="7"/>
      <c r="D490" s="7"/>
      <c r="E490" s="7"/>
      <c r="F490" s="276" t="s">
        <v>704</v>
      </c>
      <c r="G490" s="278" t="s">
        <v>719</v>
      </c>
      <c r="H490" s="279"/>
      <c r="I490" s="280">
        <v>45508.0</v>
      </c>
      <c r="J490" s="34"/>
      <c r="K490" s="281">
        <v>0.36</v>
      </c>
      <c r="L490" s="34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128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</row>
    <row r="491" hidden="1">
      <c r="A491" s="7"/>
      <c r="B491" s="7"/>
      <c r="C491" s="7"/>
      <c r="D491" s="7"/>
      <c r="E491" s="7"/>
      <c r="F491" s="276" t="s">
        <v>707</v>
      </c>
      <c r="G491" s="278" t="s">
        <v>720</v>
      </c>
      <c r="H491" s="279"/>
      <c r="I491" s="280">
        <v>45508.0</v>
      </c>
      <c r="J491" s="34"/>
      <c r="K491" s="281">
        <v>0.198</v>
      </c>
      <c r="L491" s="34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128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</row>
    <row r="492" hidden="1">
      <c r="A492" s="7"/>
      <c r="B492" s="7"/>
      <c r="C492" s="7"/>
      <c r="D492" s="7"/>
      <c r="E492" s="7"/>
      <c r="F492" s="276" t="s">
        <v>697</v>
      </c>
      <c r="G492" s="278" t="s">
        <v>698</v>
      </c>
      <c r="H492" s="279"/>
      <c r="I492" s="280">
        <v>45508.0</v>
      </c>
      <c r="J492" s="34"/>
      <c r="K492" s="281">
        <v>0.297</v>
      </c>
      <c r="L492" s="34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128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</row>
    <row r="493" hidden="1">
      <c r="A493" s="7"/>
      <c r="B493" s="7"/>
      <c r="C493" s="7"/>
      <c r="D493" s="7"/>
      <c r="E493" s="7"/>
      <c r="F493" s="276" t="s">
        <v>707</v>
      </c>
      <c r="G493" s="278" t="s">
        <v>720</v>
      </c>
      <c r="H493" s="279"/>
      <c r="I493" s="280">
        <v>45508.0</v>
      </c>
      <c r="J493" s="34"/>
      <c r="K493" s="281">
        <v>0.2</v>
      </c>
      <c r="L493" s="34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128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</row>
    <row r="494" hidden="1">
      <c r="A494" s="7"/>
      <c r="B494" s="7"/>
      <c r="C494" s="7"/>
      <c r="D494" s="7"/>
      <c r="E494" s="7"/>
      <c r="F494" s="276" t="s">
        <v>707</v>
      </c>
      <c r="G494" s="278" t="s">
        <v>712</v>
      </c>
      <c r="H494" s="279"/>
      <c r="I494" s="280">
        <v>45508.0</v>
      </c>
      <c r="J494" s="34"/>
      <c r="K494" s="281">
        <v>0.8460000000000001</v>
      </c>
      <c r="L494" s="34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128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</row>
    <row r="495" hidden="1">
      <c r="A495" s="7"/>
      <c r="B495" s="7"/>
      <c r="C495" s="7"/>
      <c r="D495" s="7"/>
      <c r="E495" s="7"/>
      <c r="F495" s="276" t="s">
        <v>707</v>
      </c>
      <c r="G495" s="278" t="s">
        <v>720</v>
      </c>
      <c r="H495" s="279"/>
      <c r="I495" s="280">
        <v>45508.0</v>
      </c>
      <c r="J495" s="34"/>
      <c r="K495" s="281">
        <v>0.2</v>
      </c>
      <c r="L495" s="34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128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</row>
    <row r="496" hidden="1">
      <c r="A496" s="7"/>
      <c r="B496" s="7"/>
      <c r="C496" s="7"/>
      <c r="D496" s="7"/>
      <c r="E496" s="7"/>
      <c r="F496" s="276" t="s">
        <v>707</v>
      </c>
      <c r="G496" s="278" t="s">
        <v>708</v>
      </c>
      <c r="H496" s="279"/>
      <c r="I496" s="280">
        <v>45508.0</v>
      </c>
      <c r="J496" s="34"/>
      <c r="K496" s="281">
        <v>0.2275</v>
      </c>
      <c r="L496" s="34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128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</row>
    <row r="497" hidden="1">
      <c r="A497" s="7"/>
      <c r="B497" s="7"/>
      <c r="C497" s="7"/>
      <c r="D497" s="7"/>
      <c r="E497" s="7"/>
      <c r="F497" s="276" t="s">
        <v>716</v>
      </c>
      <c r="G497" s="278" t="s">
        <v>729</v>
      </c>
      <c r="H497" s="279"/>
      <c r="I497" s="280">
        <v>45508.0</v>
      </c>
      <c r="J497" s="34"/>
      <c r="K497" s="281">
        <v>0.735</v>
      </c>
      <c r="L497" s="34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128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</row>
    <row r="498" hidden="1">
      <c r="A498" s="7"/>
      <c r="B498" s="7"/>
      <c r="C498" s="7"/>
      <c r="D498" s="7"/>
      <c r="E498" s="7"/>
      <c r="F498" s="276" t="s">
        <v>704</v>
      </c>
      <c r="G498" s="278" t="s">
        <v>713</v>
      </c>
      <c r="H498" s="279"/>
      <c r="I498" s="280">
        <v>45509.0</v>
      </c>
      <c r="J498" s="34"/>
      <c r="K498" s="281">
        <v>0.7</v>
      </c>
      <c r="L498" s="34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128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</row>
    <row r="499" hidden="1">
      <c r="A499" s="7"/>
      <c r="B499" s="7"/>
      <c r="C499" s="7"/>
      <c r="D499" s="7"/>
      <c r="E499" s="7"/>
      <c r="F499" s="276" t="s">
        <v>716</v>
      </c>
      <c r="G499" s="278" t="s">
        <v>732</v>
      </c>
      <c r="H499" s="279"/>
      <c r="I499" s="280">
        <v>45509.0</v>
      </c>
      <c r="J499" s="34"/>
      <c r="K499" s="281">
        <v>0.6789999999999999</v>
      </c>
      <c r="L499" s="34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128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</row>
    <row r="500" hidden="1">
      <c r="A500" s="7"/>
      <c r="B500" s="7"/>
      <c r="C500" s="7"/>
      <c r="D500" s="7"/>
      <c r="E500" s="7"/>
      <c r="F500" s="276" t="s">
        <v>716</v>
      </c>
      <c r="G500" s="278" t="s">
        <v>732</v>
      </c>
      <c r="H500" s="279"/>
      <c r="I500" s="280">
        <v>45509.0</v>
      </c>
      <c r="J500" s="34"/>
      <c r="K500" s="281">
        <v>0.6789999999999999</v>
      </c>
      <c r="L500" s="34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128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</row>
    <row r="501" hidden="1">
      <c r="A501" s="7"/>
      <c r="B501" s="7"/>
      <c r="C501" s="7"/>
      <c r="D501" s="7"/>
      <c r="E501" s="7"/>
      <c r="F501" s="276" t="s">
        <v>716</v>
      </c>
      <c r="G501" s="278" t="s">
        <v>717</v>
      </c>
      <c r="H501" s="279"/>
      <c r="I501" s="280">
        <v>45509.0</v>
      </c>
      <c r="J501" s="34"/>
      <c r="K501" s="281">
        <v>0.728</v>
      </c>
      <c r="L501" s="34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128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</row>
    <row r="502" hidden="1">
      <c r="A502" s="7"/>
      <c r="B502" s="7"/>
      <c r="C502" s="7"/>
      <c r="D502" s="7"/>
      <c r="E502" s="7"/>
      <c r="F502" s="276" t="s">
        <v>697</v>
      </c>
      <c r="G502" s="278" t="s">
        <v>698</v>
      </c>
      <c r="H502" s="279"/>
      <c r="I502" s="280">
        <v>45509.0</v>
      </c>
      <c r="J502" s="34"/>
      <c r="K502" s="281">
        <v>0.297</v>
      </c>
      <c r="L502" s="34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128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</row>
    <row r="503" hidden="1">
      <c r="A503" s="7"/>
      <c r="B503" s="7"/>
      <c r="C503" s="7"/>
      <c r="D503" s="7"/>
      <c r="E503" s="7"/>
      <c r="F503" s="276" t="s">
        <v>697</v>
      </c>
      <c r="G503" s="278" t="s">
        <v>698</v>
      </c>
      <c r="H503" s="279"/>
      <c r="I503" s="280">
        <v>45509.0</v>
      </c>
      <c r="J503" s="34"/>
      <c r="K503" s="281">
        <v>0.27899999999999997</v>
      </c>
      <c r="L503" s="34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128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</row>
    <row r="504" hidden="1">
      <c r="A504" s="7"/>
      <c r="B504" s="7"/>
      <c r="C504" s="7"/>
      <c r="D504" s="7"/>
      <c r="E504" s="7"/>
      <c r="F504" s="276" t="s">
        <v>704</v>
      </c>
      <c r="G504" s="278" t="s">
        <v>719</v>
      </c>
      <c r="H504" s="279"/>
      <c r="I504" s="280">
        <v>45509.0</v>
      </c>
      <c r="J504" s="34"/>
      <c r="K504" s="281">
        <v>0.4</v>
      </c>
      <c r="L504" s="34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128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</row>
    <row r="505" hidden="1">
      <c r="A505" s="7"/>
      <c r="B505" s="7"/>
      <c r="C505" s="7"/>
      <c r="D505" s="7"/>
      <c r="E505" s="7"/>
      <c r="F505" s="276" t="s">
        <v>707</v>
      </c>
      <c r="G505" s="278" t="s">
        <v>712</v>
      </c>
      <c r="H505" s="279"/>
      <c r="I505" s="280">
        <v>45509.0</v>
      </c>
      <c r="J505" s="34"/>
      <c r="K505" s="281">
        <v>0.873</v>
      </c>
      <c r="L505" s="34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128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</row>
    <row r="506" hidden="1">
      <c r="A506" s="7"/>
      <c r="B506" s="7"/>
      <c r="C506" s="7"/>
      <c r="D506" s="7"/>
      <c r="E506" s="7"/>
      <c r="F506" s="276" t="s">
        <v>704</v>
      </c>
      <c r="G506" s="278" t="s">
        <v>719</v>
      </c>
      <c r="H506" s="279"/>
      <c r="I506" s="280">
        <v>45509.0</v>
      </c>
      <c r="J506" s="34"/>
      <c r="K506" s="281">
        <v>0.4</v>
      </c>
      <c r="L506" s="34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128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</row>
    <row r="507" hidden="1">
      <c r="A507" s="7"/>
      <c r="B507" s="7"/>
      <c r="C507" s="7"/>
      <c r="D507" s="7"/>
      <c r="E507" s="7"/>
      <c r="F507" s="276" t="s">
        <v>716</v>
      </c>
      <c r="G507" s="278" t="s">
        <v>729</v>
      </c>
      <c r="H507" s="279"/>
      <c r="I507" s="280">
        <v>45509.0</v>
      </c>
      <c r="J507" s="34"/>
      <c r="K507" s="281">
        <v>0.735</v>
      </c>
      <c r="L507" s="34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128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</row>
    <row r="508" hidden="1">
      <c r="A508" s="7"/>
      <c r="B508" s="7"/>
      <c r="C508" s="7"/>
      <c r="D508" s="7"/>
      <c r="E508" s="7"/>
      <c r="F508" s="276" t="s">
        <v>716</v>
      </c>
      <c r="G508" s="278" t="s">
        <v>729</v>
      </c>
      <c r="H508" s="279"/>
      <c r="I508" s="280">
        <v>45509.0</v>
      </c>
      <c r="J508" s="34"/>
      <c r="K508" s="281">
        <v>0.7125</v>
      </c>
      <c r="L508" s="34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128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</row>
    <row r="509" hidden="1">
      <c r="A509" s="7"/>
      <c r="B509" s="7"/>
      <c r="C509" s="7"/>
      <c r="D509" s="7"/>
      <c r="E509" s="7"/>
      <c r="F509" s="276" t="s">
        <v>716</v>
      </c>
      <c r="G509" s="278" t="s">
        <v>729</v>
      </c>
      <c r="H509" s="279"/>
      <c r="I509" s="280">
        <v>45510.0</v>
      </c>
      <c r="J509" s="34"/>
      <c r="K509" s="281">
        <v>0.6825</v>
      </c>
      <c r="L509" s="34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128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</row>
    <row r="510" hidden="1">
      <c r="A510" s="7"/>
      <c r="B510" s="7"/>
      <c r="C510" s="7"/>
      <c r="D510" s="7"/>
      <c r="E510" s="7"/>
      <c r="F510" s="276" t="s">
        <v>707</v>
      </c>
      <c r="G510" s="278" t="s">
        <v>712</v>
      </c>
      <c r="H510" s="279"/>
      <c r="I510" s="280">
        <v>45510.0</v>
      </c>
      <c r="J510" s="34"/>
      <c r="K510" s="281">
        <v>0.873</v>
      </c>
      <c r="L510" s="34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128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</row>
    <row r="511" hidden="1">
      <c r="A511" s="7"/>
      <c r="B511" s="7"/>
      <c r="C511" s="7"/>
      <c r="D511" s="7"/>
      <c r="E511" s="7"/>
      <c r="F511" s="276" t="s">
        <v>707</v>
      </c>
      <c r="G511" s="278" t="s">
        <v>712</v>
      </c>
      <c r="H511" s="279"/>
      <c r="I511" s="280">
        <v>45510.0</v>
      </c>
      <c r="J511" s="34"/>
      <c r="K511" s="281">
        <v>0.81</v>
      </c>
      <c r="L511" s="34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128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</row>
    <row r="512" hidden="1">
      <c r="A512" s="7"/>
      <c r="B512" s="7"/>
      <c r="C512" s="7"/>
      <c r="D512" s="7"/>
      <c r="E512" s="7"/>
      <c r="F512" s="276" t="s">
        <v>704</v>
      </c>
      <c r="G512" s="278" t="s">
        <v>719</v>
      </c>
      <c r="H512" s="279"/>
      <c r="I512" s="280">
        <v>45510.0</v>
      </c>
      <c r="J512" s="34"/>
      <c r="K512" s="281">
        <v>0.38400000000000006</v>
      </c>
      <c r="L512" s="34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128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</row>
    <row r="513" hidden="1">
      <c r="A513" s="7"/>
      <c r="B513" s="7"/>
      <c r="C513" s="7"/>
      <c r="D513" s="7"/>
      <c r="E513" s="7"/>
      <c r="F513" s="276" t="s">
        <v>704</v>
      </c>
      <c r="G513" s="278" t="s">
        <v>705</v>
      </c>
      <c r="H513" s="279"/>
      <c r="I513" s="280">
        <v>45510.0</v>
      </c>
      <c r="J513" s="34"/>
      <c r="K513" s="281">
        <v>0.273</v>
      </c>
      <c r="L513" s="34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128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</row>
    <row r="514" hidden="1">
      <c r="A514" s="7"/>
      <c r="B514" s="7"/>
      <c r="C514" s="7"/>
      <c r="D514" s="7"/>
      <c r="E514" s="7"/>
      <c r="F514" s="276" t="s">
        <v>716</v>
      </c>
      <c r="G514" s="278" t="s">
        <v>729</v>
      </c>
      <c r="H514" s="279"/>
      <c r="I514" s="280">
        <v>45510.0</v>
      </c>
      <c r="J514" s="34"/>
      <c r="K514" s="281">
        <v>0.7275</v>
      </c>
      <c r="L514" s="34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128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</row>
    <row r="515" hidden="1">
      <c r="A515" s="7"/>
      <c r="B515" s="7"/>
      <c r="C515" s="7"/>
      <c r="D515" s="7"/>
      <c r="E515" s="7"/>
      <c r="F515" s="276" t="s">
        <v>716</v>
      </c>
      <c r="G515" s="278" t="s">
        <v>729</v>
      </c>
      <c r="H515" s="279"/>
      <c r="I515" s="280">
        <v>45510.0</v>
      </c>
      <c r="J515" s="34"/>
      <c r="K515" s="281">
        <v>0.72</v>
      </c>
      <c r="L515" s="34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128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</row>
    <row r="516" hidden="1">
      <c r="A516" s="7"/>
      <c r="B516" s="7"/>
      <c r="C516" s="7"/>
      <c r="D516" s="7"/>
      <c r="E516" s="7"/>
      <c r="F516" s="276" t="s">
        <v>697</v>
      </c>
      <c r="G516" s="278" t="s">
        <v>706</v>
      </c>
      <c r="H516" s="279"/>
      <c r="I516" s="280">
        <v>45510.0</v>
      </c>
      <c r="J516" s="34"/>
      <c r="K516" s="281">
        <v>0.46</v>
      </c>
      <c r="L516" s="34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128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</row>
    <row r="517" hidden="1">
      <c r="A517" s="7"/>
      <c r="B517" s="7"/>
      <c r="C517" s="7"/>
      <c r="D517" s="7"/>
      <c r="E517" s="7"/>
      <c r="F517" s="276" t="s">
        <v>716</v>
      </c>
      <c r="G517" s="278" t="s">
        <v>732</v>
      </c>
      <c r="H517" s="279"/>
      <c r="I517" s="280">
        <v>45510.0</v>
      </c>
      <c r="J517" s="34"/>
      <c r="K517" s="281">
        <v>0.6299999999999999</v>
      </c>
      <c r="L517" s="34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128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</row>
    <row r="518" hidden="1">
      <c r="A518" s="7"/>
      <c r="B518" s="7"/>
      <c r="C518" s="7"/>
      <c r="D518" s="7"/>
      <c r="E518" s="7"/>
      <c r="F518" s="276" t="s">
        <v>697</v>
      </c>
      <c r="G518" s="278" t="s">
        <v>700</v>
      </c>
      <c r="H518" s="279"/>
      <c r="I518" s="280">
        <v>45511.0</v>
      </c>
      <c r="J518" s="34"/>
      <c r="K518" s="281">
        <v>0.728</v>
      </c>
      <c r="L518" s="34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128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</row>
    <row r="519" hidden="1">
      <c r="A519" s="7"/>
      <c r="B519" s="7"/>
      <c r="C519" s="7"/>
      <c r="D519" s="7"/>
      <c r="E519" s="7"/>
      <c r="F519" s="276" t="s">
        <v>707</v>
      </c>
      <c r="G519" s="278" t="s">
        <v>720</v>
      </c>
      <c r="H519" s="279"/>
      <c r="I519" s="280">
        <v>45511.0</v>
      </c>
      <c r="J519" s="34"/>
      <c r="K519" s="281">
        <v>0.18400000000000002</v>
      </c>
      <c r="L519" s="34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128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</row>
    <row r="520" hidden="1">
      <c r="A520" s="7"/>
      <c r="B520" s="7"/>
      <c r="C520" s="7"/>
      <c r="D520" s="7"/>
      <c r="E520" s="7"/>
      <c r="F520" s="276" t="s">
        <v>707</v>
      </c>
      <c r="G520" s="278" t="s">
        <v>712</v>
      </c>
      <c r="H520" s="279"/>
      <c r="I520" s="280">
        <v>45511.0</v>
      </c>
      <c r="J520" s="34"/>
      <c r="K520" s="281">
        <v>0.9</v>
      </c>
      <c r="L520" s="34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128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</row>
    <row r="521" hidden="1">
      <c r="A521" s="7"/>
      <c r="B521" s="7"/>
      <c r="C521" s="7"/>
      <c r="D521" s="7"/>
      <c r="E521" s="7"/>
      <c r="F521" s="276" t="s">
        <v>704</v>
      </c>
      <c r="G521" s="278" t="s">
        <v>719</v>
      </c>
      <c r="H521" s="279"/>
      <c r="I521" s="280">
        <v>45511.0</v>
      </c>
      <c r="J521" s="34"/>
      <c r="K521" s="281">
        <v>0.36</v>
      </c>
      <c r="L521" s="34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128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</row>
    <row r="522" hidden="1">
      <c r="A522" s="7"/>
      <c r="B522" s="7"/>
      <c r="C522" s="7"/>
      <c r="D522" s="7"/>
      <c r="E522" s="7"/>
      <c r="F522" s="276" t="s">
        <v>707</v>
      </c>
      <c r="G522" s="278" t="s">
        <v>708</v>
      </c>
      <c r="H522" s="279"/>
      <c r="I522" s="280">
        <v>45511.0</v>
      </c>
      <c r="J522" s="34"/>
      <c r="K522" s="281">
        <v>0.235</v>
      </c>
      <c r="L522" s="34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128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</row>
    <row r="523" hidden="1">
      <c r="A523" s="7"/>
      <c r="B523" s="7"/>
      <c r="C523" s="7"/>
      <c r="D523" s="7"/>
      <c r="E523" s="7"/>
      <c r="F523" s="276" t="s">
        <v>704</v>
      </c>
      <c r="G523" s="278" t="s">
        <v>719</v>
      </c>
      <c r="H523" s="279"/>
      <c r="I523" s="280">
        <v>45511.0</v>
      </c>
      <c r="J523" s="34"/>
      <c r="K523" s="281">
        <v>0.376</v>
      </c>
      <c r="L523" s="34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128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</row>
    <row r="524" hidden="1">
      <c r="A524" s="7"/>
      <c r="B524" s="7"/>
      <c r="C524" s="7"/>
      <c r="D524" s="7"/>
      <c r="E524" s="7"/>
      <c r="F524" s="276" t="s">
        <v>707</v>
      </c>
      <c r="G524" s="278" t="s">
        <v>712</v>
      </c>
      <c r="H524" s="279"/>
      <c r="I524" s="280">
        <v>45511.0</v>
      </c>
      <c r="J524" s="34"/>
      <c r="K524" s="281">
        <v>0.828</v>
      </c>
      <c r="L524" s="34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128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</row>
    <row r="525" hidden="1">
      <c r="A525" s="7"/>
      <c r="B525" s="7"/>
      <c r="C525" s="7"/>
      <c r="D525" s="7"/>
      <c r="E525" s="7"/>
      <c r="F525" s="276" t="s">
        <v>707</v>
      </c>
      <c r="G525" s="278" t="s">
        <v>720</v>
      </c>
      <c r="H525" s="279"/>
      <c r="I525" s="280">
        <v>45511.0</v>
      </c>
      <c r="J525" s="34"/>
      <c r="K525" s="281">
        <v>0.19400000000000003</v>
      </c>
      <c r="L525" s="34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128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</row>
    <row r="526" hidden="1">
      <c r="A526" s="7"/>
      <c r="B526" s="7"/>
      <c r="C526" s="7"/>
      <c r="D526" s="7"/>
      <c r="E526" s="7"/>
      <c r="F526" s="276" t="s">
        <v>707</v>
      </c>
      <c r="G526" s="278" t="s">
        <v>720</v>
      </c>
      <c r="H526" s="279"/>
      <c r="I526" s="280">
        <v>45511.0</v>
      </c>
      <c r="J526" s="34"/>
      <c r="K526" s="281">
        <v>0.188</v>
      </c>
      <c r="L526" s="34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128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</row>
    <row r="527" hidden="1">
      <c r="A527" s="7"/>
      <c r="B527" s="7"/>
      <c r="C527" s="7"/>
      <c r="D527" s="7"/>
      <c r="E527" s="7"/>
      <c r="F527" s="276" t="s">
        <v>704</v>
      </c>
      <c r="G527" s="278" t="s">
        <v>705</v>
      </c>
      <c r="H527" s="279"/>
      <c r="I527" s="280">
        <v>45511.0</v>
      </c>
      <c r="J527" s="34"/>
      <c r="K527" s="281">
        <v>0.27</v>
      </c>
      <c r="L527" s="34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128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</row>
    <row r="528" hidden="1">
      <c r="A528" s="7"/>
      <c r="B528" s="7"/>
      <c r="C528" s="7"/>
      <c r="D528" s="7"/>
      <c r="E528" s="7"/>
      <c r="F528" s="276" t="s">
        <v>697</v>
      </c>
      <c r="G528" s="278" t="s">
        <v>706</v>
      </c>
      <c r="H528" s="279"/>
      <c r="I528" s="280">
        <v>45511.0</v>
      </c>
      <c r="J528" s="34"/>
      <c r="K528" s="281">
        <v>0.49</v>
      </c>
      <c r="L528" s="34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128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</row>
    <row r="529" hidden="1">
      <c r="A529" s="7"/>
      <c r="B529" s="7"/>
      <c r="C529" s="7"/>
      <c r="D529" s="7"/>
      <c r="E529" s="7"/>
      <c r="F529" s="276" t="s">
        <v>704</v>
      </c>
      <c r="G529" s="278" t="s">
        <v>713</v>
      </c>
      <c r="H529" s="279"/>
      <c r="I529" s="280">
        <v>45511.0</v>
      </c>
      <c r="J529" s="34"/>
      <c r="K529" s="281">
        <v>0.665</v>
      </c>
      <c r="L529" s="34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128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</row>
    <row r="530" hidden="1">
      <c r="A530" s="7"/>
      <c r="B530" s="7"/>
      <c r="C530" s="7"/>
      <c r="D530" s="7"/>
      <c r="E530" s="7"/>
      <c r="F530" s="276" t="s">
        <v>697</v>
      </c>
      <c r="G530" s="278" t="s">
        <v>698</v>
      </c>
      <c r="H530" s="279"/>
      <c r="I530" s="280">
        <v>45511.0</v>
      </c>
      <c r="J530" s="34"/>
      <c r="K530" s="281">
        <v>0.291</v>
      </c>
      <c r="L530" s="34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128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</row>
    <row r="531" hidden="1">
      <c r="A531" s="7"/>
      <c r="B531" s="7"/>
      <c r="C531" s="7"/>
      <c r="D531" s="7"/>
      <c r="E531" s="7"/>
      <c r="F531" s="276" t="s">
        <v>707</v>
      </c>
      <c r="G531" s="278" t="s">
        <v>708</v>
      </c>
      <c r="H531" s="279"/>
      <c r="I531" s="280">
        <v>45512.0</v>
      </c>
      <c r="J531" s="34"/>
      <c r="K531" s="281">
        <v>0.2375</v>
      </c>
      <c r="L531" s="34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128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</row>
    <row r="532" hidden="1">
      <c r="A532" s="7"/>
      <c r="B532" s="7"/>
      <c r="C532" s="7"/>
      <c r="D532" s="7"/>
      <c r="E532" s="7"/>
      <c r="F532" s="276" t="s">
        <v>707</v>
      </c>
      <c r="G532" s="278" t="s">
        <v>708</v>
      </c>
      <c r="H532" s="279"/>
      <c r="I532" s="280">
        <v>45512.0</v>
      </c>
      <c r="J532" s="34"/>
      <c r="K532" s="281">
        <v>0.2375</v>
      </c>
      <c r="L532" s="34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128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</row>
    <row r="533" hidden="1">
      <c r="A533" s="7"/>
      <c r="B533" s="7"/>
      <c r="C533" s="7"/>
      <c r="D533" s="7"/>
      <c r="E533" s="7"/>
      <c r="F533" s="276" t="s">
        <v>707</v>
      </c>
      <c r="G533" s="278" t="s">
        <v>708</v>
      </c>
      <c r="H533" s="279"/>
      <c r="I533" s="280">
        <v>45512.0</v>
      </c>
      <c r="J533" s="34"/>
      <c r="K533" s="281">
        <v>0.25</v>
      </c>
      <c r="L533" s="34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128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</row>
    <row r="534" hidden="1">
      <c r="A534" s="7"/>
      <c r="B534" s="7"/>
      <c r="C534" s="7"/>
      <c r="D534" s="7"/>
      <c r="E534" s="7"/>
      <c r="F534" s="276" t="s">
        <v>716</v>
      </c>
      <c r="G534" s="278" t="s">
        <v>729</v>
      </c>
      <c r="H534" s="279"/>
      <c r="I534" s="280">
        <v>45512.0</v>
      </c>
      <c r="J534" s="34"/>
      <c r="K534" s="281">
        <v>0.7125</v>
      </c>
      <c r="L534" s="34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128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</row>
    <row r="535" hidden="1">
      <c r="A535" s="7"/>
      <c r="B535" s="7"/>
      <c r="C535" s="7"/>
      <c r="D535" s="7"/>
      <c r="E535" s="7"/>
      <c r="F535" s="276" t="s">
        <v>707</v>
      </c>
      <c r="G535" s="278" t="s">
        <v>720</v>
      </c>
      <c r="H535" s="279"/>
      <c r="I535" s="280">
        <v>45512.0</v>
      </c>
      <c r="J535" s="34"/>
      <c r="K535" s="281">
        <v>0.188</v>
      </c>
      <c r="L535" s="34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128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</row>
    <row r="536" hidden="1">
      <c r="A536" s="7"/>
      <c r="B536" s="7"/>
      <c r="C536" s="7"/>
      <c r="D536" s="7"/>
      <c r="E536" s="7"/>
      <c r="F536" s="276" t="s">
        <v>704</v>
      </c>
      <c r="G536" s="278" t="s">
        <v>713</v>
      </c>
      <c r="H536" s="279"/>
      <c r="I536" s="280">
        <v>45512.0</v>
      </c>
      <c r="J536" s="34"/>
      <c r="K536" s="281">
        <v>0.6719999999999999</v>
      </c>
      <c r="L536" s="34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128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</row>
    <row r="537" hidden="1">
      <c r="A537" s="7"/>
      <c r="B537" s="7"/>
      <c r="C537" s="7"/>
      <c r="D537" s="7"/>
      <c r="E537" s="7"/>
      <c r="F537" s="276" t="s">
        <v>716</v>
      </c>
      <c r="G537" s="278" t="s">
        <v>729</v>
      </c>
      <c r="H537" s="279"/>
      <c r="I537" s="280">
        <v>45512.0</v>
      </c>
      <c r="J537" s="34"/>
      <c r="K537" s="281">
        <v>0.69</v>
      </c>
      <c r="L537" s="34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128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</row>
    <row r="538" hidden="1">
      <c r="A538" s="7"/>
      <c r="B538" s="7"/>
      <c r="C538" s="7"/>
      <c r="D538" s="7"/>
      <c r="E538" s="7"/>
      <c r="F538" s="276" t="s">
        <v>697</v>
      </c>
      <c r="G538" s="278" t="s">
        <v>700</v>
      </c>
      <c r="H538" s="279"/>
      <c r="I538" s="280">
        <v>45512.0</v>
      </c>
      <c r="J538" s="34"/>
      <c r="K538" s="281">
        <v>0.76</v>
      </c>
      <c r="L538" s="34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128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</row>
    <row r="539" hidden="1">
      <c r="A539" s="7"/>
      <c r="B539" s="7"/>
      <c r="C539" s="7"/>
      <c r="D539" s="7"/>
      <c r="E539" s="7"/>
      <c r="F539" s="276" t="s">
        <v>697</v>
      </c>
      <c r="G539" s="278" t="s">
        <v>698</v>
      </c>
      <c r="H539" s="279"/>
      <c r="I539" s="280">
        <v>45512.0</v>
      </c>
      <c r="J539" s="34"/>
      <c r="K539" s="281">
        <v>0.3</v>
      </c>
      <c r="L539" s="34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128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</row>
    <row r="540" hidden="1">
      <c r="A540" s="7"/>
      <c r="B540" s="7"/>
      <c r="C540" s="7"/>
      <c r="D540" s="7"/>
      <c r="E540" s="7"/>
      <c r="F540" s="276" t="s">
        <v>716</v>
      </c>
      <c r="G540" s="278" t="s">
        <v>732</v>
      </c>
      <c r="H540" s="279"/>
      <c r="I540" s="280">
        <v>45512.0</v>
      </c>
      <c r="J540" s="34"/>
      <c r="K540" s="281">
        <v>0.6509999999999999</v>
      </c>
      <c r="L540" s="34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128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</row>
    <row r="541" hidden="1">
      <c r="A541" s="7"/>
      <c r="B541" s="7"/>
      <c r="C541" s="7"/>
      <c r="D541" s="7"/>
      <c r="E541" s="7"/>
      <c r="F541" s="276" t="s">
        <v>697</v>
      </c>
      <c r="G541" s="278" t="s">
        <v>706</v>
      </c>
      <c r="H541" s="279"/>
      <c r="I541" s="280">
        <v>45513.0</v>
      </c>
      <c r="J541" s="34"/>
      <c r="K541" s="281">
        <v>0.46</v>
      </c>
      <c r="L541" s="34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128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</row>
    <row r="542" hidden="1">
      <c r="A542" s="7"/>
      <c r="B542" s="7"/>
      <c r="C542" s="7"/>
      <c r="D542" s="7"/>
      <c r="E542" s="7"/>
      <c r="F542" s="276" t="s">
        <v>704</v>
      </c>
      <c r="G542" s="278" t="s">
        <v>713</v>
      </c>
      <c r="H542" s="279"/>
      <c r="I542" s="280">
        <v>45513.0</v>
      </c>
      <c r="J542" s="34"/>
      <c r="K542" s="281">
        <v>0.693</v>
      </c>
      <c r="L542" s="34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128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</row>
    <row r="543" hidden="1">
      <c r="A543" s="7"/>
      <c r="B543" s="7"/>
      <c r="C543" s="7"/>
      <c r="D543" s="7"/>
      <c r="E543" s="7"/>
      <c r="F543" s="276" t="s">
        <v>704</v>
      </c>
      <c r="G543" s="278" t="s">
        <v>705</v>
      </c>
      <c r="H543" s="279"/>
      <c r="I543" s="280">
        <v>45513.0</v>
      </c>
      <c r="J543" s="34"/>
      <c r="K543" s="281">
        <v>0.297</v>
      </c>
      <c r="L543" s="34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128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</row>
    <row r="544" hidden="1">
      <c r="A544" s="7"/>
      <c r="B544" s="7"/>
      <c r="C544" s="7"/>
      <c r="D544" s="7"/>
      <c r="E544" s="7"/>
      <c r="F544" s="276" t="s">
        <v>707</v>
      </c>
      <c r="G544" s="278" t="s">
        <v>708</v>
      </c>
      <c r="H544" s="279"/>
      <c r="I544" s="280">
        <v>45513.0</v>
      </c>
      <c r="J544" s="34"/>
      <c r="K544" s="281">
        <v>0.2475</v>
      </c>
      <c r="L544" s="34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128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</row>
    <row r="545" hidden="1">
      <c r="A545" s="7"/>
      <c r="B545" s="7"/>
      <c r="C545" s="7"/>
      <c r="D545" s="7"/>
      <c r="E545" s="7"/>
      <c r="F545" s="276" t="s">
        <v>704</v>
      </c>
      <c r="G545" s="278" t="s">
        <v>713</v>
      </c>
      <c r="H545" s="279"/>
      <c r="I545" s="280">
        <v>45513.0</v>
      </c>
      <c r="J545" s="34"/>
      <c r="K545" s="281">
        <v>0.693</v>
      </c>
      <c r="L545" s="34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128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</row>
    <row r="546" hidden="1">
      <c r="A546" s="7"/>
      <c r="B546" s="7"/>
      <c r="C546" s="7"/>
      <c r="D546" s="7"/>
      <c r="E546" s="7"/>
      <c r="F546" s="276" t="s">
        <v>716</v>
      </c>
      <c r="G546" s="278" t="s">
        <v>732</v>
      </c>
      <c r="H546" s="279"/>
      <c r="I546" s="280">
        <v>45513.0</v>
      </c>
      <c r="J546" s="34"/>
      <c r="K546" s="281">
        <v>0.6439999999999999</v>
      </c>
      <c r="L546" s="34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128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</row>
    <row r="547" hidden="1">
      <c r="A547" s="7"/>
      <c r="B547" s="7"/>
      <c r="C547" s="7"/>
      <c r="D547" s="7"/>
      <c r="E547" s="7"/>
      <c r="F547" s="276" t="s">
        <v>707</v>
      </c>
      <c r="G547" s="278" t="s">
        <v>720</v>
      </c>
      <c r="H547" s="279"/>
      <c r="I547" s="280">
        <v>45513.0</v>
      </c>
      <c r="J547" s="34"/>
      <c r="K547" s="281">
        <v>0.19200000000000003</v>
      </c>
      <c r="L547" s="34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128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</row>
    <row r="548" hidden="1">
      <c r="A548" s="7"/>
      <c r="B548" s="7"/>
      <c r="C548" s="7"/>
      <c r="D548" s="7"/>
      <c r="E548" s="7"/>
      <c r="F548" s="276" t="s">
        <v>704</v>
      </c>
      <c r="G548" s="278" t="s">
        <v>719</v>
      </c>
      <c r="H548" s="279"/>
      <c r="I548" s="280">
        <v>45513.0</v>
      </c>
      <c r="J548" s="34"/>
      <c r="K548" s="281">
        <v>0.36</v>
      </c>
      <c r="L548" s="34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128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</row>
    <row r="549" hidden="1">
      <c r="A549" s="7"/>
      <c r="B549" s="7"/>
      <c r="C549" s="7"/>
      <c r="D549" s="7"/>
      <c r="E549" s="7"/>
      <c r="F549" s="276" t="s">
        <v>716</v>
      </c>
      <c r="G549" s="278" t="s">
        <v>717</v>
      </c>
      <c r="H549" s="279"/>
      <c r="I549" s="280">
        <v>45513.0</v>
      </c>
      <c r="J549" s="34"/>
      <c r="K549" s="281">
        <v>0.7680000000000001</v>
      </c>
      <c r="L549" s="34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128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</row>
    <row r="550" hidden="1">
      <c r="A550" s="7"/>
      <c r="B550" s="7"/>
      <c r="C550" s="7"/>
      <c r="D550" s="7"/>
      <c r="E550" s="7"/>
      <c r="F550" s="276" t="s">
        <v>716</v>
      </c>
      <c r="G550" s="278" t="s">
        <v>732</v>
      </c>
      <c r="H550" s="279"/>
      <c r="I550" s="280">
        <v>45513.0</v>
      </c>
      <c r="J550" s="34"/>
      <c r="K550" s="281">
        <v>0.6859999999999999</v>
      </c>
      <c r="L550" s="34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128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</row>
    <row r="551" hidden="1">
      <c r="A551" s="7"/>
      <c r="B551" s="7"/>
      <c r="C551" s="7"/>
      <c r="D551" s="7"/>
      <c r="E551" s="7"/>
      <c r="F551" s="276" t="s">
        <v>707</v>
      </c>
      <c r="G551" s="278" t="s">
        <v>720</v>
      </c>
      <c r="H551" s="279"/>
      <c r="I551" s="280">
        <v>45513.0</v>
      </c>
      <c r="J551" s="34"/>
      <c r="K551" s="281">
        <v>0.19200000000000003</v>
      </c>
      <c r="L551" s="34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128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</row>
    <row r="552" hidden="1">
      <c r="A552" s="7"/>
      <c r="B552" s="7"/>
      <c r="C552" s="7"/>
      <c r="D552" s="7"/>
      <c r="E552" s="7"/>
      <c r="F552" s="276" t="s">
        <v>697</v>
      </c>
      <c r="G552" s="278" t="s">
        <v>698</v>
      </c>
      <c r="H552" s="279"/>
      <c r="I552" s="280">
        <v>45513.0</v>
      </c>
      <c r="J552" s="34"/>
      <c r="K552" s="281">
        <v>0.273</v>
      </c>
      <c r="L552" s="34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128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</row>
    <row r="553" hidden="1">
      <c r="A553" s="7"/>
      <c r="B553" s="7"/>
      <c r="C553" s="7"/>
      <c r="D553" s="7"/>
      <c r="E553" s="7"/>
      <c r="F553" s="276" t="s">
        <v>707</v>
      </c>
      <c r="G553" s="278" t="s">
        <v>708</v>
      </c>
      <c r="H553" s="279"/>
      <c r="I553" s="280">
        <v>45513.0</v>
      </c>
      <c r="J553" s="34"/>
      <c r="K553" s="281">
        <v>0.2425</v>
      </c>
      <c r="L553" s="34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128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</row>
    <row r="554" hidden="1">
      <c r="A554" s="7"/>
      <c r="B554" s="7"/>
      <c r="C554" s="7"/>
      <c r="D554" s="7"/>
      <c r="E554" s="7"/>
      <c r="F554" s="276" t="s">
        <v>704</v>
      </c>
      <c r="G554" s="278" t="s">
        <v>705</v>
      </c>
      <c r="H554" s="279"/>
      <c r="I554" s="280">
        <v>45513.0</v>
      </c>
      <c r="J554" s="34"/>
      <c r="K554" s="281">
        <v>0.297</v>
      </c>
      <c r="L554" s="34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128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</row>
    <row r="555" hidden="1">
      <c r="A555" s="7"/>
      <c r="B555" s="7"/>
      <c r="C555" s="7"/>
      <c r="D555" s="7"/>
      <c r="E555" s="7"/>
      <c r="F555" s="276" t="s">
        <v>697</v>
      </c>
      <c r="G555" s="278" t="s">
        <v>700</v>
      </c>
      <c r="H555" s="279"/>
      <c r="I555" s="280">
        <v>45513.0</v>
      </c>
      <c r="J555" s="34"/>
      <c r="K555" s="281">
        <v>0.792</v>
      </c>
      <c r="L555" s="34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128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</row>
    <row r="556" hidden="1">
      <c r="A556" s="7"/>
      <c r="B556" s="7"/>
      <c r="C556" s="7"/>
      <c r="D556" s="7"/>
      <c r="E556" s="7"/>
      <c r="F556" s="276" t="s">
        <v>704</v>
      </c>
      <c r="G556" s="278" t="s">
        <v>719</v>
      </c>
      <c r="H556" s="279"/>
      <c r="I556" s="280">
        <v>45513.0</v>
      </c>
      <c r="J556" s="34"/>
      <c r="K556" s="281">
        <v>0.4</v>
      </c>
      <c r="L556" s="34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128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</row>
    <row r="557" hidden="1">
      <c r="A557" s="7"/>
      <c r="B557" s="7"/>
      <c r="C557" s="7"/>
      <c r="D557" s="7"/>
      <c r="E557" s="7"/>
      <c r="F557" s="276" t="s">
        <v>716</v>
      </c>
      <c r="G557" s="278" t="s">
        <v>732</v>
      </c>
      <c r="H557" s="279"/>
      <c r="I557" s="280">
        <v>45514.0</v>
      </c>
      <c r="J557" s="34"/>
      <c r="K557" s="281">
        <v>0.7</v>
      </c>
      <c r="L557" s="34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128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</row>
    <row r="558" hidden="1">
      <c r="A558" s="7"/>
      <c r="B558" s="7"/>
      <c r="C558" s="7"/>
      <c r="D558" s="7"/>
      <c r="E558" s="7"/>
      <c r="F558" s="276" t="s">
        <v>707</v>
      </c>
      <c r="G558" s="278" t="s">
        <v>712</v>
      </c>
      <c r="H558" s="279"/>
      <c r="I558" s="280">
        <v>45514.0</v>
      </c>
      <c r="J558" s="34"/>
      <c r="K558" s="281">
        <v>0.828</v>
      </c>
      <c r="L558" s="34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128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</row>
    <row r="559" hidden="1">
      <c r="A559" s="7"/>
      <c r="B559" s="7"/>
      <c r="C559" s="7"/>
      <c r="D559" s="7"/>
      <c r="E559" s="7"/>
      <c r="F559" s="276" t="s">
        <v>704</v>
      </c>
      <c r="G559" s="278" t="s">
        <v>719</v>
      </c>
      <c r="H559" s="279"/>
      <c r="I559" s="280">
        <v>45514.0</v>
      </c>
      <c r="J559" s="34"/>
      <c r="K559" s="281">
        <v>0.396</v>
      </c>
      <c r="L559" s="34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128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</row>
    <row r="560" hidden="1">
      <c r="A560" s="7"/>
      <c r="B560" s="7"/>
      <c r="C560" s="7"/>
      <c r="D560" s="7"/>
      <c r="E560" s="7"/>
      <c r="F560" s="276" t="s">
        <v>716</v>
      </c>
      <c r="G560" s="278" t="s">
        <v>717</v>
      </c>
      <c r="H560" s="279"/>
      <c r="I560" s="280">
        <v>45514.0</v>
      </c>
      <c r="J560" s="34"/>
      <c r="K560" s="281">
        <v>0.8</v>
      </c>
      <c r="L560" s="34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128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</row>
    <row r="561" hidden="1">
      <c r="A561" s="7"/>
      <c r="B561" s="7"/>
      <c r="C561" s="7"/>
      <c r="D561" s="7"/>
      <c r="E561" s="7"/>
      <c r="F561" s="276" t="s">
        <v>704</v>
      </c>
      <c r="G561" s="278" t="s">
        <v>713</v>
      </c>
      <c r="H561" s="279"/>
      <c r="I561" s="280">
        <v>45514.0</v>
      </c>
      <c r="J561" s="34"/>
      <c r="K561" s="281">
        <v>0.637</v>
      </c>
      <c r="L561" s="34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128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</row>
    <row r="562" hidden="1">
      <c r="A562" s="7"/>
      <c r="B562" s="7"/>
      <c r="C562" s="7"/>
      <c r="D562" s="7"/>
      <c r="E562" s="7"/>
      <c r="F562" s="276" t="s">
        <v>707</v>
      </c>
      <c r="G562" s="278" t="s">
        <v>712</v>
      </c>
      <c r="H562" s="279"/>
      <c r="I562" s="280">
        <v>45514.0</v>
      </c>
      <c r="J562" s="34"/>
      <c r="K562" s="281">
        <v>0.8640000000000001</v>
      </c>
      <c r="L562" s="34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128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</row>
    <row r="563" hidden="1">
      <c r="A563" s="7"/>
      <c r="B563" s="7"/>
      <c r="C563" s="7"/>
      <c r="D563" s="7"/>
      <c r="E563" s="7"/>
      <c r="F563" s="276" t="s">
        <v>697</v>
      </c>
      <c r="G563" s="278" t="s">
        <v>706</v>
      </c>
      <c r="H563" s="279"/>
      <c r="I563" s="280">
        <v>45514.0</v>
      </c>
      <c r="J563" s="34"/>
      <c r="K563" s="281">
        <v>0.475</v>
      </c>
      <c r="L563" s="34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128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</row>
    <row r="564" hidden="1">
      <c r="A564" s="7"/>
      <c r="B564" s="7"/>
      <c r="C564" s="7"/>
      <c r="D564" s="7"/>
      <c r="E564" s="7"/>
      <c r="F564" s="276" t="s">
        <v>716</v>
      </c>
      <c r="G564" s="278" t="s">
        <v>717</v>
      </c>
      <c r="H564" s="279"/>
      <c r="I564" s="280">
        <v>45514.0</v>
      </c>
      <c r="J564" s="34"/>
      <c r="K564" s="281">
        <v>0.784</v>
      </c>
      <c r="L564" s="34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128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</row>
    <row r="565" hidden="1">
      <c r="A565" s="7"/>
      <c r="B565" s="7"/>
      <c r="C565" s="7"/>
      <c r="D565" s="7"/>
      <c r="E565" s="7"/>
      <c r="F565" s="276" t="s">
        <v>707</v>
      </c>
      <c r="G565" s="278" t="s">
        <v>720</v>
      </c>
      <c r="H565" s="279"/>
      <c r="I565" s="280">
        <v>45514.0</v>
      </c>
      <c r="J565" s="34"/>
      <c r="K565" s="281">
        <v>0.18</v>
      </c>
      <c r="L565" s="34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128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</row>
    <row r="566" hidden="1">
      <c r="A566" s="7"/>
      <c r="B566" s="7"/>
      <c r="C566" s="7"/>
      <c r="D566" s="7"/>
      <c r="E566" s="7"/>
      <c r="F566" s="276" t="s">
        <v>707</v>
      </c>
      <c r="G566" s="278" t="s">
        <v>708</v>
      </c>
      <c r="H566" s="279"/>
      <c r="I566" s="280">
        <v>45514.0</v>
      </c>
      <c r="J566" s="34"/>
      <c r="K566" s="281">
        <v>0.2475</v>
      </c>
      <c r="L566" s="34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128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</row>
    <row r="567" hidden="1">
      <c r="A567" s="7"/>
      <c r="B567" s="7"/>
      <c r="C567" s="7"/>
      <c r="D567" s="7"/>
      <c r="E567" s="7"/>
      <c r="F567" s="276" t="s">
        <v>704</v>
      </c>
      <c r="G567" s="278" t="s">
        <v>705</v>
      </c>
      <c r="H567" s="279"/>
      <c r="I567" s="280">
        <v>45514.0</v>
      </c>
      <c r="J567" s="34"/>
      <c r="K567" s="281">
        <v>0.294</v>
      </c>
      <c r="L567" s="34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128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</row>
    <row r="568" hidden="1">
      <c r="A568" s="7"/>
      <c r="B568" s="7"/>
      <c r="C568" s="7"/>
      <c r="D568" s="7"/>
      <c r="E568" s="7"/>
      <c r="F568" s="276" t="s">
        <v>716</v>
      </c>
      <c r="G568" s="278" t="s">
        <v>717</v>
      </c>
      <c r="H568" s="279"/>
      <c r="I568" s="280">
        <v>45514.0</v>
      </c>
      <c r="J568" s="34"/>
      <c r="K568" s="281">
        <v>0.76</v>
      </c>
      <c r="L568" s="34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128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</row>
    <row r="569" hidden="1">
      <c r="A569" s="7"/>
      <c r="B569" s="7"/>
      <c r="C569" s="7"/>
      <c r="D569" s="7"/>
      <c r="E569" s="7"/>
      <c r="F569" s="276" t="s">
        <v>704</v>
      </c>
      <c r="G569" s="278" t="s">
        <v>719</v>
      </c>
      <c r="H569" s="279"/>
      <c r="I569" s="280">
        <v>45515.0</v>
      </c>
      <c r="J569" s="34"/>
      <c r="K569" s="281">
        <v>0.36800000000000005</v>
      </c>
      <c r="L569" s="34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128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</row>
    <row r="570" hidden="1">
      <c r="A570" s="7"/>
      <c r="B570" s="7"/>
      <c r="C570" s="7"/>
      <c r="D570" s="7"/>
      <c r="E570" s="7"/>
      <c r="F570" s="276" t="s">
        <v>697</v>
      </c>
      <c r="G570" s="278" t="s">
        <v>700</v>
      </c>
      <c r="H570" s="279"/>
      <c r="I570" s="280">
        <v>45515.0</v>
      </c>
      <c r="J570" s="34"/>
      <c r="K570" s="281">
        <v>0.7680000000000001</v>
      </c>
      <c r="L570" s="34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128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</row>
    <row r="571" hidden="1">
      <c r="A571" s="7"/>
      <c r="B571" s="7"/>
      <c r="C571" s="7"/>
      <c r="D571" s="7"/>
      <c r="E571" s="7"/>
      <c r="F571" s="276" t="s">
        <v>707</v>
      </c>
      <c r="G571" s="278" t="s">
        <v>720</v>
      </c>
      <c r="H571" s="279"/>
      <c r="I571" s="280">
        <v>45515.0</v>
      </c>
      <c r="J571" s="34"/>
      <c r="K571" s="281">
        <v>0.18</v>
      </c>
      <c r="L571" s="34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128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</row>
    <row r="572" hidden="1">
      <c r="A572" s="7"/>
      <c r="B572" s="7"/>
      <c r="C572" s="7"/>
      <c r="D572" s="7"/>
      <c r="E572" s="7"/>
      <c r="F572" s="276" t="s">
        <v>716</v>
      </c>
      <c r="G572" s="278" t="s">
        <v>729</v>
      </c>
      <c r="H572" s="279"/>
      <c r="I572" s="280">
        <v>45515.0</v>
      </c>
      <c r="J572" s="34"/>
      <c r="K572" s="281">
        <v>0.7425</v>
      </c>
      <c r="L572" s="34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128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</row>
    <row r="573" hidden="1">
      <c r="A573" s="7"/>
      <c r="B573" s="7"/>
      <c r="C573" s="7"/>
      <c r="D573" s="7"/>
      <c r="E573" s="7"/>
      <c r="F573" s="276" t="s">
        <v>707</v>
      </c>
      <c r="G573" s="278" t="s">
        <v>720</v>
      </c>
      <c r="H573" s="279"/>
      <c r="I573" s="280">
        <v>45515.0</v>
      </c>
      <c r="J573" s="34"/>
      <c r="K573" s="281">
        <v>0.198</v>
      </c>
      <c r="L573" s="34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128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</row>
    <row r="574" hidden="1">
      <c r="A574" s="7"/>
      <c r="B574" s="7"/>
      <c r="C574" s="7"/>
      <c r="D574" s="7"/>
      <c r="E574" s="7"/>
      <c r="F574" s="276" t="s">
        <v>707</v>
      </c>
      <c r="G574" s="278" t="s">
        <v>708</v>
      </c>
      <c r="H574" s="279"/>
      <c r="I574" s="280">
        <v>45515.0</v>
      </c>
      <c r="J574" s="34"/>
      <c r="K574" s="281">
        <v>0.2325</v>
      </c>
      <c r="L574" s="34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128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</row>
    <row r="575" hidden="1">
      <c r="A575" s="7"/>
      <c r="B575" s="7"/>
      <c r="C575" s="7"/>
      <c r="D575" s="7"/>
      <c r="E575" s="7"/>
      <c r="F575" s="276" t="s">
        <v>697</v>
      </c>
      <c r="G575" s="278" t="s">
        <v>700</v>
      </c>
      <c r="H575" s="279"/>
      <c r="I575" s="280">
        <v>45515.0</v>
      </c>
      <c r="J575" s="34"/>
      <c r="K575" s="281">
        <v>0.728</v>
      </c>
      <c r="L575" s="34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128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</row>
    <row r="576" hidden="1">
      <c r="A576" s="7"/>
      <c r="B576" s="7"/>
      <c r="C576" s="7"/>
      <c r="D576" s="7"/>
      <c r="E576" s="7"/>
      <c r="F576" s="276" t="s">
        <v>707</v>
      </c>
      <c r="G576" s="278" t="s">
        <v>712</v>
      </c>
      <c r="H576" s="279"/>
      <c r="I576" s="280">
        <v>45515.0</v>
      </c>
      <c r="J576" s="34"/>
      <c r="K576" s="281">
        <v>0.8640000000000001</v>
      </c>
      <c r="L576" s="34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128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</row>
    <row r="577" hidden="1">
      <c r="A577" s="7"/>
      <c r="B577" s="7"/>
      <c r="C577" s="7"/>
      <c r="D577" s="7"/>
      <c r="E577" s="7"/>
      <c r="F577" s="276" t="s">
        <v>707</v>
      </c>
      <c r="G577" s="278" t="s">
        <v>720</v>
      </c>
      <c r="H577" s="279"/>
      <c r="I577" s="280">
        <v>45515.0</v>
      </c>
      <c r="J577" s="34"/>
      <c r="K577" s="281">
        <v>0.198</v>
      </c>
      <c r="L577" s="34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128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</row>
    <row r="578" hidden="1">
      <c r="A578" s="7"/>
      <c r="B578" s="7"/>
      <c r="C578" s="7"/>
      <c r="D578" s="7"/>
      <c r="E578" s="7"/>
      <c r="F578" s="276" t="s">
        <v>707</v>
      </c>
      <c r="G578" s="278" t="s">
        <v>708</v>
      </c>
      <c r="H578" s="279"/>
      <c r="I578" s="280">
        <v>45515.0</v>
      </c>
      <c r="J578" s="34"/>
      <c r="K578" s="281">
        <v>0.2325</v>
      </c>
      <c r="L578" s="34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128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</row>
    <row r="579" hidden="1">
      <c r="A579" s="7"/>
      <c r="B579" s="7"/>
      <c r="C579" s="7"/>
      <c r="D579" s="7"/>
      <c r="E579" s="7"/>
      <c r="F579" s="276" t="s">
        <v>697</v>
      </c>
      <c r="G579" s="278" t="s">
        <v>706</v>
      </c>
      <c r="H579" s="279"/>
      <c r="I579" s="280">
        <v>45515.0</v>
      </c>
      <c r="J579" s="34"/>
      <c r="K579" s="281">
        <v>0.465</v>
      </c>
      <c r="L579" s="34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128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</row>
    <row r="580" hidden="1">
      <c r="A580" s="7"/>
      <c r="B580" s="7"/>
      <c r="C580" s="7"/>
      <c r="D580" s="7"/>
      <c r="E580" s="7"/>
      <c r="F580" s="276" t="s">
        <v>697</v>
      </c>
      <c r="G580" s="278" t="s">
        <v>700</v>
      </c>
      <c r="H580" s="279"/>
      <c r="I580" s="280">
        <v>45515.0</v>
      </c>
      <c r="J580" s="34"/>
      <c r="K580" s="281">
        <v>0.752</v>
      </c>
      <c r="L580" s="34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128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</row>
    <row r="581" hidden="1">
      <c r="A581" s="7"/>
      <c r="B581" s="7"/>
      <c r="C581" s="7"/>
      <c r="D581" s="7"/>
      <c r="E581" s="7"/>
      <c r="F581" s="276" t="s">
        <v>697</v>
      </c>
      <c r="G581" s="278" t="s">
        <v>706</v>
      </c>
      <c r="H581" s="279"/>
      <c r="I581" s="280">
        <v>45516.0</v>
      </c>
      <c r="J581" s="34"/>
      <c r="K581" s="281">
        <v>0.47</v>
      </c>
      <c r="L581" s="34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128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</row>
    <row r="582" hidden="1">
      <c r="A582" s="7"/>
      <c r="B582" s="7"/>
      <c r="C582" s="7"/>
      <c r="D582" s="7"/>
      <c r="E582" s="7"/>
      <c r="F582" s="276" t="s">
        <v>697</v>
      </c>
      <c r="G582" s="278" t="s">
        <v>698</v>
      </c>
      <c r="H582" s="279"/>
      <c r="I582" s="280">
        <v>45516.0</v>
      </c>
      <c r="J582" s="34"/>
      <c r="K582" s="281">
        <v>0.282</v>
      </c>
      <c r="L582" s="34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128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</row>
    <row r="583" hidden="1">
      <c r="A583" s="7"/>
      <c r="B583" s="7"/>
      <c r="C583" s="7"/>
      <c r="D583" s="7"/>
      <c r="E583" s="7"/>
      <c r="F583" s="276" t="s">
        <v>704</v>
      </c>
      <c r="G583" s="278" t="s">
        <v>705</v>
      </c>
      <c r="H583" s="279"/>
      <c r="I583" s="280">
        <v>45516.0</v>
      </c>
      <c r="J583" s="34"/>
      <c r="K583" s="281">
        <v>0.282</v>
      </c>
      <c r="L583" s="34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128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</row>
    <row r="584" hidden="1">
      <c r="A584" s="7"/>
      <c r="B584" s="7"/>
      <c r="C584" s="7"/>
      <c r="D584" s="7"/>
      <c r="E584" s="7"/>
      <c r="F584" s="276" t="s">
        <v>697</v>
      </c>
      <c r="G584" s="278" t="s">
        <v>706</v>
      </c>
      <c r="H584" s="279"/>
      <c r="I584" s="280">
        <v>45516.0</v>
      </c>
      <c r="J584" s="34"/>
      <c r="K584" s="281">
        <v>0.465</v>
      </c>
      <c r="L584" s="34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128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</row>
    <row r="585" hidden="1">
      <c r="A585" s="7"/>
      <c r="B585" s="7"/>
      <c r="C585" s="7"/>
      <c r="D585" s="7"/>
      <c r="E585" s="7"/>
      <c r="F585" s="276" t="s">
        <v>716</v>
      </c>
      <c r="G585" s="278" t="s">
        <v>729</v>
      </c>
      <c r="H585" s="279"/>
      <c r="I585" s="280">
        <v>45516.0</v>
      </c>
      <c r="J585" s="34"/>
      <c r="K585" s="281">
        <v>0.7125</v>
      </c>
      <c r="L585" s="34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128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</row>
    <row r="586" hidden="1">
      <c r="A586" s="7"/>
      <c r="B586" s="7"/>
      <c r="C586" s="7"/>
      <c r="D586" s="7"/>
      <c r="E586" s="7"/>
      <c r="F586" s="276" t="s">
        <v>707</v>
      </c>
      <c r="G586" s="278" t="s">
        <v>720</v>
      </c>
      <c r="H586" s="279"/>
      <c r="I586" s="280">
        <v>45516.0</v>
      </c>
      <c r="J586" s="34"/>
      <c r="K586" s="281">
        <v>0.18400000000000002</v>
      </c>
      <c r="L586" s="34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128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</row>
    <row r="587" hidden="1">
      <c r="A587" s="7"/>
      <c r="B587" s="7"/>
      <c r="C587" s="7"/>
      <c r="D587" s="7"/>
      <c r="E587" s="7"/>
      <c r="F587" s="276" t="s">
        <v>704</v>
      </c>
      <c r="G587" s="278" t="s">
        <v>719</v>
      </c>
      <c r="H587" s="279"/>
      <c r="I587" s="280">
        <v>45516.0</v>
      </c>
      <c r="J587" s="34"/>
      <c r="K587" s="281">
        <v>0.376</v>
      </c>
      <c r="L587" s="34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128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</row>
    <row r="588" hidden="1">
      <c r="A588" s="7"/>
      <c r="B588" s="7"/>
      <c r="C588" s="7"/>
      <c r="D588" s="7"/>
      <c r="E588" s="7"/>
      <c r="F588" s="276" t="s">
        <v>704</v>
      </c>
      <c r="G588" s="278" t="s">
        <v>719</v>
      </c>
      <c r="H588" s="279"/>
      <c r="I588" s="280">
        <v>45516.0</v>
      </c>
      <c r="J588" s="34"/>
      <c r="K588" s="281">
        <v>0.36</v>
      </c>
      <c r="L588" s="34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128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</row>
    <row r="589" hidden="1">
      <c r="A589" s="7"/>
      <c r="B589" s="7"/>
      <c r="C589" s="7"/>
      <c r="D589" s="7"/>
      <c r="E589" s="7"/>
      <c r="F589" s="276" t="s">
        <v>716</v>
      </c>
      <c r="G589" s="278" t="s">
        <v>732</v>
      </c>
      <c r="H589" s="279"/>
      <c r="I589" s="280">
        <v>45516.0</v>
      </c>
      <c r="J589" s="34"/>
      <c r="K589" s="281">
        <v>0.665</v>
      </c>
      <c r="L589" s="34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128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</row>
    <row r="590" hidden="1">
      <c r="A590" s="7"/>
      <c r="B590" s="7"/>
      <c r="C590" s="7"/>
      <c r="D590" s="7"/>
      <c r="E590" s="7"/>
      <c r="F590" s="276" t="s">
        <v>704</v>
      </c>
      <c r="G590" s="278" t="s">
        <v>713</v>
      </c>
      <c r="H590" s="279"/>
      <c r="I590" s="280">
        <v>45516.0</v>
      </c>
      <c r="J590" s="34"/>
      <c r="K590" s="281">
        <v>0.637</v>
      </c>
      <c r="L590" s="34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128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</row>
    <row r="591" hidden="1">
      <c r="A591" s="7"/>
      <c r="B591" s="7"/>
      <c r="C591" s="7"/>
      <c r="D591" s="7"/>
      <c r="E591" s="7"/>
      <c r="F591" s="276" t="s">
        <v>704</v>
      </c>
      <c r="G591" s="278" t="s">
        <v>713</v>
      </c>
      <c r="H591" s="279"/>
      <c r="I591" s="280">
        <v>45517.0</v>
      </c>
      <c r="J591" s="34"/>
      <c r="K591" s="281">
        <v>0.693</v>
      </c>
      <c r="L591" s="34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128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</row>
    <row r="592" hidden="1">
      <c r="A592" s="7"/>
      <c r="B592" s="7"/>
      <c r="C592" s="7"/>
      <c r="D592" s="7"/>
      <c r="E592" s="7"/>
      <c r="F592" s="276" t="s">
        <v>716</v>
      </c>
      <c r="G592" s="278" t="s">
        <v>729</v>
      </c>
      <c r="H592" s="279"/>
      <c r="I592" s="280">
        <v>45517.0</v>
      </c>
      <c r="J592" s="34"/>
      <c r="K592" s="281">
        <v>0.7425</v>
      </c>
      <c r="L592" s="34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128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</row>
    <row r="593" hidden="1">
      <c r="A593" s="7"/>
      <c r="B593" s="7"/>
      <c r="C593" s="7"/>
      <c r="D593" s="7"/>
      <c r="E593" s="7"/>
      <c r="F593" s="276" t="s">
        <v>697</v>
      </c>
      <c r="G593" s="278" t="s">
        <v>706</v>
      </c>
      <c r="H593" s="279"/>
      <c r="I593" s="280">
        <v>45517.0</v>
      </c>
      <c r="J593" s="34"/>
      <c r="K593" s="281">
        <v>0.45</v>
      </c>
      <c r="L593" s="34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128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</row>
    <row r="594" hidden="1">
      <c r="A594" s="7"/>
      <c r="B594" s="7"/>
      <c r="C594" s="7"/>
      <c r="D594" s="7"/>
      <c r="E594" s="7"/>
      <c r="F594" s="276" t="s">
        <v>704</v>
      </c>
      <c r="G594" s="278" t="s">
        <v>705</v>
      </c>
      <c r="H594" s="279"/>
      <c r="I594" s="280">
        <v>45517.0</v>
      </c>
      <c r="J594" s="34"/>
      <c r="K594" s="281">
        <v>0.282</v>
      </c>
      <c r="L594" s="34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128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</row>
    <row r="595" hidden="1">
      <c r="A595" s="7"/>
      <c r="B595" s="7"/>
      <c r="C595" s="7"/>
      <c r="D595" s="7"/>
      <c r="E595" s="7"/>
      <c r="F595" s="276" t="s">
        <v>707</v>
      </c>
      <c r="G595" s="278" t="s">
        <v>720</v>
      </c>
      <c r="H595" s="279"/>
      <c r="I595" s="280">
        <v>45517.0</v>
      </c>
      <c r="J595" s="34"/>
      <c r="K595" s="281">
        <v>0.188</v>
      </c>
      <c r="L595" s="34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128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</row>
    <row r="596" hidden="1">
      <c r="A596" s="7"/>
      <c r="B596" s="7"/>
      <c r="C596" s="7"/>
      <c r="D596" s="7"/>
      <c r="E596" s="7"/>
      <c r="F596" s="276" t="s">
        <v>707</v>
      </c>
      <c r="G596" s="278" t="s">
        <v>708</v>
      </c>
      <c r="H596" s="279"/>
      <c r="I596" s="280">
        <v>45517.0</v>
      </c>
      <c r="J596" s="34"/>
      <c r="K596" s="281">
        <v>0.225</v>
      </c>
      <c r="L596" s="34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128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</row>
    <row r="597" hidden="1">
      <c r="A597" s="7"/>
      <c r="B597" s="7"/>
      <c r="C597" s="7"/>
      <c r="D597" s="7"/>
      <c r="E597" s="7"/>
      <c r="F597" s="276" t="s">
        <v>697</v>
      </c>
      <c r="G597" s="278" t="s">
        <v>700</v>
      </c>
      <c r="H597" s="279"/>
      <c r="I597" s="280">
        <v>45517.0</v>
      </c>
      <c r="J597" s="34"/>
      <c r="K597" s="281">
        <v>0.7680000000000001</v>
      </c>
      <c r="L597" s="34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128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</row>
    <row r="598" hidden="1">
      <c r="A598" s="7"/>
      <c r="B598" s="7"/>
      <c r="C598" s="7"/>
      <c r="D598" s="7"/>
      <c r="E598" s="7"/>
      <c r="F598" s="276" t="s">
        <v>704</v>
      </c>
      <c r="G598" s="278" t="s">
        <v>705</v>
      </c>
      <c r="H598" s="279"/>
      <c r="I598" s="280">
        <v>45517.0</v>
      </c>
      <c r="J598" s="34"/>
      <c r="K598" s="281">
        <v>0.27599999999999997</v>
      </c>
      <c r="L598" s="34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128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</row>
    <row r="599" hidden="1">
      <c r="A599" s="7"/>
      <c r="B599" s="7"/>
      <c r="C599" s="7"/>
      <c r="D599" s="7"/>
      <c r="E599" s="7"/>
      <c r="F599" s="276" t="s">
        <v>697</v>
      </c>
      <c r="G599" s="278" t="s">
        <v>700</v>
      </c>
      <c r="H599" s="279"/>
      <c r="I599" s="280">
        <v>45518.0</v>
      </c>
      <c r="J599" s="34"/>
      <c r="K599" s="281">
        <v>0.7680000000000001</v>
      </c>
      <c r="L599" s="34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128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</row>
    <row r="600" hidden="1">
      <c r="A600" s="7"/>
      <c r="B600" s="7"/>
      <c r="C600" s="7"/>
      <c r="D600" s="7"/>
      <c r="E600" s="7"/>
      <c r="F600" s="276" t="s">
        <v>716</v>
      </c>
      <c r="G600" s="278" t="s">
        <v>717</v>
      </c>
      <c r="H600" s="279"/>
      <c r="I600" s="280">
        <v>45518.0</v>
      </c>
      <c r="J600" s="34"/>
      <c r="K600" s="281">
        <v>0.792</v>
      </c>
      <c r="L600" s="34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128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</row>
    <row r="601" hidden="1">
      <c r="A601" s="7"/>
      <c r="B601" s="7"/>
      <c r="C601" s="7"/>
      <c r="D601" s="7"/>
      <c r="E601" s="7"/>
      <c r="F601" s="276" t="s">
        <v>704</v>
      </c>
      <c r="G601" s="278" t="s">
        <v>705</v>
      </c>
      <c r="H601" s="279"/>
      <c r="I601" s="280">
        <v>45518.0</v>
      </c>
      <c r="J601" s="34"/>
      <c r="K601" s="281">
        <v>0.3</v>
      </c>
      <c r="L601" s="34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128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</row>
    <row r="602" hidden="1">
      <c r="A602" s="7"/>
      <c r="B602" s="7"/>
      <c r="C602" s="7"/>
      <c r="D602" s="7"/>
      <c r="E602" s="7"/>
      <c r="F602" s="276" t="s">
        <v>716</v>
      </c>
      <c r="G602" s="278" t="s">
        <v>729</v>
      </c>
      <c r="H602" s="279"/>
      <c r="I602" s="280">
        <v>45518.0</v>
      </c>
      <c r="J602" s="34"/>
      <c r="K602" s="281">
        <v>0.7275</v>
      </c>
      <c r="L602" s="34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128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</row>
    <row r="603" hidden="1">
      <c r="A603" s="7"/>
      <c r="B603" s="7"/>
      <c r="C603" s="7"/>
      <c r="D603" s="7"/>
      <c r="E603" s="7"/>
      <c r="F603" s="276" t="s">
        <v>697</v>
      </c>
      <c r="G603" s="278" t="s">
        <v>698</v>
      </c>
      <c r="H603" s="279"/>
      <c r="I603" s="280">
        <v>45518.0</v>
      </c>
      <c r="J603" s="34"/>
      <c r="K603" s="281">
        <v>0.294</v>
      </c>
      <c r="L603" s="34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128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</row>
    <row r="604" hidden="1">
      <c r="A604" s="7"/>
      <c r="B604" s="7"/>
      <c r="C604" s="7"/>
      <c r="D604" s="7"/>
      <c r="E604" s="7"/>
      <c r="F604" s="276" t="s">
        <v>697</v>
      </c>
      <c r="G604" s="278" t="s">
        <v>706</v>
      </c>
      <c r="H604" s="279"/>
      <c r="I604" s="280">
        <v>45518.0</v>
      </c>
      <c r="J604" s="34"/>
      <c r="K604" s="281">
        <v>0.475</v>
      </c>
      <c r="L604" s="34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128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</row>
    <row r="605" hidden="1">
      <c r="A605" s="7"/>
      <c r="B605" s="7"/>
      <c r="C605" s="7"/>
      <c r="D605" s="7"/>
      <c r="E605" s="7"/>
      <c r="F605" s="276" t="s">
        <v>697</v>
      </c>
      <c r="G605" s="278" t="s">
        <v>706</v>
      </c>
      <c r="H605" s="279"/>
      <c r="I605" s="280">
        <v>45518.0</v>
      </c>
      <c r="J605" s="34"/>
      <c r="K605" s="281">
        <v>0.46</v>
      </c>
      <c r="L605" s="34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128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</row>
    <row r="606" hidden="1">
      <c r="A606" s="7"/>
      <c r="B606" s="7"/>
      <c r="C606" s="7"/>
      <c r="D606" s="7"/>
      <c r="E606" s="7"/>
      <c r="F606" s="276" t="s">
        <v>697</v>
      </c>
      <c r="G606" s="278" t="s">
        <v>706</v>
      </c>
      <c r="H606" s="279"/>
      <c r="I606" s="280">
        <v>45518.0</v>
      </c>
      <c r="J606" s="34"/>
      <c r="K606" s="281">
        <v>0.485</v>
      </c>
      <c r="L606" s="34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128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</row>
    <row r="607" hidden="1">
      <c r="A607" s="7"/>
      <c r="B607" s="7"/>
      <c r="C607" s="7"/>
      <c r="D607" s="7"/>
      <c r="E607" s="7"/>
      <c r="F607" s="276" t="s">
        <v>707</v>
      </c>
      <c r="G607" s="278" t="s">
        <v>712</v>
      </c>
      <c r="H607" s="279"/>
      <c r="I607" s="280">
        <v>45518.0</v>
      </c>
      <c r="J607" s="34"/>
      <c r="K607" s="281">
        <v>0.81</v>
      </c>
      <c r="L607" s="34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128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</row>
    <row r="608" hidden="1">
      <c r="A608" s="7"/>
      <c r="B608" s="7"/>
      <c r="C608" s="7"/>
      <c r="D608" s="7"/>
      <c r="E608" s="7"/>
      <c r="F608" s="276" t="s">
        <v>697</v>
      </c>
      <c r="G608" s="278" t="s">
        <v>706</v>
      </c>
      <c r="H608" s="279"/>
      <c r="I608" s="280">
        <v>45518.0</v>
      </c>
      <c r="J608" s="34"/>
      <c r="K608" s="281">
        <v>0.47</v>
      </c>
      <c r="L608" s="34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128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</row>
    <row r="609" hidden="1">
      <c r="A609" s="7"/>
      <c r="B609" s="7"/>
      <c r="C609" s="7"/>
      <c r="D609" s="7"/>
      <c r="E609" s="7"/>
      <c r="F609" s="276" t="s">
        <v>697</v>
      </c>
      <c r="G609" s="278" t="s">
        <v>698</v>
      </c>
      <c r="H609" s="279"/>
      <c r="I609" s="280">
        <v>45518.0</v>
      </c>
      <c r="J609" s="34"/>
      <c r="K609" s="281">
        <v>0.288</v>
      </c>
      <c r="L609" s="34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128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</row>
    <row r="610" hidden="1">
      <c r="A610" s="7"/>
      <c r="B610" s="7"/>
      <c r="C610" s="7"/>
      <c r="D610" s="7"/>
      <c r="E610" s="7"/>
      <c r="F610" s="276" t="s">
        <v>704</v>
      </c>
      <c r="G610" s="278" t="s">
        <v>713</v>
      </c>
      <c r="H610" s="279"/>
      <c r="I610" s="280">
        <v>45518.0</v>
      </c>
      <c r="J610" s="34"/>
      <c r="K610" s="281">
        <v>0.6299999999999999</v>
      </c>
      <c r="L610" s="34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128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</row>
    <row r="611" hidden="1">
      <c r="A611" s="7"/>
      <c r="B611" s="7"/>
      <c r="C611" s="7"/>
      <c r="D611" s="7"/>
      <c r="E611" s="7"/>
      <c r="F611" s="276" t="s">
        <v>716</v>
      </c>
      <c r="G611" s="278" t="s">
        <v>729</v>
      </c>
      <c r="H611" s="279"/>
      <c r="I611" s="280">
        <v>45518.0</v>
      </c>
      <c r="J611" s="34"/>
      <c r="K611" s="281">
        <v>0.7275</v>
      </c>
      <c r="L611" s="34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128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</row>
    <row r="612" hidden="1">
      <c r="A612" s="7"/>
      <c r="B612" s="7"/>
      <c r="C612" s="7"/>
      <c r="D612" s="7"/>
      <c r="E612" s="7"/>
      <c r="F612" s="276" t="s">
        <v>697</v>
      </c>
      <c r="G612" s="278" t="s">
        <v>706</v>
      </c>
      <c r="H612" s="279"/>
      <c r="I612" s="280">
        <v>45518.0</v>
      </c>
      <c r="J612" s="34"/>
      <c r="K612" s="281">
        <v>0.46</v>
      </c>
      <c r="L612" s="34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128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</row>
    <row r="613" hidden="1">
      <c r="A613" s="7"/>
      <c r="B613" s="7"/>
      <c r="C613" s="7"/>
      <c r="D613" s="7"/>
      <c r="E613" s="7"/>
      <c r="F613" s="276" t="s">
        <v>697</v>
      </c>
      <c r="G613" s="278" t="s">
        <v>706</v>
      </c>
      <c r="H613" s="279"/>
      <c r="I613" s="280">
        <v>45519.0</v>
      </c>
      <c r="J613" s="34"/>
      <c r="K613" s="281">
        <v>0.5</v>
      </c>
      <c r="L613" s="34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128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</row>
    <row r="614" hidden="1">
      <c r="A614" s="7"/>
      <c r="B614" s="7"/>
      <c r="C614" s="7"/>
      <c r="D614" s="7"/>
      <c r="E614" s="7"/>
      <c r="F614" s="276" t="s">
        <v>716</v>
      </c>
      <c r="G614" s="278" t="s">
        <v>717</v>
      </c>
      <c r="H614" s="279"/>
      <c r="I614" s="280">
        <v>45519.0</v>
      </c>
      <c r="J614" s="34"/>
      <c r="K614" s="281">
        <v>0.7680000000000001</v>
      </c>
      <c r="L614" s="34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128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</row>
    <row r="615" hidden="1">
      <c r="A615" s="7"/>
      <c r="B615" s="7"/>
      <c r="C615" s="7"/>
      <c r="D615" s="7"/>
      <c r="E615" s="7"/>
      <c r="F615" s="276" t="s">
        <v>707</v>
      </c>
      <c r="G615" s="278" t="s">
        <v>720</v>
      </c>
      <c r="H615" s="279"/>
      <c r="I615" s="280">
        <v>45519.0</v>
      </c>
      <c r="J615" s="34"/>
      <c r="K615" s="281">
        <v>0.182</v>
      </c>
      <c r="L615" s="34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128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</row>
    <row r="616" hidden="1">
      <c r="A616" s="7"/>
      <c r="B616" s="7"/>
      <c r="C616" s="7"/>
      <c r="D616" s="7"/>
      <c r="E616" s="7"/>
      <c r="F616" s="276" t="s">
        <v>707</v>
      </c>
      <c r="G616" s="278" t="s">
        <v>712</v>
      </c>
      <c r="H616" s="279"/>
      <c r="I616" s="280">
        <v>45519.0</v>
      </c>
      <c r="J616" s="34"/>
      <c r="K616" s="281">
        <v>0.882</v>
      </c>
      <c r="L616" s="34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128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</row>
    <row r="617" hidden="1">
      <c r="A617" s="7"/>
      <c r="B617" s="7"/>
      <c r="C617" s="7"/>
      <c r="D617" s="7"/>
      <c r="E617" s="7"/>
      <c r="F617" s="276" t="s">
        <v>704</v>
      </c>
      <c r="G617" s="278" t="s">
        <v>719</v>
      </c>
      <c r="H617" s="279"/>
      <c r="I617" s="280">
        <v>45519.0</v>
      </c>
      <c r="J617" s="34"/>
      <c r="K617" s="281">
        <v>0.36</v>
      </c>
      <c r="L617" s="34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128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</row>
    <row r="618" hidden="1">
      <c r="A618" s="7"/>
      <c r="B618" s="7"/>
      <c r="C618" s="7"/>
      <c r="D618" s="7"/>
      <c r="E618" s="7"/>
      <c r="F618" s="276" t="s">
        <v>716</v>
      </c>
      <c r="G618" s="278" t="s">
        <v>729</v>
      </c>
      <c r="H618" s="279"/>
      <c r="I618" s="280">
        <v>45519.0</v>
      </c>
      <c r="J618" s="34"/>
      <c r="K618" s="281">
        <v>0.6825</v>
      </c>
      <c r="L618" s="34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128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</row>
    <row r="619" hidden="1">
      <c r="A619" s="7"/>
      <c r="B619" s="7"/>
      <c r="C619" s="7"/>
      <c r="D619" s="7"/>
      <c r="E619" s="7"/>
      <c r="F619" s="276" t="s">
        <v>697</v>
      </c>
      <c r="G619" s="278" t="s">
        <v>706</v>
      </c>
      <c r="H619" s="279"/>
      <c r="I619" s="280">
        <v>45519.0</v>
      </c>
      <c r="J619" s="34"/>
      <c r="K619" s="281">
        <v>0.49</v>
      </c>
      <c r="L619" s="34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128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</row>
    <row r="620" hidden="1">
      <c r="A620" s="7"/>
      <c r="B620" s="7"/>
      <c r="C620" s="7"/>
      <c r="D620" s="7"/>
      <c r="E620" s="7"/>
      <c r="F620" s="276" t="s">
        <v>704</v>
      </c>
      <c r="G620" s="278" t="s">
        <v>719</v>
      </c>
      <c r="H620" s="279"/>
      <c r="I620" s="280">
        <v>45519.0</v>
      </c>
      <c r="J620" s="34"/>
      <c r="K620" s="281">
        <v>0.4</v>
      </c>
      <c r="L620" s="34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128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</row>
    <row r="621" hidden="1">
      <c r="A621" s="7"/>
      <c r="B621" s="7"/>
      <c r="C621" s="7"/>
      <c r="D621" s="7"/>
      <c r="E621" s="7"/>
      <c r="F621" s="276" t="s">
        <v>697</v>
      </c>
      <c r="G621" s="278" t="s">
        <v>706</v>
      </c>
      <c r="H621" s="279"/>
      <c r="I621" s="280">
        <v>45519.0</v>
      </c>
      <c r="J621" s="34"/>
      <c r="K621" s="281">
        <v>0.47</v>
      </c>
      <c r="L621" s="34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128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</row>
    <row r="622" hidden="1">
      <c r="A622" s="7"/>
      <c r="B622" s="7"/>
      <c r="C622" s="7"/>
      <c r="D622" s="7"/>
      <c r="E622" s="7"/>
      <c r="F622" s="276" t="s">
        <v>707</v>
      </c>
      <c r="G622" s="278" t="s">
        <v>708</v>
      </c>
      <c r="H622" s="279"/>
      <c r="I622" s="280">
        <v>45519.0</v>
      </c>
      <c r="J622" s="34"/>
      <c r="K622" s="281">
        <v>0.23</v>
      </c>
      <c r="L622" s="34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128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</row>
    <row r="623" hidden="1">
      <c r="A623" s="7"/>
      <c r="B623" s="7"/>
      <c r="C623" s="7"/>
      <c r="D623" s="7"/>
      <c r="E623" s="7"/>
      <c r="F623" s="276" t="s">
        <v>697</v>
      </c>
      <c r="G623" s="278" t="s">
        <v>700</v>
      </c>
      <c r="H623" s="279"/>
      <c r="I623" s="280">
        <v>45520.0</v>
      </c>
      <c r="J623" s="34"/>
      <c r="K623" s="281">
        <v>0.7360000000000001</v>
      </c>
      <c r="L623" s="34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128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</row>
    <row r="624" hidden="1">
      <c r="A624" s="7"/>
      <c r="B624" s="7"/>
      <c r="C624" s="7"/>
      <c r="D624" s="7"/>
      <c r="E624" s="7"/>
      <c r="F624" s="276" t="s">
        <v>697</v>
      </c>
      <c r="G624" s="278" t="s">
        <v>700</v>
      </c>
      <c r="H624" s="279"/>
      <c r="I624" s="280">
        <v>45520.0</v>
      </c>
      <c r="J624" s="34"/>
      <c r="K624" s="281">
        <v>0.7360000000000001</v>
      </c>
      <c r="L624" s="34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128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</row>
    <row r="625" hidden="1">
      <c r="A625" s="7"/>
      <c r="B625" s="7"/>
      <c r="C625" s="7"/>
      <c r="D625" s="7"/>
      <c r="E625" s="7"/>
      <c r="F625" s="276" t="s">
        <v>716</v>
      </c>
      <c r="G625" s="278" t="s">
        <v>729</v>
      </c>
      <c r="H625" s="279"/>
      <c r="I625" s="280">
        <v>45520.0</v>
      </c>
      <c r="J625" s="34"/>
      <c r="K625" s="281">
        <v>0.7275</v>
      </c>
      <c r="L625" s="34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128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</row>
    <row r="626" hidden="1">
      <c r="A626" s="7"/>
      <c r="B626" s="7"/>
      <c r="C626" s="7"/>
      <c r="D626" s="7"/>
      <c r="E626" s="7"/>
      <c r="F626" s="276" t="s">
        <v>716</v>
      </c>
      <c r="G626" s="278" t="s">
        <v>732</v>
      </c>
      <c r="H626" s="279"/>
      <c r="I626" s="280">
        <v>45520.0</v>
      </c>
      <c r="J626" s="34"/>
      <c r="K626" s="281">
        <v>0.665</v>
      </c>
      <c r="L626" s="34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128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</row>
    <row r="627" hidden="1">
      <c r="A627" s="7"/>
      <c r="B627" s="7"/>
      <c r="C627" s="7"/>
      <c r="D627" s="7"/>
      <c r="E627" s="7"/>
      <c r="F627" s="276" t="s">
        <v>707</v>
      </c>
      <c r="G627" s="278" t="s">
        <v>720</v>
      </c>
      <c r="H627" s="279"/>
      <c r="I627" s="280">
        <v>45520.0</v>
      </c>
      <c r="J627" s="34"/>
      <c r="K627" s="281">
        <v>0.18600000000000003</v>
      </c>
      <c r="L627" s="34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128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</row>
    <row r="628" hidden="1">
      <c r="A628" s="7"/>
      <c r="B628" s="7"/>
      <c r="C628" s="7"/>
      <c r="D628" s="7"/>
      <c r="E628" s="7"/>
      <c r="F628" s="276" t="s">
        <v>707</v>
      </c>
      <c r="G628" s="278" t="s">
        <v>708</v>
      </c>
      <c r="H628" s="279"/>
      <c r="I628" s="280">
        <v>45520.0</v>
      </c>
      <c r="J628" s="34"/>
      <c r="K628" s="281">
        <v>0.245</v>
      </c>
      <c r="L628" s="34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128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</row>
    <row r="629" hidden="1">
      <c r="A629" s="7"/>
      <c r="B629" s="7"/>
      <c r="C629" s="7"/>
      <c r="D629" s="7"/>
      <c r="E629" s="7"/>
      <c r="F629" s="276" t="s">
        <v>697</v>
      </c>
      <c r="G629" s="278" t="s">
        <v>706</v>
      </c>
      <c r="H629" s="279"/>
      <c r="I629" s="280">
        <v>45520.0</v>
      </c>
      <c r="J629" s="34"/>
      <c r="K629" s="281">
        <v>0.48</v>
      </c>
      <c r="L629" s="34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128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</row>
    <row r="630" hidden="1">
      <c r="A630" s="7"/>
      <c r="B630" s="7"/>
      <c r="C630" s="7"/>
      <c r="D630" s="7"/>
      <c r="E630" s="7"/>
      <c r="F630" s="276" t="s">
        <v>697</v>
      </c>
      <c r="G630" s="278" t="s">
        <v>706</v>
      </c>
      <c r="H630" s="279"/>
      <c r="I630" s="280">
        <v>45520.0</v>
      </c>
      <c r="J630" s="34"/>
      <c r="K630" s="281">
        <v>0.475</v>
      </c>
      <c r="L630" s="34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128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</row>
    <row r="631" hidden="1">
      <c r="A631" s="7"/>
      <c r="B631" s="7"/>
      <c r="C631" s="7"/>
      <c r="D631" s="7"/>
      <c r="E631" s="7"/>
      <c r="F631" s="276" t="s">
        <v>704</v>
      </c>
      <c r="G631" s="278" t="s">
        <v>713</v>
      </c>
      <c r="H631" s="279"/>
      <c r="I631" s="280">
        <v>45520.0</v>
      </c>
      <c r="J631" s="34"/>
      <c r="K631" s="281">
        <v>0.693</v>
      </c>
      <c r="L631" s="34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128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</row>
    <row r="632" hidden="1">
      <c r="A632" s="7"/>
      <c r="B632" s="7"/>
      <c r="C632" s="7"/>
      <c r="D632" s="7"/>
      <c r="E632" s="7"/>
      <c r="F632" s="276" t="s">
        <v>704</v>
      </c>
      <c r="G632" s="278" t="s">
        <v>705</v>
      </c>
      <c r="H632" s="279"/>
      <c r="I632" s="280">
        <v>45520.0</v>
      </c>
      <c r="J632" s="34"/>
      <c r="K632" s="281">
        <v>0.291</v>
      </c>
      <c r="L632" s="34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128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</row>
    <row r="633" hidden="1">
      <c r="A633" s="7"/>
      <c r="B633" s="7"/>
      <c r="C633" s="7"/>
      <c r="D633" s="7"/>
      <c r="E633" s="7"/>
      <c r="F633" s="276" t="s">
        <v>716</v>
      </c>
      <c r="G633" s="278" t="s">
        <v>717</v>
      </c>
      <c r="H633" s="279"/>
      <c r="I633" s="280">
        <v>45520.0</v>
      </c>
      <c r="J633" s="34"/>
      <c r="K633" s="281">
        <v>0.784</v>
      </c>
      <c r="L633" s="34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128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</row>
    <row r="634" hidden="1">
      <c r="A634" s="7"/>
      <c r="B634" s="7"/>
      <c r="C634" s="7"/>
      <c r="D634" s="7"/>
      <c r="E634" s="7"/>
      <c r="F634" s="276" t="s">
        <v>704</v>
      </c>
      <c r="G634" s="278" t="s">
        <v>705</v>
      </c>
      <c r="H634" s="279"/>
      <c r="I634" s="280">
        <v>45521.0</v>
      </c>
      <c r="J634" s="34"/>
      <c r="K634" s="281">
        <v>0.288</v>
      </c>
      <c r="L634" s="34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128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</row>
    <row r="635" hidden="1">
      <c r="A635" s="7"/>
      <c r="B635" s="7"/>
      <c r="C635" s="7"/>
      <c r="D635" s="7"/>
      <c r="E635" s="7"/>
      <c r="F635" s="276" t="s">
        <v>707</v>
      </c>
      <c r="G635" s="278" t="s">
        <v>712</v>
      </c>
      <c r="H635" s="279"/>
      <c r="I635" s="280">
        <v>45521.0</v>
      </c>
      <c r="J635" s="34"/>
      <c r="K635" s="281">
        <v>0.8460000000000001</v>
      </c>
      <c r="L635" s="34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128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</row>
    <row r="636" hidden="1">
      <c r="A636" s="7"/>
      <c r="B636" s="7"/>
      <c r="C636" s="7"/>
      <c r="D636" s="7"/>
      <c r="E636" s="7"/>
      <c r="F636" s="276" t="s">
        <v>697</v>
      </c>
      <c r="G636" s="278" t="s">
        <v>700</v>
      </c>
      <c r="H636" s="279"/>
      <c r="I636" s="280">
        <v>45521.0</v>
      </c>
      <c r="J636" s="34"/>
      <c r="K636" s="281">
        <v>0.752</v>
      </c>
      <c r="L636" s="34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128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</row>
    <row r="637" hidden="1">
      <c r="A637" s="7"/>
      <c r="B637" s="7"/>
      <c r="C637" s="7"/>
      <c r="D637" s="7"/>
      <c r="E637" s="7"/>
      <c r="F637" s="276" t="s">
        <v>716</v>
      </c>
      <c r="G637" s="278" t="s">
        <v>732</v>
      </c>
      <c r="H637" s="279"/>
      <c r="I637" s="280">
        <v>45521.0</v>
      </c>
      <c r="J637" s="34"/>
      <c r="K637" s="281">
        <v>0.6719999999999999</v>
      </c>
      <c r="L637" s="34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128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</row>
    <row r="638" hidden="1">
      <c r="A638" s="7"/>
      <c r="B638" s="7"/>
      <c r="C638" s="7"/>
      <c r="D638" s="7"/>
      <c r="E638" s="7"/>
      <c r="F638" s="276" t="s">
        <v>697</v>
      </c>
      <c r="G638" s="278" t="s">
        <v>698</v>
      </c>
      <c r="H638" s="279"/>
      <c r="I638" s="280">
        <v>45521.0</v>
      </c>
      <c r="J638" s="34"/>
      <c r="K638" s="281">
        <v>0.285</v>
      </c>
      <c r="L638" s="34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128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</row>
    <row r="639" hidden="1">
      <c r="A639" s="7"/>
      <c r="B639" s="7"/>
      <c r="C639" s="7"/>
      <c r="D639" s="7"/>
      <c r="E639" s="7"/>
      <c r="F639" s="276" t="s">
        <v>697</v>
      </c>
      <c r="G639" s="278" t="s">
        <v>706</v>
      </c>
      <c r="H639" s="279"/>
      <c r="I639" s="280">
        <v>45521.0</v>
      </c>
      <c r="J639" s="34"/>
      <c r="K639" s="281">
        <v>0.48</v>
      </c>
      <c r="L639" s="34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128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</row>
    <row r="640" hidden="1">
      <c r="A640" s="7"/>
      <c r="B640" s="7"/>
      <c r="C640" s="7"/>
      <c r="D640" s="7"/>
      <c r="E640" s="7"/>
      <c r="F640" s="276" t="s">
        <v>697</v>
      </c>
      <c r="G640" s="278" t="s">
        <v>700</v>
      </c>
      <c r="H640" s="279"/>
      <c r="I640" s="280">
        <v>45521.0</v>
      </c>
      <c r="J640" s="34"/>
      <c r="K640" s="281">
        <v>0.7440000000000001</v>
      </c>
      <c r="L640" s="34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128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</row>
    <row r="641" hidden="1">
      <c r="A641" s="7"/>
      <c r="B641" s="7"/>
      <c r="C641" s="7"/>
      <c r="D641" s="7"/>
      <c r="E641" s="7"/>
      <c r="F641" s="276" t="s">
        <v>716</v>
      </c>
      <c r="G641" s="278" t="s">
        <v>717</v>
      </c>
      <c r="H641" s="279"/>
      <c r="I641" s="280">
        <v>45521.0</v>
      </c>
      <c r="J641" s="34"/>
      <c r="K641" s="281">
        <v>0.728</v>
      </c>
      <c r="L641" s="34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128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</row>
    <row r="642" hidden="1">
      <c r="A642" s="7"/>
      <c r="B642" s="7"/>
      <c r="C642" s="7"/>
      <c r="D642" s="7"/>
      <c r="E642" s="7"/>
      <c r="F642" s="276" t="s">
        <v>697</v>
      </c>
      <c r="G642" s="278" t="s">
        <v>700</v>
      </c>
      <c r="H642" s="279"/>
      <c r="I642" s="280">
        <v>45521.0</v>
      </c>
      <c r="J642" s="34"/>
      <c r="K642" s="281">
        <v>0.7760000000000001</v>
      </c>
      <c r="L642" s="34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128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</row>
    <row r="643" hidden="1">
      <c r="A643" s="7"/>
      <c r="B643" s="7"/>
      <c r="C643" s="7"/>
      <c r="D643" s="7"/>
      <c r="E643" s="7"/>
      <c r="F643" s="276" t="s">
        <v>716</v>
      </c>
      <c r="G643" s="278" t="s">
        <v>732</v>
      </c>
      <c r="H643" s="279"/>
      <c r="I643" s="280">
        <v>45521.0</v>
      </c>
      <c r="J643" s="34"/>
      <c r="K643" s="281">
        <v>0.6299999999999999</v>
      </c>
      <c r="L643" s="34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128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</row>
    <row r="644" hidden="1">
      <c r="A644" s="7"/>
      <c r="B644" s="7"/>
      <c r="C644" s="7"/>
      <c r="D644" s="7"/>
      <c r="E644" s="7"/>
      <c r="F644" s="276" t="s">
        <v>707</v>
      </c>
      <c r="G644" s="278" t="s">
        <v>720</v>
      </c>
      <c r="H644" s="279"/>
      <c r="I644" s="280">
        <v>45522.0</v>
      </c>
      <c r="J644" s="34"/>
      <c r="K644" s="281">
        <v>0.182</v>
      </c>
      <c r="L644" s="34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128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</row>
    <row r="645" hidden="1">
      <c r="A645" s="7"/>
      <c r="B645" s="7"/>
      <c r="C645" s="7"/>
      <c r="D645" s="7"/>
      <c r="E645" s="7"/>
      <c r="F645" s="276" t="s">
        <v>707</v>
      </c>
      <c r="G645" s="278" t="s">
        <v>720</v>
      </c>
      <c r="H645" s="279"/>
      <c r="I645" s="280">
        <v>45522.0</v>
      </c>
      <c r="J645" s="34"/>
      <c r="K645" s="281">
        <v>0.198</v>
      </c>
      <c r="L645" s="34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128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</row>
    <row r="646" hidden="1">
      <c r="A646" s="7"/>
      <c r="B646" s="7"/>
      <c r="C646" s="7"/>
      <c r="D646" s="7"/>
      <c r="E646" s="7"/>
      <c r="F646" s="276" t="s">
        <v>716</v>
      </c>
      <c r="G646" s="278" t="s">
        <v>729</v>
      </c>
      <c r="H646" s="279"/>
      <c r="I646" s="280">
        <v>45522.0</v>
      </c>
      <c r="J646" s="34"/>
      <c r="K646" s="281">
        <v>0.705</v>
      </c>
      <c r="L646" s="34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128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</row>
    <row r="647" hidden="1">
      <c r="A647" s="7"/>
      <c r="B647" s="7"/>
      <c r="C647" s="7"/>
      <c r="D647" s="7"/>
      <c r="E647" s="7"/>
      <c r="F647" s="276" t="s">
        <v>697</v>
      </c>
      <c r="G647" s="278" t="s">
        <v>700</v>
      </c>
      <c r="H647" s="279"/>
      <c r="I647" s="280">
        <v>45522.0</v>
      </c>
      <c r="J647" s="34"/>
      <c r="K647" s="281">
        <v>0.72</v>
      </c>
      <c r="L647" s="34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128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</row>
    <row r="648" hidden="1">
      <c r="A648" s="7"/>
      <c r="B648" s="7"/>
      <c r="C648" s="7"/>
      <c r="D648" s="7"/>
      <c r="E648" s="7"/>
      <c r="F648" s="276" t="s">
        <v>707</v>
      </c>
      <c r="G648" s="278" t="s">
        <v>708</v>
      </c>
      <c r="H648" s="279"/>
      <c r="I648" s="280">
        <v>45522.0</v>
      </c>
      <c r="J648" s="34"/>
      <c r="K648" s="281">
        <v>0.225</v>
      </c>
      <c r="L648" s="34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128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</row>
    <row r="649" hidden="1">
      <c r="A649" s="7"/>
      <c r="B649" s="7"/>
      <c r="C649" s="7"/>
      <c r="D649" s="7"/>
      <c r="E649" s="7"/>
      <c r="F649" s="276" t="s">
        <v>704</v>
      </c>
      <c r="G649" s="278" t="s">
        <v>713</v>
      </c>
      <c r="H649" s="279"/>
      <c r="I649" s="280">
        <v>45522.0</v>
      </c>
      <c r="J649" s="34"/>
      <c r="K649" s="281">
        <v>0.665</v>
      </c>
      <c r="L649" s="34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128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</row>
    <row r="650" hidden="1">
      <c r="A650" s="7"/>
      <c r="B650" s="7"/>
      <c r="C650" s="7"/>
      <c r="D650" s="7"/>
      <c r="E650" s="7"/>
      <c r="F650" s="276" t="s">
        <v>697</v>
      </c>
      <c r="G650" s="278" t="s">
        <v>700</v>
      </c>
      <c r="H650" s="279"/>
      <c r="I650" s="280">
        <v>45522.0</v>
      </c>
      <c r="J650" s="34"/>
      <c r="K650" s="281">
        <v>0.792</v>
      </c>
      <c r="L650" s="34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128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</row>
    <row r="651" hidden="1">
      <c r="A651" s="7"/>
      <c r="B651" s="7"/>
      <c r="C651" s="7"/>
      <c r="D651" s="7"/>
      <c r="E651" s="7"/>
      <c r="F651" s="276" t="s">
        <v>707</v>
      </c>
      <c r="G651" s="278" t="s">
        <v>720</v>
      </c>
      <c r="H651" s="279"/>
      <c r="I651" s="280">
        <v>45523.0</v>
      </c>
      <c r="J651" s="34"/>
      <c r="K651" s="281">
        <v>0.182</v>
      </c>
      <c r="L651" s="34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128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</row>
    <row r="652" hidden="1">
      <c r="A652" s="7"/>
      <c r="B652" s="7"/>
      <c r="C652" s="7"/>
      <c r="D652" s="7"/>
      <c r="E652" s="7"/>
      <c r="F652" s="276" t="s">
        <v>704</v>
      </c>
      <c r="G652" s="278" t="s">
        <v>719</v>
      </c>
      <c r="H652" s="279"/>
      <c r="I652" s="280">
        <v>45523.0</v>
      </c>
      <c r="J652" s="34"/>
      <c r="K652" s="281">
        <v>0.36800000000000005</v>
      </c>
      <c r="L652" s="34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128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</row>
    <row r="653" hidden="1">
      <c r="A653" s="7"/>
      <c r="B653" s="7"/>
      <c r="C653" s="7"/>
      <c r="D653" s="7"/>
      <c r="E653" s="7"/>
      <c r="F653" s="276" t="s">
        <v>716</v>
      </c>
      <c r="G653" s="278" t="s">
        <v>729</v>
      </c>
      <c r="H653" s="279"/>
      <c r="I653" s="280">
        <v>45523.0</v>
      </c>
      <c r="J653" s="34"/>
      <c r="K653" s="281">
        <v>0.6825</v>
      </c>
      <c r="L653" s="34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128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</row>
    <row r="654" hidden="1">
      <c r="A654" s="7"/>
      <c r="B654" s="7"/>
      <c r="C654" s="7"/>
      <c r="D654" s="7"/>
      <c r="E654" s="7"/>
      <c r="F654" s="276" t="s">
        <v>707</v>
      </c>
      <c r="G654" s="278" t="s">
        <v>708</v>
      </c>
      <c r="H654" s="279"/>
      <c r="I654" s="280">
        <v>45523.0</v>
      </c>
      <c r="J654" s="34"/>
      <c r="K654" s="281">
        <v>0.2375</v>
      </c>
      <c r="L654" s="34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128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</row>
    <row r="655" hidden="1">
      <c r="A655" s="7"/>
      <c r="B655" s="7"/>
      <c r="C655" s="7"/>
      <c r="D655" s="7"/>
      <c r="E655" s="7"/>
      <c r="F655" s="276" t="s">
        <v>704</v>
      </c>
      <c r="G655" s="278" t="s">
        <v>713</v>
      </c>
      <c r="H655" s="279"/>
      <c r="I655" s="280">
        <v>45523.0</v>
      </c>
      <c r="J655" s="34"/>
      <c r="K655" s="281">
        <v>0.6579999999999999</v>
      </c>
      <c r="L655" s="34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128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</row>
    <row r="656" hidden="1">
      <c r="A656" s="7"/>
      <c r="B656" s="7"/>
      <c r="C656" s="7"/>
      <c r="D656" s="7"/>
      <c r="E656" s="7"/>
      <c r="F656" s="276" t="s">
        <v>707</v>
      </c>
      <c r="G656" s="278" t="s">
        <v>712</v>
      </c>
      <c r="H656" s="279"/>
      <c r="I656" s="280">
        <v>45523.0</v>
      </c>
      <c r="J656" s="34"/>
      <c r="K656" s="281">
        <v>0.9</v>
      </c>
      <c r="L656" s="34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128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</row>
    <row r="657" hidden="1">
      <c r="A657" s="7"/>
      <c r="B657" s="7"/>
      <c r="C657" s="7"/>
      <c r="D657" s="7"/>
      <c r="E657" s="7"/>
      <c r="F657" s="276" t="s">
        <v>704</v>
      </c>
      <c r="G657" s="278" t="s">
        <v>713</v>
      </c>
      <c r="H657" s="279"/>
      <c r="I657" s="280">
        <v>45523.0</v>
      </c>
      <c r="J657" s="34"/>
      <c r="K657" s="281">
        <v>0.693</v>
      </c>
      <c r="L657" s="34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128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</row>
    <row r="658" hidden="1">
      <c r="A658" s="7"/>
      <c r="B658" s="7"/>
      <c r="C658" s="7"/>
      <c r="D658" s="7"/>
      <c r="E658" s="7"/>
      <c r="F658" s="276" t="s">
        <v>707</v>
      </c>
      <c r="G658" s="278" t="s">
        <v>720</v>
      </c>
      <c r="H658" s="279"/>
      <c r="I658" s="280">
        <v>45523.0</v>
      </c>
      <c r="J658" s="34"/>
      <c r="K658" s="281">
        <v>0.19200000000000003</v>
      </c>
      <c r="L658" s="34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128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</row>
    <row r="659" hidden="1">
      <c r="A659" s="7"/>
      <c r="B659" s="7"/>
      <c r="C659" s="7"/>
      <c r="D659" s="7"/>
      <c r="E659" s="7"/>
      <c r="F659" s="276" t="s">
        <v>716</v>
      </c>
      <c r="G659" s="278" t="s">
        <v>732</v>
      </c>
      <c r="H659" s="279"/>
      <c r="I659" s="280">
        <v>45523.0</v>
      </c>
      <c r="J659" s="34"/>
      <c r="K659" s="281">
        <v>0.6789999999999999</v>
      </c>
      <c r="L659" s="34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128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</row>
    <row r="660" hidden="1">
      <c r="A660" s="7"/>
      <c r="B660" s="7"/>
      <c r="C660" s="7"/>
      <c r="D660" s="7"/>
      <c r="E660" s="7"/>
      <c r="F660" s="276" t="s">
        <v>716</v>
      </c>
      <c r="G660" s="278" t="s">
        <v>729</v>
      </c>
      <c r="H660" s="279"/>
      <c r="I660" s="280">
        <v>45523.0</v>
      </c>
      <c r="J660" s="34"/>
      <c r="K660" s="281">
        <v>0.69</v>
      </c>
      <c r="L660" s="34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128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</row>
    <row r="661" hidden="1">
      <c r="A661" s="7"/>
      <c r="B661" s="7"/>
      <c r="C661" s="7"/>
      <c r="D661" s="7"/>
      <c r="E661" s="7"/>
      <c r="F661" s="276" t="s">
        <v>697</v>
      </c>
      <c r="G661" s="278" t="s">
        <v>706</v>
      </c>
      <c r="H661" s="279"/>
      <c r="I661" s="280">
        <v>45524.0</v>
      </c>
      <c r="J661" s="34"/>
      <c r="K661" s="281">
        <v>0.495</v>
      </c>
      <c r="L661" s="34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128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</row>
    <row r="662" hidden="1">
      <c r="A662" s="7"/>
      <c r="B662" s="7"/>
      <c r="C662" s="7"/>
      <c r="D662" s="7"/>
      <c r="E662" s="7"/>
      <c r="F662" s="276" t="s">
        <v>704</v>
      </c>
      <c r="G662" s="278" t="s">
        <v>713</v>
      </c>
      <c r="H662" s="279"/>
      <c r="I662" s="280">
        <v>45524.0</v>
      </c>
      <c r="J662" s="34"/>
      <c r="K662" s="281">
        <v>0.6509999999999999</v>
      </c>
      <c r="L662" s="34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128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</row>
    <row r="663" hidden="1">
      <c r="A663" s="7"/>
      <c r="B663" s="7"/>
      <c r="C663" s="7"/>
      <c r="D663" s="7"/>
      <c r="E663" s="7"/>
      <c r="F663" s="276" t="s">
        <v>704</v>
      </c>
      <c r="G663" s="278" t="s">
        <v>719</v>
      </c>
      <c r="H663" s="279"/>
      <c r="I663" s="280">
        <v>45524.0</v>
      </c>
      <c r="J663" s="34"/>
      <c r="K663" s="281">
        <v>0.4</v>
      </c>
      <c r="L663" s="34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128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</row>
    <row r="664" hidden="1">
      <c r="A664" s="7"/>
      <c r="B664" s="7"/>
      <c r="C664" s="7"/>
      <c r="D664" s="7"/>
      <c r="E664" s="7"/>
      <c r="F664" s="276" t="s">
        <v>697</v>
      </c>
      <c r="G664" s="278" t="s">
        <v>700</v>
      </c>
      <c r="H664" s="279"/>
      <c r="I664" s="280">
        <v>45524.0</v>
      </c>
      <c r="J664" s="34"/>
      <c r="K664" s="281">
        <v>0.7440000000000001</v>
      </c>
      <c r="L664" s="34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128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</row>
    <row r="665" hidden="1">
      <c r="A665" s="7"/>
      <c r="B665" s="7"/>
      <c r="C665" s="7"/>
      <c r="D665" s="7"/>
      <c r="E665" s="7"/>
      <c r="F665" s="276" t="s">
        <v>697</v>
      </c>
      <c r="G665" s="278" t="s">
        <v>698</v>
      </c>
      <c r="H665" s="279"/>
      <c r="I665" s="280">
        <v>45524.0</v>
      </c>
      <c r="J665" s="34"/>
      <c r="K665" s="281">
        <v>0.273</v>
      </c>
      <c r="L665" s="34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128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</row>
    <row r="666" hidden="1">
      <c r="A666" s="7"/>
      <c r="B666" s="7"/>
      <c r="C666" s="7"/>
      <c r="D666" s="7"/>
      <c r="E666" s="7"/>
      <c r="F666" s="276" t="s">
        <v>707</v>
      </c>
      <c r="G666" s="278" t="s">
        <v>712</v>
      </c>
      <c r="H666" s="279"/>
      <c r="I666" s="280">
        <v>45524.0</v>
      </c>
      <c r="J666" s="34"/>
      <c r="K666" s="281">
        <v>0.8910000000000001</v>
      </c>
      <c r="L666" s="34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128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</row>
    <row r="667" hidden="1">
      <c r="A667" s="7"/>
      <c r="B667" s="7"/>
      <c r="C667" s="7"/>
      <c r="D667" s="7"/>
      <c r="E667" s="7"/>
      <c r="F667" s="276" t="s">
        <v>704</v>
      </c>
      <c r="G667" s="278" t="s">
        <v>719</v>
      </c>
      <c r="H667" s="279"/>
      <c r="I667" s="280">
        <v>45524.0</v>
      </c>
      <c r="J667" s="34"/>
      <c r="K667" s="281">
        <v>0.37200000000000005</v>
      </c>
      <c r="L667" s="34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128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</row>
    <row r="668" hidden="1">
      <c r="A668" s="7"/>
      <c r="B668" s="7"/>
      <c r="C668" s="7"/>
      <c r="D668" s="7"/>
      <c r="E668" s="7"/>
      <c r="F668" s="276" t="s">
        <v>704</v>
      </c>
      <c r="G668" s="278" t="s">
        <v>713</v>
      </c>
      <c r="H668" s="279"/>
      <c r="I668" s="280">
        <v>45524.0</v>
      </c>
      <c r="J668" s="34"/>
      <c r="K668" s="281">
        <v>0.637</v>
      </c>
      <c r="L668" s="34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128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</row>
    <row r="669" hidden="1">
      <c r="A669" s="7"/>
      <c r="B669" s="7"/>
      <c r="C669" s="7"/>
      <c r="D669" s="7"/>
      <c r="E669" s="7"/>
      <c r="F669" s="276" t="s">
        <v>716</v>
      </c>
      <c r="G669" s="278" t="s">
        <v>729</v>
      </c>
      <c r="H669" s="279"/>
      <c r="I669" s="280">
        <v>45524.0</v>
      </c>
      <c r="J669" s="34"/>
      <c r="K669" s="281">
        <v>0.735</v>
      </c>
      <c r="L669" s="34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128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</row>
    <row r="670" hidden="1">
      <c r="A670" s="7"/>
      <c r="B670" s="7"/>
      <c r="C670" s="7"/>
      <c r="D670" s="7"/>
      <c r="E670" s="7"/>
      <c r="F670" s="276" t="s">
        <v>716</v>
      </c>
      <c r="G670" s="278" t="s">
        <v>729</v>
      </c>
      <c r="H670" s="279"/>
      <c r="I670" s="280">
        <v>45524.0</v>
      </c>
      <c r="J670" s="34"/>
      <c r="K670" s="281">
        <v>0.735</v>
      </c>
      <c r="L670" s="34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128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</row>
    <row r="671" hidden="1">
      <c r="A671" s="7"/>
      <c r="B671" s="7"/>
      <c r="C671" s="7"/>
      <c r="D671" s="7"/>
      <c r="E671" s="7"/>
      <c r="F671" s="276" t="s">
        <v>716</v>
      </c>
      <c r="G671" s="278" t="s">
        <v>717</v>
      </c>
      <c r="H671" s="279"/>
      <c r="I671" s="280">
        <v>45524.0</v>
      </c>
      <c r="J671" s="34"/>
      <c r="K671" s="281">
        <v>0.792</v>
      </c>
      <c r="L671" s="34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128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</row>
    <row r="672" hidden="1">
      <c r="A672" s="7"/>
      <c r="B672" s="7"/>
      <c r="C672" s="7"/>
      <c r="D672" s="7"/>
      <c r="E672" s="7"/>
      <c r="F672" s="276" t="s">
        <v>716</v>
      </c>
      <c r="G672" s="278" t="s">
        <v>732</v>
      </c>
      <c r="H672" s="279"/>
      <c r="I672" s="280">
        <v>45525.0</v>
      </c>
      <c r="J672" s="34"/>
      <c r="K672" s="281">
        <v>0.7</v>
      </c>
      <c r="L672" s="34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128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</row>
    <row r="673" hidden="1">
      <c r="A673" s="7"/>
      <c r="B673" s="7"/>
      <c r="C673" s="7"/>
      <c r="D673" s="7"/>
      <c r="E673" s="7"/>
      <c r="F673" s="276" t="s">
        <v>716</v>
      </c>
      <c r="G673" s="278" t="s">
        <v>717</v>
      </c>
      <c r="H673" s="279"/>
      <c r="I673" s="280">
        <v>45525.0</v>
      </c>
      <c r="J673" s="34"/>
      <c r="K673" s="281">
        <v>0.752</v>
      </c>
      <c r="L673" s="34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128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</row>
    <row r="674" hidden="1">
      <c r="A674" s="7"/>
      <c r="B674" s="7"/>
      <c r="C674" s="7"/>
      <c r="D674" s="7"/>
      <c r="E674" s="7"/>
      <c r="F674" s="276" t="s">
        <v>704</v>
      </c>
      <c r="G674" s="278" t="s">
        <v>705</v>
      </c>
      <c r="H674" s="279"/>
      <c r="I674" s="280">
        <v>45525.0</v>
      </c>
      <c r="J674" s="34"/>
      <c r="K674" s="281">
        <v>0.3</v>
      </c>
      <c r="L674" s="34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128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</row>
    <row r="675" hidden="1">
      <c r="A675" s="7"/>
      <c r="B675" s="7"/>
      <c r="C675" s="7"/>
      <c r="D675" s="7"/>
      <c r="E675" s="7"/>
      <c r="F675" s="276" t="s">
        <v>716</v>
      </c>
      <c r="G675" s="278" t="s">
        <v>732</v>
      </c>
      <c r="H675" s="279"/>
      <c r="I675" s="280">
        <v>45525.0</v>
      </c>
      <c r="J675" s="34"/>
      <c r="K675" s="281">
        <v>0.6859999999999999</v>
      </c>
      <c r="L675" s="34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128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</row>
    <row r="676" hidden="1">
      <c r="A676" s="7"/>
      <c r="B676" s="7"/>
      <c r="C676" s="7"/>
      <c r="D676" s="7"/>
      <c r="E676" s="7"/>
      <c r="F676" s="276" t="s">
        <v>704</v>
      </c>
      <c r="G676" s="278" t="s">
        <v>713</v>
      </c>
      <c r="H676" s="279"/>
      <c r="I676" s="280">
        <v>45525.0</v>
      </c>
      <c r="J676" s="34"/>
      <c r="K676" s="281">
        <v>0.7</v>
      </c>
      <c r="L676" s="34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128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</row>
    <row r="677" hidden="1">
      <c r="A677" s="7"/>
      <c r="B677" s="7"/>
      <c r="C677" s="7"/>
      <c r="D677" s="7"/>
      <c r="E677" s="7"/>
      <c r="F677" s="276" t="s">
        <v>707</v>
      </c>
      <c r="G677" s="278" t="s">
        <v>712</v>
      </c>
      <c r="H677" s="279"/>
      <c r="I677" s="280">
        <v>45525.0</v>
      </c>
      <c r="J677" s="34"/>
      <c r="K677" s="281">
        <v>0.81</v>
      </c>
      <c r="L677" s="34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128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</row>
    <row r="678" hidden="1">
      <c r="A678" s="7"/>
      <c r="B678" s="7"/>
      <c r="C678" s="7"/>
      <c r="D678" s="7"/>
      <c r="E678" s="7"/>
      <c r="F678" s="276" t="s">
        <v>707</v>
      </c>
      <c r="G678" s="278" t="s">
        <v>720</v>
      </c>
      <c r="H678" s="279"/>
      <c r="I678" s="280">
        <v>45525.0</v>
      </c>
      <c r="J678" s="34"/>
      <c r="K678" s="281">
        <v>0.196</v>
      </c>
      <c r="L678" s="34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128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</row>
    <row r="679" hidden="1">
      <c r="A679" s="7"/>
      <c r="B679" s="7"/>
      <c r="C679" s="7"/>
      <c r="D679" s="7"/>
      <c r="E679" s="7"/>
      <c r="F679" s="276" t="s">
        <v>704</v>
      </c>
      <c r="G679" s="278" t="s">
        <v>705</v>
      </c>
      <c r="H679" s="279"/>
      <c r="I679" s="280">
        <v>45525.0</v>
      </c>
      <c r="J679" s="34"/>
      <c r="K679" s="281">
        <v>0.273</v>
      </c>
      <c r="L679" s="34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128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</row>
    <row r="680" hidden="1">
      <c r="A680" s="7"/>
      <c r="B680" s="7"/>
      <c r="C680" s="7"/>
      <c r="D680" s="7"/>
      <c r="E680" s="7"/>
      <c r="F680" s="276" t="s">
        <v>716</v>
      </c>
      <c r="G680" s="278" t="s">
        <v>729</v>
      </c>
      <c r="H680" s="279"/>
      <c r="I680" s="280">
        <v>45525.0</v>
      </c>
      <c r="J680" s="34"/>
      <c r="K680" s="281">
        <v>0.7425</v>
      </c>
      <c r="L680" s="34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128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</row>
    <row r="681" hidden="1">
      <c r="A681" s="7"/>
      <c r="B681" s="7"/>
      <c r="C681" s="7"/>
      <c r="D681" s="7"/>
      <c r="E681" s="7"/>
      <c r="F681" s="276" t="s">
        <v>704</v>
      </c>
      <c r="G681" s="278" t="s">
        <v>713</v>
      </c>
      <c r="H681" s="279"/>
      <c r="I681" s="280">
        <v>45525.0</v>
      </c>
      <c r="J681" s="34"/>
      <c r="K681" s="281">
        <v>0.6439999999999999</v>
      </c>
      <c r="L681" s="34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128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</row>
    <row r="682" hidden="1">
      <c r="A682" s="7"/>
      <c r="B682" s="7"/>
      <c r="C682" s="7"/>
      <c r="D682" s="7"/>
      <c r="E682" s="7"/>
      <c r="F682" s="276" t="s">
        <v>716</v>
      </c>
      <c r="G682" s="278" t="s">
        <v>729</v>
      </c>
      <c r="H682" s="279"/>
      <c r="I682" s="280">
        <v>45526.0</v>
      </c>
      <c r="J682" s="34"/>
      <c r="K682" s="281">
        <v>0.7125</v>
      </c>
      <c r="L682" s="34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128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</row>
    <row r="683" hidden="1">
      <c r="A683" s="7"/>
      <c r="B683" s="7"/>
      <c r="C683" s="7"/>
      <c r="D683" s="7"/>
      <c r="E683" s="7"/>
      <c r="F683" s="276" t="s">
        <v>704</v>
      </c>
      <c r="G683" s="278" t="s">
        <v>713</v>
      </c>
      <c r="H683" s="279"/>
      <c r="I683" s="280">
        <v>45526.0</v>
      </c>
      <c r="J683" s="34"/>
      <c r="K683" s="281">
        <v>0.6789999999999999</v>
      </c>
      <c r="L683" s="34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128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</row>
    <row r="684" hidden="1">
      <c r="A684" s="7"/>
      <c r="B684" s="7"/>
      <c r="C684" s="7"/>
      <c r="D684" s="7"/>
      <c r="E684" s="7"/>
      <c r="F684" s="276" t="s">
        <v>704</v>
      </c>
      <c r="G684" s="278" t="s">
        <v>705</v>
      </c>
      <c r="H684" s="279"/>
      <c r="I684" s="280">
        <v>45526.0</v>
      </c>
      <c r="J684" s="34"/>
      <c r="K684" s="281">
        <v>0.282</v>
      </c>
      <c r="L684" s="34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128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</row>
    <row r="685" hidden="1">
      <c r="A685" s="7"/>
      <c r="B685" s="7"/>
      <c r="C685" s="7"/>
      <c r="D685" s="7"/>
      <c r="E685" s="7"/>
      <c r="F685" s="276" t="s">
        <v>716</v>
      </c>
      <c r="G685" s="278" t="s">
        <v>732</v>
      </c>
      <c r="H685" s="279"/>
      <c r="I685" s="280">
        <v>45526.0</v>
      </c>
      <c r="J685" s="34"/>
      <c r="K685" s="281">
        <v>0.6509999999999999</v>
      </c>
      <c r="L685" s="34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128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</row>
    <row r="686" hidden="1">
      <c r="A686" s="7"/>
      <c r="B686" s="7"/>
      <c r="C686" s="7"/>
      <c r="D686" s="7"/>
      <c r="E686" s="7"/>
      <c r="F686" s="276" t="s">
        <v>704</v>
      </c>
      <c r="G686" s="278" t="s">
        <v>719</v>
      </c>
      <c r="H686" s="279"/>
      <c r="I686" s="280">
        <v>45526.0</v>
      </c>
      <c r="J686" s="34"/>
      <c r="K686" s="281">
        <v>0.36800000000000005</v>
      </c>
      <c r="L686" s="34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128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</row>
    <row r="687" hidden="1">
      <c r="A687" s="7"/>
      <c r="B687" s="7"/>
      <c r="C687" s="7"/>
      <c r="D687" s="7"/>
      <c r="E687" s="7"/>
      <c r="F687" s="276" t="s">
        <v>697</v>
      </c>
      <c r="G687" s="278" t="s">
        <v>706</v>
      </c>
      <c r="H687" s="279"/>
      <c r="I687" s="280">
        <v>45526.0</v>
      </c>
      <c r="J687" s="34"/>
      <c r="K687" s="281">
        <v>0.485</v>
      </c>
      <c r="L687" s="34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128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</row>
    <row r="688" hidden="1">
      <c r="A688" s="7"/>
      <c r="B688" s="7"/>
      <c r="C688" s="7"/>
      <c r="D688" s="7"/>
      <c r="E688" s="7"/>
      <c r="F688" s="276" t="s">
        <v>707</v>
      </c>
      <c r="G688" s="278" t="s">
        <v>708</v>
      </c>
      <c r="H688" s="279"/>
      <c r="I688" s="280">
        <v>45526.0</v>
      </c>
      <c r="J688" s="34"/>
      <c r="K688" s="281">
        <v>0.2325</v>
      </c>
      <c r="L688" s="34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128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</row>
    <row r="689" hidden="1">
      <c r="A689" s="7"/>
      <c r="B689" s="7"/>
      <c r="C689" s="7"/>
      <c r="D689" s="7"/>
      <c r="E689" s="7"/>
      <c r="F689" s="276" t="s">
        <v>716</v>
      </c>
      <c r="G689" s="278" t="s">
        <v>732</v>
      </c>
      <c r="H689" s="279"/>
      <c r="I689" s="280">
        <v>45526.0</v>
      </c>
      <c r="J689" s="34"/>
      <c r="K689" s="281">
        <v>0.6509999999999999</v>
      </c>
      <c r="L689" s="34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128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</row>
    <row r="690" hidden="1">
      <c r="A690" s="7"/>
      <c r="B690" s="7"/>
      <c r="C690" s="7"/>
      <c r="D690" s="7"/>
      <c r="E690" s="7"/>
      <c r="F690" s="276" t="s">
        <v>707</v>
      </c>
      <c r="G690" s="278" t="s">
        <v>720</v>
      </c>
      <c r="H690" s="279"/>
      <c r="I690" s="280">
        <v>45526.0</v>
      </c>
      <c r="J690" s="34"/>
      <c r="K690" s="281">
        <v>0.19200000000000003</v>
      </c>
      <c r="L690" s="34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128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</row>
    <row r="691" hidden="1">
      <c r="A691" s="7"/>
      <c r="B691" s="7"/>
      <c r="C691" s="7"/>
      <c r="D691" s="7"/>
      <c r="E691" s="7"/>
      <c r="F691" s="276" t="s">
        <v>716</v>
      </c>
      <c r="G691" s="278" t="s">
        <v>732</v>
      </c>
      <c r="H691" s="279"/>
      <c r="I691" s="280">
        <v>45527.0</v>
      </c>
      <c r="J691" s="34"/>
      <c r="K691" s="281">
        <v>0.6299999999999999</v>
      </c>
      <c r="L691" s="34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128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</row>
    <row r="692" hidden="1">
      <c r="A692" s="7"/>
      <c r="B692" s="7"/>
      <c r="C692" s="7"/>
      <c r="D692" s="7"/>
      <c r="E692" s="7"/>
      <c r="F692" s="276" t="s">
        <v>707</v>
      </c>
      <c r="G692" s="278" t="s">
        <v>720</v>
      </c>
      <c r="H692" s="279"/>
      <c r="I692" s="280">
        <v>45527.0</v>
      </c>
      <c r="J692" s="34"/>
      <c r="K692" s="281">
        <v>0.188</v>
      </c>
      <c r="L692" s="34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128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</row>
    <row r="693" hidden="1">
      <c r="A693" s="7"/>
      <c r="B693" s="7"/>
      <c r="C693" s="7"/>
      <c r="D693" s="7"/>
      <c r="E693" s="7"/>
      <c r="F693" s="276" t="s">
        <v>704</v>
      </c>
      <c r="G693" s="278" t="s">
        <v>713</v>
      </c>
      <c r="H693" s="279"/>
      <c r="I693" s="280">
        <v>45527.0</v>
      </c>
      <c r="J693" s="34"/>
      <c r="K693" s="281">
        <v>0.6859999999999999</v>
      </c>
      <c r="L693" s="34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128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</row>
    <row r="694" hidden="1">
      <c r="A694" s="7"/>
      <c r="B694" s="7"/>
      <c r="C694" s="7"/>
      <c r="D694" s="7"/>
      <c r="E694" s="7"/>
      <c r="F694" s="276" t="s">
        <v>697</v>
      </c>
      <c r="G694" s="278" t="s">
        <v>700</v>
      </c>
      <c r="H694" s="279"/>
      <c r="I694" s="280">
        <v>45527.0</v>
      </c>
      <c r="J694" s="34"/>
      <c r="K694" s="281">
        <v>0.792</v>
      </c>
      <c r="L694" s="34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128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</row>
    <row r="695" hidden="1">
      <c r="A695" s="7"/>
      <c r="B695" s="7"/>
      <c r="C695" s="7"/>
      <c r="D695" s="7"/>
      <c r="E695" s="7"/>
      <c r="F695" s="276" t="s">
        <v>704</v>
      </c>
      <c r="G695" s="278" t="s">
        <v>713</v>
      </c>
      <c r="H695" s="279"/>
      <c r="I695" s="280">
        <v>45527.0</v>
      </c>
      <c r="J695" s="34"/>
      <c r="K695" s="281">
        <v>0.6859999999999999</v>
      </c>
      <c r="L695" s="34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128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</row>
    <row r="696" hidden="1">
      <c r="A696" s="7"/>
      <c r="B696" s="7"/>
      <c r="C696" s="7"/>
      <c r="D696" s="7"/>
      <c r="E696" s="7"/>
      <c r="F696" s="276" t="s">
        <v>697</v>
      </c>
      <c r="G696" s="278" t="s">
        <v>698</v>
      </c>
      <c r="H696" s="279"/>
      <c r="I696" s="280">
        <v>45527.0</v>
      </c>
      <c r="J696" s="34"/>
      <c r="K696" s="281">
        <v>0.273</v>
      </c>
      <c r="L696" s="34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128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</row>
    <row r="697" hidden="1">
      <c r="A697" s="7"/>
      <c r="B697" s="7"/>
      <c r="C697" s="7"/>
      <c r="D697" s="7"/>
      <c r="E697" s="7"/>
      <c r="F697" s="276" t="s">
        <v>707</v>
      </c>
      <c r="G697" s="278" t="s">
        <v>712</v>
      </c>
      <c r="H697" s="279"/>
      <c r="I697" s="280">
        <v>45527.0</v>
      </c>
      <c r="J697" s="34"/>
      <c r="K697" s="281">
        <v>0.855</v>
      </c>
      <c r="L697" s="34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128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</row>
    <row r="698" hidden="1">
      <c r="A698" s="7"/>
      <c r="B698" s="7"/>
      <c r="C698" s="7"/>
      <c r="D698" s="7"/>
      <c r="E698" s="7"/>
      <c r="F698" s="276" t="s">
        <v>707</v>
      </c>
      <c r="G698" s="278" t="s">
        <v>720</v>
      </c>
      <c r="H698" s="279"/>
      <c r="I698" s="280">
        <v>45527.0</v>
      </c>
      <c r="J698" s="34"/>
      <c r="K698" s="281">
        <v>0.196</v>
      </c>
      <c r="L698" s="34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128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</row>
    <row r="699" hidden="1">
      <c r="A699" s="7"/>
      <c r="B699" s="7"/>
      <c r="C699" s="7"/>
      <c r="D699" s="7"/>
      <c r="E699" s="7"/>
      <c r="F699" s="276" t="s">
        <v>707</v>
      </c>
      <c r="G699" s="278" t="s">
        <v>720</v>
      </c>
      <c r="H699" s="279"/>
      <c r="I699" s="280">
        <v>45527.0</v>
      </c>
      <c r="J699" s="34"/>
      <c r="K699" s="281">
        <v>0.18</v>
      </c>
      <c r="L699" s="34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128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</row>
    <row r="700" hidden="1">
      <c r="A700" s="7"/>
      <c r="B700" s="7"/>
      <c r="C700" s="7"/>
      <c r="D700" s="7"/>
      <c r="E700" s="7"/>
      <c r="F700" s="276" t="s">
        <v>704</v>
      </c>
      <c r="G700" s="278" t="s">
        <v>719</v>
      </c>
      <c r="H700" s="279"/>
      <c r="I700" s="280">
        <v>45527.0</v>
      </c>
      <c r="J700" s="34"/>
      <c r="K700" s="281">
        <v>0.392</v>
      </c>
      <c r="L700" s="34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128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</row>
    <row r="701" hidden="1">
      <c r="A701" s="7"/>
      <c r="B701" s="7"/>
      <c r="C701" s="7"/>
      <c r="D701" s="7"/>
      <c r="E701" s="7"/>
      <c r="F701" s="276" t="s">
        <v>697</v>
      </c>
      <c r="G701" s="278" t="s">
        <v>698</v>
      </c>
      <c r="H701" s="279"/>
      <c r="I701" s="280">
        <v>45527.0</v>
      </c>
      <c r="J701" s="34"/>
      <c r="K701" s="281">
        <v>0.294</v>
      </c>
      <c r="L701" s="34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128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</row>
    <row r="702" hidden="1">
      <c r="A702" s="7"/>
      <c r="B702" s="7"/>
      <c r="C702" s="7"/>
      <c r="D702" s="7"/>
      <c r="E702" s="7"/>
      <c r="F702" s="276" t="s">
        <v>697</v>
      </c>
      <c r="G702" s="278" t="s">
        <v>698</v>
      </c>
      <c r="H702" s="279"/>
      <c r="I702" s="280">
        <v>45527.0</v>
      </c>
      <c r="J702" s="34"/>
      <c r="K702" s="281">
        <v>0.288</v>
      </c>
      <c r="L702" s="34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128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</row>
    <row r="703" hidden="1">
      <c r="A703" s="7"/>
      <c r="B703" s="7"/>
      <c r="C703" s="7"/>
      <c r="D703" s="7"/>
      <c r="E703" s="7"/>
      <c r="F703" s="276" t="s">
        <v>707</v>
      </c>
      <c r="G703" s="278" t="s">
        <v>720</v>
      </c>
      <c r="H703" s="279"/>
      <c r="I703" s="280">
        <v>45527.0</v>
      </c>
      <c r="J703" s="34"/>
      <c r="K703" s="281">
        <v>0.188</v>
      </c>
      <c r="L703" s="34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128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</row>
    <row r="704" hidden="1">
      <c r="A704" s="7"/>
      <c r="B704" s="7"/>
      <c r="C704" s="7"/>
      <c r="D704" s="7"/>
      <c r="E704" s="7"/>
      <c r="F704" s="276" t="s">
        <v>716</v>
      </c>
      <c r="G704" s="278" t="s">
        <v>729</v>
      </c>
      <c r="H704" s="279"/>
      <c r="I704" s="280">
        <v>45527.0</v>
      </c>
      <c r="J704" s="34"/>
      <c r="K704" s="281">
        <v>0.72</v>
      </c>
      <c r="L704" s="34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128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</row>
    <row r="705" hidden="1">
      <c r="A705" s="7"/>
      <c r="B705" s="7"/>
      <c r="C705" s="7"/>
      <c r="D705" s="7"/>
      <c r="E705" s="7"/>
      <c r="F705" s="276" t="s">
        <v>704</v>
      </c>
      <c r="G705" s="278" t="s">
        <v>705</v>
      </c>
      <c r="H705" s="279"/>
      <c r="I705" s="280">
        <v>45527.0</v>
      </c>
      <c r="J705" s="34"/>
      <c r="K705" s="281">
        <v>0.297</v>
      </c>
      <c r="L705" s="34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128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</row>
    <row r="706" hidden="1">
      <c r="A706" s="7"/>
      <c r="B706" s="7"/>
      <c r="C706" s="7"/>
      <c r="D706" s="7"/>
      <c r="E706" s="7"/>
      <c r="F706" s="276" t="s">
        <v>707</v>
      </c>
      <c r="G706" s="278" t="s">
        <v>712</v>
      </c>
      <c r="H706" s="279"/>
      <c r="I706" s="280">
        <v>45527.0</v>
      </c>
      <c r="J706" s="34"/>
      <c r="K706" s="281">
        <v>0.8640000000000001</v>
      </c>
      <c r="L706" s="34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128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</row>
    <row r="707" hidden="1">
      <c r="A707" s="7"/>
      <c r="B707" s="7"/>
      <c r="C707" s="7"/>
      <c r="D707" s="7"/>
      <c r="E707" s="7"/>
      <c r="F707" s="276" t="s">
        <v>697</v>
      </c>
      <c r="G707" s="278" t="s">
        <v>700</v>
      </c>
      <c r="H707" s="279"/>
      <c r="I707" s="280">
        <v>45528.0</v>
      </c>
      <c r="J707" s="34"/>
      <c r="K707" s="281">
        <v>0.7680000000000001</v>
      </c>
      <c r="L707" s="34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128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</row>
    <row r="708" hidden="1">
      <c r="A708" s="7"/>
      <c r="B708" s="7"/>
      <c r="C708" s="7"/>
      <c r="D708" s="7"/>
      <c r="E708" s="7"/>
      <c r="F708" s="276" t="s">
        <v>704</v>
      </c>
      <c r="G708" s="278" t="s">
        <v>719</v>
      </c>
      <c r="H708" s="279"/>
      <c r="I708" s="280">
        <v>45528.0</v>
      </c>
      <c r="J708" s="34"/>
      <c r="K708" s="281">
        <v>0.36800000000000005</v>
      </c>
      <c r="L708" s="34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128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</row>
    <row r="709" hidden="1">
      <c r="A709" s="7"/>
      <c r="B709" s="7"/>
      <c r="C709" s="7"/>
      <c r="D709" s="7"/>
      <c r="E709" s="7"/>
      <c r="F709" s="276" t="s">
        <v>707</v>
      </c>
      <c r="G709" s="278" t="s">
        <v>708</v>
      </c>
      <c r="H709" s="279"/>
      <c r="I709" s="280">
        <v>45528.0</v>
      </c>
      <c r="J709" s="34"/>
      <c r="K709" s="281">
        <v>0.235</v>
      </c>
      <c r="L709" s="34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128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</row>
    <row r="710" hidden="1">
      <c r="A710" s="7"/>
      <c r="B710" s="7"/>
      <c r="C710" s="7"/>
      <c r="D710" s="7"/>
      <c r="E710" s="7"/>
      <c r="F710" s="276" t="s">
        <v>697</v>
      </c>
      <c r="G710" s="278" t="s">
        <v>698</v>
      </c>
      <c r="H710" s="279"/>
      <c r="I710" s="280">
        <v>45528.0</v>
      </c>
      <c r="J710" s="34"/>
      <c r="K710" s="281">
        <v>0.288</v>
      </c>
      <c r="L710" s="34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128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</row>
    <row r="711" hidden="1">
      <c r="A711" s="7"/>
      <c r="B711" s="7"/>
      <c r="C711" s="7"/>
      <c r="D711" s="7"/>
      <c r="E711" s="7"/>
      <c r="F711" s="276" t="s">
        <v>704</v>
      </c>
      <c r="G711" s="278" t="s">
        <v>705</v>
      </c>
      <c r="H711" s="279"/>
      <c r="I711" s="280">
        <v>45528.0</v>
      </c>
      <c r="J711" s="34"/>
      <c r="K711" s="281">
        <v>0.273</v>
      </c>
      <c r="L711" s="34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128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</row>
    <row r="712" hidden="1">
      <c r="A712" s="7"/>
      <c r="B712" s="7"/>
      <c r="C712" s="7"/>
      <c r="D712" s="7"/>
      <c r="E712" s="7"/>
      <c r="F712" s="276" t="s">
        <v>697</v>
      </c>
      <c r="G712" s="278" t="s">
        <v>698</v>
      </c>
      <c r="H712" s="279"/>
      <c r="I712" s="280">
        <v>45528.0</v>
      </c>
      <c r="J712" s="34"/>
      <c r="K712" s="281">
        <v>0.282</v>
      </c>
      <c r="L712" s="34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128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</row>
    <row r="713" hidden="1">
      <c r="A713" s="7"/>
      <c r="B713" s="7"/>
      <c r="C713" s="7"/>
      <c r="D713" s="7"/>
      <c r="E713" s="7"/>
      <c r="F713" s="276" t="s">
        <v>707</v>
      </c>
      <c r="G713" s="278" t="s">
        <v>708</v>
      </c>
      <c r="H713" s="279"/>
      <c r="I713" s="280">
        <v>45528.0</v>
      </c>
      <c r="J713" s="34"/>
      <c r="K713" s="281">
        <v>0.245</v>
      </c>
      <c r="L713" s="34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128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</row>
    <row r="714" hidden="1">
      <c r="A714" s="7"/>
      <c r="B714" s="7"/>
      <c r="C714" s="7"/>
      <c r="D714" s="7"/>
      <c r="E714" s="7"/>
      <c r="F714" s="276" t="s">
        <v>697</v>
      </c>
      <c r="G714" s="278" t="s">
        <v>698</v>
      </c>
      <c r="H714" s="279"/>
      <c r="I714" s="280">
        <v>45528.0</v>
      </c>
      <c r="J714" s="34"/>
      <c r="K714" s="281">
        <v>0.288</v>
      </c>
      <c r="L714" s="34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128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</row>
    <row r="715" hidden="1">
      <c r="A715" s="7"/>
      <c r="B715" s="7"/>
      <c r="C715" s="7"/>
      <c r="D715" s="7"/>
      <c r="E715" s="7"/>
      <c r="F715" s="276" t="s">
        <v>716</v>
      </c>
      <c r="G715" s="278" t="s">
        <v>729</v>
      </c>
      <c r="H715" s="279"/>
      <c r="I715" s="280">
        <v>45528.0</v>
      </c>
      <c r="J715" s="34"/>
      <c r="K715" s="281">
        <v>0.7275</v>
      </c>
      <c r="L715" s="34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128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</row>
    <row r="716" hidden="1">
      <c r="A716" s="7"/>
      <c r="B716" s="7"/>
      <c r="C716" s="7"/>
      <c r="D716" s="7"/>
      <c r="E716" s="7"/>
      <c r="F716" s="276" t="s">
        <v>697</v>
      </c>
      <c r="G716" s="278" t="s">
        <v>698</v>
      </c>
      <c r="H716" s="279"/>
      <c r="I716" s="280">
        <v>45528.0</v>
      </c>
      <c r="J716" s="34"/>
      <c r="K716" s="281">
        <v>0.27599999999999997</v>
      </c>
      <c r="L716" s="34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128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</row>
    <row r="717" hidden="1">
      <c r="A717" s="7"/>
      <c r="B717" s="7"/>
      <c r="C717" s="7"/>
      <c r="D717" s="7"/>
      <c r="E717" s="7"/>
      <c r="F717" s="276" t="s">
        <v>704</v>
      </c>
      <c r="G717" s="278" t="s">
        <v>713</v>
      </c>
      <c r="H717" s="279"/>
      <c r="I717" s="280">
        <v>45529.0</v>
      </c>
      <c r="J717" s="34"/>
      <c r="K717" s="281">
        <v>0.6509999999999999</v>
      </c>
      <c r="L717" s="34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128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</row>
    <row r="718" hidden="1">
      <c r="A718" s="7"/>
      <c r="B718" s="7"/>
      <c r="C718" s="7"/>
      <c r="D718" s="7"/>
      <c r="E718" s="7"/>
      <c r="F718" s="276" t="s">
        <v>697</v>
      </c>
      <c r="G718" s="278" t="s">
        <v>700</v>
      </c>
      <c r="H718" s="279"/>
      <c r="I718" s="280">
        <v>45529.0</v>
      </c>
      <c r="J718" s="34"/>
      <c r="K718" s="281">
        <v>0.8</v>
      </c>
      <c r="L718" s="34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128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</row>
    <row r="719" hidden="1">
      <c r="A719" s="7"/>
      <c r="B719" s="7"/>
      <c r="C719" s="7"/>
      <c r="D719" s="7"/>
      <c r="E719" s="7"/>
      <c r="F719" s="276" t="s">
        <v>697</v>
      </c>
      <c r="G719" s="278" t="s">
        <v>706</v>
      </c>
      <c r="H719" s="279"/>
      <c r="I719" s="280">
        <v>45529.0</v>
      </c>
      <c r="J719" s="34"/>
      <c r="K719" s="281">
        <v>0.48</v>
      </c>
      <c r="L719" s="34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128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</row>
    <row r="720" hidden="1">
      <c r="A720" s="7"/>
      <c r="B720" s="7"/>
      <c r="C720" s="7"/>
      <c r="D720" s="7"/>
      <c r="E720" s="7"/>
      <c r="F720" s="276" t="s">
        <v>697</v>
      </c>
      <c r="G720" s="278" t="s">
        <v>706</v>
      </c>
      <c r="H720" s="279"/>
      <c r="I720" s="280">
        <v>45529.0</v>
      </c>
      <c r="J720" s="34"/>
      <c r="K720" s="281">
        <v>0.485</v>
      </c>
      <c r="L720" s="34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128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</row>
    <row r="721" hidden="1">
      <c r="A721" s="7"/>
      <c r="B721" s="7"/>
      <c r="C721" s="7"/>
      <c r="D721" s="7"/>
      <c r="E721" s="7"/>
      <c r="F721" s="276" t="s">
        <v>716</v>
      </c>
      <c r="G721" s="278" t="s">
        <v>732</v>
      </c>
      <c r="H721" s="279"/>
      <c r="I721" s="280">
        <v>45530.0</v>
      </c>
      <c r="J721" s="34"/>
      <c r="K721" s="281">
        <v>0.6579999999999999</v>
      </c>
      <c r="L721" s="34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128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</row>
    <row r="722" hidden="1">
      <c r="A722" s="7"/>
      <c r="B722" s="7"/>
      <c r="C722" s="7"/>
      <c r="D722" s="7"/>
      <c r="E722" s="7"/>
      <c r="F722" s="276" t="s">
        <v>716</v>
      </c>
      <c r="G722" s="278" t="s">
        <v>732</v>
      </c>
      <c r="H722" s="279"/>
      <c r="I722" s="280">
        <v>45530.0</v>
      </c>
      <c r="J722" s="34"/>
      <c r="K722" s="281">
        <v>0.6299999999999999</v>
      </c>
      <c r="L722" s="34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128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</row>
    <row r="723" hidden="1">
      <c r="A723" s="7"/>
      <c r="B723" s="7"/>
      <c r="C723" s="7"/>
      <c r="D723" s="7"/>
      <c r="E723" s="7"/>
      <c r="F723" s="276" t="s">
        <v>707</v>
      </c>
      <c r="G723" s="278" t="s">
        <v>708</v>
      </c>
      <c r="H723" s="279"/>
      <c r="I723" s="280">
        <v>45530.0</v>
      </c>
      <c r="J723" s="34"/>
      <c r="K723" s="281">
        <v>0.225</v>
      </c>
      <c r="L723" s="34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128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</row>
    <row r="724" hidden="1">
      <c r="A724" s="7"/>
      <c r="B724" s="7"/>
      <c r="C724" s="7"/>
      <c r="D724" s="7"/>
      <c r="E724" s="7"/>
      <c r="F724" s="276" t="s">
        <v>707</v>
      </c>
      <c r="G724" s="278" t="s">
        <v>712</v>
      </c>
      <c r="H724" s="279"/>
      <c r="I724" s="280">
        <v>45530.0</v>
      </c>
      <c r="J724" s="34"/>
      <c r="K724" s="281">
        <v>0.9</v>
      </c>
      <c r="L724" s="34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128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</row>
    <row r="725" hidden="1">
      <c r="A725" s="7"/>
      <c r="B725" s="7"/>
      <c r="C725" s="7"/>
      <c r="D725" s="7"/>
      <c r="E725" s="7"/>
      <c r="F725" s="276" t="s">
        <v>697</v>
      </c>
      <c r="G725" s="278" t="s">
        <v>698</v>
      </c>
      <c r="H725" s="279"/>
      <c r="I725" s="280">
        <v>45530.0</v>
      </c>
      <c r="J725" s="34"/>
      <c r="K725" s="281">
        <v>0.294</v>
      </c>
      <c r="L725" s="34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128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</row>
    <row r="726" hidden="1">
      <c r="A726" s="7"/>
      <c r="B726" s="7"/>
      <c r="C726" s="7"/>
      <c r="D726" s="7"/>
      <c r="E726" s="7"/>
      <c r="F726" s="276" t="s">
        <v>704</v>
      </c>
      <c r="G726" s="278" t="s">
        <v>719</v>
      </c>
      <c r="H726" s="279"/>
      <c r="I726" s="280">
        <v>45530.0</v>
      </c>
      <c r="J726" s="34"/>
      <c r="K726" s="281">
        <v>0.396</v>
      </c>
      <c r="L726" s="34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128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</row>
    <row r="727" hidden="1">
      <c r="A727" s="7"/>
      <c r="B727" s="7"/>
      <c r="C727" s="7"/>
      <c r="D727" s="7"/>
      <c r="E727" s="7"/>
      <c r="F727" s="276" t="s">
        <v>707</v>
      </c>
      <c r="G727" s="278" t="s">
        <v>720</v>
      </c>
      <c r="H727" s="279"/>
      <c r="I727" s="280">
        <v>45530.0</v>
      </c>
      <c r="J727" s="34"/>
      <c r="K727" s="281">
        <v>0.198</v>
      </c>
      <c r="L727" s="34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128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</row>
    <row r="728" hidden="1">
      <c r="A728" s="7"/>
      <c r="B728" s="7"/>
      <c r="C728" s="7"/>
      <c r="D728" s="7"/>
      <c r="E728" s="7"/>
      <c r="F728" s="276" t="s">
        <v>707</v>
      </c>
      <c r="G728" s="278" t="s">
        <v>708</v>
      </c>
      <c r="H728" s="279"/>
      <c r="I728" s="280">
        <v>45530.0</v>
      </c>
      <c r="J728" s="34"/>
      <c r="K728" s="281">
        <v>0.2425</v>
      </c>
      <c r="L728" s="34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128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</row>
    <row r="729" hidden="1">
      <c r="A729" s="7"/>
      <c r="B729" s="7"/>
      <c r="C729" s="7"/>
      <c r="D729" s="7"/>
      <c r="E729" s="7"/>
      <c r="F729" s="276" t="s">
        <v>697</v>
      </c>
      <c r="G729" s="278" t="s">
        <v>706</v>
      </c>
      <c r="H729" s="279"/>
      <c r="I729" s="280">
        <v>45530.0</v>
      </c>
      <c r="J729" s="34"/>
      <c r="K729" s="281">
        <v>0.495</v>
      </c>
      <c r="L729" s="34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128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</row>
    <row r="730" hidden="1">
      <c r="A730" s="7"/>
      <c r="B730" s="7"/>
      <c r="C730" s="7"/>
      <c r="D730" s="7"/>
      <c r="E730" s="7"/>
      <c r="F730" s="276" t="s">
        <v>707</v>
      </c>
      <c r="G730" s="278" t="s">
        <v>712</v>
      </c>
      <c r="H730" s="279"/>
      <c r="I730" s="280">
        <v>45530.0</v>
      </c>
      <c r="J730" s="34"/>
      <c r="K730" s="281">
        <v>0.9</v>
      </c>
      <c r="L730" s="34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128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</row>
    <row r="731" hidden="1">
      <c r="A731" s="7"/>
      <c r="B731" s="7"/>
      <c r="C731" s="7"/>
      <c r="D731" s="7"/>
      <c r="E731" s="7"/>
      <c r="F731" s="276" t="s">
        <v>716</v>
      </c>
      <c r="G731" s="278" t="s">
        <v>732</v>
      </c>
      <c r="H731" s="279"/>
      <c r="I731" s="280">
        <v>45530.0</v>
      </c>
      <c r="J731" s="34"/>
      <c r="K731" s="281">
        <v>0.6579999999999999</v>
      </c>
      <c r="L731" s="34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128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</row>
    <row r="732" hidden="1">
      <c r="A732" s="7"/>
      <c r="B732" s="7"/>
      <c r="C732" s="7"/>
      <c r="D732" s="7"/>
      <c r="E732" s="7"/>
      <c r="F732" s="276" t="s">
        <v>704</v>
      </c>
      <c r="G732" s="278" t="s">
        <v>713</v>
      </c>
      <c r="H732" s="279"/>
      <c r="I732" s="280">
        <v>45530.0</v>
      </c>
      <c r="J732" s="34"/>
      <c r="K732" s="281">
        <v>0.6439999999999999</v>
      </c>
      <c r="L732" s="34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128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</row>
    <row r="733" hidden="1">
      <c r="A733" s="7"/>
      <c r="B733" s="7"/>
      <c r="C733" s="7"/>
      <c r="D733" s="7"/>
      <c r="E733" s="7"/>
      <c r="F733" s="276" t="s">
        <v>716</v>
      </c>
      <c r="G733" s="278" t="s">
        <v>732</v>
      </c>
      <c r="H733" s="279"/>
      <c r="I733" s="280">
        <v>45531.0</v>
      </c>
      <c r="J733" s="34"/>
      <c r="K733" s="281">
        <v>0.6579999999999999</v>
      </c>
      <c r="L733" s="34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128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</row>
    <row r="734" hidden="1">
      <c r="A734" s="7"/>
      <c r="B734" s="7"/>
      <c r="C734" s="7"/>
      <c r="D734" s="7"/>
      <c r="E734" s="7"/>
      <c r="F734" s="276" t="s">
        <v>707</v>
      </c>
      <c r="G734" s="278" t="s">
        <v>712</v>
      </c>
      <c r="H734" s="279"/>
      <c r="I734" s="280">
        <v>45531.0</v>
      </c>
      <c r="J734" s="34"/>
      <c r="K734" s="281">
        <v>0.8460000000000001</v>
      </c>
      <c r="L734" s="34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128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</row>
    <row r="735" hidden="1">
      <c r="A735" s="7"/>
      <c r="B735" s="7"/>
      <c r="C735" s="7"/>
      <c r="D735" s="7"/>
      <c r="E735" s="7"/>
      <c r="F735" s="276" t="s">
        <v>704</v>
      </c>
      <c r="G735" s="278" t="s">
        <v>719</v>
      </c>
      <c r="H735" s="279"/>
      <c r="I735" s="280">
        <v>45531.0</v>
      </c>
      <c r="J735" s="34"/>
      <c r="K735" s="281">
        <v>0.36800000000000005</v>
      </c>
      <c r="L735" s="34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128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</row>
    <row r="736" hidden="1">
      <c r="A736" s="7"/>
      <c r="B736" s="7"/>
      <c r="C736" s="7"/>
      <c r="D736" s="7"/>
      <c r="E736" s="7"/>
      <c r="F736" s="276" t="s">
        <v>707</v>
      </c>
      <c r="G736" s="278" t="s">
        <v>720</v>
      </c>
      <c r="H736" s="279"/>
      <c r="I736" s="280">
        <v>45531.0</v>
      </c>
      <c r="J736" s="34"/>
      <c r="K736" s="281">
        <v>0.18600000000000003</v>
      </c>
      <c r="L736" s="34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128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</row>
    <row r="737" hidden="1">
      <c r="A737" s="7"/>
      <c r="B737" s="7"/>
      <c r="C737" s="7"/>
      <c r="D737" s="7"/>
      <c r="E737" s="7"/>
      <c r="F737" s="276" t="s">
        <v>704</v>
      </c>
      <c r="G737" s="278" t="s">
        <v>713</v>
      </c>
      <c r="H737" s="279"/>
      <c r="I737" s="280">
        <v>45531.0</v>
      </c>
      <c r="J737" s="34"/>
      <c r="K737" s="281">
        <v>0.637</v>
      </c>
      <c r="L737" s="34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128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</row>
    <row r="738" hidden="1">
      <c r="A738" s="7"/>
      <c r="B738" s="7"/>
      <c r="C738" s="7"/>
      <c r="D738" s="7"/>
      <c r="E738" s="7"/>
      <c r="F738" s="276" t="s">
        <v>697</v>
      </c>
      <c r="G738" s="278" t="s">
        <v>706</v>
      </c>
      <c r="H738" s="279"/>
      <c r="I738" s="280">
        <v>45531.0</v>
      </c>
      <c r="J738" s="34"/>
      <c r="K738" s="281">
        <v>0.475</v>
      </c>
      <c r="L738" s="34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128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</row>
    <row r="739" hidden="1">
      <c r="A739" s="7"/>
      <c r="B739" s="7"/>
      <c r="C739" s="7"/>
      <c r="D739" s="7"/>
      <c r="E739" s="7"/>
      <c r="F739" s="276" t="s">
        <v>716</v>
      </c>
      <c r="G739" s="278" t="s">
        <v>729</v>
      </c>
      <c r="H739" s="279"/>
      <c r="I739" s="280">
        <v>45531.0</v>
      </c>
      <c r="J739" s="34"/>
      <c r="K739" s="281">
        <v>0.705</v>
      </c>
      <c r="L739" s="34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128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</row>
    <row r="740" hidden="1">
      <c r="A740" s="7"/>
      <c r="B740" s="7"/>
      <c r="C740" s="7"/>
      <c r="D740" s="7"/>
      <c r="E740" s="7"/>
      <c r="F740" s="276" t="s">
        <v>716</v>
      </c>
      <c r="G740" s="278" t="s">
        <v>729</v>
      </c>
      <c r="H740" s="279"/>
      <c r="I740" s="280">
        <v>45531.0</v>
      </c>
      <c r="J740" s="34"/>
      <c r="K740" s="281">
        <v>0.675</v>
      </c>
      <c r="L740" s="34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128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</row>
    <row r="741" hidden="1">
      <c r="A741" s="7"/>
      <c r="B741" s="7"/>
      <c r="C741" s="7"/>
      <c r="D741" s="7"/>
      <c r="E741" s="7"/>
      <c r="F741" s="276" t="s">
        <v>707</v>
      </c>
      <c r="G741" s="278" t="s">
        <v>720</v>
      </c>
      <c r="H741" s="279"/>
      <c r="I741" s="280">
        <v>45531.0</v>
      </c>
      <c r="J741" s="34"/>
      <c r="K741" s="281">
        <v>0.18</v>
      </c>
      <c r="L741" s="34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128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</row>
    <row r="742" hidden="1">
      <c r="A742" s="7"/>
      <c r="B742" s="7"/>
      <c r="C742" s="7"/>
      <c r="D742" s="7"/>
      <c r="E742" s="7"/>
      <c r="F742" s="276" t="s">
        <v>716</v>
      </c>
      <c r="G742" s="278" t="s">
        <v>717</v>
      </c>
      <c r="H742" s="279"/>
      <c r="I742" s="280">
        <v>45531.0</v>
      </c>
      <c r="J742" s="34"/>
      <c r="K742" s="281">
        <v>0.72</v>
      </c>
      <c r="L742" s="34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128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</row>
    <row r="743" hidden="1">
      <c r="A743" s="7"/>
      <c r="B743" s="7"/>
      <c r="C743" s="7"/>
      <c r="D743" s="7"/>
      <c r="E743" s="7"/>
      <c r="F743" s="276" t="s">
        <v>697</v>
      </c>
      <c r="G743" s="278" t="s">
        <v>698</v>
      </c>
      <c r="H743" s="279"/>
      <c r="I743" s="280">
        <v>45532.0</v>
      </c>
      <c r="J743" s="34"/>
      <c r="K743" s="281">
        <v>0.294</v>
      </c>
      <c r="L743" s="34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128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</row>
    <row r="744" hidden="1">
      <c r="A744" s="7"/>
      <c r="B744" s="7"/>
      <c r="C744" s="7"/>
      <c r="D744" s="7"/>
      <c r="E744" s="7"/>
      <c r="F744" s="276" t="s">
        <v>707</v>
      </c>
      <c r="G744" s="278" t="s">
        <v>708</v>
      </c>
      <c r="H744" s="279"/>
      <c r="I744" s="280">
        <v>45532.0</v>
      </c>
      <c r="J744" s="34"/>
      <c r="K744" s="281">
        <v>0.25</v>
      </c>
      <c r="L744" s="34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128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</row>
    <row r="745" hidden="1">
      <c r="A745" s="7"/>
      <c r="B745" s="7"/>
      <c r="C745" s="7"/>
      <c r="D745" s="7"/>
      <c r="E745" s="7"/>
      <c r="F745" s="276" t="s">
        <v>704</v>
      </c>
      <c r="G745" s="278" t="s">
        <v>713</v>
      </c>
      <c r="H745" s="279"/>
      <c r="I745" s="280">
        <v>45532.0</v>
      </c>
      <c r="J745" s="34"/>
      <c r="K745" s="281">
        <v>0.637</v>
      </c>
      <c r="L745" s="34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128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</row>
    <row r="746" hidden="1">
      <c r="A746" s="7"/>
      <c r="B746" s="7"/>
      <c r="C746" s="7"/>
      <c r="D746" s="7"/>
      <c r="E746" s="7"/>
      <c r="F746" s="276" t="s">
        <v>697</v>
      </c>
      <c r="G746" s="278" t="s">
        <v>700</v>
      </c>
      <c r="H746" s="279"/>
      <c r="I746" s="280">
        <v>45532.0</v>
      </c>
      <c r="J746" s="34"/>
      <c r="K746" s="281">
        <v>0.8</v>
      </c>
      <c r="L746" s="34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128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</row>
    <row r="747" hidden="1">
      <c r="A747" s="7"/>
      <c r="B747" s="7"/>
      <c r="C747" s="7"/>
      <c r="D747" s="7"/>
      <c r="E747" s="7"/>
      <c r="F747" s="276" t="s">
        <v>716</v>
      </c>
      <c r="G747" s="278" t="s">
        <v>717</v>
      </c>
      <c r="H747" s="279"/>
      <c r="I747" s="280">
        <v>45532.0</v>
      </c>
      <c r="J747" s="34"/>
      <c r="K747" s="281">
        <v>0.7360000000000001</v>
      </c>
      <c r="L747" s="34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128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</row>
    <row r="748" hidden="1">
      <c r="A748" s="7"/>
      <c r="B748" s="7"/>
      <c r="C748" s="7"/>
      <c r="D748" s="7"/>
      <c r="E748" s="7"/>
      <c r="F748" s="276" t="s">
        <v>697</v>
      </c>
      <c r="G748" s="278" t="s">
        <v>700</v>
      </c>
      <c r="H748" s="279"/>
      <c r="I748" s="280">
        <v>45532.0</v>
      </c>
      <c r="J748" s="34"/>
      <c r="K748" s="281">
        <v>0.7760000000000001</v>
      </c>
      <c r="L748" s="34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128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</row>
    <row r="749" hidden="1">
      <c r="A749" s="7"/>
      <c r="B749" s="7"/>
      <c r="C749" s="7"/>
      <c r="D749" s="7"/>
      <c r="E749" s="7"/>
      <c r="F749" s="276" t="s">
        <v>697</v>
      </c>
      <c r="G749" s="278" t="s">
        <v>706</v>
      </c>
      <c r="H749" s="279"/>
      <c r="I749" s="280">
        <v>45532.0</v>
      </c>
      <c r="J749" s="34"/>
      <c r="K749" s="281">
        <v>0.465</v>
      </c>
      <c r="L749" s="34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128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</row>
    <row r="750" hidden="1">
      <c r="A750" s="7"/>
      <c r="B750" s="7"/>
      <c r="C750" s="7"/>
      <c r="D750" s="7"/>
      <c r="E750" s="7"/>
      <c r="F750" s="276" t="s">
        <v>716</v>
      </c>
      <c r="G750" s="278" t="s">
        <v>729</v>
      </c>
      <c r="H750" s="279"/>
      <c r="I750" s="280">
        <v>45532.0</v>
      </c>
      <c r="J750" s="34"/>
      <c r="K750" s="281">
        <v>0.6975</v>
      </c>
      <c r="L750" s="34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128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</row>
    <row r="751" hidden="1">
      <c r="A751" s="7"/>
      <c r="B751" s="7"/>
      <c r="C751" s="7"/>
      <c r="D751" s="7"/>
      <c r="E751" s="7"/>
      <c r="F751" s="276" t="s">
        <v>707</v>
      </c>
      <c r="G751" s="278" t="s">
        <v>720</v>
      </c>
      <c r="H751" s="279"/>
      <c r="I751" s="280">
        <v>45532.0</v>
      </c>
      <c r="J751" s="34"/>
      <c r="K751" s="281">
        <v>0.188</v>
      </c>
      <c r="L751" s="34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128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</row>
    <row r="752" hidden="1">
      <c r="A752" s="7"/>
      <c r="B752" s="7"/>
      <c r="C752" s="7"/>
      <c r="D752" s="7"/>
      <c r="E752" s="7"/>
      <c r="F752" s="276" t="s">
        <v>704</v>
      </c>
      <c r="G752" s="278" t="s">
        <v>713</v>
      </c>
      <c r="H752" s="279"/>
      <c r="I752" s="280">
        <v>45532.0</v>
      </c>
      <c r="J752" s="34"/>
      <c r="K752" s="281">
        <v>0.665</v>
      </c>
      <c r="L752" s="34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128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</row>
    <row r="753" hidden="1">
      <c r="A753" s="7"/>
      <c r="B753" s="7"/>
      <c r="C753" s="7"/>
      <c r="D753" s="7"/>
      <c r="E753" s="7"/>
      <c r="F753" s="276" t="s">
        <v>697</v>
      </c>
      <c r="G753" s="278" t="s">
        <v>706</v>
      </c>
      <c r="H753" s="279"/>
      <c r="I753" s="280">
        <v>45532.0</v>
      </c>
      <c r="J753" s="34"/>
      <c r="K753" s="281">
        <v>0.46</v>
      </c>
      <c r="L753" s="34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128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</row>
    <row r="754" hidden="1">
      <c r="A754" s="7"/>
      <c r="B754" s="7"/>
      <c r="C754" s="7"/>
      <c r="D754" s="7"/>
      <c r="E754" s="7"/>
      <c r="F754" s="276" t="s">
        <v>716</v>
      </c>
      <c r="G754" s="278" t="s">
        <v>729</v>
      </c>
      <c r="H754" s="279"/>
      <c r="I754" s="280">
        <v>45532.0</v>
      </c>
      <c r="J754" s="34"/>
      <c r="K754" s="281">
        <v>0.675</v>
      </c>
      <c r="L754" s="34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128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</row>
    <row r="755" hidden="1">
      <c r="A755" s="7"/>
      <c r="B755" s="7"/>
      <c r="C755" s="7"/>
      <c r="D755" s="7"/>
      <c r="E755" s="7"/>
      <c r="F755" s="276" t="s">
        <v>707</v>
      </c>
      <c r="G755" s="278" t="s">
        <v>708</v>
      </c>
      <c r="H755" s="279"/>
      <c r="I755" s="280">
        <v>45532.0</v>
      </c>
      <c r="J755" s="34"/>
      <c r="K755" s="281">
        <v>0.2275</v>
      </c>
      <c r="L755" s="34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128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</row>
    <row r="756" hidden="1">
      <c r="A756" s="7"/>
      <c r="B756" s="7"/>
      <c r="C756" s="7"/>
      <c r="D756" s="7"/>
      <c r="E756" s="7"/>
      <c r="F756" s="276" t="s">
        <v>707</v>
      </c>
      <c r="G756" s="278" t="s">
        <v>720</v>
      </c>
      <c r="H756" s="279"/>
      <c r="I756" s="280">
        <v>45532.0</v>
      </c>
      <c r="J756" s="34"/>
      <c r="K756" s="281">
        <v>0.18</v>
      </c>
      <c r="L756" s="34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128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</row>
    <row r="757" hidden="1">
      <c r="A757" s="7"/>
      <c r="B757" s="7"/>
      <c r="C757" s="7"/>
      <c r="D757" s="7"/>
      <c r="E757" s="7"/>
      <c r="F757" s="276" t="s">
        <v>707</v>
      </c>
      <c r="G757" s="278" t="s">
        <v>712</v>
      </c>
      <c r="H757" s="279"/>
      <c r="I757" s="280">
        <v>45533.0</v>
      </c>
      <c r="J757" s="34"/>
      <c r="K757" s="281">
        <v>0.882</v>
      </c>
      <c r="L757" s="34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128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</row>
    <row r="758" hidden="1">
      <c r="A758" s="7"/>
      <c r="B758" s="7"/>
      <c r="C758" s="7"/>
      <c r="D758" s="7"/>
      <c r="E758" s="7"/>
      <c r="F758" s="276" t="s">
        <v>716</v>
      </c>
      <c r="G758" s="278" t="s">
        <v>732</v>
      </c>
      <c r="H758" s="279"/>
      <c r="I758" s="280">
        <v>45533.0</v>
      </c>
      <c r="J758" s="34"/>
      <c r="K758" s="281">
        <v>0.6789999999999999</v>
      </c>
      <c r="L758" s="34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128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</row>
    <row r="759" hidden="1">
      <c r="A759" s="7"/>
      <c r="B759" s="7"/>
      <c r="C759" s="7"/>
      <c r="D759" s="7"/>
      <c r="E759" s="7"/>
      <c r="F759" s="276" t="s">
        <v>716</v>
      </c>
      <c r="G759" s="278" t="s">
        <v>732</v>
      </c>
      <c r="H759" s="279"/>
      <c r="I759" s="280">
        <v>45533.0</v>
      </c>
      <c r="J759" s="34"/>
      <c r="K759" s="281">
        <v>0.6859999999999999</v>
      </c>
      <c r="L759" s="34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128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</row>
    <row r="760" hidden="1">
      <c r="A760" s="7"/>
      <c r="B760" s="7"/>
      <c r="C760" s="7"/>
      <c r="D760" s="7"/>
      <c r="E760" s="7"/>
      <c r="F760" s="276" t="s">
        <v>697</v>
      </c>
      <c r="G760" s="278" t="s">
        <v>700</v>
      </c>
      <c r="H760" s="279"/>
      <c r="I760" s="280">
        <v>45533.0</v>
      </c>
      <c r="J760" s="34"/>
      <c r="K760" s="281">
        <v>0.7760000000000001</v>
      </c>
      <c r="L760" s="34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128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</row>
    <row r="761" hidden="1">
      <c r="A761" s="7"/>
      <c r="B761" s="7"/>
      <c r="C761" s="7"/>
      <c r="D761" s="7"/>
      <c r="E761" s="7"/>
      <c r="F761" s="276" t="s">
        <v>704</v>
      </c>
      <c r="G761" s="278" t="s">
        <v>719</v>
      </c>
      <c r="H761" s="279"/>
      <c r="I761" s="280">
        <v>45533.0</v>
      </c>
      <c r="J761" s="34"/>
      <c r="K761" s="281">
        <v>0.4</v>
      </c>
      <c r="L761" s="34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128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</row>
    <row r="762" hidden="1">
      <c r="A762" s="7"/>
      <c r="B762" s="7"/>
      <c r="C762" s="7"/>
      <c r="D762" s="7"/>
      <c r="E762" s="7"/>
      <c r="F762" s="276" t="s">
        <v>707</v>
      </c>
      <c r="G762" s="278" t="s">
        <v>708</v>
      </c>
      <c r="H762" s="279"/>
      <c r="I762" s="280">
        <v>45533.0</v>
      </c>
      <c r="J762" s="34"/>
      <c r="K762" s="281">
        <v>0.2325</v>
      </c>
      <c r="L762" s="34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128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</row>
    <row r="763" hidden="1">
      <c r="A763" s="7"/>
      <c r="B763" s="7"/>
      <c r="C763" s="7"/>
      <c r="D763" s="7"/>
      <c r="E763" s="7"/>
      <c r="F763" s="276" t="s">
        <v>716</v>
      </c>
      <c r="G763" s="278" t="s">
        <v>717</v>
      </c>
      <c r="H763" s="279"/>
      <c r="I763" s="280">
        <v>45533.0</v>
      </c>
      <c r="J763" s="34"/>
      <c r="K763" s="281">
        <v>0.72</v>
      </c>
      <c r="L763" s="34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128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</row>
    <row r="764" hidden="1">
      <c r="A764" s="7"/>
      <c r="B764" s="7"/>
      <c r="C764" s="7"/>
      <c r="D764" s="7"/>
      <c r="E764" s="7"/>
      <c r="F764" s="276" t="s">
        <v>704</v>
      </c>
      <c r="G764" s="278" t="s">
        <v>713</v>
      </c>
      <c r="H764" s="279"/>
      <c r="I764" s="280">
        <v>45533.0</v>
      </c>
      <c r="J764" s="34"/>
      <c r="K764" s="281">
        <v>0.6859999999999999</v>
      </c>
      <c r="L764" s="34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128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</row>
    <row r="765" hidden="1">
      <c r="A765" s="7"/>
      <c r="B765" s="7"/>
      <c r="C765" s="7"/>
      <c r="D765" s="7"/>
      <c r="E765" s="7"/>
      <c r="F765" s="276" t="s">
        <v>704</v>
      </c>
      <c r="G765" s="278" t="s">
        <v>713</v>
      </c>
      <c r="H765" s="279"/>
      <c r="I765" s="280">
        <v>45533.0</v>
      </c>
      <c r="J765" s="34"/>
      <c r="K765" s="281">
        <v>0.6859999999999999</v>
      </c>
      <c r="L765" s="34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128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</row>
    <row r="766" hidden="1">
      <c r="A766" s="7"/>
      <c r="B766" s="7"/>
      <c r="C766" s="7"/>
      <c r="D766" s="7"/>
      <c r="E766" s="7"/>
      <c r="F766" s="276" t="s">
        <v>697</v>
      </c>
      <c r="G766" s="278" t="s">
        <v>706</v>
      </c>
      <c r="H766" s="279"/>
      <c r="I766" s="280">
        <v>45533.0</v>
      </c>
      <c r="J766" s="34"/>
      <c r="K766" s="281">
        <v>0.5</v>
      </c>
      <c r="L766" s="34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128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</row>
    <row r="767" hidden="1">
      <c r="A767" s="7"/>
      <c r="B767" s="7"/>
      <c r="C767" s="7"/>
      <c r="D767" s="7"/>
      <c r="E767" s="7"/>
      <c r="F767" s="276" t="s">
        <v>707</v>
      </c>
      <c r="G767" s="278" t="s">
        <v>720</v>
      </c>
      <c r="H767" s="279"/>
      <c r="I767" s="280">
        <v>45533.0</v>
      </c>
      <c r="J767" s="34"/>
      <c r="K767" s="281">
        <v>0.19</v>
      </c>
      <c r="L767" s="34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128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</row>
    <row r="768" hidden="1">
      <c r="A768" s="7"/>
      <c r="B768" s="7"/>
      <c r="C768" s="7"/>
      <c r="D768" s="7"/>
      <c r="E768" s="7"/>
      <c r="F768" s="276" t="s">
        <v>697</v>
      </c>
      <c r="G768" s="278" t="s">
        <v>700</v>
      </c>
      <c r="H768" s="279"/>
      <c r="I768" s="280">
        <v>45533.0</v>
      </c>
      <c r="J768" s="34"/>
      <c r="K768" s="281">
        <v>0.8</v>
      </c>
      <c r="L768" s="34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128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</row>
    <row r="769" hidden="1">
      <c r="A769" s="7"/>
      <c r="B769" s="7"/>
      <c r="C769" s="7"/>
      <c r="D769" s="7"/>
      <c r="E769" s="7"/>
      <c r="F769" s="276" t="s">
        <v>697</v>
      </c>
      <c r="G769" s="278" t="s">
        <v>700</v>
      </c>
      <c r="H769" s="279"/>
      <c r="I769" s="280">
        <v>45533.0</v>
      </c>
      <c r="J769" s="34"/>
      <c r="K769" s="281">
        <v>0.7680000000000001</v>
      </c>
      <c r="L769" s="34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128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</row>
    <row r="770" hidden="1">
      <c r="A770" s="7"/>
      <c r="B770" s="7"/>
      <c r="C770" s="7"/>
      <c r="D770" s="7"/>
      <c r="E770" s="7"/>
      <c r="F770" s="276" t="s">
        <v>697</v>
      </c>
      <c r="G770" s="278" t="s">
        <v>700</v>
      </c>
      <c r="H770" s="279"/>
      <c r="I770" s="280">
        <v>45534.0</v>
      </c>
      <c r="J770" s="34"/>
      <c r="K770" s="281">
        <v>0.728</v>
      </c>
      <c r="L770" s="34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128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</row>
    <row r="771" hidden="1">
      <c r="A771" s="7"/>
      <c r="B771" s="7"/>
      <c r="C771" s="7"/>
      <c r="D771" s="7"/>
      <c r="E771" s="7"/>
      <c r="F771" s="276" t="s">
        <v>697</v>
      </c>
      <c r="G771" s="278" t="s">
        <v>698</v>
      </c>
      <c r="H771" s="279"/>
      <c r="I771" s="280">
        <v>45534.0</v>
      </c>
      <c r="J771" s="34"/>
      <c r="K771" s="281">
        <v>0.273</v>
      </c>
      <c r="L771" s="34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128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</row>
    <row r="772" hidden="1">
      <c r="A772" s="7"/>
      <c r="B772" s="7"/>
      <c r="C772" s="7"/>
      <c r="D772" s="7"/>
      <c r="E772" s="7"/>
      <c r="F772" s="276" t="s">
        <v>697</v>
      </c>
      <c r="G772" s="278" t="s">
        <v>706</v>
      </c>
      <c r="H772" s="279"/>
      <c r="I772" s="280">
        <v>45534.0</v>
      </c>
      <c r="J772" s="34"/>
      <c r="K772" s="281">
        <v>0.455</v>
      </c>
      <c r="L772" s="34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128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</row>
    <row r="773" hidden="1">
      <c r="A773" s="7"/>
      <c r="B773" s="7"/>
      <c r="C773" s="7"/>
      <c r="D773" s="7"/>
      <c r="E773" s="7"/>
      <c r="F773" s="276" t="s">
        <v>707</v>
      </c>
      <c r="G773" s="278" t="s">
        <v>708</v>
      </c>
      <c r="H773" s="279"/>
      <c r="I773" s="280">
        <v>45534.0</v>
      </c>
      <c r="J773" s="34"/>
      <c r="K773" s="281">
        <v>0.2475</v>
      </c>
      <c r="L773" s="34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128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</row>
    <row r="774" hidden="1">
      <c r="A774" s="7"/>
      <c r="B774" s="7"/>
      <c r="C774" s="7"/>
      <c r="D774" s="7"/>
      <c r="E774" s="7"/>
      <c r="F774" s="276" t="s">
        <v>697</v>
      </c>
      <c r="G774" s="278" t="s">
        <v>698</v>
      </c>
      <c r="H774" s="279"/>
      <c r="I774" s="280">
        <v>45534.0</v>
      </c>
      <c r="J774" s="34"/>
      <c r="K774" s="281">
        <v>0.27599999999999997</v>
      </c>
      <c r="L774" s="34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128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</row>
    <row r="775" hidden="1">
      <c r="A775" s="7"/>
      <c r="B775" s="7"/>
      <c r="C775" s="7"/>
      <c r="D775" s="7"/>
      <c r="E775" s="7"/>
      <c r="F775" s="276" t="s">
        <v>697</v>
      </c>
      <c r="G775" s="278" t="s">
        <v>698</v>
      </c>
      <c r="H775" s="279"/>
      <c r="I775" s="280">
        <v>45534.0</v>
      </c>
      <c r="J775" s="34"/>
      <c r="K775" s="281">
        <v>0.282</v>
      </c>
      <c r="L775" s="34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128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</row>
    <row r="776" hidden="1">
      <c r="A776" s="7"/>
      <c r="B776" s="7"/>
      <c r="C776" s="7"/>
      <c r="D776" s="7"/>
      <c r="E776" s="7"/>
      <c r="F776" s="276" t="s">
        <v>707</v>
      </c>
      <c r="G776" s="278" t="s">
        <v>712</v>
      </c>
      <c r="H776" s="279"/>
      <c r="I776" s="280">
        <v>45534.0</v>
      </c>
      <c r="J776" s="34"/>
      <c r="K776" s="281">
        <v>0.882</v>
      </c>
      <c r="L776" s="34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128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</row>
    <row r="777" hidden="1">
      <c r="A777" s="7"/>
      <c r="B777" s="7"/>
      <c r="C777" s="7"/>
      <c r="D777" s="7"/>
      <c r="E777" s="7"/>
      <c r="F777" s="276" t="s">
        <v>697</v>
      </c>
      <c r="G777" s="278" t="s">
        <v>706</v>
      </c>
      <c r="H777" s="279"/>
      <c r="I777" s="280">
        <v>45534.0</v>
      </c>
      <c r="J777" s="34"/>
      <c r="K777" s="281">
        <v>0.495</v>
      </c>
      <c r="L777" s="34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128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</row>
    <row r="778" hidden="1">
      <c r="A778" s="7"/>
      <c r="B778" s="7"/>
      <c r="C778" s="7"/>
      <c r="D778" s="7"/>
      <c r="E778" s="7"/>
      <c r="F778" s="276" t="s">
        <v>707</v>
      </c>
      <c r="G778" s="278" t="s">
        <v>720</v>
      </c>
      <c r="H778" s="279"/>
      <c r="I778" s="280">
        <v>45534.0</v>
      </c>
      <c r="J778" s="34"/>
      <c r="K778" s="281">
        <v>0.19400000000000003</v>
      </c>
      <c r="L778" s="34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128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</row>
    <row r="779" hidden="1">
      <c r="A779" s="7"/>
      <c r="B779" s="7"/>
      <c r="C779" s="7"/>
      <c r="D779" s="7"/>
      <c r="E779" s="7"/>
      <c r="F779" s="276" t="s">
        <v>704</v>
      </c>
      <c r="G779" s="278" t="s">
        <v>719</v>
      </c>
      <c r="H779" s="279"/>
      <c r="I779" s="280">
        <v>45534.0</v>
      </c>
      <c r="J779" s="34"/>
      <c r="K779" s="281">
        <v>0.36800000000000005</v>
      </c>
      <c r="L779" s="34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128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</row>
    <row r="780" hidden="1">
      <c r="A780" s="7"/>
      <c r="B780" s="7"/>
      <c r="C780" s="7"/>
      <c r="D780" s="7"/>
      <c r="E780" s="7"/>
      <c r="F780" s="276" t="s">
        <v>697</v>
      </c>
      <c r="G780" s="278" t="s">
        <v>698</v>
      </c>
      <c r="H780" s="279"/>
      <c r="I780" s="280">
        <v>45534.0</v>
      </c>
      <c r="J780" s="34"/>
      <c r="K780" s="281">
        <v>0.27</v>
      </c>
      <c r="L780" s="34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128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</row>
    <row r="781" hidden="1">
      <c r="A781" s="7"/>
      <c r="B781" s="7"/>
      <c r="C781" s="7"/>
      <c r="D781" s="7"/>
      <c r="E781" s="7"/>
      <c r="F781" s="276" t="s">
        <v>716</v>
      </c>
      <c r="G781" s="278" t="s">
        <v>717</v>
      </c>
      <c r="H781" s="279"/>
      <c r="I781" s="280">
        <v>45535.0</v>
      </c>
      <c r="J781" s="34"/>
      <c r="K781" s="281">
        <v>0.7360000000000001</v>
      </c>
      <c r="L781" s="34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128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</row>
    <row r="782" hidden="1">
      <c r="A782" s="7"/>
      <c r="B782" s="7"/>
      <c r="C782" s="7"/>
      <c r="D782" s="7"/>
      <c r="E782" s="7"/>
      <c r="F782" s="276" t="s">
        <v>707</v>
      </c>
      <c r="G782" s="278" t="s">
        <v>708</v>
      </c>
      <c r="H782" s="279"/>
      <c r="I782" s="280">
        <v>45535.0</v>
      </c>
      <c r="J782" s="34"/>
      <c r="K782" s="281">
        <v>0.25</v>
      </c>
      <c r="L782" s="34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128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</row>
    <row r="783" hidden="1">
      <c r="A783" s="7"/>
      <c r="B783" s="7"/>
      <c r="C783" s="7"/>
      <c r="D783" s="7"/>
      <c r="E783" s="7"/>
      <c r="F783" s="276" t="s">
        <v>707</v>
      </c>
      <c r="G783" s="278" t="s">
        <v>712</v>
      </c>
      <c r="H783" s="279"/>
      <c r="I783" s="280">
        <v>45535.0</v>
      </c>
      <c r="J783" s="34"/>
      <c r="K783" s="281">
        <v>0.9</v>
      </c>
      <c r="L783" s="34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128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</row>
    <row r="784" hidden="1">
      <c r="A784" s="7"/>
      <c r="B784" s="7"/>
      <c r="C784" s="7"/>
      <c r="D784" s="7"/>
      <c r="E784" s="7"/>
      <c r="F784" s="276" t="s">
        <v>716</v>
      </c>
      <c r="G784" s="278" t="s">
        <v>729</v>
      </c>
      <c r="H784" s="279"/>
      <c r="I784" s="280">
        <v>45535.0</v>
      </c>
      <c r="J784" s="34"/>
      <c r="K784" s="281">
        <v>0.675</v>
      </c>
      <c r="L784" s="34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128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</row>
    <row r="785" hidden="1">
      <c r="A785" s="7"/>
      <c r="B785" s="7"/>
      <c r="C785" s="7"/>
      <c r="D785" s="7"/>
      <c r="E785" s="7"/>
      <c r="F785" s="276" t="s">
        <v>716</v>
      </c>
      <c r="G785" s="278" t="s">
        <v>717</v>
      </c>
      <c r="H785" s="279"/>
      <c r="I785" s="280">
        <v>45535.0</v>
      </c>
      <c r="J785" s="34"/>
      <c r="K785" s="281">
        <v>0.7760000000000001</v>
      </c>
      <c r="L785" s="34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128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</row>
    <row r="786" hidden="1">
      <c r="A786" s="7"/>
      <c r="B786" s="7"/>
      <c r="C786" s="7"/>
      <c r="D786" s="7"/>
      <c r="E786" s="7"/>
      <c r="F786" s="276" t="s">
        <v>704</v>
      </c>
      <c r="G786" s="278" t="s">
        <v>719</v>
      </c>
      <c r="H786" s="279"/>
      <c r="I786" s="280">
        <v>45535.0</v>
      </c>
      <c r="J786" s="34"/>
      <c r="K786" s="281">
        <v>0.38</v>
      </c>
      <c r="L786" s="34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128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</row>
    <row r="787" hidden="1">
      <c r="A787" s="7"/>
      <c r="B787" s="7"/>
      <c r="C787" s="7"/>
      <c r="D787" s="7"/>
      <c r="E787" s="7"/>
      <c r="F787" s="276" t="s">
        <v>697</v>
      </c>
      <c r="G787" s="278" t="s">
        <v>700</v>
      </c>
      <c r="H787" s="279"/>
      <c r="I787" s="280">
        <v>45535.0</v>
      </c>
      <c r="J787" s="34"/>
      <c r="K787" s="281">
        <v>0.8</v>
      </c>
      <c r="L787" s="34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128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</row>
    <row r="788" hidden="1">
      <c r="A788" s="7"/>
      <c r="B788" s="7"/>
      <c r="C788" s="7"/>
      <c r="D788" s="7"/>
      <c r="E788" s="7"/>
      <c r="F788" s="276" t="s">
        <v>707</v>
      </c>
      <c r="G788" s="278" t="s">
        <v>708</v>
      </c>
      <c r="H788" s="279"/>
      <c r="I788" s="280">
        <v>45535.0</v>
      </c>
      <c r="J788" s="34"/>
      <c r="K788" s="281">
        <v>0.2425</v>
      </c>
      <c r="L788" s="34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128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</row>
    <row r="789" hidden="1">
      <c r="A789" s="7"/>
      <c r="B789" s="7"/>
      <c r="C789" s="7"/>
      <c r="D789" s="7"/>
      <c r="E789" s="7"/>
      <c r="F789" s="276" t="s">
        <v>707</v>
      </c>
      <c r="G789" s="278" t="s">
        <v>708</v>
      </c>
      <c r="H789" s="279"/>
      <c r="I789" s="280">
        <v>45536.0</v>
      </c>
      <c r="J789" s="34"/>
      <c r="K789" s="281">
        <v>0.2475</v>
      </c>
      <c r="L789" s="34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128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</row>
    <row r="790" hidden="1">
      <c r="A790" s="7"/>
      <c r="B790" s="7"/>
      <c r="C790" s="7"/>
      <c r="D790" s="7"/>
      <c r="E790" s="7"/>
      <c r="F790" s="276" t="s">
        <v>707</v>
      </c>
      <c r="G790" s="278" t="s">
        <v>720</v>
      </c>
      <c r="H790" s="279"/>
      <c r="I790" s="280">
        <v>45536.0</v>
      </c>
      <c r="J790" s="34"/>
      <c r="K790" s="281">
        <v>0.182</v>
      </c>
      <c r="L790" s="34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128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</row>
    <row r="791" hidden="1">
      <c r="A791" s="7"/>
      <c r="B791" s="7"/>
      <c r="C791" s="7"/>
      <c r="D791" s="7"/>
      <c r="E791" s="7"/>
      <c r="F791" s="276" t="s">
        <v>716</v>
      </c>
      <c r="G791" s="278" t="s">
        <v>717</v>
      </c>
      <c r="H791" s="279"/>
      <c r="I791" s="280">
        <v>45536.0</v>
      </c>
      <c r="J791" s="34"/>
      <c r="K791" s="281">
        <v>0.7680000000000001</v>
      </c>
      <c r="L791" s="34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128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</row>
    <row r="792" hidden="1">
      <c r="A792" s="7"/>
      <c r="B792" s="7"/>
      <c r="C792" s="7"/>
      <c r="D792" s="7"/>
      <c r="E792" s="7"/>
      <c r="F792" s="276" t="s">
        <v>697</v>
      </c>
      <c r="G792" s="278" t="s">
        <v>706</v>
      </c>
      <c r="H792" s="279"/>
      <c r="I792" s="280">
        <v>45536.0</v>
      </c>
      <c r="J792" s="34"/>
      <c r="K792" s="281">
        <v>0.48</v>
      </c>
      <c r="L792" s="34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128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</row>
    <row r="793" hidden="1">
      <c r="A793" s="7"/>
      <c r="B793" s="7"/>
      <c r="C793" s="7"/>
      <c r="D793" s="7"/>
      <c r="E793" s="7"/>
      <c r="F793" s="276" t="s">
        <v>707</v>
      </c>
      <c r="G793" s="278" t="s">
        <v>712</v>
      </c>
      <c r="H793" s="279"/>
      <c r="I793" s="280">
        <v>45536.0</v>
      </c>
      <c r="J793" s="34"/>
      <c r="K793" s="281">
        <v>0.8460000000000001</v>
      </c>
      <c r="L793" s="34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128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</row>
    <row r="794" hidden="1">
      <c r="A794" s="7"/>
      <c r="B794" s="7"/>
      <c r="C794" s="7"/>
      <c r="D794" s="7"/>
      <c r="E794" s="7"/>
      <c r="F794" s="276" t="s">
        <v>707</v>
      </c>
      <c r="G794" s="278" t="s">
        <v>708</v>
      </c>
      <c r="H794" s="279"/>
      <c r="I794" s="280">
        <v>45536.0</v>
      </c>
      <c r="J794" s="34"/>
      <c r="K794" s="281">
        <v>0.23</v>
      </c>
      <c r="L794" s="34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128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</row>
    <row r="795" hidden="1">
      <c r="A795" s="7"/>
      <c r="B795" s="7"/>
      <c r="C795" s="7"/>
      <c r="D795" s="7"/>
      <c r="E795" s="7"/>
      <c r="F795" s="276" t="s">
        <v>716</v>
      </c>
      <c r="G795" s="278" t="s">
        <v>717</v>
      </c>
      <c r="H795" s="279"/>
      <c r="I795" s="280">
        <v>45536.0</v>
      </c>
      <c r="J795" s="34"/>
      <c r="K795" s="281">
        <v>0.728</v>
      </c>
      <c r="L795" s="34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128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</row>
    <row r="796" hidden="1">
      <c r="A796" s="7"/>
      <c r="B796" s="7"/>
      <c r="C796" s="7"/>
      <c r="D796" s="7"/>
      <c r="E796" s="7"/>
      <c r="F796" s="276" t="s">
        <v>716</v>
      </c>
      <c r="G796" s="278" t="s">
        <v>729</v>
      </c>
      <c r="H796" s="279"/>
      <c r="I796" s="280">
        <v>45536.0</v>
      </c>
      <c r="J796" s="34"/>
      <c r="K796" s="281">
        <v>0.69</v>
      </c>
      <c r="L796" s="34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128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</row>
    <row r="797" hidden="1">
      <c r="A797" s="7"/>
      <c r="B797" s="7"/>
      <c r="C797" s="7"/>
      <c r="D797" s="7"/>
      <c r="E797" s="7"/>
      <c r="F797" s="276" t="s">
        <v>704</v>
      </c>
      <c r="G797" s="278" t="s">
        <v>719</v>
      </c>
      <c r="H797" s="279"/>
      <c r="I797" s="280">
        <v>45536.0</v>
      </c>
      <c r="J797" s="34"/>
      <c r="K797" s="281">
        <v>0.364</v>
      </c>
      <c r="L797" s="34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128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</row>
    <row r="798" hidden="1">
      <c r="A798" s="7"/>
      <c r="B798" s="7"/>
      <c r="C798" s="7"/>
      <c r="D798" s="7"/>
      <c r="E798" s="7"/>
      <c r="F798" s="276" t="s">
        <v>704</v>
      </c>
      <c r="G798" s="278" t="s">
        <v>705</v>
      </c>
      <c r="H798" s="279"/>
      <c r="I798" s="280">
        <v>45536.0</v>
      </c>
      <c r="J798" s="34"/>
      <c r="K798" s="281">
        <v>0.27899999999999997</v>
      </c>
      <c r="L798" s="34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128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</row>
    <row r="799" hidden="1">
      <c r="A799" s="7"/>
      <c r="B799" s="7"/>
      <c r="C799" s="7"/>
      <c r="D799" s="7"/>
      <c r="E799" s="7"/>
      <c r="F799" s="276" t="s">
        <v>707</v>
      </c>
      <c r="G799" s="278" t="s">
        <v>712</v>
      </c>
      <c r="H799" s="279"/>
      <c r="I799" s="280">
        <v>45536.0</v>
      </c>
      <c r="J799" s="34"/>
      <c r="K799" s="281">
        <v>0.81</v>
      </c>
      <c r="L799" s="34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128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</row>
    <row r="800" hidden="1">
      <c r="A800" s="7"/>
      <c r="B800" s="7"/>
      <c r="C800" s="7"/>
      <c r="D800" s="7"/>
      <c r="E800" s="7"/>
      <c r="F800" s="276" t="s">
        <v>704</v>
      </c>
      <c r="G800" s="278" t="s">
        <v>705</v>
      </c>
      <c r="H800" s="279"/>
      <c r="I800" s="280">
        <v>45536.0</v>
      </c>
      <c r="J800" s="34"/>
      <c r="K800" s="281">
        <v>0.297</v>
      </c>
      <c r="L800" s="34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128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</row>
    <row r="801" hidden="1">
      <c r="A801" s="7"/>
      <c r="B801" s="7"/>
      <c r="C801" s="7"/>
      <c r="D801" s="7"/>
      <c r="E801" s="7"/>
      <c r="F801" s="276" t="s">
        <v>716</v>
      </c>
      <c r="G801" s="278" t="s">
        <v>717</v>
      </c>
      <c r="H801" s="279"/>
      <c r="I801" s="280">
        <v>45537.0</v>
      </c>
      <c r="J801" s="34"/>
      <c r="K801" s="281">
        <v>0.7440000000000001</v>
      </c>
      <c r="L801" s="34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128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</row>
    <row r="802" hidden="1">
      <c r="A802" s="7"/>
      <c r="B802" s="7"/>
      <c r="C802" s="7"/>
      <c r="D802" s="7"/>
      <c r="E802" s="7"/>
      <c r="F802" s="276" t="s">
        <v>716</v>
      </c>
      <c r="G802" s="278" t="s">
        <v>717</v>
      </c>
      <c r="H802" s="279"/>
      <c r="I802" s="280">
        <v>45537.0</v>
      </c>
      <c r="J802" s="34"/>
      <c r="K802" s="281">
        <v>0.752</v>
      </c>
      <c r="L802" s="34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128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</row>
    <row r="803" hidden="1">
      <c r="A803" s="7"/>
      <c r="B803" s="7"/>
      <c r="C803" s="7"/>
      <c r="D803" s="7"/>
      <c r="E803" s="7"/>
      <c r="F803" s="276" t="s">
        <v>697</v>
      </c>
      <c r="G803" s="278" t="s">
        <v>706</v>
      </c>
      <c r="H803" s="279"/>
      <c r="I803" s="280">
        <v>45537.0</v>
      </c>
      <c r="J803" s="34"/>
      <c r="K803" s="281">
        <v>0.485</v>
      </c>
      <c r="L803" s="34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128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</row>
    <row r="804" hidden="1">
      <c r="A804" s="7"/>
      <c r="B804" s="7"/>
      <c r="C804" s="7"/>
      <c r="D804" s="7"/>
      <c r="E804" s="7"/>
      <c r="F804" s="276" t="s">
        <v>707</v>
      </c>
      <c r="G804" s="278" t="s">
        <v>720</v>
      </c>
      <c r="H804" s="279"/>
      <c r="I804" s="280">
        <v>45537.0</v>
      </c>
      <c r="J804" s="34"/>
      <c r="K804" s="281">
        <v>0.18400000000000002</v>
      </c>
      <c r="L804" s="34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128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</row>
    <row r="805" hidden="1">
      <c r="A805" s="7"/>
      <c r="B805" s="7"/>
      <c r="C805" s="7"/>
      <c r="D805" s="7"/>
      <c r="E805" s="7"/>
      <c r="F805" s="276" t="s">
        <v>704</v>
      </c>
      <c r="G805" s="278" t="s">
        <v>713</v>
      </c>
      <c r="H805" s="279"/>
      <c r="I805" s="280">
        <v>45537.0</v>
      </c>
      <c r="J805" s="34"/>
      <c r="K805" s="281">
        <v>0.6789999999999999</v>
      </c>
      <c r="L805" s="34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128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</row>
    <row r="806" hidden="1">
      <c r="A806" s="7"/>
      <c r="B806" s="7"/>
      <c r="C806" s="7"/>
      <c r="D806" s="7"/>
      <c r="E806" s="7"/>
      <c r="F806" s="276" t="s">
        <v>716</v>
      </c>
      <c r="G806" s="278" t="s">
        <v>732</v>
      </c>
      <c r="H806" s="279"/>
      <c r="I806" s="280">
        <v>45537.0</v>
      </c>
      <c r="J806" s="34"/>
      <c r="K806" s="281">
        <v>0.6439999999999999</v>
      </c>
      <c r="L806" s="34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128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</row>
    <row r="807" hidden="1">
      <c r="A807" s="7"/>
      <c r="B807" s="7"/>
      <c r="C807" s="7"/>
      <c r="D807" s="7"/>
      <c r="E807" s="7"/>
      <c r="F807" s="276" t="s">
        <v>716</v>
      </c>
      <c r="G807" s="278" t="s">
        <v>729</v>
      </c>
      <c r="H807" s="279"/>
      <c r="I807" s="280">
        <v>45537.0</v>
      </c>
      <c r="J807" s="34"/>
      <c r="K807" s="281">
        <v>0.735</v>
      </c>
      <c r="L807" s="34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128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</row>
    <row r="808" hidden="1">
      <c r="A808" s="7"/>
      <c r="B808" s="7"/>
      <c r="C808" s="7"/>
      <c r="D808" s="7"/>
      <c r="E808" s="7"/>
      <c r="F808" s="276" t="s">
        <v>704</v>
      </c>
      <c r="G808" s="278" t="s">
        <v>719</v>
      </c>
      <c r="H808" s="279"/>
      <c r="I808" s="280">
        <v>45537.0</v>
      </c>
      <c r="J808" s="34"/>
      <c r="K808" s="281">
        <v>0.364</v>
      </c>
      <c r="L808" s="34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128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</row>
    <row r="809" hidden="1">
      <c r="A809" s="7"/>
      <c r="B809" s="7"/>
      <c r="C809" s="7"/>
      <c r="D809" s="7"/>
      <c r="E809" s="7"/>
      <c r="F809" s="276" t="s">
        <v>697</v>
      </c>
      <c r="G809" s="278" t="s">
        <v>700</v>
      </c>
      <c r="H809" s="279"/>
      <c r="I809" s="280">
        <v>45537.0</v>
      </c>
      <c r="J809" s="34"/>
      <c r="K809" s="281">
        <v>0.7680000000000001</v>
      </c>
      <c r="L809" s="34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128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</row>
    <row r="810" hidden="1">
      <c r="A810" s="7"/>
      <c r="B810" s="7"/>
      <c r="C810" s="7"/>
      <c r="D810" s="7"/>
      <c r="E810" s="7"/>
      <c r="F810" s="276" t="s">
        <v>716</v>
      </c>
      <c r="G810" s="278" t="s">
        <v>717</v>
      </c>
      <c r="H810" s="279"/>
      <c r="I810" s="280">
        <v>45537.0</v>
      </c>
      <c r="J810" s="34"/>
      <c r="K810" s="281">
        <v>0.784</v>
      </c>
      <c r="L810" s="34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128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</row>
    <row r="811" hidden="1">
      <c r="A811" s="7"/>
      <c r="B811" s="7"/>
      <c r="C811" s="7"/>
      <c r="D811" s="7"/>
      <c r="E811" s="7"/>
      <c r="F811" s="276" t="s">
        <v>697</v>
      </c>
      <c r="G811" s="278" t="s">
        <v>700</v>
      </c>
      <c r="H811" s="279"/>
      <c r="I811" s="280">
        <v>45537.0</v>
      </c>
      <c r="J811" s="34"/>
      <c r="K811" s="281">
        <v>0.7760000000000001</v>
      </c>
      <c r="L811" s="34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128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</row>
    <row r="812" hidden="1">
      <c r="A812" s="7"/>
      <c r="B812" s="7"/>
      <c r="C812" s="7"/>
      <c r="D812" s="7"/>
      <c r="E812" s="7"/>
      <c r="F812" s="276" t="s">
        <v>704</v>
      </c>
      <c r="G812" s="278" t="s">
        <v>719</v>
      </c>
      <c r="H812" s="279"/>
      <c r="I812" s="280">
        <v>45537.0</v>
      </c>
      <c r="J812" s="34"/>
      <c r="K812" s="281">
        <v>0.38</v>
      </c>
      <c r="L812" s="34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128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</row>
    <row r="813" hidden="1">
      <c r="A813" s="7"/>
      <c r="B813" s="7"/>
      <c r="C813" s="7"/>
      <c r="D813" s="7"/>
      <c r="E813" s="7"/>
      <c r="F813" s="276" t="s">
        <v>716</v>
      </c>
      <c r="G813" s="278" t="s">
        <v>717</v>
      </c>
      <c r="H813" s="279"/>
      <c r="I813" s="280">
        <v>45537.0</v>
      </c>
      <c r="J813" s="34"/>
      <c r="K813" s="281">
        <v>0.784</v>
      </c>
      <c r="L813" s="34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128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</row>
    <row r="814" hidden="1">
      <c r="A814" s="7"/>
      <c r="B814" s="7"/>
      <c r="C814" s="7"/>
      <c r="D814" s="7"/>
      <c r="E814" s="7"/>
      <c r="F814" s="276" t="s">
        <v>707</v>
      </c>
      <c r="G814" s="278" t="s">
        <v>720</v>
      </c>
      <c r="H814" s="279"/>
      <c r="I814" s="280">
        <v>45538.0</v>
      </c>
      <c r="J814" s="34"/>
      <c r="K814" s="281">
        <v>0.19400000000000003</v>
      </c>
      <c r="L814" s="34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128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</row>
    <row r="815" hidden="1">
      <c r="A815" s="7"/>
      <c r="B815" s="7"/>
      <c r="C815" s="7"/>
      <c r="D815" s="7"/>
      <c r="E815" s="7"/>
      <c r="F815" s="276" t="s">
        <v>716</v>
      </c>
      <c r="G815" s="278" t="s">
        <v>717</v>
      </c>
      <c r="H815" s="279"/>
      <c r="I815" s="280">
        <v>45538.0</v>
      </c>
      <c r="J815" s="34"/>
      <c r="K815" s="281">
        <v>0.792</v>
      </c>
      <c r="L815" s="34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128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</row>
    <row r="816" hidden="1">
      <c r="A816" s="7"/>
      <c r="B816" s="7"/>
      <c r="C816" s="7"/>
      <c r="D816" s="7"/>
      <c r="E816" s="7"/>
      <c r="F816" s="276" t="s">
        <v>697</v>
      </c>
      <c r="G816" s="278" t="s">
        <v>700</v>
      </c>
      <c r="H816" s="279"/>
      <c r="I816" s="280">
        <v>45538.0</v>
      </c>
      <c r="J816" s="34"/>
      <c r="K816" s="281">
        <v>0.784</v>
      </c>
      <c r="L816" s="34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128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</row>
    <row r="817" hidden="1">
      <c r="A817" s="7"/>
      <c r="B817" s="7"/>
      <c r="C817" s="7"/>
      <c r="D817" s="7"/>
      <c r="E817" s="7"/>
      <c r="F817" s="276" t="s">
        <v>707</v>
      </c>
      <c r="G817" s="278" t="s">
        <v>720</v>
      </c>
      <c r="H817" s="279"/>
      <c r="I817" s="280">
        <v>45538.0</v>
      </c>
      <c r="J817" s="34"/>
      <c r="K817" s="281">
        <v>0.18600000000000003</v>
      </c>
      <c r="L817" s="34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128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</row>
    <row r="818" hidden="1">
      <c r="A818" s="7"/>
      <c r="B818" s="7"/>
      <c r="C818" s="7"/>
      <c r="D818" s="7"/>
      <c r="E818" s="7"/>
      <c r="F818" s="276" t="s">
        <v>697</v>
      </c>
      <c r="G818" s="278" t="s">
        <v>698</v>
      </c>
      <c r="H818" s="279"/>
      <c r="I818" s="280">
        <v>45538.0</v>
      </c>
      <c r="J818" s="34"/>
      <c r="K818" s="281">
        <v>0.285</v>
      </c>
      <c r="L818" s="34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128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</row>
    <row r="819" hidden="1">
      <c r="A819" s="7"/>
      <c r="B819" s="7"/>
      <c r="C819" s="7"/>
      <c r="D819" s="7"/>
      <c r="E819" s="7"/>
      <c r="F819" s="276" t="s">
        <v>716</v>
      </c>
      <c r="G819" s="278" t="s">
        <v>732</v>
      </c>
      <c r="H819" s="279"/>
      <c r="I819" s="280">
        <v>45538.0</v>
      </c>
      <c r="J819" s="34"/>
      <c r="K819" s="281">
        <v>0.6719999999999999</v>
      </c>
      <c r="L819" s="34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128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</row>
    <row r="820" hidden="1">
      <c r="A820" s="7"/>
      <c r="B820" s="7"/>
      <c r="C820" s="7"/>
      <c r="D820" s="7"/>
      <c r="E820" s="7"/>
      <c r="F820" s="276" t="s">
        <v>704</v>
      </c>
      <c r="G820" s="278" t="s">
        <v>713</v>
      </c>
      <c r="H820" s="279"/>
      <c r="I820" s="280">
        <v>45539.0</v>
      </c>
      <c r="J820" s="34"/>
      <c r="K820" s="281">
        <v>0.6859999999999999</v>
      </c>
      <c r="L820" s="34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128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</row>
    <row r="821" hidden="1">
      <c r="A821" s="7"/>
      <c r="B821" s="7"/>
      <c r="C821" s="7"/>
      <c r="D821" s="7"/>
      <c r="E821" s="7"/>
      <c r="F821" s="276" t="s">
        <v>704</v>
      </c>
      <c r="G821" s="278" t="s">
        <v>705</v>
      </c>
      <c r="H821" s="279"/>
      <c r="I821" s="280">
        <v>45539.0</v>
      </c>
      <c r="J821" s="34"/>
      <c r="K821" s="281">
        <v>0.297</v>
      </c>
      <c r="L821" s="34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128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</row>
    <row r="822" hidden="1">
      <c r="A822" s="7"/>
      <c r="B822" s="7"/>
      <c r="C822" s="7"/>
      <c r="D822" s="7"/>
      <c r="E822" s="7"/>
      <c r="F822" s="276" t="s">
        <v>697</v>
      </c>
      <c r="G822" s="278" t="s">
        <v>706</v>
      </c>
      <c r="H822" s="279"/>
      <c r="I822" s="280">
        <v>45539.0</v>
      </c>
      <c r="J822" s="34"/>
      <c r="K822" s="281">
        <v>0.48</v>
      </c>
      <c r="L822" s="34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128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</row>
    <row r="823" hidden="1">
      <c r="A823" s="7"/>
      <c r="B823" s="7"/>
      <c r="C823" s="7"/>
      <c r="D823" s="7"/>
      <c r="E823" s="7"/>
      <c r="F823" s="276" t="s">
        <v>716</v>
      </c>
      <c r="G823" s="278" t="s">
        <v>729</v>
      </c>
      <c r="H823" s="279"/>
      <c r="I823" s="280">
        <v>45539.0</v>
      </c>
      <c r="J823" s="34"/>
      <c r="K823" s="281">
        <v>0.6975</v>
      </c>
      <c r="L823" s="34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128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</row>
    <row r="824" hidden="1">
      <c r="A824" s="7"/>
      <c r="B824" s="7"/>
      <c r="C824" s="7"/>
      <c r="D824" s="7"/>
      <c r="E824" s="7"/>
      <c r="F824" s="276" t="s">
        <v>716</v>
      </c>
      <c r="G824" s="278" t="s">
        <v>729</v>
      </c>
      <c r="H824" s="279"/>
      <c r="I824" s="280">
        <v>45539.0</v>
      </c>
      <c r="J824" s="34"/>
      <c r="K824" s="281">
        <v>0.6975</v>
      </c>
      <c r="L824" s="34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128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</row>
    <row r="825" hidden="1">
      <c r="A825" s="7"/>
      <c r="B825" s="7"/>
      <c r="C825" s="7"/>
      <c r="D825" s="7"/>
      <c r="E825" s="7"/>
      <c r="F825" s="276" t="s">
        <v>716</v>
      </c>
      <c r="G825" s="278" t="s">
        <v>732</v>
      </c>
      <c r="H825" s="279"/>
      <c r="I825" s="280">
        <v>45539.0</v>
      </c>
      <c r="J825" s="34"/>
      <c r="K825" s="281">
        <v>0.6719999999999999</v>
      </c>
      <c r="L825" s="34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128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</row>
    <row r="826" hidden="1">
      <c r="A826" s="7"/>
      <c r="B826" s="7"/>
      <c r="C826" s="7"/>
      <c r="D826" s="7"/>
      <c r="E826" s="7"/>
      <c r="F826" s="276" t="s">
        <v>707</v>
      </c>
      <c r="G826" s="278" t="s">
        <v>720</v>
      </c>
      <c r="H826" s="279"/>
      <c r="I826" s="280">
        <v>45539.0</v>
      </c>
      <c r="J826" s="34"/>
      <c r="K826" s="281">
        <v>0.18400000000000002</v>
      </c>
      <c r="L826" s="34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128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</row>
    <row r="827" hidden="1">
      <c r="A827" s="7"/>
      <c r="B827" s="7"/>
      <c r="C827" s="7"/>
      <c r="D827" s="7"/>
      <c r="E827" s="7"/>
      <c r="F827" s="276" t="s">
        <v>697</v>
      </c>
      <c r="G827" s="278" t="s">
        <v>700</v>
      </c>
      <c r="H827" s="279"/>
      <c r="I827" s="280">
        <v>45539.0</v>
      </c>
      <c r="J827" s="34"/>
      <c r="K827" s="281">
        <v>0.7360000000000001</v>
      </c>
      <c r="L827" s="34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128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</row>
    <row r="828" hidden="1">
      <c r="A828" s="7"/>
      <c r="B828" s="7"/>
      <c r="C828" s="7"/>
      <c r="D828" s="7"/>
      <c r="E828" s="7"/>
      <c r="F828" s="276" t="s">
        <v>697</v>
      </c>
      <c r="G828" s="278" t="s">
        <v>698</v>
      </c>
      <c r="H828" s="279"/>
      <c r="I828" s="280">
        <v>45539.0</v>
      </c>
      <c r="J828" s="34"/>
      <c r="K828" s="281">
        <v>0.27</v>
      </c>
      <c r="L828" s="34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128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</row>
    <row r="829" hidden="1">
      <c r="A829" s="7"/>
      <c r="B829" s="7"/>
      <c r="C829" s="7"/>
      <c r="D829" s="7"/>
      <c r="E829" s="7"/>
      <c r="F829" s="276" t="s">
        <v>707</v>
      </c>
      <c r="G829" s="278" t="s">
        <v>712</v>
      </c>
      <c r="H829" s="279"/>
      <c r="I829" s="280">
        <v>45540.0</v>
      </c>
      <c r="J829" s="34"/>
      <c r="K829" s="281">
        <v>0.81</v>
      </c>
      <c r="L829" s="34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128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</row>
    <row r="830" hidden="1">
      <c r="A830" s="7"/>
      <c r="B830" s="7"/>
      <c r="C830" s="7"/>
      <c r="D830" s="7"/>
      <c r="E830" s="7"/>
      <c r="F830" s="276" t="s">
        <v>716</v>
      </c>
      <c r="G830" s="278" t="s">
        <v>729</v>
      </c>
      <c r="H830" s="279"/>
      <c r="I830" s="280">
        <v>45540.0</v>
      </c>
      <c r="J830" s="34"/>
      <c r="K830" s="281">
        <v>0.675</v>
      </c>
      <c r="L830" s="34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128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</row>
    <row r="831" hidden="1">
      <c r="A831" s="7"/>
      <c r="B831" s="7"/>
      <c r="C831" s="7"/>
      <c r="D831" s="7"/>
      <c r="E831" s="7"/>
      <c r="F831" s="276" t="s">
        <v>716</v>
      </c>
      <c r="G831" s="278" t="s">
        <v>732</v>
      </c>
      <c r="H831" s="279"/>
      <c r="I831" s="280">
        <v>45540.0</v>
      </c>
      <c r="J831" s="34"/>
      <c r="K831" s="281">
        <v>0.6719999999999999</v>
      </c>
      <c r="L831" s="34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128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</row>
    <row r="832" hidden="1">
      <c r="A832" s="7"/>
      <c r="B832" s="7"/>
      <c r="C832" s="7"/>
      <c r="D832" s="7"/>
      <c r="E832" s="7"/>
      <c r="F832" s="276" t="s">
        <v>707</v>
      </c>
      <c r="G832" s="278" t="s">
        <v>720</v>
      </c>
      <c r="H832" s="279"/>
      <c r="I832" s="280">
        <v>45540.0</v>
      </c>
      <c r="J832" s="34"/>
      <c r="K832" s="281">
        <v>0.19</v>
      </c>
      <c r="L832" s="34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128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</row>
    <row r="833" hidden="1">
      <c r="A833" s="7"/>
      <c r="B833" s="7"/>
      <c r="C833" s="7"/>
      <c r="D833" s="7"/>
      <c r="E833" s="7"/>
      <c r="F833" s="276" t="s">
        <v>697</v>
      </c>
      <c r="G833" s="278" t="s">
        <v>698</v>
      </c>
      <c r="H833" s="279"/>
      <c r="I833" s="280">
        <v>45540.0</v>
      </c>
      <c r="J833" s="34"/>
      <c r="K833" s="281">
        <v>0.273</v>
      </c>
      <c r="L833" s="34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128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</row>
    <row r="834" hidden="1">
      <c r="A834" s="7"/>
      <c r="B834" s="7"/>
      <c r="C834" s="7"/>
      <c r="D834" s="7"/>
      <c r="E834" s="7"/>
      <c r="F834" s="276" t="s">
        <v>697</v>
      </c>
      <c r="G834" s="278" t="s">
        <v>698</v>
      </c>
      <c r="H834" s="279"/>
      <c r="I834" s="280">
        <v>45540.0</v>
      </c>
      <c r="J834" s="34"/>
      <c r="K834" s="281">
        <v>0.291</v>
      </c>
      <c r="L834" s="34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128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</row>
    <row r="835" hidden="1">
      <c r="A835" s="7"/>
      <c r="B835" s="7"/>
      <c r="C835" s="7"/>
      <c r="D835" s="7"/>
      <c r="E835" s="7"/>
      <c r="F835" s="276" t="s">
        <v>716</v>
      </c>
      <c r="G835" s="278" t="s">
        <v>717</v>
      </c>
      <c r="H835" s="279"/>
      <c r="I835" s="280">
        <v>45540.0</v>
      </c>
      <c r="J835" s="34"/>
      <c r="K835" s="281">
        <v>0.7360000000000001</v>
      </c>
      <c r="L835" s="34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128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</row>
    <row r="836" hidden="1">
      <c r="A836" s="7"/>
      <c r="B836" s="7"/>
      <c r="C836" s="7"/>
      <c r="D836" s="7"/>
      <c r="E836" s="7"/>
      <c r="F836" s="276" t="s">
        <v>716</v>
      </c>
      <c r="G836" s="278" t="s">
        <v>732</v>
      </c>
      <c r="H836" s="279"/>
      <c r="I836" s="280">
        <v>45540.0</v>
      </c>
      <c r="J836" s="34"/>
      <c r="K836" s="281">
        <v>0.6439999999999999</v>
      </c>
      <c r="L836" s="34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128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</row>
    <row r="837" hidden="1">
      <c r="A837" s="7"/>
      <c r="B837" s="7"/>
      <c r="C837" s="7"/>
      <c r="D837" s="7"/>
      <c r="E837" s="7"/>
      <c r="F837" s="276" t="s">
        <v>707</v>
      </c>
      <c r="G837" s="278" t="s">
        <v>708</v>
      </c>
      <c r="H837" s="279"/>
      <c r="I837" s="280">
        <v>45540.0</v>
      </c>
      <c r="J837" s="34"/>
      <c r="K837" s="281">
        <v>0.23</v>
      </c>
      <c r="L837" s="34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128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</row>
    <row r="838" hidden="1">
      <c r="A838" s="7"/>
      <c r="B838" s="7"/>
      <c r="C838" s="7"/>
      <c r="D838" s="7"/>
      <c r="E838" s="7"/>
      <c r="F838" s="276" t="s">
        <v>697</v>
      </c>
      <c r="G838" s="278" t="s">
        <v>698</v>
      </c>
      <c r="H838" s="279"/>
      <c r="I838" s="280">
        <v>45540.0</v>
      </c>
      <c r="J838" s="34"/>
      <c r="K838" s="281">
        <v>0.285</v>
      </c>
      <c r="L838" s="34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128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</row>
    <row r="839" hidden="1">
      <c r="A839" s="7"/>
      <c r="B839" s="7"/>
      <c r="C839" s="7"/>
      <c r="D839" s="7"/>
      <c r="E839" s="7"/>
      <c r="F839" s="276" t="s">
        <v>704</v>
      </c>
      <c r="G839" s="278" t="s">
        <v>705</v>
      </c>
      <c r="H839" s="279"/>
      <c r="I839" s="280">
        <v>45540.0</v>
      </c>
      <c r="J839" s="34"/>
      <c r="K839" s="281">
        <v>0.27</v>
      </c>
      <c r="L839" s="34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128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</row>
    <row r="840" hidden="1">
      <c r="A840" s="7"/>
      <c r="B840" s="7"/>
      <c r="C840" s="7"/>
      <c r="D840" s="7"/>
      <c r="E840" s="7"/>
      <c r="F840" s="276" t="s">
        <v>697</v>
      </c>
      <c r="G840" s="278" t="s">
        <v>700</v>
      </c>
      <c r="H840" s="279"/>
      <c r="I840" s="280">
        <v>45541.0</v>
      </c>
      <c r="J840" s="34"/>
      <c r="K840" s="281">
        <v>0.8</v>
      </c>
      <c r="L840" s="34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128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</row>
    <row r="841" hidden="1">
      <c r="A841" s="7"/>
      <c r="B841" s="7"/>
      <c r="C841" s="7"/>
      <c r="D841" s="7"/>
      <c r="E841" s="7"/>
      <c r="F841" s="276" t="s">
        <v>704</v>
      </c>
      <c r="G841" s="278" t="s">
        <v>719</v>
      </c>
      <c r="H841" s="279"/>
      <c r="I841" s="280">
        <v>45541.0</v>
      </c>
      <c r="J841" s="34"/>
      <c r="K841" s="281">
        <v>0.38800000000000007</v>
      </c>
      <c r="L841" s="34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128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</row>
    <row r="842" hidden="1">
      <c r="A842" s="7"/>
      <c r="B842" s="7"/>
      <c r="C842" s="7"/>
      <c r="D842" s="7"/>
      <c r="E842" s="7"/>
      <c r="F842" s="276" t="s">
        <v>697</v>
      </c>
      <c r="G842" s="278" t="s">
        <v>700</v>
      </c>
      <c r="H842" s="279"/>
      <c r="I842" s="280">
        <v>45541.0</v>
      </c>
      <c r="J842" s="34"/>
      <c r="K842" s="281">
        <v>0.7760000000000001</v>
      </c>
      <c r="L842" s="34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128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</row>
    <row r="843" hidden="1">
      <c r="A843" s="7"/>
      <c r="B843" s="7"/>
      <c r="C843" s="7"/>
      <c r="D843" s="7"/>
      <c r="E843" s="7"/>
      <c r="F843" s="276" t="s">
        <v>707</v>
      </c>
      <c r="G843" s="278" t="s">
        <v>712</v>
      </c>
      <c r="H843" s="279"/>
      <c r="I843" s="280">
        <v>45541.0</v>
      </c>
      <c r="J843" s="34"/>
      <c r="K843" s="281">
        <v>0.8640000000000001</v>
      </c>
      <c r="L843" s="34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128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</row>
    <row r="844" hidden="1">
      <c r="A844" s="7"/>
      <c r="B844" s="7"/>
      <c r="C844" s="7"/>
      <c r="D844" s="7"/>
      <c r="E844" s="7"/>
      <c r="F844" s="276" t="s">
        <v>697</v>
      </c>
      <c r="G844" s="278" t="s">
        <v>700</v>
      </c>
      <c r="H844" s="279"/>
      <c r="I844" s="280">
        <v>45541.0</v>
      </c>
      <c r="J844" s="34"/>
      <c r="K844" s="281">
        <v>0.7440000000000001</v>
      </c>
      <c r="L844" s="34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128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</row>
    <row r="845" hidden="1">
      <c r="A845" s="7"/>
      <c r="B845" s="7"/>
      <c r="C845" s="7"/>
      <c r="D845" s="7"/>
      <c r="E845" s="7"/>
      <c r="F845" s="276" t="s">
        <v>697</v>
      </c>
      <c r="G845" s="278" t="s">
        <v>700</v>
      </c>
      <c r="H845" s="279"/>
      <c r="I845" s="280">
        <v>45541.0</v>
      </c>
      <c r="J845" s="34"/>
      <c r="K845" s="281">
        <v>0.7440000000000001</v>
      </c>
      <c r="L845" s="34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128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</row>
    <row r="846" hidden="1">
      <c r="A846" s="7"/>
      <c r="B846" s="7"/>
      <c r="C846" s="7"/>
      <c r="D846" s="7"/>
      <c r="E846" s="7"/>
      <c r="F846" s="276" t="s">
        <v>697</v>
      </c>
      <c r="G846" s="278" t="s">
        <v>706</v>
      </c>
      <c r="H846" s="279"/>
      <c r="I846" s="280">
        <v>45541.0</v>
      </c>
      <c r="J846" s="34"/>
      <c r="K846" s="281">
        <v>0.475</v>
      </c>
      <c r="L846" s="34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128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</row>
    <row r="847" hidden="1">
      <c r="A847" s="7"/>
      <c r="B847" s="7"/>
      <c r="C847" s="7"/>
      <c r="D847" s="7"/>
      <c r="E847" s="7"/>
      <c r="F847" s="276" t="s">
        <v>716</v>
      </c>
      <c r="G847" s="278" t="s">
        <v>717</v>
      </c>
      <c r="H847" s="279"/>
      <c r="I847" s="280">
        <v>45541.0</v>
      </c>
      <c r="J847" s="34"/>
      <c r="K847" s="281">
        <v>0.7360000000000001</v>
      </c>
      <c r="L847" s="34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128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</row>
    <row r="848" hidden="1">
      <c r="A848" s="7"/>
      <c r="B848" s="7"/>
      <c r="C848" s="7"/>
      <c r="D848" s="7"/>
      <c r="E848" s="7"/>
      <c r="F848" s="276" t="s">
        <v>707</v>
      </c>
      <c r="G848" s="278" t="s">
        <v>720</v>
      </c>
      <c r="H848" s="279"/>
      <c r="I848" s="280">
        <v>45541.0</v>
      </c>
      <c r="J848" s="34"/>
      <c r="K848" s="281">
        <v>0.19</v>
      </c>
      <c r="L848" s="34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128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</row>
    <row r="849" hidden="1">
      <c r="A849" s="7"/>
      <c r="B849" s="7"/>
      <c r="C849" s="7"/>
      <c r="D849" s="7"/>
      <c r="E849" s="7"/>
      <c r="F849" s="276" t="s">
        <v>704</v>
      </c>
      <c r="G849" s="278" t="s">
        <v>719</v>
      </c>
      <c r="H849" s="279"/>
      <c r="I849" s="280">
        <v>45541.0</v>
      </c>
      <c r="J849" s="34"/>
      <c r="K849" s="281">
        <v>0.38</v>
      </c>
      <c r="L849" s="34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128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</row>
    <row r="850" hidden="1">
      <c r="A850" s="7"/>
      <c r="B850" s="7"/>
      <c r="C850" s="7"/>
      <c r="D850" s="7"/>
      <c r="E850" s="7"/>
      <c r="F850" s="276" t="s">
        <v>707</v>
      </c>
      <c r="G850" s="278" t="s">
        <v>720</v>
      </c>
      <c r="H850" s="279"/>
      <c r="I850" s="280">
        <v>45541.0</v>
      </c>
      <c r="J850" s="34"/>
      <c r="K850" s="281">
        <v>0.198</v>
      </c>
      <c r="L850" s="34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128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</row>
    <row r="851" hidden="1">
      <c r="A851" s="7"/>
      <c r="B851" s="7"/>
      <c r="C851" s="7"/>
      <c r="D851" s="7"/>
      <c r="E851" s="7"/>
      <c r="F851" s="276" t="s">
        <v>707</v>
      </c>
      <c r="G851" s="278" t="s">
        <v>720</v>
      </c>
      <c r="H851" s="279"/>
      <c r="I851" s="280">
        <v>45541.0</v>
      </c>
      <c r="J851" s="34"/>
      <c r="K851" s="281">
        <v>0.18400000000000002</v>
      </c>
      <c r="L851" s="34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128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</row>
    <row r="852" hidden="1">
      <c r="A852" s="7"/>
      <c r="B852" s="7"/>
      <c r="C852" s="7"/>
      <c r="D852" s="7"/>
      <c r="E852" s="7"/>
      <c r="F852" s="276" t="s">
        <v>707</v>
      </c>
      <c r="G852" s="278" t="s">
        <v>720</v>
      </c>
      <c r="H852" s="279"/>
      <c r="I852" s="280">
        <v>45541.0</v>
      </c>
      <c r="J852" s="34"/>
      <c r="K852" s="281">
        <v>0.19200000000000003</v>
      </c>
      <c r="L852" s="34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128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</row>
    <row r="853" hidden="1">
      <c r="A853" s="7"/>
      <c r="B853" s="7"/>
      <c r="C853" s="7"/>
      <c r="D853" s="7"/>
      <c r="E853" s="7"/>
      <c r="F853" s="276" t="s">
        <v>716</v>
      </c>
      <c r="G853" s="278" t="s">
        <v>729</v>
      </c>
      <c r="H853" s="279"/>
      <c r="I853" s="280">
        <v>45541.0</v>
      </c>
      <c r="J853" s="34"/>
      <c r="K853" s="281">
        <v>0.7425</v>
      </c>
      <c r="L853" s="34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128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</row>
    <row r="854" hidden="1">
      <c r="A854" s="7"/>
      <c r="B854" s="7"/>
      <c r="C854" s="7"/>
      <c r="D854" s="7"/>
      <c r="E854" s="7"/>
      <c r="F854" s="276" t="s">
        <v>697</v>
      </c>
      <c r="G854" s="278" t="s">
        <v>706</v>
      </c>
      <c r="H854" s="279"/>
      <c r="I854" s="280">
        <v>45541.0</v>
      </c>
      <c r="J854" s="34"/>
      <c r="K854" s="281">
        <v>0.47</v>
      </c>
      <c r="L854" s="34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128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</row>
    <row r="855" hidden="1">
      <c r="A855" s="7"/>
      <c r="B855" s="7"/>
      <c r="C855" s="7"/>
      <c r="D855" s="7"/>
      <c r="E855" s="7"/>
      <c r="F855" s="276" t="s">
        <v>707</v>
      </c>
      <c r="G855" s="278" t="s">
        <v>720</v>
      </c>
      <c r="H855" s="279"/>
      <c r="I855" s="280">
        <v>45541.0</v>
      </c>
      <c r="J855" s="34"/>
      <c r="K855" s="281">
        <v>0.19200000000000003</v>
      </c>
      <c r="L855" s="34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128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</row>
    <row r="856" hidden="1">
      <c r="A856" s="7"/>
      <c r="B856" s="7"/>
      <c r="C856" s="7"/>
      <c r="D856" s="7"/>
      <c r="E856" s="7"/>
      <c r="F856" s="276" t="s">
        <v>697</v>
      </c>
      <c r="G856" s="278" t="s">
        <v>700</v>
      </c>
      <c r="H856" s="279"/>
      <c r="I856" s="280">
        <v>45541.0</v>
      </c>
      <c r="J856" s="34"/>
      <c r="K856" s="281">
        <v>0.7360000000000001</v>
      </c>
      <c r="L856" s="34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128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</row>
    <row r="857" hidden="1">
      <c r="A857" s="7"/>
      <c r="B857" s="7"/>
      <c r="C857" s="7"/>
      <c r="D857" s="7"/>
      <c r="E857" s="7"/>
      <c r="F857" s="276" t="s">
        <v>707</v>
      </c>
      <c r="G857" s="278" t="s">
        <v>720</v>
      </c>
      <c r="H857" s="279"/>
      <c r="I857" s="280">
        <v>45541.0</v>
      </c>
      <c r="J857" s="34"/>
      <c r="K857" s="281">
        <v>0.182</v>
      </c>
      <c r="L857" s="34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128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</row>
    <row r="858" hidden="1">
      <c r="A858" s="7"/>
      <c r="B858" s="7"/>
      <c r="C858" s="7"/>
      <c r="D858" s="7"/>
      <c r="E858" s="7"/>
      <c r="F858" s="276" t="s">
        <v>707</v>
      </c>
      <c r="G858" s="278" t="s">
        <v>720</v>
      </c>
      <c r="H858" s="279"/>
      <c r="I858" s="280">
        <v>45541.0</v>
      </c>
      <c r="J858" s="34"/>
      <c r="K858" s="281">
        <v>0.19</v>
      </c>
      <c r="L858" s="34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128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</row>
    <row r="859" hidden="1">
      <c r="A859" s="7"/>
      <c r="B859" s="7"/>
      <c r="C859" s="7"/>
      <c r="D859" s="7"/>
      <c r="E859" s="7"/>
      <c r="F859" s="276" t="s">
        <v>707</v>
      </c>
      <c r="G859" s="278" t="s">
        <v>708</v>
      </c>
      <c r="H859" s="279"/>
      <c r="I859" s="280">
        <v>45542.0</v>
      </c>
      <c r="J859" s="34"/>
      <c r="K859" s="281">
        <v>0.24</v>
      </c>
      <c r="L859" s="34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128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</row>
    <row r="860" hidden="1">
      <c r="A860" s="7"/>
      <c r="B860" s="7"/>
      <c r="C860" s="7"/>
      <c r="D860" s="7"/>
      <c r="E860" s="7"/>
      <c r="F860" s="276" t="s">
        <v>704</v>
      </c>
      <c r="G860" s="278" t="s">
        <v>705</v>
      </c>
      <c r="H860" s="279"/>
      <c r="I860" s="280">
        <v>45542.0</v>
      </c>
      <c r="J860" s="34"/>
      <c r="K860" s="281">
        <v>0.285</v>
      </c>
      <c r="L860" s="34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128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</row>
    <row r="861" hidden="1">
      <c r="A861" s="7"/>
      <c r="B861" s="7"/>
      <c r="C861" s="7"/>
      <c r="D861" s="7"/>
      <c r="E861" s="7"/>
      <c r="F861" s="276" t="s">
        <v>707</v>
      </c>
      <c r="G861" s="278" t="s">
        <v>708</v>
      </c>
      <c r="H861" s="279"/>
      <c r="I861" s="280">
        <v>45542.0</v>
      </c>
      <c r="J861" s="34"/>
      <c r="K861" s="281">
        <v>0.2425</v>
      </c>
      <c r="L861" s="34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128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</row>
    <row r="862" hidden="1">
      <c r="A862" s="7"/>
      <c r="B862" s="7"/>
      <c r="C862" s="7"/>
      <c r="D862" s="7"/>
      <c r="E862" s="7"/>
      <c r="F862" s="276" t="s">
        <v>716</v>
      </c>
      <c r="G862" s="278" t="s">
        <v>717</v>
      </c>
      <c r="H862" s="279"/>
      <c r="I862" s="280">
        <v>45542.0</v>
      </c>
      <c r="J862" s="34"/>
      <c r="K862" s="281">
        <v>0.784</v>
      </c>
      <c r="L862" s="34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128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</row>
    <row r="863" hidden="1">
      <c r="A863" s="7"/>
      <c r="B863" s="7"/>
      <c r="C863" s="7"/>
      <c r="D863" s="7"/>
      <c r="E863" s="7"/>
      <c r="F863" s="276" t="s">
        <v>704</v>
      </c>
      <c r="G863" s="278" t="s">
        <v>705</v>
      </c>
      <c r="H863" s="279"/>
      <c r="I863" s="280">
        <v>45542.0</v>
      </c>
      <c r="J863" s="34"/>
      <c r="K863" s="281">
        <v>0.297</v>
      </c>
      <c r="L863" s="34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128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</row>
    <row r="864" hidden="1">
      <c r="A864" s="7"/>
      <c r="B864" s="7"/>
      <c r="C864" s="7"/>
      <c r="D864" s="7"/>
      <c r="E864" s="7"/>
      <c r="F864" s="276" t="s">
        <v>704</v>
      </c>
      <c r="G864" s="278" t="s">
        <v>719</v>
      </c>
      <c r="H864" s="279"/>
      <c r="I864" s="280">
        <v>45543.0</v>
      </c>
      <c r="J864" s="34"/>
      <c r="K864" s="281">
        <v>0.392</v>
      </c>
      <c r="L864" s="34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128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</row>
    <row r="865" hidden="1">
      <c r="A865" s="7"/>
      <c r="B865" s="7"/>
      <c r="C865" s="7"/>
      <c r="D865" s="7"/>
      <c r="E865" s="7"/>
      <c r="F865" s="276" t="s">
        <v>707</v>
      </c>
      <c r="G865" s="278" t="s">
        <v>720</v>
      </c>
      <c r="H865" s="279"/>
      <c r="I865" s="280">
        <v>45543.0</v>
      </c>
      <c r="J865" s="34"/>
      <c r="K865" s="281">
        <v>0.2</v>
      </c>
      <c r="L865" s="34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128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</row>
    <row r="866" hidden="1">
      <c r="A866" s="7"/>
      <c r="B866" s="7"/>
      <c r="C866" s="7"/>
      <c r="D866" s="7"/>
      <c r="E866" s="7"/>
      <c r="F866" s="276" t="s">
        <v>704</v>
      </c>
      <c r="G866" s="278" t="s">
        <v>705</v>
      </c>
      <c r="H866" s="279"/>
      <c r="I866" s="280">
        <v>45543.0</v>
      </c>
      <c r="J866" s="34"/>
      <c r="K866" s="281">
        <v>0.27599999999999997</v>
      </c>
      <c r="L866" s="34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128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</row>
    <row r="867" hidden="1">
      <c r="A867" s="7"/>
      <c r="B867" s="7"/>
      <c r="C867" s="7"/>
      <c r="D867" s="7"/>
      <c r="E867" s="7"/>
      <c r="F867" s="276" t="s">
        <v>716</v>
      </c>
      <c r="G867" s="278" t="s">
        <v>717</v>
      </c>
      <c r="H867" s="279"/>
      <c r="I867" s="280">
        <v>45543.0</v>
      </c>
      <c r="J867" s="34"/>
      <c r="K867" s="281">
        <v>0.7440000000000001</v>
      </c>
      <c r="L867" s="34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128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</row>
    <row r="868" hidden="1">
      <c r="A868" s="7"/>
      <c r="B868" s="7"/>
      <c r="C868" s="7"/>
      <c r="D868" s="7"/>
      <c r="E868" s="7"/>
      <c r="F868" s="276" t="s">
        <v>704</v>
      </c>
      <c r="G868" s="278" t="s">
        <v>705</v>
      </c>
      <c r="H868" s="279"/>
      <c r="I868" s="280">
        <v>45543.0</v>
      </c>
      <c r="J868" s="34"/>
      <c r="K868" s="281">
        <v>0.294</v>
      </c>
      <c r="L868" s="34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128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</row>
    <row r="869" hidden="1">
      <c r="A869" s="7"/>
      <c r="B869" s="7"/>
      <c r="C869" s="7"/>
      <c r="D869" s="7"/>
      <c r="E869" s="7"/>
      <c r="F869" s="276" t="s">
        <v>716</v>
      </c>
      <c r="G869" s="278" t="s">
        <v>717</v>
      </c>
      <c r="H869" s="279"/>
      <c r="I869" s="280">
        <v>45544.0</v>
      </c>
      <c r="J869" s="34"/>
      <c r="K869" s="281">
        <v>0.76</v>
      </c>
      <c r="L869" s="34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128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</row>
    <row r="870" hidden="1">
      <c r="A870" s="7"/>
      <c r="B870" s="7"/>
      <c r="C870" s="7"/>
      <c r="D870" s="7"/>
      <c r="E870" s="7"/>
      <c r="F870" s="276" t="s">
        <v>704</v>
      </c>
      <c r="G870" s="278" t="s">
        <v>713</v>
      </c>
      <c r="H870" s="279"/>
      <c r="I870" s="280">
        <v>45544.0</v>
      </c>
      <c r="J870" s="34"/>
      <c r="K870" s="281">
        <v>0.6439999999999999</v>
      </c>
      <c r="L870" s="34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128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</row>
    <row r="871" hidden="1">
      <c r="A871" s="7"/>
      <c r="B871" s="7"/>
      <c r="C871" s="7"/>
      <c r="D871" s="7"/>
      <c r="E871" s="7"/>
      <c r="F871" s="276" t="s">
        <v>704</v>
      </c>
      <c r="G871" s="278" t="s">
        <v>719</v>
      </c>
      <c r="H871" s="279"/>
      <c r="I871" s="280">
        <v>45544.0</v>
      </c>
      <c r="J871" s="34"/>
      <c r="K871" s="281">
        <v>0.364</v>
      </c>
      <c r="L871" s="34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128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</row>
    <row r="872" hidden="1">
      <c r="A872" s="7"/>
      <c r="B872" s="7"/>
      <c r="C872" s="7"/>
      <c r="D872" s="7"/>
      <c r="E872" s="7"/>
      <c r="F872" s="276" t="s">
        <v>697</v>
      </c>
      <c r="G872" s="278" t="s">
        <v>706</v>
      </c>
      <c r="H872" s="279"/>
      <c r="I872" s="280">
        <v>45544.0</v>
      </c>
      <c r="J872" s="34"/>
      <c r="K872" s="281">
        <v>0.49</v>
      </c>
      <c r="L872" s="34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128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</row>
    <row r="873" hidden="1">
      <c r="A873" s="7"/>
      <c r="B873" s="7"/>
      <c r="C873" s="7"/>
      <c r="D873" s="7"/>
      <c r="E873" s="7"/>
      <c r="F873" s="276" t="s">
        <v>716</v>
      </c>
      <c r="G873" s="278" t="s">
        <v>729</v>
      </c>
      <c r="H873" s="279"/>
      <c r="I873" s="280">
        <v>45544.0</v>
      </c>
      <c r="J873" s="34"/>
      <c r="K873" s="281">
        <v>0.69</v>
      </c>
      <c r="L873" s="34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128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</row>
    <row r="874" hidden="1">
      <c r="A874" s="7"/>
      <c r="B874" s="7"/>
      <c r="C874" s="7"/>
      <c r="D874" s="7"/>
      <c r="E874" s="7"/>
      <c r="F874" s="276" t="s">
        <v>697</v>
      </c>
      <c r="G874" s="278" t="s">
        <v>700</v>
      </c>
      <c r="H874" s="279"/>
      <c r="I874" s="280">
        <v>45544.0</v>
      </c>
      <c r="J874" s="34"/>
      <c r="K874" s="281">
        <v>0.7680000000000001</v>
      </c>
      <c r="L874" s="34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128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</row>
    <row r="875" hidden="1">
      <c r="A875" s="7"/>
      <c r="B875" s="7"/>
      <c r="C875" s="7"/>
      <c r="D875" s="7"/>
      <c r="E875" s="7"/>
      <c r="F875" s="276" t="s">
        <v>716</v>
      </c>
      <c r="G875" s="278" t="s">
        <v>729</v>
      </c>
      <c r="H875" s="279"/>
      <c r="I875" s="280">
        <v>45544.0</v>
      </c>
      <c r="J875" s="34"/>
      <c r="K875" s="281">
        <v>0.705</v>
      </c>
      <c r="L875" s="34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128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</row>
    <row r="876" hidden="1">
      <c r="A876" s="7"/>
      <c r="B876" s="7"/>
      <c r="C876" s="7"/>
      <c r="D876" s="7"/>
      <c r="E876" s="7"/>
      <c r="F876" s="276" t="s">
        <v>707</v>
      </c>
      <c r="G876" s="278" t="s">
        <v>708</v>
      </c>
      <c r="H876" s="279"/>
      <c r="I876" s="280">
        <v>45544.0</v>
      </c>
      <c r="J876" s="34"/>
      <c r="K876" s="281">
        <v>0.2325</v>
      </c>
      <c r="L876" s="34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128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</row>
    <row r="877" hidden="1">
      <c r="A877" s="7"/>
      <c r="B877" s="7"/>
      <c r="C877" s="7"/>
      <c r="D877" s="7"/>
      <c r="E877" s="7"/>
      <c r="F877" s="276" t="s">
        <v>716</v>
      </c>
      <c r="G877" s="278" t="s">
        <v>717</v>
      </c>
      <c r="H877" s="279"/>
      <c r="I877" s="280">
        <v>45544.0</v>
      </c>
      <c r="J877" s="34"/>
      <c r="K877" s="281">
        <v>0.72</v>
      </c>
      <c r="L877" s="34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128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</row>
    <row r="878" hidden="1">
      <c r="A878" s="7"/>
      <c r="B878" s="7"/>
      <c r="C878" s="7"/>
      <c r="D878" s="7"/>
      <c r="E878" s="7"/>
      <c r="F878" s="276" t="s">
        <v>707</v>
      </c>
      <c r="G878" s="278" t="s">
        <v>720</v>
      </c>
      <c r="H878" s="279"/>
      <c r="I878" s="280">
        <v>45544.0</v>
      </c>
      <c r="J878" s="34"/>
      <c r="K878" s="281">
        <v>0.18</v>
      </c>
      <c r="L878" s="34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128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</row>
    <row r="879" hidden="1">
      <c r="A879" s="7"/>
      <c r="B879" s="7"/>
      <c r="C879" s="7"/>
      <c r="D879" s="7"/>
      <c r="E879" s="7"/>
      <c r="F879" s="276" t="s">
        <v>707</v>
      </c>
      <c r="G879" s="278" t="s">
        <v>708</v>
      </c>
      <c r="H879" s="279"/>
      <c r="I879" s="280">
        <v>45544.0</v>
      </c>
      <c r="J879" s="34"/>
      <c r="K879" s="281">
        <v>0.25</v>
      </c>
      <c r="L879" s="34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128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</row>
    <row r="880" hidden="1">
      <c r="A880" s="7"/>
      <c r="B880" s="7"/>
      <c r="C880" s="7"/>
      <c r="D880" s="7"/>
      <c r="E880" s="7"/>
      <c r="F880" s="276" t="s">
        <v>716</v>
      </c>
      <c r="G880" s="278" t="s">
        <v>717</v>
      </c>
      <c r="H880" s="279"/>
      <c r="I880" s="280">
        <v>45544.0</v>
      </c>
      <c r="J880" s="34"/>
      <c r="K880" s="281">
        <v>0.7440000000000001</v>
      </c>
      <c r="L880" s="34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128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</row>
    <row r="881" hidden="1">
      <c r="A881" s="7"/>
      <c r="B881" s="7"/>
      <c r="C881" s="7"/>
      <c r="D881" s="7"/>
      <c r="E881" s="7"/>
      <c r="F881" s="276" t="s">
        <v>704</v>
      </c>
      <c r="G881" s="278" t="s">
        <v>713</v>
      </c>
      <c r="H881" s="279"/>
      <c r="I881" s="280">
        <v>45544.0</v>
      </c>
      <c r="J881" s="34"/>
      <c r="K881" s="281">
        <v>0.637</v>
      </c>
      <c r="L881" s="34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128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</row>
    <row r="882" hidden="1">
      <c r="A882" s="7"/>
      <c r="B882" s="7"/>
      <c r="C882" s="7"/>
      <c r="D882" s="7"/>
      <c r="E882" s="7"/>
      <c r="F882" s="276" t="s">
        <v>704</v>
      </c>
      <c r="G882" s="278" t="s">
        <v>719</v>
      </c>
      <c r="H882" s="279"/>
      <c r="I882" s="280">
        <v>45544.0</v>
      </c>
      <c r="J882" s="34"/>
      <c r="K882" s="281">
        <v>0.38400000000000006</v>
      </c>
      <c r="L882" s="34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128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</row>
    <row r="883" hidden="1">
      <c r="A883" s="7"/>
      <c r="B883" s="7"/>
      <c r="C883" s="7"/>
      <c r="D883" s="7"/>
      <c r="E883" s="7"/>
      <c r="F883" s="276" t="s">
        <v>716</v>
      </c>
      <c r="G883" s="278" t="s">
        <v>729</v>
      </c>
      <c r="H883" s="279"/>
      <c r="I883" s="280">
        <v>45544.0</v>
      </c>
      <c r="J883" s="34"/>
      <c r="K883" s="281">
        <v>0.7425</v>
      </c>
      <c r="L883" s="34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128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</row>
    <row r="884" hidden="1">
      <c r="A884" s="7"/>
      <c r="B884" s="7"/>
      <c r="C884" s="7"/>
      <c r="D884" s="7"/>
      <c r="E884" s="7"/>
      <c r="F884" s="276" t="s">
        <v>716</v>
      </c>
      <c r="G884" s="278" t="s">
        <v>729</v>
      </c>
      <c r="H884" s="279"/>
      <c r="I884" s="280">
        <v>45544.0</v>
      </c>
      <c r="J884" s="34"/>
      <c r="K884" s="281">
        <v>0.7275</v>
      </c>
      <c r="L884" s="34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128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</row>
    <row r="885" hidden="1">
      <c r="A885" s="7"/>
      <c r="B885" s="7"/>
      <c r="C885" s="7"/>
      <c r="D885" s="7"/>
      <c r="E885" s="7"/>
      <c r="F885" s="276" t="s">
        <v>716</v>
      </c>
      <c r="G885" s="278" t="s">
        <v>732</v>
      </c>
      <c r="H885" s="279"/>
      <c r="I885" s="280">
        <v>45545.0</v>
      </c>
      <c r="J885" s="34"/>
      <c r="K885" s="281">
        <v>0.6439999999999999</v>
      </c>
      <c r="L885" s="34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128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</row>
    <row r="886" hidden="1">
      <c r="A886" s="7"/>
      <c r="B886" s="7"/>
      <c r="C886" s="7"/>
      <c r="D886" s="7"/>
      <c r="E886" s="7"/>
      <c r="F886" s="276" t="s">
        <v>704</v>
      </c>
      <c r="G886" s="278" t="s">
        <v>705</v>
      </c>
      <c r="H886" s="279"/>
      <c r="I886" s="280">
        <v>45545.0</v>
      </c>
      <c r="J886" s="34"/>
      <c r="K886" s="281">
        <v>0.3</v>
      </c>
      <c r="L886" s="34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128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</row>
    <row r="887" hidden="1">
      <c r="A887" s="7"/>
      <c r="B887" s="7"/>
      <c r="C887" s="7"/>
      <c r="D887" s="7"/>
      <c r="E887" s="7"/>
      <c r="F887" s="276" t="s">
        <v>707</v>
      </c>
      <c r="G887" s="278" t="s">
        <v>712</v>
      </c>
      <c r="H887" s="279"/>
      <c r="I887" s="280">
        <v>45545.0</v>
      </c>
      <c r="J887" s="34"/>
      <c r="K887" s="281">
        <v>0.8460000000000001</v>
      </c>
      <c r="L887" s="34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128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</row>
    <row r="888" hidden="1">
      <c r="A888" s="7"/>
      <c r="B888" s="7"/>
      <c r="C888" s="7"/>
      <c r="D888" s="7"/>
      <c r="E888" s="7"/>
      <c r="F888" s="276" t="s">
        <v>704</v>
      </c>
      <c r="G888" s="278" t="s">
        <v>705</v>
      </c>
      <c r="H888" s="279"/>
      <c r="I888" s="280">
        <v>45545.0</v>
      </c>
      <c r="J888" s="34"/>
      <c r="K888" s="281">
        <v>0.27599999999999997</v>
      </c>
      <c r="L888" s="34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128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</row>
    <row r="889" hidden="1">
      <c r="A889" s="7"/>
      <c r="B889" s="7"/>
      <c r="C889" s="7"/>
      <c r="D889" s="7"/>
      <c r="E889" s="7"/>
      <c r="F889" s="276" t="s">
        <v>716</v>
      </c>
      <c r="G889" s="278" t="s">
        <v>729</v>
      </c>
      <c r="H889" s="279"/>
      <c r="I889" s="280">
        <v>45545.0</v>
      </c>
      <c r="J889" s="34"/>
      <c r="K889" s="281">
        <v>0.705</v>
      </c>
      <c r="L889" s="34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128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</row>
    <row r="890" hidden="1">
      <c r="A890" s="7"/>
      <c r="B890" s="7"/>
      <c r="C890" s="7"/>
      <c r="D890" s="7"/>
      <c r="E890" s="7"/>
      <c r="F890" s="276" t="s">
        <v>704</v>
      </c>
      <c r="G890" s="278" t="s">
        <v>705</v>
      </c>
      <c r="H890" s="279"/>
      <c r="I890" s="280">
        <v>45545.0</v>
      </c>
      <c r="J890" s="34"/>
      <c r="K890" s="281">
        <v>0.273</v>
      </c>
      <c r="L890" s="34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128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</row>
    <row r="891" hidden="1">
      <c r="A891" s="7"/>
      <c r="B891" s="7"/>
      <c r="C891" s="7"/>
      <c r="D891" s="7"/>
      <c r="E891" s="7"/>
      <c r="F891" s="276" t="s">
        <v>704</v>
      </c>
      <c r="G891" s="278" t="s">
        <v>719</v>
      </c>
      <c r="H891" s="279"/>
      <c r="I891" s="280">
        <v>45546.0</v>
      </c>
      <c r="J891" s="34"/>
      <c r="K891" s="281">
        <v>0.392</v>
      </c>
      <c r="L891" s="34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128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</row>
    <row r="892" hidden="1">
      <c r="A892" s="7"/>
      <c r="B892" s="7"/>
      <c r="C892" s="7"/>
      <c r="D892" s="7"/>
      <c r="E892" s="7"/>
      <c r="F892" s="276" t="s">
        <v>716</v>
      </c>
      <c r="G892" s="278" t="s">
        <v>717</v>
      </c>
      <c r="H892" s="279"/>
      <c r="I892" s="280">
        <v>45546.0</v>
      </c>
      <c r="J892" s="34"/>
      <c r="K892" s="281">
        <v>0.792</v>
      </c>
      <c r="L892" s="34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128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</row>
    <row r="893" hidden="1">
      <c r="A893" s="7"/>
      <c r="B893" s="7"/>
      <c r="C893" s="7"/>
      <c r="D893" s="7"/>
      <c r="E893" s="7"/>
      <c r="F893" s="276" t="s">
        <v>716</v>
      </c>
      <c r="G893" s="278" t="s">
        <v>729</v>
      </c>
      <c r="H893" s="279"/>
      <c r="I893" s="280">
        <v>45546.0</v>
      </c>
      <c r="J893" s="34"/>
      <c r="K893" s="281">
        <v>0.7125</v>
      </c>
      <c r="L893" s="34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128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</row>
    <row r="894" hidden="1">
      <c r="A894" s="7"/>
      <c r="B894" s="7"/>
      <c r="C894" s="7"/>
      <c r="D894" s="7"/>
      <c r="E894" s="7"/>
      <c r="F894" s="276" t="s">
        <v>704</v>
      </c>
      <c r="G894" s="278" t="s">
        <v>705</v>
      </c>
      <c r="H894" s="279"/>
      <c r="I894" s="280">
        <v>45546.0</v>
      </c>
      <c r="J894" s="34"/>
      <c r="K894" s="281">
        <v>0.297</v>
      </c>
      <c r="L894" s="34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128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</row>
    <row r="895" hidden="1">
      <c r="A895" s="7"/>
      <c r="B895" s="7"/>
      <c r="C895" s="7"/>
      <c r="D895" s="7"/>
      <c r="E895" s="7"/>
      <c r="F895" s="276" t="s">
        <v>697</v>
      </c>
      <c r="G895" s="278" t="s">
        <v>700</v>
      </c>
      <c r="H895" s="279"/>
      <c r="I895" s="280">
        <v>45546.0</v>
      </c>
      <c r="J895" s="34"/>
      <c r="K895" s="281">
        <v>0.7360000000000001</v>
      </c>
      <c r="L895" s="34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128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</row>
    <row r="896" hidden="1">
      <c r="A896" s="7"/>
      <c r="B896" s="7"/>
      <c r="C896" s="7"/>
      <c r="D896" s="7"/>
      <c r="E896" s="7"/>
      <c r="F896" s="276" t="s">
        <v>697</v>
      </c>
      <c r="G896" s="278" t="s">
        <v>700</v>
      </c>
      <c r="H896" s="279"/>
      <c r="I896" s="280">
        <v>45546.0</v>
      </c>
      <c r="J896" s="34"/>
      <c r="K896" s="281">
        <v>0.72</v>
      </c>
      <c r="L896" s="34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128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</row>
    <row r="897" hidden="1">
      <c r="A897" s="7"/>
      <c r="B897" s="7"/>
      <c r="C897" s="7"/>
      <c r="D897" s="7"/>
      <c r="E897" s="7"/>
      <c r="F897" s="276" t="s">
        <v>704</v>
      </c>
      <c r="G897" s="278" t="s">
        <v>713</v>
      </c>
      <c r="H897" s="279"/>
      <c r="I897" s="280">
        <v>45546.0</v>
      </c>
      <c r="J897" s="34"/>
      <c r="K897" s="281">
        <v>0.6719999999999999</v>
      </c>
      <c r="L897" s="34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128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</row>
    <row r="898" hidden="1">
      <c r="A898" s="7"/>
      <c r="B898" s="7"/>
      <c r="C898" s="7"/>
      <c r="D898" s="7"/>
      <c r="E898" s="7"/>
      <c r="F898" s="276" t="s">
        <v>704</v>
      </c>
      <c r="G898" s="278" t="s">
        <v>713</v>
      </c>
      <c r="H898" s="279"/>
      <c r="I898" s="280">
        <v>45547.0</v>
      </c>
      <c r="J898" s="34"/>
      <c r="K898" s="281">
        <v>0.6789999999999999</v>
      </c>
      <c r="L898" s="34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128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</row>
    <row r="899" hidden="1">
      <c r="A899" s="7"/>
      <c r="B899" s="7"/>
      <c r="C899" s="7"/>
      <c r="D899" s="7"/>
      <c r="E899" s="7"/>
      <c r="F899" s="276" t="s">
        <v>697</v>
      </c>
      <c r="G899" s="278" t="s">
        <v>698</v>
      </c>
      <c r="H899" s="279"/>
      <c r="I899" s="280">
        <v>45547.0</v>
      </c>
      <c r="J899" s="34"/>
      <c r="K899" s="281">
        <v>0.3</v>
      </c>
      <c r="L899" s="34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128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</row>
    <row r="900" hidden="1">
      <c r="A900" s="7"/>
      <c r="B900" s="7"/>
      <c r="C900" s="7"/>
      <c r="D900" s="7"/>
      <c r="E900" s="7"/>
      <c r="F900" s="276" t="s">
        <v>707</v>
      </c>
      <c r="G900" s="278" t="s">
        <v>712</v>
      </c>
      <c r="H900" s="279"/>
      <c r="I900" s="280">
        <v>45547.0</v>
      </c>
      <c r="J900" s="34"/>
      <c r="K900" s="281">
        <v>0.855</v>
      </c>
      <c r="L900" s="34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128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</row>
    <row r="901" hidden="1">
      <c r="A901" s="7"/>
      <c r="B901" s="7"/>
      <c r="C901" s="7"/>
      <c r="D901" s="7"/>
      <c r="E901" s="7"/>
      <c r="F901" s="276" t="s">
        <v>704</v>
      </c>
      <c r="G901" s="278" t="s">
        <v>705</v>
      </c>
      <c r="H901" s="279"/>
      <c r="I901" s="280">
        <v>45547.0</v>
      </c>
      <c r="J901" s="34"/>
      <c r="K901" s="281">
        <v>0.297</v>
      </c>
      <c r="L901" s="34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128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</row>
    <row r="902" hidden="1">
      <c r="A902" s="7"/>
      <c r="B902" s="7"/>
      <c r="C902" s="7"/>
      <c r="D902" s="7"/>
      <c r="E902" s="7"/>
      <c r="F902" s="276" t="s">
        <v>707</v>
      </c>
      <c r="G902" s="278" t="s">
        <v>708</v>
      </c>
      <c r="H902" s="279"/>
      <c r="I902" s="280">
        <v>45547.0</v>
      </c>
      <c r="J902" s="34"/>
      <c r="K902" s="281">
        <v>0.2375</v>
      </c>
      <c r="L902" s="34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128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</row>
    <row r="903" hidden="1">
      <c r="A903" s="7"/>
      <c r="B903" s="7"/>
      <c r="C903" s="7"/>
      <c r="D903" s="7"/>
      <c r="E903" s="7"/>
      <c r="F903" s="276" t="s">
        <v>697</v>
      </c>
      <c r="G903" s="278" t="s">
        <v>698</v>
      </c>
      <c r="H903" s="279"/>
      <c r="I903" s="280">
        <v>45547.0</v>
      </c>
      <c r="J903" s="34"/>
      <c r="K903" s="281">
        <v>0.285</v>
      </c>
      <c r="L903" s="34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128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</row>
    <row r="904" hidden="1">
      <c r="A904" s="7"/>
      <c r="B904" s="7"/>
      <c r="C904" s="7"/>
      <c r="D904" s="7"/>
      <c r="E904" s="7"/>
      <c r="F904" s="276" t="s">
        <v>707</v>
      </c>
      <c r="G904" s="278" t="s">
        <v>720</v>
      </c>
      <c r="H904" s="279"/>
      <c r="I904" s="280">
        <v>45547.0</v>
      </c>
      <c r="J904" s="34"/>
      <c r="K904" s="281">
        <v>0.18600000000000003</v>
      </c>
      <c r="L904" s="34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128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</row>
    <row r="905" hidden="1">
      <c r="A905" s="7"/>
      <c r="B905" s="7"/>
      <c r="C905" s="7"/>
      <c r="D905" s="7"/>
      <c r="E905" s="7"/>
      <c r="F905" s="276" t="s">
        <v>716</v>
      </c>
      <c r="G905" s="278" t="s">
        <v>732</v>
      </c>
      <c r="H905" s="279"/>
      <c r="I905" s="280">
        <v>45547.0</v>
      </c>
      <c r="J905" s="34"/>
      <c r="K905" s="281">
        <v>0.7</v>
      </c>
      <c r="L905" s="34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128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</row>
    <row r="906" hidden="1">
      <c r="A906" s="7"/>
      <c r="B906" s="7"/>
      <c r="C906" s="7"/>
      <c r="D906" s="7"/>
      <c r="E906" s="7"/>
      <c r="F906" s="276" t="s">
        <v>707</v>
      </c>
      <c r="G906" s="278" t="s">
        <v>720</v>
      </c>
      <c r="H906" s="279"/>
      <c r="I906" s="280">
        <v>45547.0</v>
      </c>
      <c r="J906" s="34"/>
      <c r="K906" s="281">
        <v>0.19400000000000003</v>
      </c>
      <c r="L906" s="34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128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</row>
    <row r="907" hidden="1">
      <c r="A907" s="7"/>
      <c r="B907" s="7"/>
      <c r="C907" s="7"/>
      <c r="D907" s="7"/>
      <c r="E907" s="7"/>
      <c r="F907" s="276" t="s">
        <v>704</v>
      </c>
      <c r="G907" s="278" t="s">
        <v>705</v>
      </c>
      <c r="H907" s="279"/>
      <c r="I907" s="280">
        <v>45547.0</v>
      </c>
      <c r="J907" s="34"/>
      <c r="K907" s="281">
        <v>0.285</v>
      </c>
      <c r="L907" s="34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128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</row>
    <row r="908" hidden="1">
      <c r="A908" s="7"/>
      <c r="B908" s="7"/>
      <c r="C908" s="7"/>
      <c r="D908" s="7"/>
      <c r="E908" s="7"/>
      <c r="F908" s="276" t="s">
        <v>697</v>
      </c>
      <c r="G908" s="278" t="s">
        <v>700</v>
      </c>
      <c r="H908" s="279"/>
      <c r="I908" s="280">
        <v>45547.0</v>
      </c>
      <c r="J908" s="34"/>
      <c r="K908" s="281">
        <v>0.7440000000000001</v>
      </c>
      <c r="L908" s="34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128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</row>
    <row r="909" hidden="1">
      <c r="A909" s="7"/>
      <c r="B909" s="7"/>
      <c r="C909" s="7"/>
      <c r="D909" s="7"/>
      <c r="E909" s="7"/>
      <c r="F909" s="276" t="s">
        <v>707</v>
      </c>
      <c r="G909" s="278" t="s">
        <v>708</v>
      </c>
      <c r="H909" s="279"/>
      <c r="I909" s="280">
        <v>45547.0</v>
      </c>
      <c r="J909" s="34"/>
      <c r="K909" s="281">
        <v>0.25</v>
      </c>
      <c r="L909" s="34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128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</row>
    <row r="910" hidden="1">
      <c r="A910" s="7"/>
      <c r="B910" s="7"/>
      <c r="C910" s="7"/>
      <c r="D910" s="7"/>
      <c r="E910" s="7"/>
      <c r="F910" s="276" t="s">
        <v>707</v>
      </c>
      <c r="G910" s="278" t="s">
        <v>712</v>
      </c>
      <c r="H910" s="279"/>
      <c r="I910" s="280">
        <v>45547.0</v>
      </c>
      <c r="J910" s="34"/>
      <c r="K910" s="281">
        <v>0.873</v>
      </c>
      <c r="L910" s="34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128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</row>
    <row r="911" hidden="1">
      <c r="A911" s="7"/>
      <c r="B911" s="7"/>
      <c r="C911" s="7"/>
      <c r="D911" s="7"/>
      <c r="E911" s="7"/>
      <c r="F911" s="276" t="s">
        <v>716</v>
      </c>
      <c r="G911" s="278" t="s">
        <v>729</v>
      </c>
      <c r="H911" s="279"/>
      <c r="I911" s="280">
        <v>45547.0</v>
      </c>
      <c r="J911" s="34"/>
      <c r="K911" s="281">
        <v>0.6825</v>
      </c>
      <c r="L911" s="34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128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</row>
    <row r="912" hidden="1">
      <c r="A912" s="7"/>
      <c r="B912" s="7"/>
      <c r="C912" s="7"/>
      <c r="D912" s="7"/>
      <c r="E912" s="7"/>
      <c r="F912" s="276" t="s">
        <v>704</v>
      </c>
      <c r="G912" s="278" t="s">
        <v>713</v>
      </c>
      <c r="H912" s="279"/>
      <c r="I912" s="280">
        <v>45547.0</v>
      </c>
      <c r="J912" s="34"/>
      <c r="K912" s="281">
        <v>0.7</v>
      </c>
      <c r="L912" s="34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128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</row>
    <row r="913" hidden="1">
      <c r="A913" s="7"/>
      <c r="B913" s="7"/>
      <c r="C913" s="7"/>
      <c r="D913" s="7"/>
      <c r="E913" s="7"/>
      <c r="F913" s="276" t="s">
        <v>716</v>
      </c>
      <c r="G913" s="278" t="s">
        <v>732</v>
      </c>
      <c r="H913" s="279"/>
      <c r="I913" s="280">
        <v>45547.0</v>
      </c>
      <c r="J913" s="34"/>
      <c r="K913" s="281">
        <v>0.6579999999999999</v>
      </c>
      <c r="L913" s="34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128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</row>
    <row r="914" hidden="1">
      <c r="A914" s="7"/>
      <c r="B914" s="7"/>
      <c r="C914" s="7"/>
      <c r="D914" s="7"/>
      <c r="E914" s="7"/>
      <c r="F914" s="276" t="s">
        <v>716</v>
      </c>
      <c r="G914" s="278" t="s">
        <v>732</v>
      </c>
      <c r="H914" s="279"/>
      <c r="I914" s="280">
        <v>45547.0</v>
      </c>
      <c r="J914" s="34"/>
      <c r="K914" s="281">
        <v>0.6439999999999999</v>
      </c>
      <c r="L914" s="34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128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</row>
    <row r="915" hidden="1">
      <c r="A915" s="7"/>
      <c r="B915" s="7"/>
      <c r="C915" s="7"/>
      <c r="D915" s="7"/>
      <c r="E915" s="7"/>
      <c r="F915" s="276" t="s">
        <v>697</v>
      </c>
      <c r="G915" s="278" t="s">
        <v>698</v>
      </c>
      <c r="H915" s="279"/>
      <c r="I915" s="280">
        <v>45548.0</v>
      </c>
      <c r="J915" s="34"/>
      <c r="K915" s="281">
        <v>0.297</v>
      </c>
      <c r="L915" s="34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128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</row>
    <row r="916" hidden="1">
      <c r="A916" s="7"/>
      <c r="B916" s="7"/>
      <c r="C916" s="7"/>
      <c r="D916" s="7"/>
      <c r="E916" s="7"/>
      <c r="F916" s="276" t="s">
        <v>716</v>
      </c>
      <c r="G916" s="278" t="s">
        <v>732</v>
      </c>
      <c r="H916" s="279"/>
      <c r="I916" s="280">
        <v>45548.0</v>
      </c>
      <c r="J916" s="34"/>
      <c r="K916" s="281">
        <v>0.693</v>
      </c>
      <c r="L916" s="34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128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</row>
    <row r="917" hidden="1">
      <c r="A917" s="7"/>
      <c r="B917" s="7"/>
      <c r="C917" s="7"/>
      <c r="D917" s="7"/>
      <c r="E917" s="7"/>
      <c r="F917" s="276" t="s">
        <v>716</v>
      </c>
      <c r="G917" s="278" t="s">
        <v>729</v>
      </c>
      <c r="H917" s="279"/>
      <c r="I917" s="280">
        <v>45548.0</v>
      </c>
      <c r="J917" s="34"/>
      <c r="K917" s="281">
        <v>0.7125</v>
      </c>
      <c r="L917" s="34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128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</row>
    <row r="918" hidden="1">
      <c r="A918" s="7"/>
      <c r="B918" s="7"/>
      <c r="C918" s="7"/>
      <c r="D918" s="7"/>
      <c r="E918" s="7"/>
      <c r="F918" s="276" t="s">
        <v>704</v>
      </c>
      <c r="G918" s="278" t="s">
        <v>719</v>
      </c>
      <c r="H918" s="279"/>
      <c r="I918" s="280">
        <v>45548.0</v>
      </c>
      <c r="J918" s="34"/>
      <c r="K918" s="281">
        <v>0.4</v>
      </c>
      <c r="L918" s="34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128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</row>
    <row r="919" hidden="1">
      <c r="A919" s="7"/>
      <c r="B919" s="7"/>
      <c r="C919" s="7"/>
      <c r="D919" s="7"/>
      <c r="E919" s="7"/>
      <c r="F919" s="276" t="s">
        <v>704</v>
      </c>
      <c r="G919" s="278" t="s">
        <v>705</v>
      </c>
      <c r="H919" s="279"/>
      <c r="I919" s="280">
        <v>45548.0</v>
      </c>
      <c r="J919" s="34"/>
      <c r="K919" s="281">
        <v>0.288</v>
      </c>
      <c r="L919" s="34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128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</row>
    <row r="920" hidden="1">
      <c r="A920" s="7"/>
      <c r="B920" s="7"/>
      <c r="C920" s="7"/>
      <c r="D920" s="7"/>
      <c r="E920" s="7"/>
      <c r="F920" s="276" t="s">
        <v>697</v>
      </c>
      <c r="G920" s="278" t="s">
        <v>706</v>
      </c>
      <c r="H920" s="279"/>
      <c r="I920" s="280">
        <v>45548.0</v>
      </c>
      <c r="J920" s="34"/>
      <c r="K920" s="281">
        <v>0.475</v>
      </c>
      <c r="L920" s="34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128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</row>
    <row r="921" hidden="1">
      <c r="A921" s="7"/>
      <c r="B921" s="7"/>
      <c r="C921" s="7"/>
      <c r="D921" s="7"/>
      <c r="E921" s="7"/>
      <c r="F921" s="276" t="s">
        <v>697</v>
      </c>
      <c r="G921" s="278" t="s">
        <v>698</v>
      </c>
      <c r="H921" s="279"/>
      <c r="I921" s="280">
        <v>45548.0</v>
      </c>
      <c r="J921" s="34"/>
      <c r="K921" s="281">
        <v>0.27899999999999997</v>
      </c>
      <c r="L921" s="34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128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</row>
    <row r="922" hidden="1">
      <c r="A922" s="7"/>
      <c r="B922" s="7"/>
      <c r="C922" s="7"/>
      <c r="D922" s="7"/>
      <c r="E922" s="7"/>
      <c r="F922" s="276" t="s">
        <v>707</v>
      </c>
      <c r="G922" s="278" t="s">
        <v>708</v>
      </c>
      <c r="H922" s="279"/>
      <c r="I922" s="280">
        <v>45548.0</v>
      </c>
      <c r="J922" s="34"/>
      <c r="K922" s="281">
        <v>0.2475</v>
      </c>
      <c r="L922" s="34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128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</row>
    <row r="923" hidden="1">
      <c r="A923" s="7"/>
      <c r="B923" s="7"/>
      <c r="C923" s="7"/>
      <c r="D923" s="7"/>
      <c r="E923" s="7"/>
      <c r="F923" s="276" t="s">
        <v>716</v>
      </c>
      <c r="G923" s="278" t="s">
        <v>717</v>
      </c>
      <c r="H923" s="279"/>
      <c r="I923" s="280">
        <v>45548.0</v>
      </c>
      <c r="J923" s="34"/>
      <c r="K923" s="281">
        <v>0.792</v>
      </c>
      <c r="L923" s="34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128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</row>
    <row r="924" hidden="1">
      <c r="A924" s="7"/>
      <c r="B924" s="7"/>
      <c r="C924" s="7"/>
      <c r="D924" s="7"/>
      <c r="E924" s="7"/>
      <c r="F924" s="276" t="s">
        <v>704</v>
      </c>
      <c r="G924" s="278" t="s">
        <v>713</v>
      </c>
      <c r="H924" s="279"/>
      <c r="I924" s="280">
        <v>45548.0</v>
      </c>
      <c r="J924" s="34"/>
      <c r="K924" s="281">
        <v>0.6789999999999999</v>
      </c>
      <c r="L924" s="34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128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</row>
    <row r="925" hidden="1">
      <c r="A925" s="7"/>
      <c r="B925" s="7"/>
      <c r="C925" s="7"/>
      <c r="D925" s="7"/>
      <c r="E925" s="7"/>
      <c r="F925" s="276" t="s">
        <v>716</v>
      </c>
      <c r="G925" s="278" t="s">
        <v>732</v>
      </c>
      <c r="H925" s="279"/>
      <c r="I925" s="280">
        <v>45548.0</v>
      </c>
      <c r="J925" s="34"/>
      <c r="K925" s="281">
        <v>0.7</v>
      </c>
      <c r="L925" s="34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128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</row>
    <row r="926" hidden="1">
      <c r="A926" s="7"/>
      <c r="B926" s="7"/>
      <c r="C926" s="7"/>
      <c r="D926" s="7"/>
      <c r="E926" s="7"/>
      <c r="F926" s="276" t="s">
        <v>707</v>
      </c>
      <c r="G926" s="278" t="s">
        <v>712</v>
      </c>
      <c r="H926" s="279"/>
      <c r="I926" s="280">
        <v>45548.0</v>
      </c>
      <c r="J926" s="34"/>
      <c r="K926" s="281">
        <v>0.855</v>
      </c>
      <c r="L926" s="34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128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</row>
    <row r="927" hidden="1">
      <c r="A927" s="7"/>
      <c r="B927" s="7"/>
      <c r="C927" s="7"/>
      <c r="D927" s="7"/>
      <c r="E927" s="7"/>
      <c r="F927" s="276" t="s">
        <v>697</v>
      </c>
      <c r="G927" s="278" t="s">
        <v>700</v>
      </c>
      <c r="H927" s="279"/>
      <c r="I927" s="280">
        <v>45548.0</v>
      </c>
      <c r="J927" s="34"/>
      <c r="K927" s="281">
        <v>0.72</v>
      </c>
      <c r="L927" s="34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128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</row>
    <row r="928" hidden="1">
      <c r="A928" s="7"/>
      <c r="B928" s="7"/>
      <c r="C928" s="7"/>
      <c r="D928" s="7"/>
      <c r="E928" s="7"/>
      <c r="F928" s="276" t="s">
        <v>716</v>
      </c>
      <c r="G928" s="278" t="s">
        <v>729</v>
      </c>
      <c r="H928" s="279"/>
      <c r="I928" s="280">
        <v>45548.0</v>
      </c>
      <c r="J928" s="34"/>
      <c r="K928" s="281">
        <v>0.7275</v>
      </c>
      <c r="L928" s="34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128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</row>
    <row r="929" hidden="1">
      <c r="A929" s="7"/>
      <c r="B929" s="7"/>
      <c r="C929" s="7"/>
      <c r="D929" s="7"/>
      <c r="E929" s="7"/>
      <c r="F929" s="276" t="s">
        <v>704</v>
      </c>
      <c r="G929" s="278" t="s">
        <v>719</v>
      </c>
      <c r="H929" s="279"/>
      <c r="I929" s="280">
        <v>45549.0</v>
      </c>
      <c r="J929" s="34"/>
      <c r="K929" s="281">
        <v>0.376</v>
      </c>
      <c r="L929" s="34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128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</row>
    <row r="930" hidden="1">
      <c r="A930" s="7"/>
      <c r="B930" s="7"/>
      <c r="C930" s="7"/>
      <c r="D930" s="7"/>
      <c r="E930" s="7"/>
      <c r="F930" s="276" t="s">
        <v>704</v>
      </c>
      <c r="G930" s="278" t="s">
        <v>705</v>
      </c>
      <c r="H930" s="279"/>
      <c r="I930" s="280">
        <v>45549.0</v>
      </c>
      <c r="J930" s="34"/>
      <c r="K930" s="281">
        <v>0.291</v>
      </c>
      <c r="L930" s="34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128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</row>
    <row r="931" hidden="1">
      <c r="A931" s="7"/>
      <c r="B931" s="7"/>
      <c r="C931" s="7"/>
      <c r="D931" s="7"/>
      <c r="E931" s="7"/>
      <c r="F931" s="276" t="s">
        <v>716</v>
      </c>
      <c r="G931" s="278" t="s">
        <v>729</v>
      </c>
      <c r="H931" s="279"/>
      <c r="I931" s="280">
        <v>45549.0</v>
      </c>
      <c r="J931" s="34"/>
      <c r="K931" s="281">
        <v>0.7125</v>
      </c>
      <c r="L931" s="34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128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</row>
    <row r="932" hidden="1">
      <c r="A932" s="7"/>
      <c r="B932" s="7"/>
      <c r="C932" s="7"/>
      <c r="D932" s="7"/>
      <c r="E932" s="7"/>
      <c r="F932" s="276" t="s">
        <v>707</v>
      </c>
      <c r="G932" s="278" t="s">
        <v>712</v>
      </c>
      <c r="H932" s="279"/>
      <c r="I932" s="280">
        <v>45549.0</v>
      </c>
      <c r="J932" s="34"/>
      <c r="K932" s="281">
        <v>0.8910000000000001</v>
      </c>
      <c r="L932" s="34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128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</row>
    <row r="933" hidden="1">
      <c r="A933" s="7"/>
      <c r="B933" s="7"/>
      <c r="C933" s="7"/>
      <c r="D933" s="7"/>
      <c r="E933" s="7"/>
      <c r="F933" s="276" t="s">
        <v>707</v>
      </c>
      <c r="G933" s="278" t="s">
        <v>720</v>
      </c>
      <c r="H933" s="279"/>
      <c r="I933" s="280">
        <v>45549.0</v>
      </c>
      <c r="J933" s="34"/>
      <c r="K933" s="281">
        <v>0.18400000000000002</v>
      </c>
      <c r="L933" s="34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128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</row>
    <row r="934" hidden="1">
      <c r="A934" s="7"/>
      <c r="B934" s="7"/>
      <c r="C934" s="7"/>
      <c r="D934" s="7"/>
      <c r="E934" s="7"/>
      <c r="F934" s="276" t="s">
        <v>704</v>
      </c>
      <c r="G934" s="278" t="s">
        <v>719</v>
      </c>
      <c r="H934" s="279"/>
      <c r="I934" s="280">
        <v>45549.0</v>
      </c>
      <c r="J934" s="34"/>
      <c r="K934" s="281">
        <v>0.364</v>
      </c>
      <c r="L934" s="34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128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</row>
    <row r="935" hidden="1">
      <c r="A935" s="7"/>
      <c r="B935" s="7"/>
      <c r="C935" s="7"/>
      <c r="D935" s="7"/>
      <c r="E935" s="7"/>
      <c r="F935" s="276" t="s">
        <v>707</v>
      </c>
      <c r="G935" s="278" t="s">
        <v>708</v>
      </c>
      <c r="H935" s="279"/>
      <c r="I935" s="280">
        <v>45549.0</v>
      </c>
      <c r="J935" s="34"/>
      <c r="K935" s="281">
        <v>0.23</v>
      </c>
      <c r="L935" s="34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128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</row>
    <row r="936" hidden="1">
      <c r="A936" s="7"/>
      <c r="B936" s="7"/>
      <c r="C936" s="7"/>
      <c r="D936" s="7"/>
      <c r="E936" s="7"/>
      <c r="F936" s="276" t="s">
        <v>716</v>
      </c>
      <c r="G936" s="278" t="s">
        <v>717</v>
      </c>
      <c r="H936" s="279"/>
      <c r="I936" s="280">
        <v>45549.0</v>
      </c>
      <c r="J936" s="34"/>
      <c r="K936" s="281">
        <v>0.8</v>
      </c>
      <c r="L936" s="34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128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</row>
    <row r="937" hidden="1">
      <c r="A937" s="7"/>
      <c r="B937" s="7"/>
      <c r="C937" s="7"/>
      <c r="D937" s="7"/>
      <c r="E937" s="7"/>
      <c r="F937" s="276" t="s">
        <v>716</v>
      </c>
      <c r="G937" s="278" t="s">
        <v>729</v>
      </c>
      <c r="H937" s="279"/>
      <c r="I937" s="280">
        <v>45549.0</v>
      </c>
      <c r="J937" s="34"/>
      <c r="K937" s="281">
        <v>0.69</v>
      </c>
      <c r="L937" s="34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128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</row>
    <row r="938" hidden="1">
      <c r="A938" s="7"/>
      <c r="B938" s="7"/>
      <c r="C938" s="7"/>
      <c r="D938" s="7"/>
      <c r="E938" s="7"/>
      <c r="F938" s="276" t="s">
        <v>697</v>
      </c>
      <c r="G938" s="278" t="s">
        <v>706</v>
      </c>
      <c r="H938" s="279"/>
      <c r="I938" s="280">
        <v>45549.0</v>
      </c>
      <c r="J938" s="34"/>
      <c r="K938" s="281">
        <v>0.465</v>
      </c>
      <c r="L938" s="34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128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</row>
    <row r="939" hidden="1">
      <c r="A939" s="7"/>
      <c r="B939" s="7"/>
      <c r="C939" s="7"/>
      <c r="D939" s="7"/>
      <c r="E939" s="7"/>
      <c r="F939" s="276" t="s">
        <v>704</v>
      </c>
      <c r="G939" s="278" t="s">
        <v>705</v>
      </c>
      <c r="H939" s="279"/>
      <c r="I939" s="280">
        <v>45549.0</v>
      </c>
      <c r="J939" s="34"/>
      <c r="K939" s="281">
        <v>0.27</v>
      </c>
      <c r="L939" s="34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128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</row>
    <row r="940" hidden="1">
      <c r="A940" s="7"/>
      <c r="B940" s="7"/>
      <c r="C940" s="7"/>
      <c r="D940" s="7"/>
      <c r="E940" s="7"/>
      <c r="F940" s="276" t="s">
        <v>707</v>
      </c>
      <c r="G940" s="278" t="s">
        <v>708</v>
      </c>
      <c r="H940" s="279"/>
      <c r="I940" s="280">
        <v>45549.0</v>
      </c>
      <c r="J940" s="34"/>
      <c r="K940" s="281">
        <v>0.23</v>
      </c>
      <c r="L940" s="34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128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</row>
    <row r="941" hidden="1">
      <c r="A941" s="7"/>
      <c r="B941" s="7"/>
      <c r="C941" s="7"/>
      <c r="D941" s="7"/>
      <c r="E941" s="7"/>
      <c r="F941" s="276" t="s">
        <v>716</v>
      </c>
      <c r="G941" s="278" t="s">
        <v>717</v>
      </c>
      <c r="H941" s="279"/>
      <c r="I941" s="280">
        <v>45549.0</v>
      </c>
      <c r="J941" s="34"/>
      <c r="K941" s="281">
        <v>0.728</v>
      </c>
      <c r="L941" s="34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128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</row>
    <row r="942" hidden="1">
      <c r="A942" s="7"/>
      <c r="B942" s="7"/>
      <c r="C942" s="7"/>
      <c r="D942" s="7"/>
      <c r="E942" s="7"/>
      <c r="F942" s="276" t="s">
        <v>707</v>
      </c>
      <c r="G942" s="278" t="s">
        <v>708</v>
      </c>
      <c r="H942" s="279"/>
      <c r="I942" s="280">
        <v>45549.0</v>
      </c>
      <c r="J942" s="34"/>
      <c r="K942" s="281">
        <v>0.225</v>
      </c>
      <c r="L942" s="34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128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</row>
    <row r="943" hidden="1">
      <c r="A943" s="7"/>
      <c r="B943" s="7"/>
      <c r="C943" s="7"/>
      <c r="D943" s="7"/>
      <c r="E943" s="7"/>
      <c r="F943" s="276" t="s">
        <v>704</v>
      </c>
      <c r="G943" s="278" t="s">
        <v>705</v>
      </c>
      <c r="H943" s="279"/>
      <c r="I943" s="280">
        <v>45550.0</v>
      </c>
      <c r="J943" s="34"/>
      <c r="K943" s="281">
        <v>0.288</v>
      </c>
      <c r="L943" s="34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128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</row>
    <row r="944" hidden="1">
      <c r="A944" s="7"/>
      <c r="B944" s="7"/>
      <c r="C944" s="7"/>
      <c r="D944" s="7"/>
      <c r="E944" s="7"/>
      <c r="F944" s="276" t="s">
        <v>707</v>
      </c>
      <c r="G944" s="278" t="s">
        <v>720</v>
      </c>
      <c r="H944" s="279"/>
      <c r="I944" s="280">
        <v>45550.0</v>
      </c>
      <c r="J944" s="34"/>
      <c r="K944" s="281">
        <v>0.2</v>
      </c>
      <c r="L944" s="34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128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</row>
    <row r="945" hidden="1">
      <c r="A945" s="7"/>
      <c r="B945" s="7"/>
      <c r="C945" s="7"/>
      <c r="D945" s="7"/>
      <c r="E945" s="7"/>
      <c r="F945" s="276" t="s">
        <v>704</v>
      </c>
      <c r="G945" s="278" t="s">
        <v>719</v>
      </c>
      <c r="H945" s="279"/>
      <c r="I945" s="280">
        <v>45550.0</v>
      </c>
      <c r="J945" s="34"/>
      <c r="K945" s="281">
        <v>0.38400000000000006</v>
      </c>
      <c r="L945" s="34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128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</row>
    <row r="946" hidden="1">
      <c r="A946" s="7"/>
      <c r="B946" s="7"/>
      <c r="C946" s="7"/>
      <c r="D946" s="7"/>
      <c r="E946" s="7"/>
      <c r="F946" s="276" t="s">
        <v>697</v>
      </c>
      <c r="G946" s="278" t="s">
        <v>706</v>
      </c>
      <c r="H946" s="279"/>
      <c r="I946" s="280">
        <v>45550.0</v>
      </c>
      <c r="J946" s="34"/>
      <c r="K946" s="281">
        <v>0.5</v>
      </c>
      <c r="L946" s="34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128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</row>
    <row r="947" hidden="1">
      <c r="A947" s="7"/>
      <c r="B947" s="7"/>
      <c r="C947" s="7"/>
      <c r="D947" s="7"/>
      <c r="E947" s="7"/>
      <c r="F947" s="276" t="s">
        <v>707</v>
      </c>
      <c r="G947" s="278" t="s">
        <v>712</v>
      </c>
      <c r="H947" s="279"/>
      <c r="I947" s="280">
        <v>45550.0</v>
      </c>
      <c r="J947" s="34"/>
      <c r="K947" s="281">
        <v>0.9</v>
      </c>
      <c r="L947" s="34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128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</row>
    <row r="948" hidden="1">
      <c r="A948" s="7"/>
      <c r="B948" s="7"/>
      <c r="C948" s="7"/>
      <c r="D948" s="7"/>
      <c r="E948" s="7"/>
      <c r="F948" s="276" t="s">
        <v>704</v>
      </c>
      <c r="G948" s="278" t="s">
        <v>713</v>
      </c>
      <c r="H948" s="279"/>
      <c r="I948" s="280">
        <v>45550.0</v>
      </c>
      <c r="J948" s="34"/>
      <c r="K948" s="281">
        <v>0.6439999999999999</v>
      </c>
      <c r="L948" s="34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128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</row>
    <row r="949" hidden="1">
      <c r="A949" s="7"/>
      <c r="B949" s="7"/>
      <c r="C949" s="7"/>
      <c r="D949" s="7"/>
      <c r="E949" s="7"/>
      <c r="F949" s="276" t="s">
        <v>716</v>
      </c>
      <c r="G949" s="278" t="s">
        <v>717</v>
      </c>
      <c r="H949" s="279"/>
      <c r="I949" s="280">
        <v>45550.0</v>
      </c>
      <c r="J949" s="34"/>
      <c r="K949" s="281">
        <v>0.8</v>
      </c>
      <c r="L949" s="34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128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</row>
    <row r="950" hidden="1">
      <c r="A950" s="7"/>
      <c r="B950" s="7"/>
      <c r="C950" s="7"/>
      <c r="D950" s="7"/>
      <c r="E950" s="7"/>
      <c r="F950" s="276" t="s">
        <v>697</v>
      </c>
      <c r="G950" s="278" t="s">
        <v>700</v>
      </c>
      <c r="H950" s="279"/>
      <c r="I950" s="280">
        <v>45550.0</v>
      </c>
      <c r="J950" s="34"/>
      <c r="K950" s="281">
        <v>0.7680000000000001</v>
      </c>
      <c r="L950" s="34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128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</row>
    <row r="951" hidden="1">
      <c r="A951" s="7"/>
      <c r="B951" s="7"/>
      <c r="C951" s="7"/>
      <c r="D951" s="7"/>
      <c r="E951" s="7"/>
      <c r="F951" s="276" t="s">
        <v>697</v>
      </c>
      <c r="G951" s="278" t="s">
        <v>700</v>
      </c>
      <c r="H951" s="279"/>
      <c r="I951" s="280">
        <v>45550.0</v>
      </c>
      <c r="J951" s="34"/>
      <c r="K951" s="281">
        <v>0.728</v>
      </c>
      <c r="L951" s="34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128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</row>
    <row r="952" hidden="1">
      <c r="A952" s="7"/>
      <c r="B952" s="7"/>
      <c r="C952" s="7"/>
      <c r="D952" s="7"/>
      <c r="E952" s="7"/>
      <c r="F952" s="276" t="s">
        <v>697</v>
      </c>
      <c r="G952" s="278" t="s">
        <v>698</v>
      </c>
      <c r="H952" s="279"/>
      <c r="I952" s="280">
        <v>45551.0</v>
      </c>
      <c r="J952" s="34"/>
      <c r="K952" s="281">
        <v>0.294</v>
      </c>
      <c r="L952" s="34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128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</row>
    <row r="953" hidden="1">
      <c r="A953" s="7"/>
      <c r="B953" s="7"/>
      <c r="C953" s="7"/>
      <c r="D953" s="7"/>
      <c r="E953" s="7"/>
      <c r="F953" s="276" t="s">
        <v>697</v>
      </c>
      <c r="G953" s="278" t="s">
        <v>700</v>
      </c>
      <c r="H953" s="279"/>
      <c r="I953" s="280">
        <v>45551.0</v>
      </c>
      <c r="J953" s="34"/>
      <c r="K953" s="281">
        <v>0.7440000000000001</v>
      </c>
      <c r="L953" s="34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128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</row>
    <row r="954" hidden="1">
      <c r="A954" s="7"/>
      <c r="B954" s="7"/>
      <c r="C954" s="7"/>
      <c r="D954" s="7"/>
      <c r="E954" s="7"/>
      <c r="F954" s="276" t="s">
        <v>704</v>
      </c>
      <c r="G954" s="278" t="s">
        <v>719</v>
      </c>
      <c r="H954" s="279"/>
      <c r="I954" s="280">
        <v>45551.0</v>
      </c>
      <c r="J954" s="34"/>
      <c r="K954" s="281">
        <v>0.376</v>
      </c>
      <c r="L954" s="34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128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</row>
    <row r="955" hidden="1">
      <c r="A955" s="7"/>
      <c r="B955" s="7"/>
      <c r="C955" s="7"/>
      <c r="D955" s="7"/>
      <c r="E955" s="7"/>
      <c r="F955" s="276" t="s">
        <v>707</v>
      </c>
      <c r="G955" s="278" t="s">
        <v>708</v>
      </c>
      <c r="H955" s="279"/>
      <c r="I955" s="280">
        <v>45551.0</v>
      </c>
      <c r="J955" s="34"/>
      <c r="K955" s="281">
        <v>0.25</v>
      </c>
      <c r="L955" s="34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128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</row>
    <row r="956" hidden="1">
      <c r="A956" s="7"/>
      <c r="B956" s="7"/>
      <c r="C956" s="7"/>
      <c r="D956" s="7"/>
      <c r="E956" s="7"/>
      <c r="F956" s="276" t="s">
        <v>697</v>
      </c>
      <c r="G956" s="278" t="s">
        <v>700</v>
      </c>
      <c r="H956" s="279"/>
      <c r="I956" s="280">
        <v>45551.0</v>
      </c>
      <c r="J956" s="34"/>
      <c r="K956" s="281">
        <v>0.7360000000000001</v>
      </c>
      <c r="L956" s="34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128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</row>
    <row r="957" hidden="1">
      <c r="A957" s="7"/>
      <c r="B957" s="7"/>
      <c r="C957" s="7"/>
      <c r="D957" s="7"/>
      <c r="E957" s="7"/>
      <c r="F957" s="276" t="s">
        <v>704</v>
      </c>
      <c r="G957" s="278" t="s">
        <v>713</v>
      </c>
      <c r="H957" s="279"/>
      <c r="I957" s="280">
        <v>45551.0</v>
      </c>
      <c r="J957" s="34"/>
      <c r="K957" s="281">
        <v>0.6789999999999999</v>
      </c>
      <c r="L957" s="34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128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</row>
    <row r="958" hidden="1">
      <c r="A958" s="7"/>
      <c r="B958" s="7"/>
      <c r="C958" s="7"/>
      <c r="D958" s="7"/>
      <c r="E958" s="7"/>
      <c r="F958" s="276" t="s">
        <v>697</v>
      </c>
      <c r="G958" s="278" t="s">
        <v>698</v>
      </c>
      <c r="H958" s="279"/>
      <c r="I958" s="280">
        <v>45551.0</v>
      </c>
      <c r="J958" s="34"/>
      <c r="K958" s="281">
        <v>0.273</v>
      </c>
      <c r="L958" s="34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128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</row>
    <row r="959" hidden="1">
      <c r="A959" s="7"/>
      <c r="B959" s="7"/>
      <c r="C959" s="7"/>
      <c r="D959" s="7"/>
      <c r="E959" s="7"/>
      <c r="F959" s="276" t="s">
        <v>707</v>
      </c>
      <c r="G959" s="278" t="s">
        <v>720</v>
      </c>
      <c r="H959" s="279"/>
      <c r="I959" s="280">
        <v>45551.0</v>
      </c>
      <c r="J959" s="34"/>
      <c r="K959" s="281">
        <v>0.18400000000000002</v>
      </c>
      <c r="L959" s="34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128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</row>
    <row r="960" hidden="1">
      <c r="A960" s="7"/>
      <c r="B960" s="7"/>
      <c r="C960" s="7"/>
      <c r="D960" s="7"/>
      <c r="E960" s="7"/>
      <c r="F960" s="276" t="s">
        <v>707</v>
      </c>
      <c r="G960" s="278" t="s">
        <v>708</v>
      </c>
      <c r="H960" s="279"/>
      <c r="I960" s="280">
        <v>45551.0</v>
      </c>
      <c r="J960" s="34"/>
      <c r="K960" s="281">
        <v>0.225</v>
      </c>
      <c r="L960" s="34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128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</row>
    <row r="961" hidden="1">
      <c r="A961" s="7"/>
      <c r="B961" s="7"/>
      <c r="C961" s="7"/>
      <c r="D961" s="7"/>
      <c r="E961" s="7"/>
      <c r="F961" s="276" t="s">
        <v>707</v>
      </c>
      <c r="G961" s="278" t="s">
        <v>712</v>
      </c>
      <c r="H961" s="279"/>
      <c r="I961" s="280">
        <v>45551.0</v>
      </c>
      <c r="J961" s="34"/>
      <c r="K961" s="281">
        <v>0.882</v>
      </c>
      <c r="L961" s="34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128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</row>
    <row r="962" hidden="1">
      <c r="A962" s="7"/>
      <c r="B962" s="7"/>
      <c r="C962" s="7"/>
      <c r="D962" s="7"/>
      <c r="E962" s="7"/>
      <c r="F962" s="276" t="s">
        <v>704</v>
      </c>
      <c r="G962" s="278" t="s">
        <v>705</v>
      </c>
      <c r="H962" s="279"/>
      <c r="I962" s="280">
        <v>45551.0</v>
      </c>
      <c r="J962" s="34"/>
      <c r="K962" s="281">
        <v>0.273</v>
      </c>
      <c r="L962" s="34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128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</row>
    <row r="963" hidden="1">
      <c r="A963" s="7"/>
      <c r="B963" s="7"/>
      <c r="C963" s="7"/>
      <c r="D963" s="7"/>
      <c r="E963" s="7"/>
      <c r="F963" s="276" t="s">
        <v>716</v>
      </c>
      <c r="G963" s="278" t="s">
        <v>717</v>
      </c>
      <c r="H963" s="279"/>
      <c r="I963" s="280">
        <v>45551.0</v>
      </c>
      <c r="J963" s="34"/>
      <c r="K963" s="281">
        <v>0.7680000000000001</v>
      </c>
      <c r="L963" s="34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128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</row>
    <row r="964" hidden="1">
      <c r="A964" s="7"/>
      <c r="B964" s="7"/>
      <c r="C964" s="7"/>
      <c r="D964" s="7"/>
      <c r="E964" s="7"/>
      <c r="F964" s="276" t="s">
        <v>716</v>
      </c>
      <c r="G964" s="278" t="s">
        <v>729</v>
      </c>
      <c r="H964" s="279"/>
      <c r="I964" s="280">
        <v>45551.0</v>
      </c>
      <c r="J964" s="34"/>
      <c r="K964" s="281">
        <v>0.7275</v>
      </c>
      <c r="L964" s="34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128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</row>
    <row r="965" hidden="1">
      <c r="A965" s="7"/>
      <c r="B965" s="7"/>
      <c r="C965" s="7"/>
      <c r="D965" s="7"/>
      <c r="E965" s="7"/>
      <c r="F965" s="276" t="s">
        <v>697</v>
      </c>
      <c r="G965" s="278" t="s">
        <v>706</v>
      </c>
      <c r="H965" s="279"/>
      <c r="I965" s="280">
        <v>45551.0</v>
      </c>
      <c r="J965" s="34"/>
      <c r="K965" s="281">
        <v>0.45</v>
      </c>
      <c r="L965" s="34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128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</row>
    <row r="966" hidden="1">
      <c r="A966" s="7"/>
      <c r="B966" s="7"/>
      <c r="C966" s="7"/>
      <c r="D966" s="7"/>
      <c r="E966" s="7"/>
      <c r="F966" s="276" t="s">
        <v>707</v>
      </c>
      <c r="G966" s="278" t="s">
        <v>720</v>
      </c>
      <c r="H966" s="279"/>
      <c r="I966" s="280">
        <v>45551.0</v>
      </c>
      <c r="J966" s="34"/>
      <c r="K966" s="281">
        <v>0.182</v>
      </c>
      <c r="L966" s="34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128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</row>
    <row r="967" hidden="1">
      <c r="A967" s="7"/>
      <c r="B967" s="7"/>
      <c r="C967" s="7"/>
      <c r="D967" s="7"/>
      <c r="E967" s="7"/>
      <c r="F967" s="276" t="s">
        <v>716</v>
      </c>
      <c r="G967" s="278" t="s">
        <v>717</v>
      </c>
      <c r="H967" s="279"/>
      <c r="I967" s="280">
        <v>45551.0</v>
      </c>
      <c r="J967" s="34"/>
      <c r="K967" s="281">
        <v>0.72</v>
      </c>
      <c r="L967" s="34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128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</row>
    <row r="968" hidden="1">
      <c r="A968" s="7"/>
      <c r="B968" s="7"/>
      <c r="C968" s="7"/>
      <c r="D968" s="7"/>
      <c r="E968" s="7"/>
      <c r="F968" s="276" t="s">
        <v>707</v>
      </c>
      <c r="G968" s="278" t="s">
        <v>712</v>
      </c>
      <c r="H968" s="279"/>
      <c r="I968" s="280">
        <v>45551.0</v>
      </c>
      <c r="J968" s="34"/>
      <c r="K968" s="281">
        <v>0.8640000000000001</v>
      </c>
      <c r="L968" s="34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128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</row>
    <row r="969" hidden="1">
      <c r="A969" s="7"/>
      <c r="B969" s="7"/>
      <c r="C969" s="7"/>
      <c r="D969" s="7"/>
      <c r="E969" s="7"/>
      <c r="F969" s="276" t="s">
        <v>697</v>
      </c>
      <c r="G969" s="278" t="s">
        <v>700</v>
      </c>
      <c r="H969" s="279"/>
      <c r="I969" s="280">
        <v>45551.0</v>
      </c>
      <c r="J969" s="34"/>
      <c r="K969" s="281">
        <v>0.8</v>
      </c>
      <c r="L969" s="34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128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</row>
    <row r="970" hidden="1">
      <c r="A970" s="7"/>
      <c r="B970" s="7"/>
      <c r="C970" s="7"/>
      <c r="D970" s="7"/>
      <c r="E970" s="7"/>
      <c r="F970" s="276" t="s">
        <v>707</v>
      </c>
      <c r="G970" s="278" t="s">
        <v>708</v>
      </c>
      <c r="H970" s="279"/>
      <c r="I970" s="280">
        <v>45551.0</v>
      </c>
      <c r="J970" s="34"/>
      <c r="K970" s="281">
        <v>0.24</v>
      </c>
      <c r="L970" s="34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128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</row>
    <row r="971" hidden="1">
      <c r="A971" s="7"/>
      <c r="B971" s="7"/>
      <c r="C971" s="7"/>
      <c r="D971" s="7"/>
      <c r="E971" s="7"/>
      <c r="F971" s="276" t="s">
        <v>704</v>
      </c>
      <c r="G971" s="278" t="s">
        <v>713</v>
      </c>
      <c r="H971" s="279"/>
      <c r="I971" s="280">
        <v>45552.0</v>
      </c>
      <c r="J971" s="34"/>
      <c r="K971" s="281">
        <v>0.7</v>
      </c>
      <c r="L971" s="34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128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</row>
    <row r="972" hidden="1">
      <c r="A972" s="7"/>
      <c r="B972" s="7"/>
      <c r="C972" s="7"/>
      <c r="D972" s="7"/>
      <c r="E972" s="7"/>
      <c r="F972" s="276" t="s">
        <v>704</v>
      </c>
      <c r="G972" s="278" t="s">
        <v>705</v>
      </c>
      <c r="H972" s="279"/>
      <c r="I972" s="280">
        <v>45552.0</v>
      </c>
      <c r="J972" s="34"/>
      <c r="K972" s="281">
        <v>0.27</v>
      </c>
      <c r="L972" s="34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128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</row>
    <row r="973" hidden="1">
      <c r="A973" s="7"/>
      <c r="B973" s="7"/>
      <c r="C973" s="7"/>
      <c r="D973" s="7"/>
      <c r="E973" s="7"/>
      <c r="F973" s="276" t="s">
        <v>704</v>
      </c>
      <c r="G973" s="278" t="s">
        <v>719</v>
      </c>
      <c r="H973" s="279"/>
      <c r="I973" s="280">
        <v>45552.0</v>
      </c>
      <c r="J973" s="34"/>
      <c r="K973" s="281">
        <v>0.37200000000000005</v>
      </c>
      <c r="L973" s="34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128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</row>
    <row r="974" hidden="1">
      <c r="A974" s="7"/>
      <c r="B974" s="7"/>
      <c r="C974" s="7"/>
      <c r="D974" s="7"/>
      <c r="E974" s="7"/>
      <c r="F974" s="276" t="s">
        <v>707</v>
      </c>
      <c r="G974" s="278" t="s">
        <v>720</v>
      </c>
      <c r="H974" s="279"/>
      <c r="I974" s="280">
        <v>45552.0</v>
      </c>
      <c r="J974" s="34"/>
      <c r="K974" s="281">
        <v>0.18400000000000002</v>
      </c>
      <c r="L974" s="34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128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</row>
    <row r="975" hidden="1">
      <c r="A975" s="7"/>
      <c r="B975" s="7"/>
      <c r="C975" s="7"/>
      <c r="D975" s="7"/>
      <c r="E975" s="7"/>
      <c r="F975" s="276" t="s">
        <v>697</v>
      </c>
      <c r="G975" s="278" t="s">
        <v>698</v>
      </c>
      <c r="H975" s="279"/>
      <c r="I975" s="280">
        <v>45552.0</v>
      </c>
      <c r="J975" s="34"/>
      <c r="K975" s="281">
        <v>0.282</v>
      </c>
      <c r="L975" s="34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128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</row>
    <row r="976" hidden="1">
      <c r="A976" s="7"/>
      <c r="B976" s="7"/>
      <c r="C976" s="7"/>
      <c r="D976" s="7"/>
      <c r="E976" s="7"/>
      <c r="F976" s="276" t="s">
        <v>716</v>
      </c>
      <c r="G976" s="278" t="s">
        <v>732</v>
      </c>
      <c r="H976" s="279"/>
      <c r="I976" s="280">
        <v>45552.0</v>
      </c>
      <c r="J976" s="34"/>
      <c r="K976" s="281">
        <v>0.6859999999999999</v>
      </c>
      <c r="L976" s="34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128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</row>
    <row r="977" hidden="1">
      <c r="A977" s="7"/>
      <c r="B977" s="7"/>
      <c r="C977" s="7"/>
      <c r="D977" s="7"/>
      <c r="E977" s="7"/>
      <c r="F977" s="276" t="s">
        <v>697</v>
      </c>
      <c r="G977" s="278" t="s">
        <v>706</v>
      </c>
      <c r="H977" s="279"/>
      <c r="I977" s="280">
        <v>45552.0</v>
      </c>
      <c r="J977" s="34"/>
      <c r="K977" s="281">
        <v>0.475</v>
      </c>
      <c r="L977" s="34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128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</row>
    <row r="978" hidden="1">
      <c r="A978" s="7"/>
      <c r="B978" s="7"/>
      <c r="C978" s="7"/>
      <c r="D978" s="7"/>
      <c r="E978" s="7"/>
      <c r="F978" s="276" t="s">
        <v>707</v>
      </c>
      <c r="G978" s="278" t="s">
        <v>708</v>
      </c>
      <c r="H978" s="279"/>
      <c r="I978" s="280">
        <v>45553.0</v>
      </c>
      <c r="J978" s="34"/>
      <c r="K978" s="281">
        <v>0.2475</v>
      </c>
      <c r="L978" s="34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128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</row>
    <row r="979" hidden="1">
      <c r="A979" s="7"/>
      <c r="B979" s="7"/>
      <c r="C979" s="7"/>
      <c r="D979" s="7"/>
      <c r="E979" s="7"/>
      <c r="F979" s="276" t="s">
        <v>707</v>
      </c>
      <c r="G979" s="278" t="s">
        <v>708</v>
      </c>
      <c r="H979" s="279"/>
      <c r="I979" s="280">
        <v>45553.0</v>
      </c>
      <c r="J979" s="34"/>
      <c r="K979" s="281">
        <v>0.235</v>
      </c>
      <c r="L979" s="34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128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</row>
    <row r="980" hidden="1">
      <c r="A980" s="7"/>
      <c r="B980" s="7"/>
      <c r="C980" s="7"/>
      <c r="D980" s="7"/>
      <c r="E980" s="7"/>
      <c r="F980" s="276" t="s">
        <v>704</v>
      </c>
      <c r="G980" s="278" t="s">
        <v>705</v>
      </c>
      <c r="H980" s="279"/>
      <c r="I980" s="280">
        <v>45553.0</v>
      </c>
      <c r="J980" s="34"/>
      <c r="K980" s="281">
        <v>0.27599999999999997</v>
      </c>
      <c r="L980" s="34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128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</row>
    <row r="981" hidden="1">
      <c r="A981" s="7"/>
      <c r="B981" s="7"/>
      <c r="C981" s="7"/>
      <c r="D981" s="7"/>
      <c r="E981" s="7"/>
      <c r="F981" s="276" t="s">
        <v>707</v>
      </c>
      <c r="G981" s="278" t="s">
        <v>720</v>
      </c>
      <c r="H981" s="279"/>
      <c r="I981" s="280">
        <v>45553.0</v>
      </c>
      <c r="J981" s="34"/>
      <c r="K981" s="281">
        <v>0.18600000000000003</v>
      </c>
      <c r="L981" s="34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128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</row>
    <row r="982" hidden="1">
      <c r="A982" s="7"/>
      <c r="B982" s="7"/>
      <c r="C982" s="7"/>
      <c r="D982" s="7"/>
      <c r="E982" s="7"/>
      <c r="F982" s="276" t="s">
        <v>697</v>
      </c>
      <c r="G982" s="278" t="s">
        <v>698</v>
      </c>
      <c r="H982" s="279"/>
      <c r="I982" s="280">
        <v>45553.0</v>
      </c>
      <c r="J982" s="34"/>
      <c r="K982" s="281">
        <v>0.27</v>
      </c>
      <c r="L982" s="34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128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</row>
    <row r="983" hidden="1">
      <c r="A983" s="7"/>
      <c r="B983" s="7"/>
      <c r="C983" s="7"/>
      <c r="D983" s="7"/>
      <c r="E983" s="7"/>
      <c r="F983" s="276" t="s">
        <v>716</v>
      </c>
      <c r="G983" s="278" t="s">
        <v>729</v>
      </c>
      <c r="H983" s="279"/>
      <c r="I983" s="280">
        <v>45553.0</v>
      </c>
      <c r="J983" s="34"/>
      <c r="K983" s="281">
        <v>0.7125</v>
      </c>
      <c r="L983" s="34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128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</row>
    <row r="984" hidden="1">
      <c r="A984" s="7"/>
      <c r="B984" s="7"/>
      <c r="C984" s="7"/>
      <c r="D984" s="7"/>
      <c r="E984" s="7"/>
      <c r="F984" s="276" t="s">
        <v>697</v>
      </c>
      <c r="G984" s="278" t="s">
        <v>706</v>
      </c>
      <c r="H984" s="279"/>
      <c r="I984" s="280">
        <v>45553.0</v>
      </c>
      <c r="J984" s="34"/>
      <c r="K984" s="281">
        <v>0.49</v>
      </c>
      <c r="L984" s="34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128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</row>
    <row r="985" hidden="1">
      <c r="A985" s="7"/>
      <c r="B985" s="7"/>
      <c r="C985" s="7"/>
      <c r="D985" s="7"/>
      <c r="E985" s="7"/>
      <c r="F985" s="276" t="s">
        <v>707</v>
      </c>
      <c r="G985" s="278" t="s">
        <v>708</v>
      </c>
      <c r="H985" s="279"/>
      <c r="I985" s="280">
        <v>45553.0</v>
      </c>
      <c r="J985" s="34"/>
      <c r="K985" s="281">
        <v>0.25</v>
      </c>
      <c r="L985" s="34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128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</row>
    <row r="986" hidden="1">
      <c r="A986" s="7"/>
      <c r="B986" s="7"/>
      <c r="C986" s="7"/>
      <c r="D986" s="7"/>
      <c r="E986" s="7"/>
      <c r="F986" s="276" t="s">
        <v>707</v>
      </c>
      <c r="G986" s="278" t="s">
        <v>708</v>
      </c>
      <c r="H986" s="279"/>
      <c r="I986" s="280">
        <v>45553.0</v>
      </c>
      <c r="J986" s="34"/>
      <c r="K986" s="281">
        <v>0.23</v>
      </c>
      <c r="L986" s="34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128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</row>
    <row r="987" hidden="1">
      <c r="A987" s="7"/>
      <c r="B987" s="7"/>
      <c r="C987" s="7"/>
      <c r="D987" s="7"/>
      <c r="E987" s="7"/>
      <c r="F987" s="276" t="s">
        <v>707</v>
      </c>
      <c r="G987" s="278" t="s">
        <v>708</v>
      </c>
      <c r="H987" s="279"/>
      <c r="I987" s="280">
        <v>45553.0</v>
      </c>
      <c r="J987" s="34"/>
      <c r="K987" s="281">
        <v>0.2325</v>
      </c>
      <c r="L987" s="34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128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</row>
    <row r="988" hidden="1">
      <c r="A988" s="7"/>
      <c r="B988" s="7"/>
      <c r="C988" s="7"/>
      <c r="D988" s="7"/>
      <c r="E988" s="7"/>
      <c r="F988" s="276" t="s">
        <v>704</v>
      </c>
      <c r="G988" s="278" t="s">
        <v>705</v>
      </c>
      <c r="H988" s="279"/>
      <c r="I988" s="280">
        <v>45554.0</v>
      </c>
      <c r="J988" s="34"/>
      <c r="K988" s="281">
        <v>0.27899999999999997</v>
      </c>
      <c r="L988" s="34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128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</row>
    <row r="989" hidden="1">
      <c r="A989" s="7"/>
      <c r="B989" s="7"/>
      <c r="C989" s="7"/>
      <c r="D989" s="7"/>
      <c r="E989" s="7"/>
      <c r="F989" s="276" t="s">
        <v>716</v>
      </c>
      <c r="G989" s="278" t="s">
        <v>717</v>
      </c>
      <c r="H989" s="279"/>
      <c r="I989" s="280">
        <v>45554.0</v>
      </c>
      <c r="J989" s="34"/>
      <c r="K989" s="281">
        <v>0.72</v>
      </c>
      <c r="L989" s="34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128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</row>
    <row r="990" hidden="1">
      <c r="A990" s="7"/>
      <c r="B990" s="7"/>
      <c r="C990" s="7"/>
      <c r="D990" s="7"/>
      <c r="E990" s="7"/>
      <c r="F990" s="276" t="s">
        <v>704</v>
      </c>
      <c r="G990" s="278" t="s">
        <v>719</v>
      </c>
      <c r="H990" s="279"/>
      <c r="I990" s="280">
        <v>45554.0</v>
      </c>
      <c r="J990" s="34"/>
      <c r="K990" s="281">
        <v>0.38800000000000007</v>
      </c>
      <c r="L990" s="34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128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</row>
    <row r="991" hidden="1">
      <c r="A991" s="7"/>
      <c r="B991" s="7"/>
      <c r="C991" s="7"/>
      <c r="D991" s="7"/>
      <c r="E991" s="7"/>
      <c r="F991" s="276" t="s">
        <v>704</v>
      </c>
      <c r="G991" s="278" t="s">
        <v>719</v>
      </c>
      <c r="H991" s="279"/>
      <c r="I991" s="280">
        <v>45554.0</v>
      </c>
      <c r="J991" s="34"/>
      <c r="K991" s="281">
        <v>0.36</v>
      </c>
      <c r="L991" s="34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128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</row>
    <row r="992" hidden="1">
      <c r="A992" s="7"/>
      <c r="B992" s="7"/>
      <c r="C992" s="7"/>
      <c r="D992" s="7"/>
      <c r="E992" s="7"/>
      <c r="F992" s="276" t="s">
        <v>697</v>
      </c>
      <c r="G992" s="278" t="s">
        <v>698</v>
      </c>
      <c r="H992" s="279"/>
      <c r="I992" s="280">
        <v>45554.0</v>
      </c>
      <c r="J992" s="34"/>
      <c r="K992" s="281">
        <v>0.27599999999999997</v>
      </c>
      <c r="L992" s="34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128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</row>
    <row r="993" hidden="1">
      <c r="A993" s="7"/>
      <c r="B993" s="7"/>
      <c r="C993" s="7"/>
      <c r="D993" s="7"/>
      <c r="E993" s="7"/>
      <c r="F993" s="276" t="s">
        <v>697</v>
      </c>
      <c r="G993" s="278" t="s">
        <v>698</v>
      </c>
      <c r="H993" s="279"/>
      <c r="I993" s="280">
        <v>45554.0</v>
      </c>
      <c r="J993" s="34"/>
      <c r="K993" s="281">
        <v>0.27</v>
      </c>
      <c r="L993" s="34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128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</row>
    <row r="994" hidden="1">
      <c r="A994" s="7"/>
      <c r="B994" s="7"/>
      <c r="C994" s="7"/>
      <c r="D994" s="7"/>
      <c r="E994" s="7"/>
      <c r="F994" s="276" t="s">
        <v>704</v>
      </c>
      <c r="G994" s="278" t="s">
        <v>713</v>
      </c>
      <c r="H994" s="279"/>
      <c r="I994" s="280">
        <v>45554.0</v>
      </c>
      <c r="J994" s="34"/>
      <c r="K994" s="281">
        <v>0.665</v>
      </c>
      <c r="L994" s="34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128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</row>
    <row r="995" hidden="1">
      <c r="A995" s="7"/>
      <c r="B995" s="7"/>
      <c r="C995" s="7"/>
      <c r="D995" s="7"/>
      <c r="E995" s="7"/>
      <c r="F995" s="276" t="s">
        <v>716</v>
      </c>
      <c r="G995" s="278" t="s">
        <v>717</v>
      </c>
      <c r="H995" s="279"/>
      <c r="I995" s="280">
        <v>45555.0</v>
      </c>
      <c r="J995" s="34"/>
      <c r="K995" s="281">
        <v>0.7440000000000001</v>
      </c>
      <c r="L995" s="34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128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</row>
    <row r="996" hidden="1">
      <c r="A996" s="7"/>
      <c r="B996" s="7"/>
      <c r="C996" s="7"/>
      <c r="D996" s="7"/>
      <c r="E996" s="7"/>
      <c r="F996" s="276" t="s">
        <v>716</v>
      </c>
      <c r="G996" s="278" t="s">
        <v>732</v>
      </c>
      <c r="H996" s="279"/>
      <c r="I996" s="280">
        <v>45555.0</v>
      </c>
      <c r="J996" s="34"/>
      <c r="K996" s="281">
        <v>0.6719999999999999</v>
      </c>
      <c r="L996" s="34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128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</row>
    <row r="997" hidden="1">
      <c r="A997" s="7"/>
      <c r="B997" s="7"/>
      <c r="C997" s="7"/>
      <c r="D997" s="7"/>
      <c r="E997" s="7"/>
      <c r="F997" s="276" t="s">
        <v>707</v>
      </c>
      <c r="G997" s="278" t="s">
        <v>708</v>
      </c>
      <c r="H997" s="279"/>
      <c r="I997" s="280">
        <v>45555.0</v>
      </c>
      <c r="J997" s="34"/>
      <c r="K997" s="281">
        <v>0.2475</v>
      </c>
      <c r="L997" s="34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128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</row>
    <row r="998" hidden="1">
      <c r="A998" s="7"/>
      <c r="B998" s="7"/>
      <c r="C998" s="7"/>
      <c r="D998" s="7"/>
      <c r="E998" s="7"/>
      <c r="F998" s="276" t="s">
        <v>716</v>
      </c>
      <c r="G998" s="278" t="s">
        <v>729</v>
      </c>
      <c r="H998" s="279"/>
      <c r="I998" s="280">
        <v>45555.0</v>
      </c>
      <c r="J998" s="34"/>
      <c r="K998" s="281">
        <v>0.69</v>
      </c>
      <c r="L998" s="34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128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</row>
    <row r="999" hidden="1">
      <c r="A999" s="7"/>
      <c r="B999" s="7"/>
      <c r="C999" s="7"/>
      <c r="D999" s="7"/>
      <c r="E999" s="7"/>
      <c r="F999" s="276" t="s">
        <v>697</v>
      </c>
      <c r="G999" s="278" t="s">
        <v>698</v>
      </c>
      <c r="H999" s="279"/>
      <c r="I999" s="280">
        <v>45555.0</v>
      </c>
      <c r="J999" s="34"/>
      <c r="K999" s="281">
        <v>0.27</v>
      </c>
      <c r="L999" s="34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128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</row>
    <row r="1000" hidden="1">
      <c r="A1000" s="7"/>
      <c r="B1000" s="7"/>
      <c r="C1000" s="7"/>
      <c r="D1000" s="7"/>
      <c r="E1000" s="7"/>
      <c r="F1000" s="276" t="s">
        <v>697</v>
      </c>
      <c r="G1000" s="278" t="s">
        <v>700</v>
      </c>
      <c r="H1000" s="279"/>
      <c r="I1000" s="280">
        <v>45555.0</v>
      </c>
      <c r="J1000" s="34"/>
      <c r="K1000" s="281">
        <v>0.7760000000000001</v>
      </c>
      <c r="L1000" s="34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128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</row>
    <row r="1001" hidden="1">
      <c r="A1001" s="7"/>
      <c r="B1001" s="7"/>
      <c r="C1001" s="7"/>
      <c r="D1001" s="7"/>
      <c r="E1001" s="7"/>
      <c r="F1001" s="276" t="s">
        <v>707</v>
      </c>
      <c r="G1001" s="278" t="s">
        <v>720</v>
      </c>
      <c r="H1001" s="279"/>
      <c r="I1001" s="280">
        <v>45556.0</v>
      </c>
      <c r="J1001" s="34"/>
      <c r="K1001" s="281">
        <v>0.19200000000000003</v>
      </c>
      <c r="L1001" s="34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128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</row>
    <row r="1002" hidden="1">
      <c r="A1002" s="7"/>
      <c r="B1002" s="7"/>
      <c r="C1002" s="7"/>
      <c r="D1002" s="7"/>
      <c r="E1002" s="7"/>
      <c r="F1002" s="276" t="s">
        <v>707</v>
      </c>
      <c r="G1002" s="278" t="s">
        <v>712</v>
      </c>
      <c r="H1002" s="279"/>
      <c r="I1002" s="280">
        <v>45556.0</v>
      </c>
      <c r="J1002" s="34"/>
      <c r="K1002" s="281">
        <v>0.828</v>
      </c>
      <c r="L1002" s="34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128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</row>
    <row r="1003" hidden="1">
      <c r="A1003" s="7"/>
      <c r="B1003" s="7"/>
      <c r="C1003" s="7"/>
      <c r="D1003" s="7"/>
      <c r="E1003" s="7"/>
      <c r="F1003" s="276" t="s">
        <v>704</v>
      </c>
      <c r="G1003" s="278" t="s">
        <v>705</v>
      </c>
      <c r="H1003" s="279"/>
      <c r="I1003" s="280">
        <v>45556.0</v>
      </c>
      <c r="J1003" s="34"/>
      <c r="K1003" s="281">
        <v>0.291</v>
      </c>
      <c r="L1003" s="34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128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</row>
    <row r="1004" hidden="1">
      <c r="A1004" s="7"/>
      <c r="B1004" s="7"/>
      <c r="C1004" s="7"/>
      <c r="D1004" s="7"/>
      <c r="E1004" s="7"/>
      <c r="F1004" s="276" t="s">
        <v>707</v>
      </c>
      <c r="G1004" s="278" t="s">
        <v>720</v>
      </c>
      <c r="H1004" s="279"/>
      <c r="I1004" s="280">
        <v>45556.0</v>
      </c>
      <c r="J1004" s="34"/>
      <c r="K1004" s="281">
        <v>0.182</v>
      </c>
      <c r="L1004" s="34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128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</row>
    <row r="1005" hidden="1">
      <c r="A1005" s="7"/>
      <c r="B1005" s="7"/>
      <c r="C1005" s="7"/>
      <c r="D1005" s="7"/>
      <c r="E1005" s="7"/>
      <c r="F1005" s="276" t="s">
        <v>697</v>
      </c>
      <c r="G1005" s="278" t="s">
        <v>706</v>
      </c>
      <c r="H1005" s="279"/>
      <c r="I1005" s="280">
        <v>45556.0</v>
      </c>
      <c r="J1005" s="34"/>
      <c r="K1005" s="281">
        <v>0.48</v>
      </c>
      <c r="L1005" s="34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128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</row>
    <row r="1006" hidden="1">
      <c r="A1006" s="7"/>
      <c r="B1006" s="7"/>
      <c r="C1006" s="7"/>
      <c r="D1006" s="7"/>
      <c r="E1006" s="7"/>
      <c r="F1006" s="276" t="s">
        <v>697</v>
      </c>
      <c r="G1006" s="278" t="s">
        <v>706</v>
      </c>
      <c r="H1006" s="279"/>
      <c r="I1006" s="280">
        <v>45556.0</v>
      </c>
      <c r="J1006" s="34"/>
      <c r="K1006" s="281">
        <v>0.49</v>
      </c>
      <c r="L1006" s="34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128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</row>
    <row r="1007" hidden="1">
      <c r="A1007" s="7"/>
      <c r="B1007" s="7"/>
      <c r="C1007" s="7"/>
      <c r="D1007" s="7"/>
      <c r="E1007" s="7"/>
      <c r="F1007" s="276" t="s">
        <v>716</v>
      </c>
      <c r="G1007" s="278" t="s">
        <v>729</v>
      </c>
      <c r="H1007" s="279"/>
      <c r="I1007" s="280">
        <v>45556.0</v>
      </c>
      <c r="J1007" s="34"/>
      <c r="K1007" s="281">
        <v>0.69</v>
      </c>
      <c r="L1007" s="34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128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</row>
    <row r="1008" hidden="1">
      <c r="A1008" s="7"/>
      <c r="B1008" s="7"/>
      <c r="C1008" s="7"/>
      <c r="D1008" s="7"/>
      <c r="E1008" s="7"/>
      <c r="F1008" s="276" t="s">
        <v>697</v>
      </c>
      <c r="G1008" s="278" t="s">
        <v>700</v>
      </c>
      <c r="H1008" s="279"/>
      <c r="I1008" s="280">
        <v>45556.0</v>
      </c>
      <c r="J1008" s="34"/>
      <c r="K1008" s="281">
        <v>0.7760000000000001</v>
      </c>
      <c r="L1008" s="34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128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</row>
    <row r="1009" hidden="1">
      <c r="A1009" s="7"/>
      <c r="B1009" s="7"/>
      <c r="C1009" s="7"/>
      <c r="D1009" s="7"/>
      <c r="E1009" s="7"/>
      <c r="F1009" s="276" t="s">
        <v>704</v>
      </c>
      <c r="G1009" s="278" t="s">
        <v>713</v>
      </c>
      <c r="H1009" s="279"/>
      <c r="I1009" s="280">
        <v>45556.0</v>
      </c>
      <c r="J1009" s="34"/>
      <c r="K1009" s="281">
        <v>0.6859999999999999</v>
      </c>
      <c r="L1009" s="34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128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</row>
    <row r="1010" hidden="1">
      <c r="A1010" s="7"/>
      <c r="B1010" s="7"/>
      <c r="C1010" s="7"/>
      <c r="D1010" s="7"/>
      <c r="E1010" s="7"/>
      <c r="F1010" s="276" t="s">
        <v>704</v>
      </c>
      <c r="G1010" s="278" t="s">
        <v>719</v>
      </c>
      <c r="H1010" s="279"/>
      <c r="I1010" s="280">
        <v>45556.0</v>
      </c>
      <c r="J1010" s="34"/>
      <c r="K1010" s="281">
        <v>0.364</v>
      </c>
      <c r="L1010" s="34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128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</row>
    <row r="1011" hidden="1">
      <c r="A1011" s="7"/>
      <c r="B1011" s="7"/>
      <c r="C1011" s="7"/>
      <c r="D1011" s="7"/>
      <c r="E1011" s="7"/>
      <c r="F1011" s="276" t="s">
        <v>704</v>
      </c>
      <c r="G1011" s="278" t="s">
        <v>713</v>
      </c>
      <c r="H1011" s="279"/>
      <c r="I1011" s="280">
        <v>45557.0</v>
      </c>
      <c r="J1011" s="34"/>
      <c r="K1011" s="281">
        <v>0.6439999999999999</v>
      </c>
      <c r="L1011" s="34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128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</row>
    <row r="1012" hidden="1">
      <c r="A1012" s="7"/>
      <c r="B1012" s="7"/>
      <c r="C1012" s="7"/>
      <c r="D1012" s="7"/>
      <c r="E1012" s="7"/>
      <c r="F1012" s="276" t="s">
        <v>697</v>
      </c>
      <c r="G1012" s="278" t="s">
        <v>700</v>
      </c>
      <c r="H1012" s="279"/>
      <c r="I1012" s="280">
        <v>45557.0</v>
      </c>
      <c r="J1012" s="34"/>
      <c r="K1012" s="281">
        <v>0.72</v>
      </c>
      <c r="L1012" s="34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128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</row>
    <row r="1013" hidden="1">
      <c r="A1013" s="7"/>
      <c r="B1013" s="7"/>
      <c r="C1013" s="7"/>
      <c r="D1013" s="7"/>
      <c r="E1013" s="7"/>
      <c r="F1013" s="276" t="s">
        <v>697</v>
      </c>
      <c r="G1013" s="278" t="s">
        <v>700</v>
      </c>
      <c r="H1013" s="279"/>
      <c r="I1013" s="280">
        <v>45557.0</v>
      </c>
      <c r="J1013" s="34"/>
      <c r="K1013" s="281">
        <v>0.728</v>
      </c>
      <c r="L1013" s="34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128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</row>
    <row r="1014" hidden="1">
      <c r="A1014" s="7"/>
      <c r="B1014" s="7"/>
      <c r="C1014" s="7"/>
      <c r="D1014" s="7"/>
      <c r="E1014" s="7"/>
      <c r="F1014" s="276" t="s">
        <v>707</v>
      </c>
      <c r="G1014" s="278" t="s">
        <v>712</v>
      </c>
      <c r="H1014" s="279"/>
      <c r="I1014" s="280">
        <v>45557.0</v>
      </c>
      <c r="J1014" s="34"/>
      <c r="K1014" s="281">
        <v>0.882</v>
      </c>
      <c r="L1014" s="34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128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</row>
    <row r="1015" hidden="1">
      <c r="A1015" s="7"/>
      <c r="B1015" s="7"/>
      <c r="C1015" s="7"/>
      <c r="D1015" s="7"/>
      <c r="E1015" s="7"/>
      <c r="F1015" s="276" t="s">
        <v>704</v>
      </c>
      <c r="G1015" s="278" t="s">
        <v>705</v>
      </c>
      <c r="H1015" s="279"/>
      <c r="I1015" s="280">
        <v>45557.0</v>
      </c>
      <c r="J1015" s="34"/>
      <c r="K1015" s="281">
        <v>0.27899999999999997</v>
      </c>
      <c r="L1015" s="34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128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</row>
    <row r="1016" hidden="1">
      <c r="A1016" s="7"/>
      <c r="B1016" s="7"/>
      <c r="C1016" s="7"/>
      <c r="D1016" s="7"/>
      <c r="E1016" s="7"/>
      <c r="F1016" s="276" t="s">
        <v>704</v>
      </c>
      <c r="G1016" s="278" t="s">
        <v>713</v>
      </c>
      <c r="H1016" s="279"/>
      <c r="I1016" s="280">
        <v>45557.0</v>
      </c>
      <c r="J1016" s="34"/>
      <c r="K1016" s="281">
        <v>0.6579999999999999</v>
      </c>
      <c r="L1016" s="34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128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</row>
    <row r="1017" hidden="1">
      <c r="A1017" s="7"/>
      <c r="B1017" s="7"/>
      <c r="C1017" s="7"/>
      <c r="D1017" s="7"/>
      <c r="E1017" s="7"/>
      <c r="F1017" s="276" t="s">
        <v>707</v>
      </c>
      <c r="G1017" s="278" t="s">
        <v>712</v>
      </c>
      <c r="H1017" s="279"/>
      <c r="I1017" s="280">
        <v>45557.0</v>
      </c>
      <c r="J1017" s="34"/>
      <c r="K1017" s="281">
        <v>0.8190000000000001</v>
      </c>
      <c r="L1017" s="34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128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</row>
    <row r="1018" hidden="1">
      <c r="A1018" s="7"/>
      <c r="B1018" s="7"/>
      <c r="C1018" s="7"/>
      <c r="D1018" s="7"/>
      <c r="E1018" s="7"/>
      <c r="F1018" s="276" t="s">
        <v>697</v>
      </c>
      <c r="G1018" s="278" t="s">
        <v>706</v>
      </c>
      <c r="H1018" s="279"/>
      <c r="I1018" s="280">
        <v>45557.0</v>
      </c>
      <c r="J1018" s="34"/>
      <c r="K1018" s="281">
        <v>0.46</v>
      </c>
      <c r="L1018" s="34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128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</row>
    <row r="1019" hidden="1">
      <c r="A1019" s="7"/>
      <c r="B1019" s="7"/>
      <c r="C1019" s="7"/>
      <c r="D1019" s="7"/>
      <c r="E1019" s="7"/>
      <c r="F1019" s="276" t="s">
        <v>707</v>
      </c>
      <c r="G1019" s="278" t="s">
        <v>712</v>
      </c>
      <c r="H1019" s="279"/>
      <c r="I1019" s="280">
        <v>45557.0</v>
      </c>
      <c r="J1019" s="34"/>
      <c r="K1019" s="281">
        <v>0.8460000000000001</v>
      </c>
      <c r="L1019" s="34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128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</row>
    <row r="1020" hidden="1">
      <c r="A1020" s="7"/>
      <c r="B1020" s="7"/>
      <c r="C1020" s="7"/>
      <c r="D1020" s="7"/>
      <c r="E1020" s="7"/>
      <c r="F1020" s="276" t="s">
        <v>716</v>
      </c>
      <c r="G1020" s="278" t="s">
        <v>717</v>
      </c>
      <c r="H1020" s="279"/>
      <c r="I1020" s="280">
        <v>45557.0</v>
      </c>
      <c r="J1020" s="34"/>
      <c r="K1020" s="281">
        <v>0.76</v>
      </c>
      <c r="L1020" s="34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128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</row>
    <row r="1021" hidden="1">
      <c r="A1021" s="7"/>
      <c r="B1021" s="7"/>
      <c r="C1021" s="7"/>
      <c r="D1021" s="7"/>
      <c r="E1021" s="7"/>
      <c r="F1021" s="276" t="s">
        <v>697</v>
      </c>
      <c r="G1021" s="278" t="s">
        <v>698</v>
      </c>
      <c r="H1021" s="279"/>
      <c r="I1021" s="280">
        <v>45558.0</v>
      </c>
      <c r="J1021" s="34"/>
      <c r="K1021" s="281">
        <v>0.27899999999999997</v>
      </c>
      <c r="L1021" s="34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128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</row>
    <row r="1022" hidden="1">
      <c r="A1022" s="7"/>
      <c r="B1022" s="7"/>
      <c r="C1022" s="7"/>
      <c r="D1022" s="7"/>
      <c r="E1022" s="7"/>
      <c r="F1022" s="276" t="s">
        <v>697</v>
      </c>
      <c r="G1022" s="278" t="s">
        <v>700</v>
      </c>
      <c r="H1022" s="279"/>
      <c r="I1022" s="280">
        <v>45558.0</v>
      </c>
      <c r="J1022" s="34"/>
      <c r="K1022" s="281">
        <v>0.76</v>
      </c>
      <c r="L1022" s="34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128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</row>
    <row r="1023" hidden="1">
      <c r="A1023" s="7"/>
      <c r="B1023" s="7"/>
      <c r="C1023" s="7"/>
      <c r="D1023" s="7"/>
      <c r="E1023" s="7"/>
      <c r="F1023" s="276" t="s">
        <v>707</v>
      </c>
      <c r="G1023" s="278" t="s">
        <v>720</v>
      </c>
      <c r="H1023" s="279"/>
      <c r="I1023" s="280">
        <v>45558.0</v>
      </c>
      <c r="J1023" s="34"/>
      <c r="K1023" s="281">
        <v>0.198</v>
      </c>
      <c r="L1023" s="34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128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</row>
    <row r="1024" hidden="1">
      <c r="A1024" s="7"/>
      <c r="B1024" s="7"/>
      <c r="C1024" s="7"/>
      <c r="D1024" s="7"/>
      <c r="E1024" s="7"/>
      <c r="F1024" s="276" t="s">
        <v>707</v>
      </c>
      <c r="G1024" s="278" t="s">
        <v>720</v>
      </c>
      <c r="H1024" s="279"/>
      <c r="I1024" s="280">
        <v>45558.0</v>
      </c>
      <c r="J1024" s="34"/>
      <c r="K1024" s="281">
        <v>0.196</v>
      </c>
      <c r="L1024" s="34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128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</row>
    <row r="1025" hidden="1">
      <c r="A1025" s="7"/>
      <c r="B1025" s="7"/>
      <c r="C1025" s="7"/>
      <c r="D1025" s="7"/>
      <c r="E1025" s="7"/>
      <c r="F1025" s="276" t="s">
        <v>707</v>
      </c>
      <c r="G1025" s="278" t="s">
        <v>708</v>
      </c>
      <c r="H1025" s="279"/>
      <c r="I1025" s="280">
        <v>45558.0</v>
      </c>
      <c r="J1025" s="34"/>
      <c r="K1025" s="281">
        <v>0.24</v>
      </c>
      <c r="L1025" s="34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128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</row>
    <row r="1026" hidden="1">
      <c r="A1026" s="7"/>
      <c r="B1026" s="7"/>
      <c r="C1026" s="7"/>
      <c r="D1026" s="7"/>
      <c r="E1026" s="7"/>
      <c r="F1026" s="276" t="s">
        <v>707</v>
      </c>
      <c r="G1026" s="278" t="s">
        <v>720</v>
      </c>
      <c r="H1026" s="279"/>
      <c r="I1026" s="280">
        <v>45558.0</v>
      </c>
      <c r="J1026" s="34"/>
      <c r="K1026" s="281">
        <v>0.182</v>
      </c>
      <c r="L1026" s="34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128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</row>
    <row r="1027" hidden="1">
      <c r="A1027" s="7"/>
      <c r="B1027" s="7"/>
      <c r="C1027" s="7"/>
      <c r="D1027" s="7"/>
      <c r="E1027" s="7"/>
      <c r="F1027" s="276" t="s">
        <v>716</v>
      </c>
      <c r="G1027" s="278" t="s">
        <v>732</v>
      </c>
      <c r="H1027" s="279"/>
      <c r="I1027" s="280">
        <v>45558.0</v>
      </c>
      <c r="J1027" s="34"/>
      <c r="K1027" s="281">
        <v>0.6579999999999999</v>
      </c>
      <c r="L1027" s="34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128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</row>
    <row r="1028" hidden="1">
      <c r="A1028" s="7"/>
      <c r="B1028" s="7"/>
      <c r="C1028" s="7"/>
      <c r="D1028" s="7"/>
      <c r="E1028" s="7"/>
      <c r="F1028" s="276" t="s">
        <v>707</v>
      </c>
      <c r="G1028" s="278" t="s">
        <v>712</v>
      </c>
      <c r="H1028" s="279"/>
      <c r="I1028" s="280">
        <v>45558.0</v>
      </c>
      <c r="J1028" s="34"/>
      <c r="K1028" s="281">
        <v>0.855</v>
      </c>
      <c r="L1028" s="34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128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</row>
    <row r="1029" hidden="1">
      <c r="A1029" s="7"/>
      <c r="B1029" s="7"/>
      <c r="C1029" s="7"/>
      <c r="D1029" s="7"/>
      <c r="E1029" s="7"/>
      <c r="F1029" s="276" t="s">
        <v>697</v>
      </c>
      <c r="G1029" s="278" t="s">
        <v>698</v>
      </c>
      <c r="H1029" s="279"/>
      <c r="I1029" s="280">
        <v>45558.0</v>
      </c>
      <c r="J1029" s="34"/>
      <c r="K1029" s="281">
        <v>0.297</v>
      </c>
      <c r="L1029" s="34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128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</row>
    <row r="1030" hidden="1">
      <c r="A1030" s="7"/>
      <c r="B1030" s="7"/>
      <c r="C1030" s="7"/>
      <c r="D1030" s="7"/>
      <c r="E1030" s="7"/>
      <c r="F1030" s="276" t="s">
        <v>704</v>
      </c>
      <c r="G1030" s="278" t="s">
        <v>705</v>
      </c>
      <c r="H1030" s="279"/>
      <c r="I1030" s="280">
        <v>45558.0</v>
      </c>
      <c r="J1030" s="34"/>
      <c r="K1030" s="281">
        <v>0.288</v>
      </c>
      <c r="L1030" s="34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128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</row>
    <row r="1031" hidden="1">
      <c r="A1031" s="7"/>
      <c r="B1031" s="7"/>
      <c r="C1031" s="7"/>
      <c r="D1031" s="7"/>
      <c r="E1031" s="7"/>
      <c r="F1031" s="276" t="s">
        <v>707</v>
      </c>
      <c r="G1031" s="278" t="s">
        <v>720</v>
      </c>
      <c r="H1031" s="279"/>
      <c r="I1031" s="280">
        <v>45558.0</v>
      </c>
      <c r="J1031" s="34"/>
      <c r="K1031" s="281">
        <v>0.18400000000000002</v>
      </c>
      <c r="L1031" s="34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128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</row>
    <row r="1032" hidden="1">
      <c r="A1032" s="7"/>
      <c r="B1032" s="7"/>
      <c r="C1032" s="7"/>
      <c r="D1032" s="7"/>
      <c r="E1032" s="7"/>
      <c r="F1032" s="276" t="s">
        <v>704</v>
      </c>
      <c r="G1032" s="278" t="s">
        <v>713</v>
      </c>
      <c r="H1032" s="279"/>
      <c r="I1032" s="280">
        <v>45559.0</v>
      </c>
      <c r="J1032" s="34"/>
      <c r="K1032" s="281">
        <v>0.7</v>
      </c>
      <c r="L1032" s="34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128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</row>
    <row r="1033" hidden="1">
      <c r="A1033" s="7"/>
      <c r="B1033" s="7"/>
      <c r="C1033" s="7"/>
      <c r="D1033" s="7"/>
      <c r="E1033" s="7"/>
      <c r="F1033" s="276" t="s">
        <v>707</v>
      </c>
      <c r="G1033" s="278" t="s">
        <v>712</v>
      </c>
      <c r="H1033" s="279"/>
      <c r="I1033" s="280">
        <v>45559.0</v>
      </c>
      <c r="J1033" s="34"/>
      <c r="K1033" s="281">
        <v>0.828</v>
      </c>
      <c r="L1033" s="34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128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</row>
    <row r="1034" hidden="1">
      <c r="A1034" s="7"/>
      <c r="B1034" s="7"/>
      <c r="C1034" s="7"/>
      <c r="D1034" s="7"/>
      <c r="E1034" s="7"/>
      <c r="F1034" s="276" t="s">
        <v>716</v>
      </c>
      <c r="G1034" s="278" t="s">
        <v>732</v>
      </c>
      <c r="H1034" s="279"/>
      <c r="I1034" s="280">
        <v>45559.0</v>
      </c>
      <c r="J1034" s="34"/>
      <c r="K1034" s="281">
        <v>0.693</v>
      </c>
      <c r="L1034" s="34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128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</row>
    <row r="1035" hidden="1">
      <c r="A1035" s="7"/>
      <c r="B1035" s="7"/>
      <c r="C1035" s="7"/>
      <c r="D1035" s="7"/>
      <c r="E1035" s="7"/>
      <c r="F1035" s="276" t="s">
        <v>716</v>
      </c>
      <c r="G1035" s="278" t="s">
        <v>729</v>
      </c>
      <c r="H1035" s="279"/>
      <c r="I1035" s="280">
        <v>45559.0</v>
      </c>
      <c r="J1035" s="34"/>
      <c r="K1035" s="281">
        <v>0.69</v>
      </c>
      <c r="L1035" s="34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128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</row>
    <row r="1036" hidden="1">
      <c r="A1036" s="7"/>
      <c r="B1036" s="7"/>
      <c r="C1036" s="7"/>
      <c r="D1036" s="7"/>
      <c r="E1036" s="7"/>
      <c r="F1036" s="276" t="s">
        <v>697</v>
      </c>
      <c r="G1036" s="278" t="s">
        <v>698</v>
      </c>
      <c r="H1036" s="279"/>
      <c r="I1036" s="280">
        <v>45559.0</v>
      </c>
      <c r="J1036" s="34"/>
      <c r="K1036" s="281">
        <v>0.27</v>
      </c>
      <c r="L1036" s="34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128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</row>
    <row r="1037" hidden="1">
      <c r="A1037" s="7"/>
      <c r="B1037" s="7"/>
      <c r="C1037" s="7"/>
      <c r="D1037" s="7"/>
      <c r="E1037" s="7"/>
      <c r="F1037" s="276" t="s">
        <v>697</v>
      </c>
      <c r="G1037" s="278" t="s">
        <v>706</v>
      </c>
      <c r="H1037" s="279"/>
      <c r="I1037" s="280">
        <v>45559.0</v>
      </c>
      <c r="J1037" s="34"/>
      <c r="K1037" s="281">
        <v>0.5</v>
      </c>
      <c r="L1037" s="34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128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</row>
    <row r="1038" hidden="1">
      <c r="A1038" s="7"/>
      <c r="B1038" s="7"/>
      <c r="C1038" s="7"/>
      <c r="D1038" s="7"/>
      <c r="E1038" s="7"/>
      <c r="F1038" s="276" t="s">
        <v>704</v>
      </c>
      <c r="G1038" s="278" t="s">
        <v>705</v>
      </c>
      <c r="H1038" s="279"/>
      <c r="I1038" s="280">
        <v>45559.0</v>
      </c>
      <c r="J1038" s="34"/>
      <c r="K1038" s="281">
        <v>0.27</v>
      </c>
      <c r="L1038" s="34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128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</row>
    <row r="1039" hidden="1">
      <c r="A1039" s="7"/>
      <c r="B1039" s="7"/>
      <c r="C1039" s="7"/>
      <c r="D1039" s="7"/>
      <c r="E1039" s="7"/>
      <c r="F1039" s="276" t="s">
        <v>707</v>
      </c>
      <c r="G1039" s="278" t="s">
        <v>720</v>
      </c>
      <c r="H1039" s="279"/>
      <c r="I1039" s="280">
        <v>45559.0</v>
      </c>
      <c r="J1039" s="34"/>
      <c r="K1039" s="281">
        <v>0.19200000000000003</v>
      </c>
      <c r="L1039" s="34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128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</row>
    <row r="1040" hidden="1">
      <c r="A1040" s="7"/>
      <c r="B1040" s="7"/>
      <c r="C1040" s="7"/>
      <c r="D1040" s="7"/>
      <c r="E1040" s="7"/>
      <c r="F1040" s="276" t="s">
        <v>697</v>
      </c>
      <c r="G1040" s="278" t="s">
        <v>698</v>
      </c>
      <c r="H1040" s="279"/>
      <c r="I1040" s="280">
        <v>45559.0</v>
      </c>
      <c r="J1040" s="34"/>
      <c r="K1040" s="281">
        <v>0.291</v>
      </c>
      <c r="L1040" s="34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128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</row>
    <row r="1041" hidden="1">
      <c r="A1041" s="7"/>
      <c r="B1041" s="7"/>
      <c r="C1041" s="7"/>
      <c r="D1041" s="7"/>
      <c r="E1041" s="7"/>
      <c r="F1041" s="276" t="s">
        <v>704</v>
      </c>
      <c r="G1041" s="278" t="s">
        <v>705</v>
      </c>
      <c r="H1041" s="279"/>
      <c r="I1041" s="280">
        <v>45560.0</v>
      </c>
      <c r="J1041" s="34"/>
      <c r="K1041" s="281">
        <v>0.27</v>
      </c>
      <c r="L1041" s="34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128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</row>
    <row r="1042" hidden="1">
      <c r="A1042" s="7"/>
      <c r="B1042" s="7"/>
      <c r="C1042" s="7"/>
      <c r="D1042" s="7"/>
      <c r="E1042" s="7"/>
      <c r="F1042" s="276" t="s">
        <v>707</v>
      </c>
      <c r="G1042" s="278" t="s">
        <v>720</v>
      </c>
      <c r="H1042" s="279"/>
      <c r="I1042" s="280">
        <v>45560.0</v>
      </c>
      <c r="J1042" s="34"/>
      <c r="K1042" s="281">
        <v>0.182</v>
      </c>
      <c r="L1042" s="34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128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</row>
    <row r="1043" hidden="1">
      <c r="A1043" s="7"/>
      <c r="B1043" s="7"/>
      <c r="C1043" s="7"/>
      <c r="D1043" s="7"/>
      <c r="E1043" s="7"/>
      <c r="F1043" s="276" t="s">
        <v>716</v>
      </c>
      <c r="G1043" s="278" t="s">
        <v>717</v>
      </c>
      <c r="H1043" s="279"/>
      <c r="I1043" s="280">
        <v>45560.0</v>
      </c>
      <c r="J1043" s="34"/>
      <c r="K1043" s="281">
        <v>0.784</v>
      </c>
      <c r="L1043" s="34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128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</row>
    <row r="1044" hidden="1">
      <c r="A1044" s="7"/>
      <c r="B1044" s="7"/>
      <c r="C1044" s="7"/>
      <c r="D1044" s="7"/>
      <c r="E1044" s="7"/>
      <c r="F1044" s="276" t="s">
        <v>707</v>
      </c>
      <c r="G1044" s="278" t="s">
        <v>708</v>
      </c>
      <c r="H1044" s="279"/>
      <c r="I1044" s="280">
        <v>45561.0</v>
      </c>
      <c r="J1044" s="34"/>
      <c r="K1044" s="281">
        <v>0.235</v>
      </c>
      <c r="L1044" s="34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128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</row>
    <row r="1045" hidden="1">
      <c r="A1045" s="7"/>
      <c r="B1045" s="7"/>
      <c r="C1045" s="7"/>
      <c r="D1045" s="7"/>
      <c r="E1045" s="7"/>
      <c r="F1045" s="276" t="s">
        <v>697</v>
      </c>
      <c r="G1045" s="278" t="s">
        <v>706</v>
      </c>
      <c r="H1045" s="279"/>
      <c r="I1045" s="280">
        <v>45561.0</v>
      </c>
      <c r="J1045" s="34"/>
      <c r="K1045" s="281">
        <v>0.475</v>
      </c>
      <c r="L1045" s="34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128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</row>
    <row r="1046" hidden="1">
      <c r="A1046" s="7"/>
      <c r="B1046" s="7"/>
      <c r="C1046" s="7"/>
      <c r="D1046" s="7"/>
      <c r="E1046" s="7"/>
      <c r="F1046" s="276" t="s">
        <v>704</v>
      </c>
      <c r="G1046" s="278" t="s">
        <v>705</v>
      </c>
      <c r="H1046" s="279"/>
      <c r="I1046" s="280">
        <v>45561.0</v>
      </c>
      <c r="J1046" s="34"/>
      <c r="K1046" s="281">
        <v>0.273</v>
      </c>
      <c r="L1046" s="34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128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</row>
    <row r="1047" hidden="1">
      <c r="A1047" s="7"/>
      <c r="B1047" s="7"/>
      <c r="C1047" s="7"/>
      <c r="D1047" s="7"/>
      <c r="E1047" s="7"/>
      <c r="F1047" s="276" t="s">
        <v>716</v>
      </c>
      <c r="G1047" s="278" t="s">
        <v>717</v>
      </c>
      <c r="H1047" s="279"/>
      <c r="I1047" s="280">
        <v>45561.0</v>
      </c>
      <c r="J1047" s="34"/>
      <c r="K1047" s="281">
        <v>0.784</v>
      </c>
      <c r="L1047" s="34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128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</row>
    <row r="1048" hidden="1">
      <c r="A1048" s="7"/>
      <c r="B1048" s="7"/>
      <c r="C1048" s="7"/>
      <c r="D1048" s="7"/>
      <c r="E1048" s="7"/>
      <c r="F1048" s="276" t="s">
        <v>716</v>
      </c>
      <c r="G1048" s="278" t="s">
        <v>729</v>
      </c>
      <c r="H1048" s="279"/>
      <c r="I1048" s="280">
        <v>45562.0</v>
      </c>
      <c r="J1048" s="34"/>
      <c r="K1048" s="281">
        <v>0.72</v>
      </c>
      <c r="L1048" s="34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128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</row>
    <row r="1049" hidden="1">
      <c r="A1049" s="7"/>
      <c r="B1049" s="7"/>
      <c r="C1049" s="7"/>
      <c r="D1049" s="7"/>
      <c r="E1049" s="7"/>
      <c r="F1049" s="276" t="s">
        <v>707</v>
      </c>
      <c r="G1049" s="278" t="s">
        <v>712</v>
      </c>
      <c r="H1049" s="279"/>
      <c r="I1049" s="280">
        <v>45562.0</v>
      </c>
      <c r="J1049" s="34"/>
      <c r="K1049" s="281">
        <v>0.8370000000000001</v>
      </c>
      <c r="L1049" s="34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128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</row>
    <row r="1050" hidden="1">
      <c r="A1050" s="7"/>
      <c r="B1050" s="7"/>
      <c r="C1050" s="7"/>
      <c r="D1050" s="7"/>
      <c r="E1050" s="7"/>
      <c r="F1050" s="276" t="s">
        <v>716</v>
      </c>
      <c r="G1050" s="278" t="s">
        <v>729</v>
      </c>
      <c r="H1050" s="279"/>
      <c r="I1050" s="280">
        <v>45562.0</v>
      </c>
      <c r="J1050" s="34"/>
      <c r="K1050" s="281">
        <v>0.72</v>
      </c>
      <c r="L1050" s="34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128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</row>
    <row r="1051" hidden="1">
      <c r="A1051" s="7"/>
      <c r="B1051" s="7"/>
      <c r="C1051" s="7"/>
      <c r="D1051" s="7"/>
      <c r="E1051" s="7"/>
      <c r="F1051" s="276" t="s">
        <v>707</v>
      </c>
      <c r="G1051" s="278" t="s">
        <v>720</v>
      </c>
      <c r="H1051" s="279"/>
      <c r="I1051" s="280">
        <v>45562.0</v>
      </c>
      <c r="J1051" s="34"/>
      <c r="K1051" s="281">
        <v>0.182</v>
      </c>
      <c r="L1051" s="34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128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</row>
    <row r="1052" hidden="1">
      <c r="A1052" s="7"/>
      <c r="B1052" s="7"/>
      <c r="C1052" s="7"/>
      <c r="D1052" s="7"/>
      <c r="E1052" s="7"/>
      <c r="F1052" s="276" t="s">
        <v>704</v>
      </c>
      <c r="G1052" s="278" t="s">
        <v>713</v>
      </c>
      <c r="H1052" s="279"/>
      <c r="I1052" s="280">
        <v>45562.0</v>
      </c>
      <c r="J1052" s="34"/>
      <c r="K1052" s="281">
        <v>0.6789999999999999</v>
      </c>
      <c r="L1052" s="34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128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</row>
    <row r="1053" hidden="1">
      <c r="A1053" s="7"/>
      <c r="B1053" s="7"/>
      <c r="C1053" s="7"/>
      <c r="D1053" s="7"/>
      <c r="E1053" s="7"/>
      <c r="F1053" s="276" t="s">
        <v>697</v>
      </c>
      <c r="G1053" s="278" t="s">
        <v>700</v>
      </c>
      <c r="H1053" s="279"/>
      <c r="I1053" s="280">
        <v>45562.0</v>
      </c>
      <c r="J1053" s="34"/>
      <c r="K1053" s="281">
        <v>0.792</v>
      </c>
      <c r="L1053" s="34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128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</row>
    <row r="1054" hidden="1">
      <c r="A1054" s="7"/>
      <c r="B1054" s="7"/>
      <c r="C1054" s="7"/>
      <c r="D1054" s="7"/>
      <c r="E1054" s="7"/>
      <c r="F1054" s="276" t="s">
        <v>704</v>
      </c>
      <c r="G1054" s="278" t="s">
        <v>713</v>
      </c>
      <c r="H1054" s="279"/>
      <c r="I1054" s="280">
        <v>45562.0</v>
      </c>
      <c r="J1054" s="34"/>
      <c r="K1054" s="281">
        <v>0.6439999999999999</v>
      </c>
      <c r="L1054" s="34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128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</row>
    <row r="1055" hidden="1">
      <c r="A1055" s="7"/>
      <c r="B1055" s="7"/>
      <c r="C1055" s="7"/>
      <c r="D1055" s="7"/>
      <c r="E1055" s="7"/>
      <c r="F1055" s="276" t="s">
        <v>716</v>
      </c>
      <c r="G1055" s="278" t="s">
        <v>729</v>
      </c>
      <c r="H1055" s="279"/>
      <c r="I1055" s="280">
        <v>45562.0</v>
      </c>
      <c r="J1055" s="34"/>
      <c r="K1055" s="281">
        <v>0.72</v>
      </c>
      <c r="L1055" s="34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128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</row>
    <row r="1056" hidden="1">
      <c r="A1056" s="7"/>
      <c r="B1056" s="7"/>
      <c r="C1056" s="7"/>
      <c r="D1056" s="7"/>
      <c r="E1056" s="7"/>
      <c r="F1056" s="276" t="s">
        <v>697</v>
      </c>
      <c r="G1056" s="278" t="s">
        <v>698</v>
      </c>
      <c r="H1056" s="279"/>
      <c r="I1056" s="280">
        <v>45563.0</v>
      </c>
      <c r="J1056" s="34"/>
      <c r="K1056" s="281">
        <v>0.285</v>
      </c>
      <c r="L1056" s="34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128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</row>
    <row r="1057" hidden="1">
      <c r="A1057" s="7"/>
      <c r="B1057" s="7"/>
      <c r="C1057" s="7"/>
      <c r="D1057" s="7"/>
      <c r="E1057" s="7"/>
      <c r="F1057" s="276" t="s">
        <v>697</v>
      </c>
      <c r="G1057" s="278" t="s">
        <v>706</v>
      </c>
      <c r="H1057" s="279"/>
      <c r="I1057" s="280">
        <v>45563.0</v>
      </c>
      <c r="J1057" s="34"/>
      <c r="K1057" s="281">
        <v>0.465</v>
      </c>
      <c r="L1057" s="34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128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</row>
    <row r="1058" hidden="1">
      <c r="A1058" s="7"/>
      <c r="B1058" s="7"/>
      <c r="C1058" s="7"/>
      <c r="D1058" s="7"/>
      <c r="E1058" s="7"/>
      <c r="F1058" s="276" t="s">
        <v>707</v>
      </c>
      <c r="G1058" s="278" t="s">
        <v>720</v>
      </c>
      <c r="H1058" s="279"/>
      <c r="I1058" s="280">
        <v>45563.0</v>
      </c>
      <c r="J1058" s="34"/>
      <c r="K1058" s="281">
        <v>0.188</v>
      </c>
      <c r="L1058" s="34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128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</row>
    <row r="1059" hidden="1">
      <c r="A1059" s="7"/>
      <c r="B1059" s="7"/>
      <c r="C1059" s="7"/>
      <c r="D1059" s="7"/>
      <c r="E1059" s="7"/>
      <c r="F1059" s="276" t="s">
        <v>704</v>
      </c>
      <c r="G1059" s="278" t="s">
        <v>719</v>
      </c>
      <c r="H1059" s="279"/>
      <c r="I1059" s="280">
        <v>45563.0</v>
      </c>
      <c r="J1059" s="34"/>
      <c r="K1059" s="281">
        <v>0.4</v>
      </c>
      <c r="L1059" s="34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128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</row>
    <row r="1060" hidden="1">
      <c r="A1060" s="7"/>
      <c r="B1060" s="7"/>
      <c r="C1060" s="7"/>
      <c r="D1060" s="7"/>
      <c r="E1060" s="7"/>
      <c r="F1060" s="276" t="s">
        <v>704</v>
      </c>
      <c r="G1060" s="278" t="s">
        <v>719</v>
      </c>
      <c r="H1060" s="279"/>
      <c r="I1060" s="280">
        <v>45563.0</v>
      </c>
      <c r="J1060" s="34"/>
      <c r="K1060" s="281">
        <v>0.392</v>
      </c>
      <c r="L1060" s="34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128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</row>
    <row r="1061" hidden="1">
      <c r="A1061" s="7"/>
      <c r="B1061" s="7"/>
      <c r="C1061" s="7"/>
      <c r="D1061" s="7"/>
      <c r="E1061" s="7"/>
      <c r="F1061" s="276" t="s">
        <v>697</v>
      </c>
      <c r="G1061" s="278" t="s">
        <v>698</v>
      </c>
      <c r="H1061" s="279"/>
      <c r="I1061" s="280">
        <v>45563.0</v>
      </c>
      <c r="J1061" s="34"/>
      <c r="K1061" s="281">
        <v>0.27</v>
      </c>
      <c r="L1061" s="34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128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</row>
    <row r="1062" hidden="1">
      <c r="A1062" s="7"/>
      <c r="B1062" s="7"/>
      <c r="C1062" s="7"/>
      <c r="D1062" s="7"/>
      <c r="E1062" s="7"/>
      <c r="F1062" s="276" t="s">
        <v>716</v>
      </c>
      <c r="G1062" s="278" t="s">
        <v>732</v>
      </c>
      <c r="H1062" s="279"/>
      <c r="I1062" s="280">
        <v>45563.0</v>
      </c>
      <c r="J1062" s="34"/>
      <c r="K1062" s="281">
        <v>0.637</v>
      </c>
      <c r="L1062" s="34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128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</row>
    <row r="1063" hidden="1">
      <c r="A1063" s="7"/>
      <c r="B1063" s="7"/>
      <c r="C1063" s="7"/>
      <c r="D1063" s="7"/>
      <c r="E1063" s="7"/>
      <c r="F1063" s="276" t="s">
        <v>716</v>
      </c>
      <c r="G1063" s="278" t="s">
        <v>729</v>
      </c>
      <c r="H1063" s="279"/>
      <c r="I1063" s="280">
        <v>45563.0</v>
      </c>
      <c r="J1063" s="34"/>
      <c r="K1063" s="281">
        <v>0.705</v>
      </c>
      <c r="L1063" s="34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128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</row>
    <row r="1064" hidden="1">
      <c r="A1064" s="7"/>
      <c r="B1064" s="7"/>
      <c r="C1064" s="7"/>
      <c r="D1064" s="7"/>
      <c r="E1064" s="7"/>
      <c r="F1064" s="276" t="s">
        <v>707</v>
      </c>
      <c r="G1064" s="278" t="s">
        <v>720</v>
      </c>
      <c r="H1064" s="279"/>
      <c r="I1064" s="280">
        <v>45563.0</v>
      </c>
      <c r="J1064" s="34"/>
      <c r="K1064" s="281">
        <v>0.18400000000000002</v>
      </c>
      <c r="L1064" s="34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128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</row>
    <row r="1065" hidden="1">
      <c r="A1065" s="7"/>
      <c r="B1065" s="7"/>
      <c r="C1065" s="7"/>
      <c r="D1065" s="7"/>
      <c r="E1065" s="7"/>
      <c r="F1065" s="276" t="s">
        <v>707</v>
      </c>
      <c r="G1065" s="278" t="s">
        <v>712</v>
      </c>
      <c r="H1065" s="279"/>
      <c r="I1065" s="280">
        <v>45563.0</v>
      </c>
      <c r="J1065" s="34"/>
      <c r="K1065" s="281">
        <v>0.8910000000000001</v>
      </c>
      <c r="L1065" s="34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128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</row>
    <row r="1066" hidden="1">
      <c r="A1066" s="7"/>
      <c r="B1066" s="7"/>
      <c r="C1066" s="7"/>
      <c r="D1066" s="7"/>
      <c r="E1066" s="7"/>
      <c r="F1066" s="276" t="s">
        <v>704</v>
      </c>
      <c r="G1066" s="278" t="s">
        <v>719</v>
      </c>
      <c r="H1066" s="279"/>
      <c r="I1066" s="280">
        <v>45563.0</v>
      </c>
      <c r="J1066" s="34"/>
      <c r="K1066" s="281">
        <v>0.36800000000000005</v>
      </c>
      <c r="L1066" s="34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128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</row>
    <row r="1067" hidden="1">
      <c r="A1067" s="7"/>
      <c r="B1067" s="7"/>
      <c r="C1067" s="7"/>
      <c r="D1067" s="7"/>
      <c r="E1067" s="7"/>
      <c r="F1067" s="276" t="s">
        <v>697</v>
      </c>
      <c r="G1067" s="278" t="s">
        <v>706</v>
      </c>
      <c r="H1067" s="279"/>
      <c r="I1067" s="280">
        <v>45564.0</v>
      </c>
      <c r="J1067" s="34"/>
      <c r="K1067" s="281">
        <v>0.47</v>
      </c>
      <c r="L1067" s="34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128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</row>
    <row r="1068" hidden="1">
      <c r="A1068" s="7"/>
      <c r="B1068" s="7"/>
      <c r="C1068" s="7"/>
      <c r="D1068" s="7"/>
      <c r="E1068" s="7"/>
      <c r="F1068" s="276" t="s">
        <v>707</v>
      </c>
      <c r="G1068" s="278" t="s">
        <v>708</v>
      </c>
      <c r="H1068" s="279"/>
      <c r="I1068" s="280">
        <v>45564.0</v>
      </c>
      <c r="J1068" s="34"/>
      <c r="K1068" s="281">
        <v>0.2375</v>
      </c>
      <c r="L1068" s="34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128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</row>
    <row r="1069" hidden="1">
      <c r="A1069" s="7"/>
      <c r="B1069" s="7"/>
      <c r="C1069" s="7"/>
      <c r="D1069" s="7"/>
      <c r="E1069" s="7"/>
      <c r="F1069" s="276" t="s">
        <v>716</v>
      </c>
      <c r="G1069" s="278" t="s">
        <v>717</v>
      </c>
      <c r="H1069" s="279"/>
      <c r="I1069" s="280">
        <v>45564.0</v>
      </c>
      <c r="J1069" s="34"/>
      <c r="K1069" s="281">
        <v>0.792</v>
      </c>
      <c r="L1069" s="34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128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</row>
    <row r="1070" hidden="1">
      <c r="A1070" s="7"/>
      <c r="B1070" s="7"/>
      <c r="C1070" s="7"/>
      <c r="D1070" s="7"/>
      <c r="E1070" s="7"/>
      <c r="F1070" s="276" t="s">
        <v>716</v>
      </c>
      <c r="G1070" s="278" t="s">
        <v>717</v>
      </c>
      <c r="H1070" s="279"/>
      <c r="I1070" s="280">
        <v>45564.0</v>
      </c>
      <c r="J1070" s="34"/>
      <c r="K1070" s="281">
        <v>0.792</v>
      </c>
      <c r="L1070" s="34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128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</row>
    <row r="1071" hidden="1">
      <c r="A1071" s="7"/>
      <c r="B1071" s="7"/>
      <c r="C1071" s="7"/>
      <c r="D1071" s="7"/>
      <c r="E1071" s="7"/>
      <c r="F1071" s="276" t="s">
        <v>707</v>
      </c>
      <c r="G1071" s="278" t="s">
        <v>712</v>
      </c>
      <c r="H1071" s="279"/>
      <c r="I1071" s="280">
        <v>45564.0</v>
      </c>
      <c r="J1071" s="34"/>
      <c r="K1071" s="281">
        <v>0.8190000000000001</v>
      </c>
      <c r="L1071" s="34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128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</row>
    <row r="1072" hidden="1">
      <c r="A1072" s="7"/>
      <c r="B1072" s="7"/>
      <c r="C1072" s="7"/>
      <c r="D1072" s="7"/>
      <c r="E1072" s="7"/>
      <c r="F1072" s="276" t="s">
        <v>716</v>
      </c>
      <c r="G1072" s="278" t="s">
        <v>732</v>
      </c>
      <c r="H1072" s="279"/>
      <c r="I1072" s="280">
        <v>45564.0</v>
      </c>
      <c r="J1072" s="34"/>
      <c r="K1072" s="281">
        <v>0.6719999999999999</v>
      </c>
      <c r="L1072" s="34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128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</row>
    <row r="1073" hidden="1">
      <c r="A1073" s="7"/>
      <c r="B1073" s="7"/>
      <c r="C1073" s="7"/>
      <c r="D1073" s="7"/>
      <c r="E1073" s="7"/>
      <c r="F1073" s="276" t="s">
        <v>697</v>
      </c>
      <c r="G1073" s="278" t="s">
        <v>706</v>
      </c>
      <c r="H1073" s="279"/>
      <c r="I1073" s="280">
        <v>45564.0</v>
      </c>
      <c r="J1073" s="34"/>
      <c r="K1073" s="281">
        <v>0.48</v>
      </c>
      <c r="L1073" s="34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128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</row>
    <row r="1074" hidden="1">
      <c r="A1074" s="7"/>
      <c r="B1074" s="7"/>
      <c r="C1074" s="7"/>
      <c r="D1074" s="7"/>
      <c r="E1074" s="7"/>
      <c r="F1074" s="276" t="s">
        <v>716</v>
      </c>
      <c r="G1074" s="278" t="s">
        <v>729</v>
      </c>
      <c r="H1074" s="279"/>
      <c r="I1074" s="280">
        <v>45564.0</v>
      </c>
      <c r="J1074" s="34"/>
      <c r="K1074" s="281">
        <v>0.7275</v>
      </c>
      <c r="L1074" s="34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128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</row>
    <row r="1075" hidden="1">
      <c r="A1075" s="7"/>
      <c r="B1075" s="7"/>
      <c r="C1075" s="7"/>
      <c r="D1075" s="7"/>
      <c r="E1075" s="7"/>
      <c r="F1075" s="276" t="s">
        <v>704</v>
      </c>
      <c r="G1075" s="278" t="s">
        <v>705</v>
      </c>
      <c r="H1075" s="279"/>
      <c r="I1075" s="280">
        <v>45564.0</v>
      </c>
      <c r="J1075" s="34"/>
      <c r="K1075" s="281">
        <v>0.27</v>
      </c>
      <c r="L1075" s="34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128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</row>
    <row r="1076" hidden="1">
      <c r="A1076" s="7"/>
      <c r="B1076" s="7"/>
      <c r="C1076" s="7"/>
      <c r="D1076" s="7"/>
      <c r="E1076" s="7"/>
      <c r="F1076" s="276" t="s">
        <v>697</v>
      </c>
      <c r="G1076" s="278" t="s">
        <v>700</v>
      </c>
      <c r="H1076" s="279"/>
      <c r="I1076" s="280">
        <v>45564.0</v>
      </c>
      <c r="J1076" s="34"/>
      <c r="K1076" s="281">
        <v>0.752</v>
      </c>
      <c r="L1076" s="34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128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</row>
    <row r="1077" hidden="1">
      <c r="A1077" s="7"/>
      <c r="B1077" s="7"/>
      <c r="C1077" s="7"/>
      <c r="D1077" s="7"/>
      <c r="E1077" s="7"/>
      <c r="F1077" s="276" t="s">
        <v>697</v>
      </c>
      <c r="G1077" s="278" t="s">
        <v>700</v>
      </c>
      <c r="H1077" s="279"/>
      <c r="I1077" s="280">
        <v>45564.0</v>
      </c>
      <c r="J1077" s="34"/>
      <c r="K1077" s="281">
        <v>0.76</v>
      </c>
      <c r="L1077" s="34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128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</row>
    <row r="1078" hidden="1">
      <c r="A1078" s="7"/>
      <c r="B1078" s="7"/>
      <c r="C1078" s="7"/>
      <c r="D1078" s="7"/>
      <c r="E1078" s="7"/>
      <c r="F1078" s="276" t="s">
        <v>704</v>
      </c>
      <c r="G1078" s="278" t="s">
        <v>705</v>
      </c>
      <c r="H1078" s="279"/>
      <c r="I1078" s="280">
        <v>45565.0</v>
      </c>
      <c r="J1078" s="34"/>
      <c r="K1078" s="281">
        <v>0.27</v>
      </c>
      <c r="L1078" s="34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128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</row>
    <row r="1079" hidden="1">
      <c r="A1079" s="7"/>
      <c r="B1079" s="7"/>
      <c r="C1079" s="7"/>
      <c r="D1079" s="7"/>
      <c r="E1079" s="7"/>
      <c r="F1079" s="276" t="s">
        <v>707</v>
      </c>
      <c r="G1079" s="278" t="s">
        <v>712</v>
      </c>
      <c r="H1079" s="279"/>
      <c r="I1079" s="280">
        <v>45565.0</v>
      </c>
      <c r="J1079" s="34"/>
      <c r="K1079" s="281">
        <v>0.8640000000000001</v>
      </c>
      <c r="L1079" s="34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128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</row>
    <row r="1080" hidden="1">
      <c r="A1080" s="7"/>
      <c r="B1080" s="7"/>
      <c r="C1080" s="7"/>
      <c r="D1080" s="7"/>
      <c r="E1080" s="7"/>
      <c r="F1080" s="276" t="s">
        <v>704</v>
      </c>
      <c r="G1080" s="278" t="s">
        <v>713</v>
      </c>
      <c r="H1080" s="279"/>
      <c r="I1080" s="280">
        <v>45565.0</v>
      </c>
      <c r="J1080" s="34"/>
      <c r="K1080" s="281">
        <v>0.7</v>
      </c>
      <c r="L1080" s="34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128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</row>
    <row r="1081" hidden="1">
      <c r="A1081" s="7"/>
      <c r="B1081" s="7"/>
      <c r="C1081" s="7"/>
      <c r="D1081" s="7"/>
      <c r="E1081" s="7"/>
      <c r="F1081" s="276" t="s">
        <v>697</v>
      </c>
      <c r="G1081" s="278" t="s">
        <v>698</v>
      </c>
      <c r="H1081" s="279"/>
      <c r="I1081" s="280">
        <v>45565.0</v>
      </c>
      <c r="J1081" s="34"/>
      <c r="K1081" s="281">
        <v>0.273</v>
      </c>
      <c r="L1081" s="34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128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</row>
    <row r="1082" hidden="1">
      <c r="A1082" s="7"/>
      <c r="B1082" s="7"/>
      <c r="C1082" s="7"/>
      <c r="D1082" s="7"/>
      <c r="E1082" s="7"/>
      <c r="F1082" s="276" t="s">
        <v>707</v>
      </c>
      <c r="G1082" s="278" t="s">
        <v>712</v>
      </c>
      <c r="H1082" s="279"/>
      <c r="I1082" s="280">
        <v>45565.0</v>
      </c>
      <c r="J1082" s="34"/>
      <c r="K1082" s="281">
        <v>0.8640000000000001</v>
      </c>
      <c r="L1082" s="34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128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</row>
    <row r="1083" hidden="1">
      <c r="A1083" s="7"/>
      <c r="B1083" s="7"/>
      <c r="C1083" s="7"/>
      <c r="D1083" s="7"/>
      <c r="E1083" s="7"/>
      <c r="F1083" s="276" t="s">
        <v>697</v>
      </c>
      <c r="G1083" s="278" t="s">
        <v>698</v>
      </c>
      <c r="H1083" s="279"/>
      <c r="I1083" s="280">
        <v>45565.0</v>
      </c>
      <c r="J1083" s="34"/>
      <c r="K1083" s="281">
        <v>0.27899999999999997</v>
      </c>
      <c r="L1083" s="34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128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</row>
    <row r="1084" hidden="1">
      <c r="A1084" s="7"/>
      <c r="B1084" s="7"/>
      <c r="C1084" s="7"/>
      <c r="D1084" s="7"/>
      <c r="E1084" s="7"/>
      <c r="F1084" s="276" t="s">
        <v>707</v>
      </c>
      <c r="G1084" s="278" t="s">
        <v>708</v>
      </c>
      <c r="H1084" s="279"/>
      <c r="I1084" s="280">
        <v>45565.0</v>
      </c>
      <c r="J1084" s="34"/>
      <c r="K1084" s="281">
        <v>0.23</v>
      </c>
      <c r="L1084" s="34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128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</row>
    <row r="1085" hidden="1">
      <c r="A1085" s="7"/>
      <c r="B1085" s="7"/>
      <c r="C1085" s="7"/>
      <c r="D1085" s="7"/>
      <c r="E1085" s="7"/>
      <c r="F1085" s="276" t="s">
        <v>704</v>
      </c>
      <c r="G1085" s="278" t="s">
        <v>719</v>
      </c>
      <c r="H1085" s="279"/>
      <c r="I1085" s="280">
        <v>45565.0</v>
      </c>
      <c r="J1085" s="34"/>
      <c r="K1085" s="281">
        <v>0.364</v>
      </c>
      <c r="L1085" s="34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128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</row>
    <row r="1086" hidden="1">
      <c r="A1086" s="7"/>
      <c r="B1086" s="7"/>
      <c r="C1086" s="7"/>
      <c r="D1086" s="7"/>
      <c r="E1086" s="7"/>
      <c r="F1086" s="276" t="s">
        <v>716</v>
      </c>
      <c r="G1086" s="278" t="s">
        <v>717</v>
      </c>
      <c r="H1086" s="279"/>
      <c r="I1086" s="280">
        <v>45565.0</v>
      </c>
      <c r="J1086" s="34"/>
      <c r="K1086" s="281">
        <v>0.7360000000000001</v>
      </c>
      <c r="L1086" s="34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128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</row>
    <row r="1087" hidden="1">
      <c r="A1087" s="7"/>
      <c r="B1087" s="7"/>
      <c r="C1087" s="7"/>
      <c r="D1087" s="7"/>
      <c r="E1087" s="7"/>
      <c r="F1087" s="276" t="s">
        <v>697</v>
      </c>
      <c r="G1087" s="278" t="s">
        <v>698</v>
      </c>
      <c r="H1087" s="279"/>
      <c r="I1087" s="280">
        <v>45565.0</v>
      </c>
      <c r="J1087" s="34"/>
      <c r="K1087" s="281">
        <v>0.27</v>
      </c>
      <c r="L1087" s="34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128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</row>
    <row r="1088" hidden="1">
      <c r="A1088" s="7"/>
      <c r="B1088" s="7"/>
      <c r="C1088" s="7"/>
      <c r="D1088" s="7"/>
      <c r="E1088" s="7"/>
      <c r="F1088" s="276" t="s">
        <v>697</v>
      </c>
      <c r="G1088" s="278" t="s">
        <v>700</v>
      </c>
      <c r="H1088" s="279"/>
      <c r="I1088" s="280">
        <v>45565.0</v>
      </c>
      <c r="J1088" s="34"/>
      <c r="K1088" s="281">
        <v>0.7360000000000001</v>
      </c>
      <c r="L1088" s="34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128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</row>
    <row r="1089">
      <c r="A1089" s="25"/>
      <c r="B1089" s="26"/>
      <c r="C1089" s="26"/>
      <c r="D1089" s="7"/>
      <c r="E1089" s="7"/>
      <c r="F1089" s="276" t="s">
        <v>704</v>
      </c>
      <c r="G1089" s="278" t="s">
        <v>705</v>
      </c>
      <c r="H1089" s="279"/>
      <c r="I1089" s="280">
        <v>45565.0</v>
      </c>
      <c r="J1089" s="34"/>
      <c r="K1089" s="281">
        <v>0.27</v>
      </c>
      <c r="L1089" s="34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128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</row>
    <row r="1090">
      <c r="A1090" s="25"/>
      <c r="B1090" s="26"/>
      <c r="C1090" s="26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</row>
    <row r="1091">
      <c r="A1091" s="25"/>
      <c r="B1091" s="26"/>
      <c r="C1091" s="26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</row>
    <row r="1092">
      <c r="A1092" s="25"/>
      <c r="B1092" s="26"/>
      <c r="C1092" s="26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</row>
    <row r="1093">
      <c r="A1093" s="25"/>
      <c r="B1093" s="26"/>
      <c r="C1093" s="26"/>
      <c r="D1093" s="7"/>
      <c r="E1093" s="7"/>
      <c r="F1093" s="129" t="s">
        <v>386</v>
      </c>
      <c r="G1093" s="7"/>
      <c r="H1093" s="7"/>
      <c r="I1093" s="7"/>
      <c r="J1093" s="20"/>
      <c r="K1093" s="20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</row>
    <row r="1094">
      <c r="A1094" s="25"/>
      <c r="B1094" s="26"/>
      <c r="C1094" s="26"/>
      <c r="D1094" s="7"/>
      <c r="E1094" s="7"/>
      <c r="G1094" s="131"/>
      <c r="H1094" s="131"/>
      <c r="I1094" s="132"/>
      <c r="J1094" s="20"/>
      <c r="K1094" s="20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</row>
    <row r="1095">
      <c r="A1095" s="25"/>
      <c r="B1095" s="26"/>
      <c r="C1095" s="26"/>
      <c r="D1095" s="7"/>
      <c r="E1095" s="7"/>
      <c r="F1095" s="41" t="s">
        <v>911</v>
      </c>
      <c r="G1095" s="7"/>
      <c r="H1095" s="7"/>
      <c r="I1095" s="7"/>
      <c r="J1095" s="20"/>
      <c r="K1095" s="20"/>
      <c r="T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</row>
    <row r="1096">
      <c r="A1096" s="25"/>
      <c r="B1096" s="26"/>
      <c r="C1096" s="26"/>
      <c r="D1096" s="7"/>
      <c r="E1096" s="7"/>
      <c r="F1096" s="235" t="s">
        <v>912</v>
      </c>
      <c r="G1096" s="236" t="s">
        <v>413</v>
      </c>
      <c r="H1096" s="430" t="s">
        <v>913</v>
      </c>
      <c r="I1096" s="431" t="s">
        <v>914</v>
      </c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</row>
    <row r="1097">
      <c r="A1097" s="25"/>
      <c r="B1097" s="26"/>
      <c r="C1097" s="26"/>
      <c r="D1097" s="7"/>
      <c r="E1097" s="7"/>
      <c r="F1097" s="435">
        <v>45292.0</v>
      </c>
      <c r="G1097" s="278" t="s">
        <v>697</v>
      </c>
      <c r="H1097" s="436" t="s">
        <v>536</v>
      </c>
      <c r="I1097" s="437">
        <v>1.0</v>
      </c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</row>
    <row r="1098">
      <c r="A1098" s="25"/>
      <c r="B1098" s="26"/>
      <c r="C1098" s="26"/>
      <c r="D1098" s="7"/>
      <c r="E1098" s="7"/>
      <c r="F1098" s="435">
        <v>45292.0</v>
      </c>
      <c r="G1098" s="278" t="s">
        <v>697</v>
      </c>
      <c r="H1098" s="436" t="s">
        <v>918</v>
      </c>
      <c r="I1098" s="437">
        <v>1.0</v>
      </c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</row>
    <row r="1099">
      <c r="A1099" s="25"/>
      <c r="B1099" s="26"/>
      <c r="C1099" s="26"/>
      <c r="D1099" s="7"/>
      <c r="E1099" s="7"/>
      <c r="F1099" s="435">
        <v>45292.0</v>
      </c>
      <c r="G1099" s="278" t="s">
        <v>697</v>
      </c>
      <c r="H1099" s="436" t="s">
        <v>916</v>
      </c>
      <c r="I1099" s="437">
        <v>5.0</v>
      </c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</row>
    <row r="1100">
      <c r="A1100" s="25"/>
      <c r="B1100" s="26"/>
      <c r="C1100" s="26"/>
      <c r="D1100" s="7"/>
      <c r="E1100" s="7"/>
      <c r="F1100" s="435">
        <v>45292.0</v>
      </c>
      <c r="G1100" s="278" t="s">
        <v>697</v>
      </c>
      <c r="H1100" s="436" t="s">
        <v>921</v>
      </c>
      <c r="I1100" s="441">
        <v>5.0</v>
      </c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</row>
    <row r="1101">
      <c r="A1101" s="25"/>
      <c r="B1101" s="26"/>
      <c r="C1101" s="26"/>
      <c r="D1101" s="7"/>
      <c r="E1101" s="7"/>
      <c r="F1101" s="435">
        <v>45292.0</v>
      </c>
      <c r="G1101" s="278" t="s">
        <v>697</v>
      </c>
      <c r="H1101" s="436" t="s">
        <v>387</v>
      </c>
      <c r="I1101" s="437">
        <v>5.0</v>
      </c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</row>
    <row r="1102">
      <c r="A1102" s="25"/>
      <c r="B1102" s="26"/>
      <c r="C1102" s="26"/>
      <c r="D1102" s="7"/>
      <c r="E1102" s="7"/>
      <c r="F1102" s="435">
        <v>45293.0</v>
      </c>
      <c r="G1102" s="278" t="s">
        <v>697</v>
      </c>
      <c r="H1102" s="436" t="s">
        <v>536</v>
      </c>
      <c r="I1102" s="437">
        <v>1.0</v>
      </c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</row>
    <row r="1103">
      <c r="A1103" s="25"/>
      <c r="B1103" s="26"/>
      <c r="C1103" s="26"/>
      <c r="D1103" s="7"/>
      <c r="E1103" s="7"/>
      <c r="F1103" s="435">
        <v>45293.0</v>
      </c>
      <c r="G1103" s="278" t="s">
        <v>697</v>
      </c>
      <c r="H1103" s="436" t="s">
        <v>918</v>
      </c>
      <c r="I1103" s="437">
        <v>1.0</v>
      </c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</row>
    <row r="1104">
      <c r="A1104" s="25"/>
      <c r="B1104" s="26"/>
      <c r="C1104" s="26"/>
      <c r="D1104" s="7"/>
      <c r="E1104" s="7"/>
      <c r="F1104" s="435">
        <v>45293.0</v>
      </c>
      <c r="G1104" s="278" t="s">
        <v>697</v>
      </c>
      <c r="H1104" s="436" t="s">
        <v>916</v>
      </c>
      <c r="I1104" s="437">
        <v>2.0</v>
      </c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</row>
    <row r="1105">
      <c r="A1105" s="25"/>
      <c r="B1105" s="26"/>
      <c r="C1105" s="26"/>
      <c r="D1105" s="7"/>
      <c r="E1105" s="7"/>
      <c r="F1105" s="435">
        <v>45293.0</v>
      </c>
      <c r="G1105" s="278" t="s">
        <v>697</v>
      </c>
      <c r="H1105" s="436" t="s">
        <v>921</v>
      </c>
      <c r="I1105" s="441">
        <v>5.0</v>
      </c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</row>
    <row r="1106">
      <c r="A1106" s="25"/>
      <c r="B1106" s="26"/>
      <c r="C1106" s="26"/>
      <c r="D1106" s="7"/>
      <c r="E1106" s="7"/>
      <c r="F1106" s="435">
        <v>45293.0</v>
      </c>
      <c r="G1106" s="278" t="s">
        <v>697</v>
      </c>
      <c r="H1106" s="436" t="s">
        <v>387</v>
      </c>
      <c r="I1106" s="437">
        <v>4.0</v>
      </c>
      <c r="T1106" s="434"/>
      <c r="U1106" s="434"/>
      <c r="V1106" s="440"/>
      <c r="W1106" s="434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</row>
    <row r="1107">
      <c r="A1107" s="25"/>
      <c r="B1107" s="26"/>
      <c r="C1107" s="26"/>
      <c r="D1107" s="7"/>
      <c r="E1107" s="7"/>
      <c r="F1107" s="435">
        <v>45297.0</v>
      </c>
      <c r="G1107" s="278" t="s">
        <v>697</v>
      </c>
      <c r="H1107" s="436" t="s">
        <v>536</v>
      </c>
      <c r="I1107" s="437">
        <v>5.0</v>
      </c>
      <c r="T1107" s="434"/>
      <c r="U1107" s="434"/>
      <c r="V1107" s="440"/>
      <c r="W1107" s="434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</row>
    <row r="1108">
      <c r="A1108" s="25"/>
      <c r="B1108" s="26"/>
      <c r="C1108" s="26"/>
      <c r="D1108" s="7"/>
      <c r="E1108" s="7"/>
      <c r="F1108" s="435">
        <v>45297.0</v>
      </c>
      <c r="G1108" s="278" t="s">
        <v>697</v>
      </c>
      <c r="H1108" s="436" t="s">
        <v>918</v>
      </c>
      <c r="I1108" s="441">
        <v>1.0</v>
      </c>
      <c r="T1108" s="443"/>
      <c r="U1108" s="443"/>
      <c r="V1108" s="444"/>
      <c r="W1108" s="443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</row>
    <row r="1109">
      <c r="A1109" s="25"/>
      <c r="B1109" s="26"/>
      <c r="C1109" s="26"/>
      <c r="D1109" s="7"/>
      <c r="E1109" s="7"/>
      <c r="F1109" s="435">
        <v>45297.0</v>
      </c>
      <c r="G1109" s="278" t="s">
        <v>697</v>
      </c>
      <c r="H1109" s="436" t="s">
        <v>916</v>
      </c>
      <c r="I1109" s="437">
        <v>1.0</v>
      </c>
      <c r="T1109" s="434"/>
      <c r="U1109" s="434"/>
      <c r="V1109" s="440"/>
      <c r="W1109" s="434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</row>
    <row r="1110">
      <c r="A1110" s="25"/>
      <c r="B1110" s="26"/>
      <c r="C1110" s="26"/>
      <c r="D1110" s="7"/>
      <c r="E1110" s="7"/>
      <c r="F1110" s="435">
        <v>45297.0</v>
      </c>
      <c r="G1110" s="278" t="s">
        <v>697</v>
      </c>
      <c r="H1110" s="436" t="s">
        <v>921</v>
      </c>
      <c r="I1110" s="441">
        <v>5.0</v>
      </c>
      <c r="T1110" s="434"/>
      <c r="U1110" s="434"/>
      <c r="V1110" s="440"/>
      <c r="W1110" s="434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</row>
    <row r="1111">
      <c r="A1111" s="25"/>
      <c r="B1111" s="26"/>
      <c r="C1111" s="26"/>
      <c r="D1111" s="7"/>
      <c r="E1111" s="7"/>
      <c r="F1111" s="435">
        <v>45297.0</v>
      </c>
      <c r="G1111" s="278" t="s">
        <v>697</v>
      </c>
      <c r="H1111" s="436" t="s">
        <v>387</v>
      </c>
      <c r="I1111" s="441">
        <v>5.0</v>
      </c>
      <c r="T1111" s="434"/>
      <c r="U1111" s="434"/>
      <c r="V1111" s="440"/>
      <c r="W1111" s="434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</row>
    <row r="1112">
      <c r="A1112" s="25"/>
      <c r="B1112" s="26"/>
      <c r="C1112" s="26"/>
      <c r="D1112" s="7"/>
      <c r="E1112" s="7"/>
      <c r="F1112" s="435">
        <v>45299.0</v>
      </c>
      <c r="G1112" s="278" t="s">
        <v>704</v>
      </c>
      <c r="H1112" s="436" t="s">
        <v>536</v>
      </c>
      <c r="I1112" s="441">
        <v>2.0</v>
      </c>
      <c r="T1112" s="434"/>
      <c r="U1112" s="434"/>
      <c r="V1112" s="440"/>
      <c r="W1112" s="434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</row>
    <row r="1113">
      <c r="A1113" s="25"/>
      <c r="B1113" s="26"/>
      <c r="C1113" s="26"/>
      <c r="D1113" s="7"/>
      <c r="E1113" s="7"/>
      <c r="F1113" s="435">
        <v>45299.0</v>
      </c>
      <c r="G1113" s="278" t="s">
        <v>704</v>
      </c>
      <c r="H1113" s="436" t="s">
        <v>918</v>
      </c>
      <c r="I1113" s="437">
        <v>1.0</v>
      </c>
      <c r="T1113" s="434"/>
      <c r="U1113" s="434"/>
      <c r="V1113" s="440"/>
      <c r="W1113" s="434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</row>
    <row r="1114">
      <c r="A1114" s="25"/>
      <c r="B1114" s="26"/>
      <c r="C1114" s="26"/>
      <c r="D1114" s="7"/>
      <c r="E1114" s="7"/>
      <c r="F1114" s="435">
        <v>45299.0</v>
      </c>
      <c r="G1114" s="278" t="s">
        <v>704</v>
      </c>
      <c r="H1114" s="436" t="s">
        <v>916</v>
      </c>
      <c r="I1114" s="437">
        <v>4.0</v>
      </c>
      <c r="T1114" s="443"/>
      <c r="U1114" s="443"/>
      <c r="V1114" s="444"/>
      <c r="W1114" s="443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</row>
    <row r="1115">
      <c r="A1115" s="25"/>
      <c r="B1115" s="26"/>
      <c r="C1115" s="26"/>
      <c r="D1115" s="7"/>
      <c r="E1115" s="7"/>
      <c r="F1115" s="435">
        <v>45299.0</v>
      </c>
      <c r="G1115" s="278" t="s">
        <v>704</v>
      </c>
      <c r="H1115" s="436" t="s">
        <v>921</v>
      </c>
      <c r="I1115" s="441">
        <v>5.0</v>
      </c>
      <c r="T1115" s="434"/>
      <c r="U1115" s="434"/>
      <c r="V1115" s="440"/>
      <c r="W1115" s="434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</row>
    <row r="1116">
      <c r="A1116" s="25"/>
      <c r="B1116" s="26"/>
      <c r="C1116" s="26"/>
      <c r="D1116" s="7"/>
      <c r="E1116" s="7"/>
      <c r="F1116" s="435">
        <v>45299.0</v>
      </c>
      <c r="G1116" s="278" t="s">
        <v>704</v>
      </c>
      <c r="H1116" s="436" t="s">
        <v>387</v>
      </c>
      <c r="I1116" s="437">
        <v>3.0</v>
      </c>
      <c r="T1116" s="434"/>
      <c r="U1116" s="434"/>
      <c r="V1116" s="440"/>
      <c r="W1116" s="434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</row>
    <row r="1117">
      <c r="A1117" s="25"/>
      <c r="B1117" s="26"/>
      <c r="C1117" s="26"/>
      <c r="D1117" s="7"/>
      <c r="E1117" s="7"/>
      <c r="F1117" s="435">
        <v>45299.0</v>
      </c>
      <c r="G1117" s="278" t="s">
        <v>697</v>
      </c>
      <c r="H1117" s="436" t="s">
        <v>536</v>
      </c>
      <c r="I1117" s="437">
        <v>4.0</v>
      </c>
      <c r="T1117" s="434"/>
      <c r="U1117" s="434"/>
      <c r="V1117" s="440"/>
      <c r="W1117" s="434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</row>
    <row r="1118">
      <c r="A1118" s="25"/>
      <c r="B1118" s="26"/>
      <c r="C1118" s="26"/>
      <c r="D1118" s="7"/>
      <c r="E1118" s="7"/>
      <c r="F1118" s="435">
        <v>45299.0</v>
      </c>
      <c r="G1118" s="278" t="s">
        <v>697</v>
      </c>
      <c r="H1118" s="436" t="s">
        <v>918</v>
      </c>
      <c r="I1118" s="441">
        <v>1.0</v>
      </c>
      <c r="T1118" s="434"/>
      <c r="U1118" s="434"/>
      <c r="V1118" s="440"/>
      <c r="W1118" s="434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</row>
    <row r="1119">
      <c r="A1119" s="25"/>
      <c r="B1119" s="26"/>
      <c r="C1119" s="26"/>
      <c r="D1119" s="7"/>
      <c r="E1119" s="7"/>
      <c r="F1119" s="435">
        <v>45299.0</v>
      </c>
      <c r="G1119" s="278" t="s">
        <v>697</v>
      </c>
      <c r="H1119" s="436" t="s">
        <v>916</v>
      </c>
      <c r="I1119" s="437">
        <v>1.0</v>
      </c>
      <c r="T1119" s="434"/>
      <c r="U1119" s="434"/>
      <c r="V1119" s="440"/>
      <c r="W1119" s="434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</row>
    <row r="1120">
      <c r="A1120" s="25"/>
      <c r="B1120" s="26"/>
      <c r="C1120" s="26"/>
      <c r="D1120" s="7"/>
      <c r="E1120" s="7"/>
      <c r="F1120" s="435">
        <v>45299.0</v>
      </c>
      <c r="G1120" s="278" t="s">
        <v>697</v>
      </c>
      <c r="H1120" s="436" t="s">
        <v>921</v>
      </c>
      <c r="I1120" s="441">
        <v>5.0</v>
      </c>
      <c r="S1120" s="7"/>
      <c r="T1120" s="443"/>
      <c r="U1120" s="443"/>
      <c r="V1120" s="444"/>
      <c r="W1120" s="443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</row>
    <row r="1121">
      <c r="A1121" s="25"/>
      <c r="B1121" s="26"/>
      <c r="C1121" s="26"/>
      <c r="D1121" s="7"/>
      <c r="E1121" s="7"/>
      <c r="F1121" s="435">
        <v>45299.0</v>
      </c>
      <c r="G1121" s="278" t="s">
        <v>697</v>
      </c>
      <c r="H1121" s="436" t="s">
        <v>387</v>
      </c>
      <c r="I1121" s="441">
        <v>5.0</v>
      </c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</row>
    <row r="1122">
      <c r="A1122" s="302" t="s">
        <v>740</v>
      </c>
      <c r="B1122" s="26"/>
      <c r="C1122" s="26"/>
      <c r="D1122" s="7"/>
      <c r="E1122" s="7"/>
      <c r="F1122" s="435">
        <v>45299.0</v>
      </c>
      <c r="G1122" s="278" t="s">
        <v>707</v>
      </c>
      <c r="H1122" s="436" t="s">
        <v>536</v>
      </c>
      <c r="I1122" s="437">
        <v>5.0</v>
      </c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</row>
    <row r="1123" hidden="1">
      <c r="A1123" s="25"/>
      <c r="B1123" s="26"/>
      <c r="C1123" s="26"/>
      <c r="D1123" s="7"/>
      <c r="E1123" s="7"/>
      <c r="F1123" s="435">
        <v>45299.0</v>
      </c>
      <c r="G1123" s="278" t="s">
        <v>707</v>
      </c>
      <c r="H1123" s="436" t="s">
        <v>536</v>
      </c>
      <c r="I1123" s="437">
        <v>2.0</v>
      </c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</row>
    <row r="1124" hidden="1">
      <c r="A1124" s="25"/>
      <c r="B1124" s="26"/>
      <c r="C1124" s="26"/>
      <c r="D1124" s="7"/>
      <c r="E1124" s="7"/>
      <c r="F1124" s="435">
        <v>45299.0</v>
      </c>
      <c r="G1124" s="278" t="s">
        <v>707</v>
      </c>
      <c r="H1124" s="436" t="s">
        <v>918</v>
      </c>
      <c r="I1124" s="437">
        <v>1.0</v>
      </c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</row>
    <row r="1125" hidden="1">
      <c r="A1125" s="25"/>
      <c r="B1125" s="26"/>
      <c r="C1125" s="26"/>
      <c r="D1125" s="7"/>
      <c r="E1125" s="7"/>
      <c r="F1125" s="435">
        <v>45299.0</v>
      </c>
      <c r="G1125" s="278" t="s">
        <v>707</v>
      </c>
      <c r="H1125" s="436" t="s">
        <v>918</v>
      </c>
      <c r="I1125" s="437">
        <v>3.0</v>
      </c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</row>
    <row r="1126" hidden="1">
      <c r="A1126" s="25"/>
      <c r="B1126" s="26"/>
      <c r="C1126" s="26"/>
      <c r="D1126" s="7"/>
      <c r="E1126" s="7"/>
      <c r="F1126" s="435">
        <v>45299.0</v>
      </c>
      <c r="G1126" s="278" t="s">
        <v>707</v>
      </c>
      <c r="H1126" s="436" t="s">
        <v>916</v>
      </c>
      <c r="I1126" s="437">
        <v>4.0</v>
      </c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</row>
    <row r="1127" hidden="1">
      <c r="A1127" s="25"/>
      <c r="B1127" s="26"/>
      <c r="C1127" s="26"/>
      <c r="D1127" s="7"/>
      <c r="E1127" s="7"/>
      <c r="F1127" s="435">
        <v>45299.0</v>
      </c>
      <c r="G1127" s="278" t="s">
        <v>707</v>
      </c>
      <c r="H1127" s="436" t="s">
        <v>916</v>
      </c>
      <c r="I1127" s="437">
        <v>1.0</v>
      </c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</row>
    <row r="1128" hidden="1">
      <c r="A1128" s="25"/>
      <c r="B1128" s="26"/>
      <c r="C1128" s="26"/>
      <c r="D1128" s="7"/>
      <c r="E1128" s="7"/>
      <c r="F1128" s="435">
        <v>45299.0</v>
      </c>
      <c r="G1128" s="278" t="s">
        <v>707</v>
      </c>
      <c r="H1128" s="436" t="s">
        <v>921</v>
      </c>
      <c r="I1128" s="437">
        <v>1.0</v>
      </c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</row>
    <row r="1129" hidden="1">
      <c r="A1129" s="25"/>
      <c r="B1129" s="26"/>
      <c r="C1129" s="26"/>
      <c r="D1129" s="7"/>
      <c r="E1129" s="7"/>
      <c r="F1129" s="435">
        <v>45299.0</v>
      </c>
      <c r="G1129" s="278" t="s">
        <v>707</v>
      </c>
      <c r="H1129" s="436" t="s">
        <v>921</v>
      </c>
      <c r="I1129" s="437">
        <v>3.0</v>
      </c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</row>
    <row r="1130" hidden="1">
      <c r="A1130" s="25"/>
      <c r="B1130" s="26"/>
      <c r="C1130" s="26"/>
      <c r="D1130" s="7"/>
      <c r="E1130" s="7"/>
      <c r="F1130" s="435">
        <v>45299.0</v>
      </c>
      <c r="G1130" s="278" t="s">
        <v>707</v>
      </c>
      <c r="H1130" s="436" t="s">
        <v>387</v>
      </c>
      <c r="I1130" s="437">
        <v>2.0</v>
      </c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</row>
    <row r="1131" hidden="1">
      <c r="A1131" s="25"/>
      <c r="B1131" s="26"/>
      <c r="C1131" s="26"/>
      <c r="D1131" s="7"/>
      <c r="E1131" s="7"/>
      <c r="F1131" s="435">
        <v>45299.0</v>
      </c>
      <c r="G1131" s="278" t="s">
        <v>707</v>
      </c>
      <c r="H1131" s="436" t="s">
        <v>387</v>
      </c>
      <c r="I1131" s="437">
        <v>5.0</v>
      </c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</row>
    <row r="1132" hidden="1">
      <c r="A1132" s="25"/>
      <c r="B1132" s="26"/>
      <c r="C1132" s="26"/>
      <c r="D1132" s="7"/>
      <c r="E1132" s="7"/>
      <c r="F1132" s="435">
        <v>45302.0</v>
      </c>
      <c r="G1132" s="278" t="s">
        <v>697</v>
      </c>
      <c r="H1132" s="436" t="s">
        <v>536</v>
      </c>
      <c r="I1132" s="437">
        <v>5.0</v>
      </c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</row>
    <row r="1133" hidden="1">
      <c r="A1133" s="25"/>
      <c r="B1133" s="26"/>
      <c r="C1133" s="26"/>
      <c r="D1133" s="7"/>
      <c r="E1133" s="7"/>
      <c r="F1133" s="435">
        <v>45302.0</v>
      </c>
      <c r="G1133" s="278" t="s">
        <v>697</v>
      </c>
      <c r="H1133" s="436" t="s">
        <v>918</v>
      </c>
      <c r="I1133" s="441">
        <v>1.0</v>
      </c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</row>
    <row r="1134" hidden="1">
      <c r="A1134" s="25"/>
      <c r="B1134" s="26"/>
      <c r="C1134" s="26"/>
      <c r="D1134" s="7"/>
      <c r="E1134" s="7"/>
      <c r="F1134" s="435">
        <v>45302.0</v>
      </c>
      <c r="G1134" s="278" t="s">
        <v>697</v>
      </c>
      <c r="H1134" s="436" t="s">
        <v>916</v>
      </c>
      <c r="I1134" s="437">
        <v>4.0</v>
      </c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</row>
    <row r="1135" hidden="1">
      <c r="A1135" s="25"/>
      <c r="B1135" s="26"/>
      <c r="C1135" s="26"/>
      <c r="D1135" s="7"/>
      <c r="E1135" s="7"/>
      <c r="F1135" s="435">
        <v>45302.0</v>
      </c>
      <c r="G1135" s="278" t="s">
        <v>697</v>
      </c>
      <c r="H1135" s="436" t="s">
        <v>921</v>
      </c>
      <c r="I1135" s="441">
        <v>5.0</v>
      </c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</row>
    <row r="1136" hidden="1">
      <c r="A1136" s="25"/>
      <c r="B1136" s="26"/>
      <c r="C1136" s="26"/>
      <c r="D1136" s="7"/>
      <c r="E1136" s="7"/>
      <c r="F1136" s="435">
        <v>45302.0</v>
      </c>
      <c r="G1136" s="278" t="s">
        <v>697</v>
      </c>
      <c r="H1136" s="436" t="s">
        <v>387</v>
      </c>
      <c r="I1136" s="441">
        <v>5.0</v>
      </c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</row>
    <row r="1137" hidden="1">
      <c r="A1137" s="25"/>
      <c r="B1137" s="26"/>
      <c r="C1137" s="26"/>
      <c r="D1137" s="7"/>
      <c r="E1137" s="7"/>
      <c r="F1137" s="435">
        <v>45302.0</v>
      </c>
      <c r="G1137" s="278" t="s">
        <v>716</v>
      </c>
      <c r="H1137" s="436" t="s">
        <v>536</v>
      </c>
      <c r="I1137" s="437">
        <v>1.0</v>
      </c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</row>
    <row r="1138" hidden="1">
      <c r="A1138" s="25"/>
      <c r="B1138" s="26"/>
      <c r="C1138" s="26"/>
      <c r="D1138" s="7"/>
      <c r="E1138" s="7"/>
      <c r="F1138" s="435">
        <v>45302.0</v>
      </c>
      <c r="G1138" s="278" t="s">
        <v>716</v>
      </c>
      <c r="H1138" s="436" t="s">
        <v>918</v>
      </c>
      <c r="I1138" s="437">
        <v>2.0</v>
      </c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</row>
    <row r="1139" hidden="1">
      <c r="A1139" s="25"/>
      <c r="B1139" s="26"/>
      <c r="C1139" s="26"/>
      <c r="D1139" s="7"/>
      <c r="E1139" s="7"/>
      <c r="F1139" s="435">
        <v>45302.0</v>
      </c>
      <c r="G1139" s="278" t="s">
        <v>716</v>
      </c>
      <c r="H1139" s="436" t="s">
        <v>916</v>
      </c>
      <c r="I1139" s="437">
        <v>2.0</v>
      </c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</row>
    <row r="1140" hidden="1">
      <c r="A1140" s="25"/>
      <c r="B1140" s="26"/>
      <c r="C1140" s="26"/>
      <c r="D1140" s="7"/>
      <c r="E1140" s="7"/>
      <c r="F1140" s="435">
        <v>45302.0</v>
      </c>
      <c r="G1140" s="278" t="s">
        <v>716</v>
      </c>
      <c r="H1140" s="436" t="s">
        <v>921</v>
      </c>
      <c r="I1140" s="437">
        <v>4.0</v>
      </c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</row>
    <row r="1141" hidden="1">
      <c r="A1141" s="25"/>
      <c r="B1141" s="26"/>
      <c r="C1141" s="26"/>
      <c r="D1141" s="7"/>
      <c r="E1141" s="7"/>
      <c r="F1141" s="435">
        <v>45302.0</v>
      </c>
      <c r="G1141" s="278" t="s">
        <v>716</v>
      </c>
      <c r="H1141" s="436" t="s">
        <v>387</v>
      </c>
      <c r="I1141" s="437">
        <v>4.0</v>
      </c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</row>
    <row r="1142" hidden="1">
      <c r="A1142" s="25"/>
      <c r="B1142" s="26"/>
      <c r="C1142" s="26"/>
      <c r="D1142" s="7"/>
      <c r="E1142" s="7"/>
      <c r="F1142" s="435">
        <v>45304.0</v>
      </c>
      <c r="G1142" s="278" t="s">
        <v>704</v>
      </c>
      <c r="H1142" s="436" t="s">
        <v>536</v>
      </c>
      <c r="I1142" s="437">
        <v>5.0</v>
      </c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</row>
    <row r="1143" hidden="1">
      <c r="A1143" s="25"/>
      <c r="B1143" s="26"/>
      <c r="C1143" s="26"/>
      <c r="D1143" s="7"/>
      <c r="E1143" s="7"/>
      <c r="F1143" s="435">
        <v>45304.0</v>
      </c>
      <c r="G1143" s="278" t="s">
        <v>704</v>
      </c>
      <c r="H1143" s="436" t="s">
        <v>918</v>
      </c>
      <c r="I1143" s="437">
        <v>3.0</v>
      </c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</row>
    <row r="1144" hidden="1">
      <c r="A1144" s="25"/>
      <c r="B1144" s="26"/>
      <c r="C1144" s="26"/>
      <c r="D1144" s="7"/>
      <c r="E1144" s="7"/>
      <c r="F1144" s="435">
        <v>45304.0</v>
      </c>
      <c r="G1144" s="278" t="s">
        <v>704</v>
      </c>
      <c r="H1144" s="436" t="s">
        <v>916</v>
      </c>
      <c r="I1144" s="437">
        <v>1.0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</row>
    <row r="1145" hidden="1">
      <c r="A1145" s="25"/>
      <c r="B1145" s="26"/>
      <c r="C1145" s="26"/>
      <c r="D1145" s="7"/>
      <c r="E1145" s="7"/>
      <c r="F1145" s="435">
        <v>45304.0</v>
      </c>
      <c r="G1145" s="278" t="s">
        <v>704</v>
      </c>
      <c r="H1145" s="436" t="s">
        <v>921</v>
      </c>
      <c r="I1145" s="441">
        <v>5.0</v>
      </c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</row>
    <row r="1146" hidden="1">
      <c r="A1146" s="25"/>
      <c r="B1146" s="26"/>
      <c r="C1146" s="26"/>
      <c r="D1146" s="7"/>
      <c r="E1146" s="7"/>
      <c r="F1146" s="435">
        <v>45304.0</v>
      </c>
      <c r="G1146" s="278" t="s">
        <v>704</v>
      </c>
      <c r="H1146" s="436" t="s">
        <v>387</v>
      </c>
      <c r="I1146" s="437">
        <v>5.0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</row>
    <row r="1147" hidden="1">
      <c r="A1147" s="25"/>
      <c r="B1147" s="26"/>
      <c r="C1147" s="26"/>
      <c r="D1147" s="7"/>
      <c r="E1147" s="7"/>
      <c r="F1147" s="435">
        <v>45304.0</v>
      </c>
      <c r="G1147" s="278" t="s">
        <v>716</v>
      </c>
      <c r="H1147" s="436" t="s">
        <v>536</v>
      </c>
      <c r="I1147" s="437">
        <v>1.0</v>
      </c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</row>
    <row r="1148" hidden="1">
      <c r="A1148" s="25"/>
      <c r="B1148" s="26"/>
      <c r="C1148" s="26"/>
      <c r="D1148" s="7"/>
      <c r="E1148" s="7"/>
      <c r="F1148" s="435">
        <v>45304.0</v>
      </c>
      <c r="G1148" s="278" t="s">
        <v>716</v>
      </c>
      <c r="H1148" s="436" t="s">
        <v>918</v>
      </c>
      <c r="I1148" s="437">
        <v>3.0</v>
      </c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</row>
    <row r="1149" hidden="1">
      <c r="A1149" s="25"/>
      <c r="B1149" s="26"/>
      <c r="C1149" s="26"/>
      <c r="D1149" s="7"/>
      <c r="E1149" s="7"/>
      <c r="F1149" s="435">
        <v>45304.0</v>
      </c>
      <c r="G1149" s="278" t="s">
        <v>716</v>
      </c>
      <c r="H1149" s="436" t="s">
        <v>916</v>
      </c>
      <c r="I1149" s="437">
        <v>1.0</v>
      </c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</row>
    <row r="1150" hidden="1">
      <c r="A1150" s="25"/>
      <c r="B1150" s="26"/>
      <c r="C1150" s="26"/>
      <c r="D1150" s="7"/>
      <c r="E1150" s="7"/>
      <c r="F1150" s="435">
        <v>45304.0</v>
      </c>
      <c r="G1150" s="278" t="s">
        <v>716</v>
      </c>
      <c r="H1150" s="436" t="s">
        <v>921</v>
      </c>
      <c r="I1150" s="437">
        <v>4.0</v>
      </c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</row>
    <row r="1151" hidden="1">
      <c r="A1151" s="25"/>
      <c r="B1151" s="26"/>
      <c r="C1151" s="26"/>
      <c r="D1151" s="7"/>
      <c r="E1151" s="7"/>
      <c r="F1151" s="435">
        <v>45304.0</v>
      </c>
      <c r="G1151" s="278" t="s">
        <v>716</v>
      </c>
      <c r="H1151" s="436" t="s">
        <v>387</v>
      </c>
      <c r="I1151" s="437">
        <v>5.0</v>
      </c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</row>
    <row r="1152" hidden="1">
      <c r="A1152" s="25"/>
      <c r="B1152" s="26"/>
      <c r="C1152" s="26"/>
      <c r="D1152" s="7"/>
      <c r="E1152" s="7"/>
      <c r="F1152" s="435">
        <v>45305.0</v>
      </c>
      <c r="G1152" s="278" t="s">
        <v>716</v>
      </c>
      <c r="H1152" s="436" t="s">
        <v>536</v>
      </c>
      <c r="I1152" s="437">
        <v>2.0</v>
      </c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</row>
    <row r="1153" hidden="1">
      <c r="A1153" s="25"/>
      <c r="B1153" s="26"/>
      <c r="C1153" s="26"/>
      <c r="D1153" s="7"/>
      <c r="E1153" s="7"/>
      <c r="F1153" s="435">
        <v>45305.0</v>
      </c>
      <c r="G1153" s="278" t="s">
        <v>716</v>
      </c>
      <c r="H1153" s="436" t="s">
        <v>918</v>
      </c>
      <c r="I1153" s="437">
        <v>3.0</v>
      </c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</row>
    <row r="1154" hidden="1">
      <c r="A1154" s="25"/>
      <c r="B1154" s="26"/>
      <c r="C1154" s="26"/>
      <c r="D1154" s="7"/>
      <c r="E1154" s="7"/>
      <c r="F1154" s="435">
        <v>45305.0</v>
      </c>
      <c r="G1154" s="278" t="s">
        <v>716</v>
      </c>
      <c r="H1154" s="436" t="s">
        <v>916</v>
      </c>
      <c r="I1154" s="437">
        <v>2.0</v>
      </c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</row>
    <row r="1155" hidden="1">
      <c r="A1155" s="25"/>
      <c r="B1155" s="26"/>
      <c r="C1155" s="26"/>
      <c r="D1155" s="7"/>
      <c r="E1155" s="7"/>
      <c r="F1155" s="435">
        <v>45305.0</v>
      </c>
      <c r="G1155" s="278" t="s">
        <v>716</v>
      </c>
      <c r="H1155" s="436" t="s">
        <v>921</v>
      </c>
      <c r="I1155" s="437">
        <v>4.0</v>
      </c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</row>
    <row r="1156" hidden="1">
      <c r="A1156" s="25"/>
      <c r="B1156" s="26"/>
      <c r="C1156" s="26"/>
      <c r="D1156" s="7"/>
      <c r="E1156" s="7"/>
      <c r="F1156" s="435">
        <v>45305.0</v>
      </c>
      <c r="G1156" s="278" t="s">
        <v>716</v>
      </c>
      <c r="H1156" s="436" t="s">
        <v>387</v>
      </c>
      <c r="I1156" s="437">
        <v>5.0</v>
      </c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</row>
    <row r="1157" hidden="1">
      <c r="A1157" s="25"/>
      <c r="B1157" s="26"/>
      <c r="C1157" s="26"/>
      <c r="D1157" s="7"/>
      <c r="E1157" s="7"/>
      <c r="F1157" s="435">
        <v>45307.0</v>
      </c>
      <c r="G1157" s="278" t="s">
        <v>704</v>
      </c>
      <c r="H1157" s="436" t="s">
        <v>536</v>
      </c>
      <c r="I1157" s="441">
        <v>2.0</v>
      </c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</row>
    <row r="1158" hidden="1">
      <c r="A1158" s="25"/>
      <c r="B1158" s="26"/>
      <c r="C1158" s="26"/>
      <c r="D1158" s="7"/>
      <c r="E1158" s="7"/>
      <c r="F1158" s="435">
        <v>45307.0</v>
      </c>
      <c r="G1158" s="278" t="s">
        <v>704</v>
      </c>
      <c r="H1158" s="436" t="s">
        <v>918</v>
      </c>
      <c r="I1158" s="437">
        <v>2.0</v>
      </c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</row>
    <row r="1159" hidden="1">
      <c r="A1159" s="25"/>
      <c r="B1159" s="26"/>
      <c r="C1159" s="26"/>
      <c r="D1159" s="7"/>
      <c r="E1159" s="7"/>
      <c r="F1159" s="435">
        <v>45307.0</v>
      </c>
      <c r="G1159" s="278" t="s">
        <v>704</v>
      </c>
      <c r="H1159" s="436" t="s">
        <v>916</v>
      </c>
      <c r="I1159" s="437">
        <v>2.0</v>
      </c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</row>
    <row r="1160" hidden="1">
      <c r="A1160" s="25"/>
      <c r="B1160" s="26"/>
      <c r="C1160" s="26"/>
      <c r="D1160" s="7"/>
      <c r="E1160" s="7"/>
      <c r="F1160" s="435">
        <v>45307.0</v>
      </c>
      <c r="G1160" s="278" t="s">
        <v>704</v>
      </c>
      <c r="H1160" s="436" t="s">
        <v>921</v>
      </c>
      <c r="I1160" s="441">
        <v>5.0</v>
      </c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</row>
    <row r="1161" hidden="1">
      <c r="A1161" s="25"/>
      <c r="B1161" s="26"/>
      <c r="C1161" s="26"/>
      <c r="D1161" s="7"/>
      <c r="E1161" s="7"/>
      <c r="F1161" s="435">
        <v>45307.0</v>
      </c>
      <c r="G1161" s="278" t="s">
        <v>704</v>
      </c>
      <c r="H1161" s="436" t="s">
        <v>387</v>
      </c>
      <c r="I1161" s="437">
        <v>1.0</v>
      </c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</row>
    <row r="1162" hidden="1">
      <c r="A1162" s="25"/>
      <c r="B1162" s="26"/>
      <c r="C1162" s="26"/>
      <c r="D1162" s="7"/>
      <c r="E1162" s="7"/>
      <c r="F1162" s="435">
        <v>45308.0</v>
      </c>
      <c r="G1162" s="278" t="s">
        <v>697</v>
      </c>
      <c r="H1162" s="436" t="s">
        <v>536</v>
      </c>
      <c r="I1162" s="437">
        <v>5.0</v>
      </c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</row>
    <row r="1163" hidden="1">
      <c r="A1163" s="25"/>
      <c r="B1163" s="26"/>
      <c r="C1163" s="26"/>
      <c r="D1163" s="7"/>
      <c r="E1163" s="7"/>
      <c r="F1163" s="435">
        <v>45308.0</v>
      </c>
      <c r="G1163" s="278" t="s">
        <v>697</v>
      </c>
      <c r="H1163" s="436" t="s">
        <v>918</v>
      </c>
      <c r="I1163" s="437">
        <v>1.0</v>
      </c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</row>
    <row r="1164" hidden="1">
      <c r="A1164" s="25"/>
      <c r="B1164" s="26"/>
      <c r="C1164" s="26"/>
      <c r="D1164" s="7"/>
      <c r="E1164" s="7"/>
      <c r="F1164" s="435">
        <v>45308.0</v>
      </c>
      <c r="G1164" s="278" t="s">
        <v>697</v>
      </c>
      <c r="H1164" s="436" t="s">
        <v>916</v>
      </c>
      <c r="I1164" s="437">
        <v>2.0</v>
      </c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</row>
    <row r="1165" hidden="1">
      <c r="A1165" s="25"/>
      <c r="B1165" s="26"/>
      <c r="C1165" s="26"/>
      <c r="D1165" s="7"/>
      <c r="E1165" s="7"/>
      <c r="F1165" s="435">
        <v>45308.0</v>
      </c>
      <c r="G1165" s="278" t="s">
        <v>697</v>
      </c>
      <c r="H1165" s="436" t="s">
        <v>921</v>
      </c>
      <c r="I1165" s="441">
        <v>5.0</v>
      </c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</row>
    <row r="1166" hidden="1">
      <c r="A1166" s="25"/>
      <c r="B1166" s="26"/>
      <c r="C1166" s="26"/>
      <c r="D1166" s="7"/>
      <c r="E1166" s="7"/>
      <c r="F1166" s="435">
        <v>45308.0</v>
      </c>
      <c r="G1166" s="278" t="s">
        <v>697</v>
      </c>
      <c r="H1166" s="436" t="s">
        <v>387</v>
      </c>
      <c r="I1166" s="441">
        <v>5.0</v>
      </c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</row>
    <row r="1167" hidden="1">
      <c r="A1167" s="25"/>
      <c r="B1167" s="26"/>
      <c r="C1167" s="26"/>
      <c r="D1167" s="7"/>
      <c r="E1167" s="7"/>
      <c r="F1167" s="435">
        <v>45309.0</v>
      </c>
      <c r="G1167" s="278" t="s">
        <v>716</v>
      </c>
      <c r="H1167" s="436" t="s">
        <v>536</v>
      </c>
      <c r="I1167" s="437">
        <v>4.0</v>
      </c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</row>
    <row r="1168" hidden="1">
      <c r="A1168" s="25"/>
      <c r="B1168" s="26"/>
      <c r="C1168" s="26"/>
      <c r="D1168" s="7"/>
      <c r="E1168" s="7"/>
      <c r="F1168" s="435">
        <v>45309.0</v>
      </c>
      <c r="G1168" s="278" t="s">
        <v>716</v>
      </c>
      <c r="H1168" s="436" t="s">
        <v>918</v>
      </c>
      <c r="I1168" s="437">
        <v>3.0</v>
      </c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</row>
    <row r="1169" hidden="1">
      <c r="A1169" s="25"/>
      <c r="B1169" s="26"/>
      <c r="C1169" s="26"/>
      <c r="D1169" s="7"/>
      <c r="E1169" s="7"/>
      <c r="F1169" s="435">
        <v>45309.0</v>
      </c>
      <c r="G1169" s="278" t="s">
        <v>716</v>
      </c>
      <c r="H1169" s="436" t="s">
        <v>916</v>
      </c>
      <c r="I1169" s="437">
        <v>2.0</v>
      </c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</row>
    <row r="1170" hidden="1">
      <c r="A1170" s="25"/>
      <c r="B1170" s="26"/>
      <c r="C1170" s="26"/>
      <c r="D1170" s="7"/>
      <c r="E1170" s="7"/>
      <c r="F1170" s="435">
        <v>45309.0</v>
      </c>
      <c r="G1170" s="278" t="s">
        <v>716</v>
      </c>
      <c r="H1170" s="436" t="s">
        <v>921</v>
      </c>
      <c r="I1170" s="437">
        <v>5.0</v>
      </c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</row>
    <row r="1171" hidden="1">
      <c r="A1171" s="25"/>
      <c r="B1171" s="26"/>
      <c r="C1171" s="26"/>
      <c r="D1171" s="7"/>
      <c r="E1171" s="7"/>
      <c r="F1171" s="435">
        <v>45309.0</v>
      </c>
      <c r="G1171" s="278" t="s">
        <v>716</v>
      </c>
      <c r="H1171" s="436" t="s">
        <v>387</v>
      </c>
      <c r="I1171" s="437">
        <v>2.0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</row>
    <row r="1172" hidden="1">
      <c r="A1172" s="25"/>
      <c r="B1172" s="26"/>
      <c r="C1172" s="26"/>
      <c r="D1172" s="7"/>
      <c r="E1172" s="7"/>
      <c r="F1172" s="435">
        <v>45309.0</v>
      </c>
      <c r="G1172" s="278" t="s">
        <v>707</v>
      </c>
      <c r="H1172" s="436" t="s">
        <v>536</v>
      </c>
      <c r="I1172" s="437">
        <v>5.0</v>
      </c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</row>
    <row r="1173" hidden="1">
      <c r="A1173" s="25"/>
      <c r="B1173" s="26"/>
      <c r="C1173" s="26"/>
      <c r="D1173" s="7"/>
      <c r="E1173" s="7"/>
      <c r="F1173" s="435">
        <v>45309.0</v>
      </c>
      <c r="G1173" s="278" t="s">
        <v>707</v>
      </c>
      <c r="H1173" s="436" t="s">
        <v>918</v>
      </c>
      <c r="I1173" s="437">
        <v>4.0</v>
      </c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</row>
    <row r="1174" hidden="1">
      <c r="A1174" s="25"/>
      <c r="B1174" s="26"/>
      <c r="C1174" s="26"/>
      <c r="D1174" s="7"/>
      <c r="E1174" s="7"/>
      <c r="F1174" s="435">
        <v>45309.0</v>
      </c>
      <c r="G1174" s="278" t="s">
        <v>707</v>
      </c>
      <c r="H1174" s="436" t="s">
        <v>916</v>
      </c>
      <c r="I1174" s="437">
        <v>1.0</v>
      </c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</row>
    <row r="1175" hidden="1">
      <c r="A1175" s="25"/>
      <c r="B1175" s="26"/>
      <c r="C1175" s="26"/>
      <c r="D1175" s="7"/>
      <c r="E1175" s="7"/>
      <c r="F1175" s="435">
        <v>45309.0</v>
      </c>
      <c r="G1175" s="278" t="s">
        <v>707</v>
      </c>
      <c r="H1175" s="436" t="s">
        <v>921</v>
      </c>
      <c r="I1175" s="437">
        <v>2.0</v>
      </c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</row>
    <row r="1176" hidden="1">
      <c r="A1176" s="25"/>
      <c r="B1176" s="26"/>
      <c r="C1176" s="26"/>
      <c r="D1176" s="7"/>
      <c r="E1176" s="7"/>
      <c r="F1176" s="435">
        <v>45309.0</v>
      </c>
      <c r="G1176" s="278" t="s">
        <v>707</v>
      </c>
      <c r="H1176" s="436" t="s">
        <v>387</v>
      </c>
      <c r="I1176" s="437">
        <v>5.0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</row>
    <row r="1177" hidden="1">
      <c r="A1177" s="25"/>
      <c r="B1177" s="26"/>
      <c r="C1177" s="26"/>
      <c r="D1177" s="7"/>
      <c r="E1177" s="7"/>
      <c r="F1177" s="435">
        <v>45310.0</v>
      </c>
      <c r="G1177" s="278" t="s">
        <v>697</v>
      </c>
      <c r="H1177" s="436" t="s">
        <v>536</v>
      </c>
      <c r="I1177" s="437">
        <v>3.0</v>
      </c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</row>
    <row r="1178" hidden="1">
      <c r="A1178" s="25"/>
      <c r="B1178" s="26"/>
      <c r="C1178" s="26"/>
      <c r="D1178" s="7"/>
      <c r="E1178" s="7"/>
      <c r="F1178" s="435">
        <v>45310.0</v>
      </c>
      <c r="G1178" s="278" t="s">
        <v>697</v>
      </c>
      <c r="H1178" s="436" t="s">
        <v>536</v>
      </c>
      <c r="I1178" s="437">
        <v>3.0</v>
      </c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</row>
    <row r="1179" hidden="1">
      <c r="A1179" s="25"/>
      <c r="B1179" s="26"/>
      <c r="C1179" s="26"/>
      <c r="D1179" s="7"/>
      <c r="E1179" s="7"/>
      <c r="F1179" s="435">
        <v>45310.0</v>
      </c>
      <c r="G1179" s="278" t="s">
        <v>697</v>
      </c>
      <c r="H1179" s="436" t="s">
        <v>918</v>
      </c>
      <c r="I1179" s="441">
        <v>1.0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</row>
    <row r="1180" hidden="1">
      <c r="A1180" s="25"/>
      <c r="B1180" s="26"/>
      <c r="C1180" s="26"/>
      <c r="D1180" s="7"/>
      <c r="E1180" s="7"/>
      <c r="F1180" s="435">
        <v>45310.0</v>
      </c>
      <c r="G1180" s="278" t="s">
        <v>697</v>
      </c>
      <c r="H1180" s="436" t="s">
        <v>918</v>
      </c>
      <c r="I1180" s="441">
        <v>1.0</v>
      </c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</row>
    <row r="1181" hidden="1">
      <c r="A1181" s="25"/>
      <c r="B1181" s="26"/>
      <c r="C1181" s="26"/>
      <c r="D1181" s="7"/>
      <c r="E1181" s="7"/>
      <c r="F1181" s="435">
        <v>45310.0</v>
      </c>
      <c r="G1181" s="278" t="s">
        <v>697</v>
      </c>
      <c r="H1181" s="436" t="s">
        <v>916</v>
      </c>
      <c r="I1181" s="437">
        <v>5.0</v>
      </c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</row>
    <row r="1182" hidden="1">
      <c r="A1182" s="25"/>
      <c r="B1182" s="26"/>
      <c r="C1182" s="26"/>
      <c r="D1182" s="7"/>
      <c r="E1182" s="7"/>
      <c r="F1182" s="435">
        <v>45310.0</v>
      </c>
      <c r="G1182" s="278" t="s">
        <v>697</v>
      </c>
      <c r="H1182" s="436" t="s">
        <v>916</v>
      </c>
      <c r="I1182" s="437">
        <v>4.0</v>
      </c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</row>
    <row r="1183" hidden="1">
      <c r="A1183" s="25"/>
      <c r="B1183" s="26"/>
      <c r="C1183" s="26"/>
      <c r="D1183" s="7"/>
      <c r="E1183" s="7"/>
      <c r="F1183" s="435">
        <v>45310.0</v>
      </c>
      <c r="G1183" s="278" t="s">
        <v>697</v>
      </c>
      <c r="H1183" s="436" t="s">
        <v>921</v>
      </c>
      <c r="I1183" s="441">
        <v>5.0</v>
      </c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</row>
    <row r="1184" hidden="1">
      <c r="A1184" s="25"/>
      <c r="B1184" s="26"/>
      <c r="C1184" s="26"/>
      <c r="D1184" s="7"/>
      <c r="E1184" s="7"/>
      <c r="F1184" s="435">
        <v>45310.0</v>
      </c>
      <c r="G1184" s="278" t="s">
        <v>697</v>
      </c>
      <c r="H1184" s="436" t="s">
        <v>921</v>
      </c>
      <c r="I1184" s="437">
        <v>3.0</v>
      </c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</row>
    <row r="1185" hidden="1">
      <c r="A1185" s="25"/>
      <c r="B1185" s="26"/>
      <c r="C1185" s="26"/>
      <c r="D1185" s="7"/>
      <c r="E1185" s="7"/>
      <c r="F1185" s="435">
        <v>45310.0</v>
      </c>
      <c r="G1185" s="278" t="s">
        <v>697</v>
      </c>
      <c r="H1185" s="436" t="s">
        <v>387</v>
      </c>
      <c r="I1185" s="441">
        <v>5.0</v>
      </c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</row>
    <row r="1186" hidden="1">
      <c r="A1186" s="25"/>
      <c r="B1186" s="26"/>
      <c r="C1186" s="26"/>
      <c r="D1186" s="7"/>
      <c r="E1186" s="7"/>
      <c r="F1186" s="435">
        <v>45310.0</v>
      </c>
      <c r="G1186" s="278" t="s">
        <v>697</v>
      </c>
      <c r="H1186" s="436" t="s">
        <v>387</v>
      </c>
      <c r="I1186" s="441">
        <v>5.0</v>
      </c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</row>
    <row r="1187" hidden="1">
      <c r="A1187" s="25"/>
      <c r="B1187" s="26"/>
      <c r="C1187" s="26"/>
      <c r="D1187" s="7"/>
      <c r="E1187" s="7"/>
      <c r="F1187" s="435">
        <v>45311.0</v>
      </c>
      <c r="G1187" s="278" t="s">
        <v>697</v>
      </c>
      <c r="H1187" s="436" t="s">
        <v>536</v>
      </c>
      <c r="I1187" s="437">
        <v>5.0</v>
      </c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</row>
    <row r="1188" hidden="1">
      <c r="A1188" s="25"/>
      <c r="B1188" s="26"/>
      <c r="C1188" s="26"/>
      <c r="D1188" s="7"/>
      <c r="E1188" s="7"/>
      <c r="F1188" s="435">
        <v>45311.0</v>
      </c>
      <c r="G1188" s="278" t="s">
        <v>697</v>
      </c>
      <c r="H1188" s="436" t="s">
        <v>918</v>
      </c>
      <c r="I1188" s="441">
        <v>1.0</v>
      </c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</row>
    <row r="1189" hidden="1">
      <c r="A1189" s="25"/>
      <c r="B1189" s="26"/>
      <c r="C1189" s="26"/>
      <c r="D1189" s="7"/>
      <c r="E1189" s="7"/>
      <c r="F1189" s="435">
        <v>45311.0</v>
      </c>
      <c r="G1189" s="278" t="s">
        <v>697</v>
      </c>
      <c r="H1189" s="436" t="s">
        <v>916</v>
      </c>
      <c r="I1189" s="437">
        <v>5.0</v>
      </c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</row>
    <row r="1190" hidden="1">
      <c r="A1190" s="25"/>
      <c r="B1190" s="26"/>
      <c r="C1190" s="26"/>
      <c r="D1190" s="7"/>
      <c r="E1190" s="7"/>
      <c r="F1190" s="435">
        <v>45311.0</v>
      </c>
      <c r="G1190" s="278" t="s">
        <v>697</v>
      </c>
      <c r="H1190" s="436" t="s">
        <v>921</v>
      </c>
      <c r="I1190" s="441">
        <v>5.0</v>
      </c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</row>
    <row r="1191" hidden="1">
      <c r="A1191" s="25"/>
      <c r="B1191" s="26"/>
      <c r="C1191" s="26"/>
      <c r="D1191" s="7"/>
      <c r="E1191" s="7"/>
      <c r="F1191" s="435">
        <v>45311.0</v>
      </c>
      <c r="G1191" s="278" t="s">
        <v>697</v>
      </c>
      <c r="H1191" s="436" t="s">
        <v>387</v>
      </c>
      <c r="I1191" s="441">
        <v>5.0</v>
      </c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</row>
    <row r="1192" hidden="1">
      <c r="A1192" s="25"/>
      <c r="B1192" s="26"/>
      <c r="C1192" s="26"/>
      <c r="D1192" s="7"/>
      <c r="E1192" s="7"/>
      <c r="F1192" s="435">
        <v>45312.0</v>
      </c>
      <c r="G1192" s="278" t="s">
        <v>704</v>
      </c>
      <c r="H1192" s="436" t="s">
        <v>536</v>
      </c>
      <c r="I1192" s="437">
        <v>2.0</v>
      </c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</row>
    <row r="1193" hidden="1">
      <c r="A1193" s="25"/>
      <c r="B1193" s="26"/>
      <c r="C1193" s="26"/>
      <c r="D1193" s="7"/>
      <c r="E1193" s="7"/>
      <c r="F1193" s="435">
        <v>45312.0</v>
      </c>
      <c r="G1193" s="278" t="s">
        <v>704</v>
      </c>
      <c r="H1193" s="436" t="s">
        <v>536</v>
      </c>
      <c r="I1193" s="437">
        <v>2.0</v>
      </c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</row>
    <row r="1194" hidden="1">
      <c r="A1194" s="25"/>
      <c r="B1194" s="26"/>
      <c r="C1194" s="26"/>
      <c r="D1194" s="7"/>
      <c r="E1194" s="7"/>
      <c r="F1194" s="435">
        <v>45312.0</v>
      </c>
      <c r="G1194" s="278" t="s">
        <v>704</v>
      </c>
      <c r="H1194" s="436" t="s">
        <v>918</v>
      </c>
      <c r="I1194" s="437">
        <v>4.0</v>
      </c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</row>
    <row r="1195" hidden="1">
      <c r="A1195" s="25"/>
      <c r="B1195" s="26"/>
      <c r="C1195" s="26"/>
      <c r="D1195" s="7"/>
      <c r="E1195" s="7"/>
      <c r="F1195" s="435">
        <v>45312.0</v>
      </c>
      <c r="G1195" s="278" t="s">
        <v>704</v>
      </c>
      <c r="H1195" s="436" t="s">
        <v>918</v>
      </c>
      <c r="I1195" s="437">
        <v>4.0</v>
      </c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</row>
    <row r="1196" hidden="1">
      <c r="A1196" s="25"/>
      <c r="B1196" s="26"/>
      <c r="C1196" s="26"/>
      <c r="D1196" s="7"/>
      <c r="E1196" s="7"/>
      <c r="F1196" s="435">
        <v>45312.0</v>
      </c>
      <c r="G1196" s="278" t="s">
        <v>704</v>
      </c>
      <c r="H1196" s="436" t="s">
        <v>916</v>
      </c>
      <c r="I1196" s="437">
        <v>5.0</v>
      </c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</row>
    <row r="1197" hidden="1">
      <c r="A1197" s="25"/>
      <c r="B1197" s="26"/>
      <c r="C1197" s="26"/>
      <c r="D1197" s="7"/>
      <c r="E1197" s="7"/>
      <c r="F1197" s="435">
        <v>45312.0</v>
      </c>
      <c r="G1197" s="278" t="s">
        <v>704</v>
      </c>
      <c r="H1197" s="436" t="s">
        <v>916</v>
      </c>
      <c r="I1197" s="437">
        <v>2.0</v>
      </c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</row>
    <row r="1198" hidden="1">
      <c r="A1198" s="25"/>
      <c r="B1198" s="26"/>
      <c r="C1198" s="26"/>
      <c r="D1198" s="7"/>
      <c r="E1198" s="7"/>
      <c r="F1198" s="435">
        <v>45312.0</v>
      </c>
      <c r="G1198" s="278" t="s">
        <v>704</v>
      </c>
      <c r="H1198" s="436" t="s">
        <v>921</v>
      </c>
      <c r="I1198" s="437">
        <v>3.0</v>
      </c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</row>
    <row r="1199" hidden="1">
      <c r="A1199" s="25"/>
      <c r="B1199" s="26"/>
      <c r="C1199" s="26"/>
      <c r="D1199" s="7"/>
      <c r="E1199" s="7"/>
      <c r="F1199" s="435">
        <v>45312.0</v>
      </c>
      <c r="G1199" s="278" t="s">
        <v>704</v>
      </c>
      <c r="H1199" s="436" t="s">
        <v>921</v>
      </c>
      <c r="I1199" s="441">
        <v>5.0</v>
      </c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</row>
    <row r="1200" hidden="1">
      <c r="A1200" s="25"/>
      <c r="B1200" s="26"/>
      <c r="C1200" s="26"/>
      <c r="D1200" s="7"/>
      <c r="E1200" s="7"/>
      <c r="F1200" s="435">
        <v>45312.0</v>
      </c>
      <c r="G1200" s="278" t="s">
        <v>704</v>
      </c>
      <c r="H1200" s="436" t="s">
        <v>387</v>
      </c>
      <c r="I1200" s="437">
        <v>2.0</v>
      </c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</row>
    <row r="1201" hidden="1">
      <c r="A1201" s="25"/>
      <c r="B1201" s="26"/>
      <c r="C1201" s="26"/>
      <c r="D1201" s="7"/>
      <c r="E1201" s="7"/>
      <c r="F1201" s="435">
        <v>45312.0</v>
      </c>
      <c r="G1201" s="278" t="s">
        <v>704</v>
      </c>
      <c r="H1201" s="436" t="s">
        <v>387</v>
      </c>
      <c r="I1201" s="437">
        <v>5.0</v>
      </c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</row>
    <row r="1202" hidden="1">
      <c r="A1202" s="25"/>
      <c r="B1202" s="26"/>
      <c r="C1202" s="26"/>
      <c r="D1202" s="7"/>
      <c r="E1202" s="7"/>
      <c r="F1202" s="435">
        <v>45313.0</v>
      </c>
      <c r="G1202" s="278" t="s">
        <v>716</v>
      </c>
      <c r="H1202" s="436" t="s">
        <v>536</v>
      </c>
      <c r="I1202" s="437">
        <v>3.0</v>
      </c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</row>
    <row r="1203" hidden="1">
      <c r="A1203" s="25"/>
      <c r="B1203" s="26"/>
      <c r="C1203" s="26"/>
      <c r="D1203" s="7"/>
      <c r="E1203" s="7"/>
      <c r="F1203" s="435">
        <v>45313.0</v>
      </c>
      <c r="G1203" s="278" t="s">
        <v>716</v>
      </c>
      <c r="H1203" s="436" t="s">
        <v>918</v>
      </c>
      <c r="I1203" s="437">
        <v>2.0</v>
      </c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</row>
    <row r="1204" hidden="1">
      <c r="A1204" s="25"/>
      <c r="B1204" s="26"/>
      <c r="C1204" s="26"/>
      <c r="D1204" s="7"/>
      <c r="E1204" s="7"/>
      <c r="F1204" s="435">
        <v>45313.0</v>
      </c>
      <c r="G1204" s="278" t="s">
        <v>716</v>
      </c>
      <c r="H1204" s="436" t="s">
        <v>916</v>
      </c>
      <c r="I1204" s="437">
        <v>2.0</v>
      </c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</row>
    <row r="1205" hidden="1">
      <c r="A1205" s="25"/>
      <c r="B1205" s="26"/>
      <c r="C1205" s="26"/>
      <c r="D1205" s="7"/>
      <c r="E1205" s="7"/>
      <c r="F1205" s="435">
        <v>45313.0</v>
      </c>
      <c r="G1205" s="278" t="s">
        <v>716</v>
      </c>
      <c r="H1205" s="436" t="s">
        <v>921</v>
      </c>
      <c r="I1205" s="437">
        <v>4.0</v>
      </c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</row>
    <row r="1206" hidden="1">
      <c r="A1206" s="25"/>
      <c r="B1206" s="26"/>
      <c r="C1206" s="26"/>
      <c r="D1206" s="7"/>
      <c r="E1206" s="7"/>
      <c r="F1206" s="435">
        <v>45313.0</v>
      </c>
      <c r="G1206" s="278" t="s">
        <v>716</v>
      </c>
      <c r="H1206" s="436" t="s">
        <v>387</v>
      </c>
      <c r="I1206" s="437">
        <v>3.0</v>
      </c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</row>
    <row r="1207" hidden="1">
      <c r="A1207" s="25"/>
      <c r="B1207" s="26"/>
      <c r="C1207" s="26"/>
      <c r="D1207" s="7"/>
      <c r="E1207" s="7"/>
      <c r="F1207" s="435">
        <v>45316.0</v>
      </c>
      <c r="G1207" s="278" t="s">
        <v>707</v>
      </c>
      <c r="H1207" s="436" t="s">
        <v>536</v>
      </c>
      <c r="I1207" s="437">
        <v>5.0</v>
      </c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</row>
    <row r="1208" hidden="1">
      <c r="A1208" s="25"/>
      <c r="B1208" s="26"/>
      <c r="C1208" s="26"/>
      <c r="D1208" s="7"/>
      <c r="E1208" s="7"/>
      <c r="F1208" s="435">
        <v>45316.0</v>
      </c>
      <c r="G1208" s="278" t="s">
        <v>707</v>
      </c>
      <c r="H1208" s="436" t="s">
        <v>918</v>
      </c>
      <c r="I1208" s="437">
        <v>3.0</v>
      </c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</row>
    <row r="1209" hidden="1">
      <c r="A1209" s="25"/>
      <c r="B1209" s="26"/>
      <c r="C1209" s="26"/>
      <c r="D1209" s="7"/>
      <c r="E1209" s="7"/>
      <c r="F1209" s="435">
        <v>45316.0</v>
      </c>
      <c r="G1209" s="278" t="s">
        <v>707</v>
      </c>
      <c r="H1209" s="436" t="s">
        <v>916</v>
      </c>
      <c r="I1209" s="437">
        <v>2.0</v>
      </c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</row>
    <row r="1210" hidden="1">
      <c r="A1210" s="25"/>
      <c r="B1210" s="26"/>
      <c r="C1210" s="26"/>
      <c r="D1210" s="7"/>
      <c r="E1210" s="7"/>
      <c r="F1210" s="435">
        <v>45316.0</v>
      </c>
      <c r="G1210" s="278" t="s">
        <v>707</v>
      </c>
      <c r="H1210" s="436" t="s">
        <v>921</v>
      </c>
      <c r="I1210" s="437">
        <v>2.0</v>
      </c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</row>
    <row r="1211" hidden="1">
      <c r="A1211" s="25"/>
      <c r="B1211" s="26"/>
      <c r="C1211" s="26"/>
      <c r="D1211" s="7"/>
      <c r="E1211" s="7"/>
      <c r="F1211" s="435">
        <v>45316.0</v>
      </c>
      <c r="G1211" s="278" t="s">
        <v>707</v>
      </c>
      <c r="H1211" s="436" t="s">
        <v>387</v>
      </c>
      <c r="I1211" s="437">
        <v>3.0</v>
      </c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</row>
    <row r="1212" hidden="1">
      <c r="A1212" s="25"/>
      <c r="B1212" s="26"/>
      <c r="C1212" s="26"/>
      <c r="D1212" s="7"/>
      <c r="E1212" s="7"/>
      <c r="F1212" s="435">
        <v>45317.0</v>
      </c>
      <c r="G1212" s="278" t="s">
        <v>697</v>
      </c>
      <c r="H1212" s="436" t="s">
        <v>536</v>
      </c>
      <c r="I1212" s="437">
        <v>2.0</v>
      </c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</row>
    <row r="1213" hidden="1">
      <c r="A1213" s="25"/>
      <c r="B1213" s="26"/>
      <c r="C1213" s="26"/>
      <c r="D1213" s="7"/>
      <c r="E1213" s="7"/>
      <c r="F1213" s="435">
        <v>45317.0</v>
      </c>
      <c r="G1213" s="278" t="s">
        <v>697</v>
      </c>
      <c r="H1213" s="436" t="s">
        <v>918</v>
      </c>
      <c r="I1213" s="441">
        <v>1.0</v>
      </c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</row>
    <row r="1214" hidden="1">
      <c r="A1214" s="25"/>
      <c r="B1214" s="26"/>
      <c r="C1214" s="26"/>
      <c r="D1214" s="7"/>
      <c r="E1214" s="7"/>
      <c r="F1214" s="435">
        <v>45317.0</v>
      </c>
      <c r="G1214" s="278" t="s">
        <v>697</v>
      </c>
      <c r="H1214" s="436" t="s">
        <v>916</v>
      </c>
      <c r="I1214" s="437">
        <v>1.0</v>
      </c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</row>
    <row r="1215" hidden="1">
      <c r="A1215" s="25"/>
      <c r="B1215" s="26"/>
      <c r="C1215" s="26"/>
      <c r="D1215" s="7"/>
      <c r="E1215" s="7"/>
      <c r="F1215" s="435">
        <v>45317.0</v>
      </c>
      <c r="G1215" s="278" t="s">
        <v>697</v>
      </c>
      <c r="H1215" s="436" t="s">
        <v>921</v>
      </c>
      <c r="I1215" s="441">
        <v>5.0</v>
      </c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</row>
    <row r="1216" hidden="1">
      <c r="A1216" s="25"/>
      <c r="B1216" s="26"/>
      <c r="C1216" s="26"/>
      <c r="D1216" s="7"/>
      <c r="E1216" s="7"/>
      <c r="F1216" s="435">
        <v>45317.0</v>
      </c>
      <c r="G1216" s="278" t="s">
        <v>697</v>
      </c>
      <c r="H1216" s="436" t="s">
        <v>387</v>
      </c>
      <c r="I1216" s="441">
        <v>5.0</v>
      </c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</row>
    <row r="1217" hidden="1">
      <c r="A1217" s="25"/>
      <c r="B1217" s="26"/>
      <c r="C1217" s="26"/>
      <c r="D1217" s="7"/>
      <c r="E1217" s="7"/>
      <c r="F1217" s="435">
        <v>45319.0</v>
      </c>
      <c r="G1217" s="278" t="s">
        <v>716</v>
      </c>
      <c r="H1217" s="436" t="s">
        <v>536</v>
      </c>
      <c r="I1217" s="437">
        <v>5.0</v>
      </c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</row>
    <row r="1218" hidden="1">
      <c r="A1218" s="25"/>
      <c r="B1218" s="26"/>
      <c r="C1218" s="26"/>
      <c r="D1218" s="7"/>
      <c r="E1218" s="7"/>
      <c r="F1218" s="435">
        <v>45319.0</v>
      </c>
      <c r="G1218" s="278" t="s">
        <v>716</v>
      </c>
      <c r="H1218" s="436" t="s">
        <v>536</v>
      </c>
      <c r="I1218" s="437">
        <v>3.0</v>
      </c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</row>
    <row r="1219" hidden="1">
      <c r="A1219" s="25"/>
      <c r="B1219" s="26"/>
      <c r="C1219" s="26"/>
      <c r="D1219" s="7"/>
      <c r="E1219" s="7"/>
      <c r="F1219" s="435">
        <v>45319.0</v>
      </c>
      <c r="G1219" s="278" t="s">
        <v>716</v>
      </c>
      <c r="H1219" s="436" t="s">
        <v>918</v>
      </c>
      <c r="I1219" s="437">
        <v>4.0</v>
      </c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</row>
    <row r="1220" hidden="1">
      <c r="A1220" s="25"/>
      <c r="B1220" s="26"/>
      <c r="C1220" s="26"/>
      <c r="D1220" s="7"/>
      <c r="E1220" s="7"/>
      <c r="F1220" s="435">
        <v>45319.0</v>
      </c>
      <c r="G1220" s="278" t="s">
        <v>716</v>
      </c>
      <c r="H1220" s="436" t="s">
        <v>918</v>
      </c>
      <c r="I1220" s="437">
        <v>5.0</v>
      </c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</row>
    <row r="1221" hidden="1">
      <c r="A1221" s="25"/>
      <c r="B1221" s="26"/>
      <c r="C1221" s="26"/>
      <c r="D1221" s="7"/>
      <c r="E1221" s="7"/>
      <c r="F1221" s="435">
        <v>45319.0</v>
      </c>
      <c r="G1221" s="278" t="s">
        <v>716</v>
      </c>
      <c r="H1221" s="436" t="s">
        <v>916</v>
      </c>
      <c r="I1221" s="437">
        <v>2.0</v>
      </c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</row>
    <row r="1222" hidden="1">
      <c r="A1222" s="25"/>
      <c r="B1222" s="26"/>
      <c r="C1222" s="26"/>
      <c r="D1222" s="7"/>
      <c r="E1222" s="7"/>
      <c r="F1222" s="435">
        <v>45319.0</v>
      </c>
      <c r="G1222" s="278" t="s">
        <v>716</v>
      </c>
      <c r="H1222" s="436" t="s">
        <v>916</v>
      </c>
      <c r="I1222" s="437">
        <v>2.0</v>
      </c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</row>
    <row r="1223" hidden="1">
      <c r="A1223" s="25"/>
      <c r="B1223" s="26"/>
      <c r="C1223" s="26"/>
      <c r="D1223" s="7"/>
      <c r="E1223" s="7"/>
      <c r="F1223" s="435">
        <v>45319.0</v>
      </c>
      <c r="G1223" s="278" t="s">
        <v>716</v>
      </c>
      <c r="H1223" s="436" t="s">
        <v>921</v>
      </c>
      <c r="I1223" s="437">
        <v>4.0</v>
      </c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</row>
    <row r="1224" hidden="1">
      <c r="A1224" s="25"/>
      <c r="B1224" s="26"/>
      <c r="C1224" s="26"/>
      <c r="D1224" s="7"/>
      <c r="E1224" s="7"/>
      <c r="F1224" s="435">
        <v>45319.0</v>
      </c>
      <c r="G1224" s="278" t="s">
        <v>716</v>
      </c>
      <c r="H1224" s="436" t="s">
        <v>921</v>
      </c>
      <c r="I1224" s="437">
        <v>2.0</v>
      </c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</row>
    <row r="1225" hidden="1">
      <c r="A1225" s="25"/>
      <c r="B1225" s="26"/>
      <c r="C1225" s="26"/>
      <c r="D1225" s="7"/>
      <c r="E1225" s="7"/>
      <c r="F1225" s="435">
        <v>45319.0</v>
      </c>
      <c r="G1225" s="278" t="s">
        <v>716</v>
      </c>
      <c r="H1225" s="436" t="s">
        <v>387</v>
      </c>
      <c r="I1225" s="437">
        <v>1.0</v>
      </c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</row>
    <row r="1226" hidden="1">
      <c r="A1226" s="25"/>
      <c r="B1226" s="26"/>
      <c r="C1226" s="26"/>
      <c r="D1226" s="7"/>
      <c r="E1226" s="7"/>
      <c r="F1226" s="435">
        <v>45319.0</v>
      </c>
      <c r="G1226" s="278" t="s">
        <v>716</v>
      </c>
      <c r="H1226" s="436" t="s">
        <v>387</v>
      </c>
      <c r="I1226" s="437">
        <v>5.0</v>
      </c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</row>
    <row r="1227" hidden="1">
      <c r="A1227" s="25"/>
      <c r="B1227" s="26"/>
      <c r="C1227" s="26"/>
      <c r="D1227" s="7"/>
      <c r="E1227" s="7"/>
      <c r="F1227" s="435">
        <v>45322.0</v>
      </c>
      <c r="G1227" s="278" t="s">
        <v>704</v>
      </c>
      <c r="H1227" s="436" t="s">
        <v>536</v>
      </c>
      <c r="I1227" s="437">
        <v>1.0</v>
      </c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</row>
    <row r="1228" hidden="1">
      <c r="A1228" s="25"/>
      <c r="B1228" s="26"/>
      <c r="C1228" s="26"/>
      <c r="D1228" s="7"/>
      <c r="E1228" s="7"/>
      <c r="F1228" s="435">
        <v>45322.0</v>
      </c>
      <c r="G1228" s="278" t="s">
        <v>704</v>
      </c>
      <c r="H1228" s="436" t="s">
        <v>918</v>
      </c>
      <c r="I1228" s="437">
        <v>4.0</v>
      </c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</row>
    <row r="1229" hidden="1">
      <c r="A1229" s="25"/>
      <c r="B1229" s="26"/>
      <c r="C1229" s="26"/>
      <c r="D1229" s="7"/>
      <c r="E1229" s="7"/>
      <c r="F1229" s="435">
        <v>45322.0</v>
      </c>
      <c r="G1229" s="278" t="s">
        <v>704</v>
      </c>
      <c r="H1229" s="436" t="s">
        <v>916</v>
      </c>
      <c r="I1229" s="437">
        <v>3.0</v>
      </c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</row>
    <row r="1230" hidden="1">
      <c r="A1230" s="25"/>
      <c r="B1230" s="26"/>
      <c r="C1230" s="26"/>
      <c r="D1230" s="7"/>
      <c r="E1230" s="7"/>
      <c r="F1230" s="435">
        <v>45322.0</v>
      </c>
      <c r="G1230" s="278" t="s">
        <v>704</v>
      </c>
      <c r="H1230" s="436" t="s">
        <v>921</v>
      </c>
      <c r="I1230" s="441">
        <v>5.0</v>
      </c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</row>
    <row r="1231" hidden="1">
      <c r="A1231" s="25"/>
      <c r="B1231" s="26"/>
      <c r="C1231" s="26"/>
      <c r="D1231" s="7"/>
      <c r="E1231" s="7"/>
      <c r="F1231" s="435">
        <v>45322.0</v>
      </c>
      <c r="G1231" s="278" t="s">
        <v>704</v>
      </c>
      <c r="H1231" s="436" t="s">
        <v>387</v>
      </c>
      <c r="I1231" s="437">
        <v>1.0</v>
      </c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</row>
    <row r="1232" hidden="1">
      <c r="A1232" s="25"/>
      <c r="B1232" s="26"/>
      <c r="C1232" s="26"/>
      <c r="D1232" s="7"/>
      <c r="E1232" s="7"/>
      <c r="F1232" s="435">
        <v>45326.0</v>
      </c>
      <c r="G1232" s="278" t="s">
        <v>704</v>
      </c>
      <c r="H1232" s="436" t="s">
        <v>536</v>
      </c>
      <c r="I1232" s="441">
        <v>2.0</v>
      </c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</row>
    <row r="1233" hidden="1">
      <c r="A1233" s="25"/>
      <c r="B1233" s="26"/>
      <c r="C1233" s="26"/>
      <c r="D1233" s="7"/>
      <c r="E1233" s="7"/>
      <c r="F1233" s="435">
        <v>45326.0</v>
      </c>
      <c r="G1233" s="278" t="s">
        <v>704</v>
      </c>
      <c r="H1233" s="436" t="s">
        <v>918</v>
      </c>
      <c r="I1233" s="437">
        <v>2.0</v>
      </c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</row>
    <row r="1234" hidden="1">
      <c r="A1234" s="25"/>
      <c r="B1234" s="26"/>
      <c r="C1234" s="26"/>
      <c r="D1234" s="7"/>
      <c r="E1234" s="7"/>
      <c r="F1234" s="435">
        <v>45326.0</v>
      </c>
      <c r="G1234" s="278" t="s">
        <v>704</v>
      </c>
      <c r="H1234" s="436" t="s">
        <v>916</v>
      </c>
      <c r="I1234" s="437">
        <v>2.0</v>
      </c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</row>
    <row r="1235" hidden="1">
      <c r="A1235" s="25"/>
      <c r="B1235" s="26"/>
      <c r="C1235" s="26"/>
      <c r="D1235" s="7"/>
      <c r="E1235" s="7"/>
      <c r="F1235" s="435">
        <v>45326.0</v>
      </c>
      <c r="G1235" s="278" t="s">
        <v>704</v>
      </c>
      <c r="H1235" s="436" t="s">
        <v>921</v>
      </c>
      <c r="I1235" s="441">
        <v>5.0</v>
      </c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</row>
    <row r="1236" hidden="1">
      <c r="A1236" s="25"/>
      <c r="B1236" s="26"/>
      <c r="C1236" s="26"/>
      <c r="D1236" s="7"/>
      <c r="E1236" s="7"/>
      <c r="F1236" s="435">
        <v>45326.0</v>
      </c>
      <c r="G1236" s="278" t="s">
        <v>704</v>
      </c>
      <c r="H1236" s="436" t="s">
        <v>387</v>
      </c>
      <c r="I1236" s="437">
        <v>1.0</v>
      </c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</row>
    <row r="1237" hidden="1">
      <c r="A1237" s="25"/>
      <c r="B1237" s="26"/>
      <c r="C1237" s="26"/>
      <c r="D1237" s="7"/>
      <c r="E1237" s="7"/>
      <c r="F1237" s="435">
        <v>45328.0</v>
      </c>
      <c r="G1237" s="278" t="s">
        <v>704</v>
      </c>
      <c r="H1237" s="436" t="s">
        <v>536</v>
      </c>
      <c r="I1237" s="441">
        <v>2.0</v>
      </c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</row>
    <row r="1238" hidden="1">
      <c r="A1238" s="25"/>
      <c r="B1238" s="26"/>
      <c r="C1238" s="26"/>
      <c r="D1238" s="7"/>
      <c r="E1238" s="7"/>
      <c r="F1238" s="435">
        <v>45328.0</v>
      </c>
      <c r="G1238" s="278" t="s">
        <v>704</v>
      </c>
      <c r="H1238" s="436" t="s">
        <v>918</v>
      </c>
      <c r="I1238" s="437">
        <v>3.0</v>
      </c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</row>
    <row r="1239" hidden="1">
      <c r="A1239" s="25"/>
      <c r="B1239" s="26"/>
      <c r="C1239" s="26"/>
      <c r="D1239" s="7"/>
      <c r="E1239" s="7"/>
      <c r="F1239" s="435">
        <v>45328.0</v>
      </c>
      <c r="G1239" s="278" t="s">
        <v>704</v>
      </c>
      <c r="H1239" s="436" t="s">
        <v>916</v>
      </c>
      <c r="I1239" s="437">
        <v>5.0</v>
      </c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</row>
    <row r="1240" hidden="1">
      <c r="A1240" s="25"/>
      <c r="B1240" s="26"/>
      <c r="C1240" s="26"/>
      <c r="D1240" s="7"/>
      <c r="E1240" s="7"/>
      <c r="F1240" s="435">
        <v>45328.0</v>
      </c>
      <c r="G1240" s="278" t="s">
        <v>704</v>
      </c>
      <c r="H1240" s="436" t="s">
        <v>921</v>
      </c>
      <c r="I1240" s="441">
        <v>5.0</v>
      </c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</row>
    <row r="1241" hidden="1">
      <c r="A1241" s="25"/>
      <c r="B1241" s="26"/>
      <c r="C1241" s="26"/>
      <c r="D1241" s="7"/>
      <c r="E1241" s="7"/>
      <c r="F1241" s="435">
        <v>45328.0</v>
      </c>
      <c r="G1241" s="278" t="s">
        <v>704</v>
      </c>
      <c r="H1241" s="436" t="s">
        <v>387</v>
      </c>
      <c r="I1241" s="437">
        <v>4.0</v>
      </c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</row>
    <row r="1242" hidden="1">
      <c r="A1242" s="25"/>
      <c r="B1242" s="26"/>
      <c r="C1242" s="26"/>
      <c r="D1242" s="7"/>
      <c r="E1242" s="7"/>
      <c r="F1242" s="435">
        <v>45333.0</v>
      </c>
      <c r="G1242" s="278" t="s">
        <v>707</v>
      </c>
      <c r="H1242" s="436" t="s">
        <v>536</v>
      </c>
      <c r="I1242" s="437">
        <v>3.0</v>
      </c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</row>
    <row r="1243" hidden="1">
      <c r="A1243" s="25"/>
      <c r="B1243" s="26"/>
      <c r="C1243" s="26"/>
      <c r="D1243" s="7"/>
      <c r="E1243" s="7"/>
      <c r="F1243" s="435">
        <v>45333.0</v>
      </c>
      <c r="G1243" s="278" t="s">
        <v>707</v>
      </c>
      <c r="H1243" s="436" t="s">
        <v>536</v>
      </c>
      <c r="I1243" s="437">
        <v>4.0</v>
      </c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</row>
    <row r="1244" hidden="1">
      <c r="A1244" s="25"/>
      <c r="B1244" s="26"/>
      <c r="C1244" s="26"/>
      <c r="D1244" s="7"/>
      <c r="E1244" s="7"/>
      <c r="F1244" s="435">
        <v>45333.0</v>
      </c>
      <c r="G1244" s="278" t="s">
        <v>707</v>
      </c>
      <c r="H1244" s="436" t="s">
        <v>918</v>
      </c>
      <c r="I1244" s="437">
        <v>1.0</v>
      </c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</row>
    <row r="1245" hidden="1">
      <c r="A1245" s="25"/>
      <c r="B1245" s="26"/>
      <c r="C1245" s="26"/>
      <c r="D1245" s="7"/>
      <c r="E1245" s="7"/>
      <c r="F1245" s="435">
        <v>45333.0</v>
      </c>
      <c r="G1245" s="278" t="s">
        <v>707</v>
      </c>
      <c r="H1245" s="436" t="s">
        <v>918</v>
      </c>
      <c r="I1245" s="437">
        <v>4.0</v>
      </c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</row>
    <row r="1246" hidden="1">
      <c r="A1246" s="25"/>
      <c r="B1246" s="26"/>
      <c r="C1246" s="26"/>
      <c r="D1246" s="7"/>
      <c r="E1246" s="7"/>
      <c r="F1246" s="435">
        <v>45333.0</v>
      </c>
      <c r="G1246" s="278" t="s">
        <v>707</v>
      </c>
      <c r="H1246" s="436" t="s">
        <v>916</v>
      </c>
      <c r="I1246" s="437">
        <v>3.0</v>
      </c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</row>
    <row r="1247" hidden="1">
      <c r="A1247" s="25"/>
      <c r="B1247" s="26"/>
      <c r="C1247" s="26"/>
      <c r="D1247" s="7"/>
      <c r="E1247" s="7"/>
      <c r="F1247" s="435">
        <v>45333.0</v>
      </c>
      <c r="G1247" s="278" t="s">
        <v>707</v>
      </c>
      <c r="H1247" s="436" t="s">
        <v>916</v>
      </c>
      <c r="I1247" s="437">
        <v>2.0</v>
      </c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</row>
    <row r="1248" hidden="1">
      <c r="A1248" s="25"/>
      <c r="B1248" s="26"/>
      <c r="C1248" s="26"/>
      <c r="D1248" s="7"/>
      <c r="E1248" s="7"/>
      <c r="F1248" s="435">
        <v>45333.0</v>
      </c>
      <c r="G1248" s="278" t="s">
        <v>707</v>
      </c>
      <c r="H1248" s="436" t="s">
        <v>921</v>
      </c>
      <c r="I1248" s="437">
        <v>2.0</v>
      </c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</row>
    <row r="1249" hidden="1">
      <c r="A1249" s="25"/>
      <c r="B1249" s="26"/>
      <c r="C1249" s="26"/>
      <c r="D1249" s="7"/>
      <c r="E1249" s="7"/>
      <c r="F1249" s="435">
        <v>45333.0</v>
      </c>
      <c r="G1249" s="278" t="s">
        <v>707</v>
      </c>
      <c r="H1249" s="436" t="s">
        <v>921</v>
      </c>
      <c r="I1249" s="437">
        <v>2.0</v>
      </c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</row>
    <row r="1250" hidden="1">
      <c r="A1250" s="25"/>
      <c r="B1250" s="26"/>
      <c r="C1250" s="26"/>
      <c r="D1250" s="7"/>
      <c r="E1250" s="7"/>
      <c r="F1250" s="435">
        <v>45333.0</v>
      </c>
      <c r="G1250" s="278" t="s">
        <v>707</v>
      </c>
      <c r="H1250" s="436" t="s">
        <v>387</v>
      </c>
      <c r="I1250" s="437">
        <v>3.0</v>
      </c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</row>
    <row r="1251" hidden="1">
      <c r="A1251" s="25"/>
      <c r="B1251" s="26"/>
      <c r="C1251" s="26"/>
      <c r="D1251" s="7"/>
      <c r="E1251" s="7"/>
      <c r="F1251" s="435">
        <v>45333.0</v>
      </c>
      <c r="G1251" s="278" t="s">
        <v>707</v>
      </c>
      <c r="H1251" s="436" t="s">
        <v>387</v>
      </c>
      <c r="I1251" s="437">
        <v>3.0</v>
      </c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</row>
    <row r="1252" hidden="1">
      <c r="A1252" s="25"/>
      <c r="B1252" s="26"/>
      <c r="C1252" s="26"/>
      <c r="D1252" s="7"/>
      <c r="E1252" s="7"/>
      <c r="F1252" s="435">
        <v>45336.0</v>
      </c>
      <c r="G1252" s="278" t="s">
        <v>707</v>
      </c>
      <c r="H1252" s="436" t="s">
        <v>536</v>
      </c>
      <c r="I1252" s="437">
        <v>5.0</v>
      </c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</row>
    <row r="1253" hidden="1">
      <c r="A1253" s="25"/>
      <c r="B1253" s="26"/>
      <c r="C1253" s="26"/>
      <c r="D1253" s="7"/>
      <c r="E1253" s="7"/>
      <c r="F1253" s="435">
        <v>45336.0</v>
      </c>
      <c r="G1253" s="278" t="s">
        <v>707</v>
      </c>
      <c r="H1253" s="436" t="s">
        <v>536</v>
      </c>
      <c r="I1253" s="437">
        <v>2.0</v>
      </c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</row>
    <row r="1254" hidden="1">
      <c r="A1254" s="25"/>
      <c r="B1254" s="26"/>
      <c r="C1254" s="26"/>
      <c r="D1254" s="7"/>
      <c r="E1254" s="7"/>
      <c r="F1254" s="435">
        <v>45336.0</v>
      </c>
      <c r="G1254" s="278" t="s">
        <v>707</v>
      </c>
      <c r="H1254" s="436" t="s">
        <v>918</v>
      </c>
      <c r="I1254" s="437">
        <v>1.0</v>
      </c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</row>
    <row r="1255" hidden="1">
      <c r="A1255" s="25"/>
      <c r="B1255" s="26"/>
      <c r="C1255" s="26"/>
      <c r="D1255" s="7"/>
      <c r="E1255" s="7"/>
      <c r="F1255" s="435">
        <v>45336.0</v>
      </c>
      <c r="G1255" s="278" t="s">
        <v>707</v>
      </c>
      <c r="H1255" s="436" t="s">
        <v>918</v>
      </c>
      <c r="I1255" s="437">
        <v>5.0</v>
      </c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</row>
    <row r="1256" hidden="1">
      <c r="A1256" s="25"/>
      <c r="B1256" s="26"/>
      <c r="C1256" s="26"/>
      <c r="D1256" s="7"/>
      <c r="E1256" s="7"/>
      <c r="F1256" s="435">
        <v>45336.0</v>
      </c>
      <c r="G1256" s="278" t="s">
        <v>707</v>
      </c>
      <c r="H1256" s="436" t="s">
        <v>916</v>
      </c>
      <c r="I1256" s="437">
        <v>3.0</v>
      </c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</row>
    <row r="1257" hidden="1">
      <c r="A1257" s="25"/>
      <c r="B1257" s="26"/>
      <c r="C1257" s="26"/>
      <c r="D1257" s="7"/>
      <c r="E1257" s="7"/>
      <c r="F1257" s="435">
        <v>45336.0</v>
      </c>
      <c r="G1257" s="278" t="s">
        <v>707</v>
      </c>
      <c r="H1257" s="436" t="s">
        <v>916</v>
      </c>
      <c r="I1257" s="437">
        <v>2.0</v>
      </c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</row>
    <row r="1258" hidden="1">
      <c r="A1258" s="25"/>
      <c r="B1258" s="26"/>
      <c r="C1258" s="26"/>
      <c r="D1258" s="7"/>
      <c r="E1258" s="7"/>
      <c r="F1258" s="435">
        <v>45336.0</v>
      </c>
      <c r="G1258" s="278" t="s">
        <v>707</v>
      </c>
      <c r="H1258" s="436" t="s">
        <v>921</v>
      </c>
      <c r="I1258" s="437">
        <v>1.0</v>
      </c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</row>
    <row r="1259" hidden="1">
      <c r="A1259" s="25"/>
      <c r="B1259" s="26"/>
      <c r="C1259" s="26"/>
      <c r="D1259" s="7"/>
      <c r="E1259" s="7"/>
      <c r="F1259" s="435">
        <v>45336.0</v>
      </c>
      <c r="G1259" s="278" t="s">
        <v>707</v>
      </c>
      <c r="H1259" s="436" t="s">
        <v>921</v>
      </c>
      <c r="I1259" s="437">
        <v>2.0</v>
      </c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</row>
    <row r="1260" hidden="1">
      <c r="A1260" s="25"/>
      <c r="B1260" s="26"/>
      <c r="C1260" s="26"/>
      <c r="D1260" s="7"/>
      <c r="E1260" s="7"/>
      <c r="F1260" s="435">
        <v>45336.0</v>
      </c>
      <c r="G1260" s="278" t="s">
        <v>707</v>
      </c>
      <c r="H1260" s="436" t="s">
        <v>387</v>
      </c>
      <c r="I1260" s="437">
        <v>1.0</v>
      </c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</row>
    <row r="1261" hidden="1">
      <c r="A1261" s="25"/>
      <c r="B1261" s="26"/>
      <c r="C1261" s="26"/>
      <c r="D1261" s="7"/>
      <c r="E1261" s="7"/>
      <c r="F1261" s="435">
        <v>45336.0</v>
      </c>
      <c r="G1261" s="278" t="s">
        <v>707</v>
      </c>
      <c r="H1261" s="436" t="s">
        <v>387</v>
      </c>
      <c r="I1261" s="437">
        <v>1.0</v>
      </c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</row>
    <row r="1262" hidden="1">
      <c r="A1262" s="25"/>
      <c r="B1262" s="26"/>
      <c r="C1262" s="26"/>
      <c r="D1262" s="7"/>
      <c r="E1262" s="7"/>
      <c r="F1262" s="435">
        <v>45337.0</v>
      </c>
      <c r="G1262" s="278" t="s">
        <v>716</v>
      </c>
      <c r="H1262" s="436" t="s">
        <v>536</v>
      </c>
      <c r="I1262" s="437">
        <v>3.0</v>
      </c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</row>
    <row r="1263" hidden="1">
      <c r="A1263" s="25"/>
      <c r="B1263" s="26"/>
      <c r="C1263" s="26"/>
      <c r="D1263" s="7"/>
      <c r="E1263" s="7"/>
      <c r="F1263" s="435">
        <v>45337.0</v>
      </c>
      <c r="G1263" s="278" t="s">
        <v>716</v>
      </c>
      <c r="H1263" s="436" t="s">
        <v>918</v>
      </c>
      <c r="I1263" s="437">
        <v>4.0</v>
      </c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</row>
    <row r="1264" hidden="1">
      <c r="A1264" s="25"/>
      <c r="B1264" s="26"/>
      <c r="C1264" s="26"/>
      <c r="D1264" s="7"/>
      <c r="E1264" s="7"/>
      <c r="F1264" s="435">
        <v>45337.0</v>
      </c>
      <c r="G1264" s="278" t="s">
        <v>716</v>
      </c>
      <c r="H1264" s="436" t="s">
        <v>916</v>
      </c>
      <c r="I1264" s="437">
        <v>4.0</v>
      </c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</row>
    <row r="1265" hidden="1">
      <c r="A1265" s="25"/>
      <c r="B1265" s="26"/>
      <c r="C1265" s="26"/>
      <c r="D1265" s="7"/>
      <c r="E1265" s="7"/>
      <c r="F1265" s="435">
        <v>45337.0</v>
      </c>
      <c r="G1265" s="278" t="s">
        <v>716</v>
      </c>
      <c r="H1265" s="436" t="s">
        <v>921</v>
      </c>
      <c r="I1265" s="437">
        <v>3.0</v>
      </c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</row>
    <row r="1266" hidden="1">
      <c r="A1266" s="25"/>
      <c r="B1266" s="26"/>
      <c r="C1266" s="26"/>
      <c r="D1266" s="7"/>
      <c r="E1266" s="7"/>
      <c r="F1266" s="435">
        <v>45337.0</v>
      </c>
      <c r="G1266" s="278" t="s">
        <v>716</v>
      </c>
      <c r="H1266" s="436" t="s">
        <v>387</v>
      </c>
      <c r="I1266" s="437">
        <v>3.0</v>
      </c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</row>
    <row r="1267" hidden="1">
      <c r="A1267" s="25"/>
      <c r="B1267" s="26"/>
      <c r="C1267" s="26"/>
      <c r="D1267" s="7"/>
      <c r="E1267" s="7"/>
      <c r="F1267" s="435">
        <v>45337.0</v>
      </c>
      <c r="G1267" s="278" t="s">
        <v>707</v>
      </c>
      <c r="H1267" s="436" t="s">
        <v>536</v>
      </c>
      <c r="I1267" s="437">
        <v>3.0</v>
      </c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</row>
    <row r="1268" hidden="1">
      <c r="A1268" s="25"/>
      <c r="B1268" s="26"/>
      <c r="C1268" s="26"/>
      <c r="D1268" s="7"/>
      <c r="E1268" s="7"/>
      <c r="F1268" s="435">
        <v>45337.0</v>
      </c>
      <c r="G1268" s="278" t="s">
        <v>707</v>
      </c>
      <c r="H1268" s="436" t="s">
        <v>918</v>
      </c>
      <c r="I1268" s="437">
        <v>4.0</v>
      </c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</row>
    <row r="1269" hidden="1">
      <c r="A1269" s="25"/>
      <c r="B1269" s="26"/>
      <c r="C1269" s="26"/>
      <c r="D1269" s="7"/>
      <c r="E1269" s="7"/>
      <c r="F1269" s="435">
        <v>45337.0</v>
      </c>
      <c r="G1269" s="278" t="s">
        <v>707</v>
      </c>
      <c r="H1269" s="436" t="s">
        <v>916</v>
      </c>
      <c r="I1269" s="437">
        <v>1.0</v>
      </c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</row>
    <row r="1270" hidden="1">
      <c r="A1270" s="25"/>
      <c r="B1270" s="26"/>
      <c r="C1270" s="26"/>
      <c r="D1270" s="7"/>
      <c r="E1270" s="7"/>
      <c r="F1270" s="435">
        <v>45337.0</v>
      </c>
      <c r="G1270" s="278" t="s">
        <v>707</v>
      </c>
      <c r="H1270" s="436" t="s">
        <v>921</v>
      </c>
      <c r="I1270" s="437">
        <v>2.0</v>
      </c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</row>
    <row r="1271" hidden="1">
      <c r="A1271" s="25"/>
      <c r="B1271" s="26"/>
      <c r="C1271" s="26"/>
      <c r="D1271" s="7"/>
      <c r="E1271" s="7"/>
      <c r="F1271" s="435">
        <v>45337.0</v>
      </c>
      <c r="G1271" s="278" t="s">
        <v>707</v>
      </c>
      <c r="H1271" s="436" t="s">
        <v>387</v>
      </c>
      <c r="I1271" s="437">
        <v>3.0</v>
      </c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</row>
    <row r="1272" hidden="1">
      <c r="A1272" s="25"/>
      <c r="B1272" s="26"/>
      <c r="C1272" s="26"/>
      <c r="D1272" s="7"/>
      <c r="E1272" s="7"/>
      <c r="F1272" s="435">
        <v>45338.0</v>
      </c>
      <c r="G1272" s="278" t="s">
        <v>697</v>
      </c>
      <c r="H1272" s="436" t="s">
        <v>536</v>
      </c>
      <c r="I1272" s="437">
        <v>4.0</v>
      </c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</row>
    <row r="1273" hidden="1">
      <c r="A1273" s="25"/>
      <c r="B1273" s="26"/>
      <c r="C1273" s="26"/>
      <c r="D1273" s="7"/>
      <c r="E1273" s="7"/>
      <c r="F1273" s="435">
        <v>45338.0</v>
      </c>
      <c r="G1273" s="278" t="s">
        <v>697</v>
      </c>
      <c r="H1273" s="436" t="s">
        <v>918</v>
      </c>
      <c r="I1273" s="441">
        <v>1.0</v>
      </c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</row>
    <row r="1274" hidden="1">
      <c r="A1274" s="25"/>
      <c r="B1274" s="26"/>
      <c r="C1274" s="26"/>
      <c r="D1274" s="7"/>
      <c r="E1274" s="7"/>
      <c r="F1274" s="435">
        <v>45338.0</v>
      </c>
      <c r="G1274" s="278" t="s">
        <v>697</v>
      </c>
      <c r="H1274" s="436" t="s">
        <v>916</v>
      </c>
      <c r="I1274" s="437">
        <v>1.0</v>
      </c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</row>
    <row r="1275" hidden="1">
      <c r="A1275" s="25"/>
      <c r="B1275" s="26"/>
      <c r="C1275" s="26"/>
      <c r="D1275" s="7"/>
      <c r="E1275" s="7"/>
      <c r="F1275" s="435">
        <v>45338.0</v>
      </c>
      <c r="G1275" s="278" t="s">
        <v>697</v>
      </c>
      <c r="H1275" s="436" t="s">
        <v>921</v>
      </c>
      <c r="I1275" s="441">
        <v>5.0</v>
      </c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</row>
    <row r="1276" hidden="1">
      <c r="A1276" s="25"/>
      <c r="B1276" s="26"/>
      <c r="C1276" s="26"/>
      <c r="D1276" s="7"/>
      <c r="E1276" s="7"/>
      <c r="F1276" s="435">
        <v>45338.0</v>
      </c>
      <c r="G1276" s="278" t="s">
        <v>697</v>
      </c>
      <c r="H1276" s="436" t="s">
        <v>387</v>
      </c>
      <c r="I1276" s="437">
        <v>4.0</v>
      </c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</row>
    <row r="1277" hidden="1">
      <c r="A1277" s="25"/>
      <c r="B1277" s="26"/>
      <c r="C1277" s="26"/>
      <c r="D1277" s="7"/>
      <c r="E1277" s="7"/>
      <c r="F1277" s="435">
        <v>45339.0</v>
      </c>
      <c r="G1277" s="278" t="s">
        <v>716</v>
      </c>
      <c r="H1277" s="436" t="s">
        <v>536</v>
      </c>
      <c r="I1277" s="437">
        <v>2.0</v>
      </c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</row>
    <row r="1278" hidden="1">
      <c r="A1278" s="25"/>
      <c r="B1278" s="26"/>
      <c r="C1278" s="26"/>
      <c r="D1278" s="7"/>
      <c r="E1278" s="7"/>
      <c r="F1278" s="435">
        <v>45339.0</v>
      </c>
      <c r="G1278" s="278" t="s">
        <v>716</v>
      </c>
      <c r="H1278" s="436" t="s">
        <v>918</v>
      </c>
      <c r="I1278" s="437">
        <v>3.0</v>
      </c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</row>
    <row r="1279" hidden="1">
      <c r="A1279" s="25"/>
      <c r="B1279" s="26"/>
      <c r="C1279" s="26"/>
      <c r="D1279" s="7"/>
      <c r="E1279" s="7"/>
      <c r="F1279" s="435">
        <v>45339.0</v>
      </c>
      <c r="G1279" s="278" t="s">
        <v>716</v>
      </c>
      <c r="H1279" s="436" t="s">
        <v>916</v>
      </c>
      <c r="I1279" s="437">
        <v>4.0</v>
      </c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</row>
    <row r="1280" hidden="1">
      <c r="A1280" s="25"/>
      <c r="B1280" s="26"/>
      <c r="C1280" s="26"/>
      <c r="D1280" s="7"/>
      <c r="E1280" s="7"/>
      <c r="F1280" s="435">
        <v>45339.0</v>
      </c>
      <c r="G1280" s="278" t="s">
        <v>716</v>
      </c>
      <c r="H1280" s="436" t="s">
        <v>921</v>
      </c>
      <c r="I1280" s="437">
        <v>2.0</v>
      </c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</row>
    <row r="1281" hidden="1">
      <c r="A1281" s="25"/>
      <c r="B1281" s="26"/>
      <c r="C1281" s="26"/>
      <c r="D1281" s="7"/>
      <c r="E1281" s="7"/>
      <c r="F1281" s="435">
        <v>45339.0</v>
      </c>
      <c r="G1281" s="278" t="s">
        <v>716</v>
      </c>
      <c r="H1281" s="436" t="s">
        <v>387</v>
      </c>
      <c r="I1281" s="437">
        <v>5.0</v>
      </c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</row>
    <row r="1282" hidden="1">
      <c r="A1282" s="25"/>
      <c r="B1282" s="26"/>
      <c r="C1282" s="26"/>
      <c r="D1282" s="7"/>
      <c r="E1282" s="7"/>
      <c r="F1282" s="435">
        <v>45342.0</v>
      </c>
      <c r="G1282" s="278" t="s">
        <v>707</v>
      </c>
      <c r="H1282" s="436" t="s">
        <v>536</v>
      </c>
      <c r="I1282" s="437">
        <v>5.0</v>
      </c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</row>
    <row r="1283" hidden="1">
      <c r="A1283" s="25"/>
      <c r="B1283" s="26"/>
      <c r="C1283" s="26"/>
      <c r="D1283" s="7"/>
      <c r="E1283" s="7"/>
      <c r="F1283" s="435">
        <v>45342.0</v>
      </c>
      <c r="G1283" s="278" t="s">
        <v>707</v>
      </c>
      <c r="H1283" s="436" t="s">
        <v>918</v>
      </c>
      <c r="I1283" s="437">
        <v>4.0</v>
      </c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</row>
    <row r="1284" hidden="1">
      <c r="A1284" s="25"/>
      <c r="B1284" s="26"/>
      <c r="C1284" s="26"/>
      <c r="D1284" s="7"/>
      <c r="E1284" s="7"/>
      <c r="F1284" s="435">
        <v>45342.0</v>
      </c>
      <c r="G1284" s="278" t="s">
        <v>707</v>
      </c>
      <c r="H1284" s="436" t="s">
        <v>916</v>
      </c>
      <c r="I1284" s="437">
        <v>5.0</v>
      </c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</row>
    <row r="1285" hidden="1">
      <c r="A1285" s="25"/>
      <c r="B1285" s="26"/>
      <c r="C1285" s="26"/>
      <c r="D1285" s="7"/>
      <c r="E1285" s="7"/>
      <c r="F1285" s="435">
        <v>45342.0</v>
      </c>
      <c r="G1285" s="278" t="s">
        <v>707</v>
      </c>
      <c r="H1285" s="436" t="s">
        <v>921</v>
      </c>
      <c r="I1285" s="437">
        <v>5.0</v>
      </c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</row>
    <row r="1286" hidden="1">
      <c r="A1286" s="25"/>
      <c r="B1286" s="26"/>
      <c r="C1286" s="26"/>
      <c r="D1286" s="7"/>
      <c r="E1286" s="7"/>
      <c r="F1286" s="435">
        <v>45342.0</v>
      </c>
      <c r="G1286" s="278" t="s">
        <v>707</v>
      </c>
      <c r="H1286" s="436" t="s">
        <v>387</v>
      </c>
      <c r="I1286" s="437">
        <v>5.0</v>
      </c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</row>
    <row r="1287" hidden="1">
      <c r="A1287" s="25"/>
      <c r="B1287" s="26"/>
      <c r="C1287" s="26"/>
      <c r="D1287" s="7"/>
      <c r="E1287" s="7"/>
      <c r="F1287" s="435">
        <v>45345.0</v>
      </c>
      <c r="G1287" s="278" t="s">
        <v>704</v>
      </c>
      <c r="H1287" s="436" t="s">
        <v>536</v>
      </c>
      <c r="I1287" s="441">
        <v>2.0</v>
      </c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</row>
    <row r="1288" hidden="1">
      <c r="A1288" s="25"/>
      <c r="B1288" s="26"/>
      <c r="C1288" s="26"/>
      <c r="D1288" s="7"/>
      <c r="E1288" s="7"/>
      <c r="F1288" s="435">
        <v>45345.0</v>
      </c>
      <c r="G1288" s="278" t="s">
        <v>704</v>
      </c>
      <c r="H1288" s="436" t="s">
        <v>918</v>
      </c>
      <c r="I1288" s="437">
        <v>2.0</v>
      </c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</row>
    <row r="1289" hidden="1">
      <c r="A1289" s="25"/>
      <c r="B1289" s="26"/>
      <c r="C1289" s="26"/>
      <c r="D1289" s="7"/>
      <c r="E1289" s="7"/>
      <c r="F1289" s="435">
        <v>45345.0</v>
      </c>
      <c r="G1289" s="278" t="s">
        <v>704</v>
      </c>
      <c r="H1289" s="436" t="s">
        <v>916</v>
      </c>
      <c r="I1289" s="437">
        <v>3.0</v>
      </c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</row>
    <row r="1290" hidden="1">
      <c r="A1290" s="25"/>
      <c r="B1290" s="26"/>
      <c r="C1290" s="26"/>
      <c r="D1290" s="7"/>
      <c r="E1290" s="7"/>
      <c r="F1290" s="435">
        <v>45345.0</v>
      </c>
      <c r="G1290" s="278" t="s">
        <v>704</v>
      </c>
      <c r="H1290" s="436" t="s">
        <v>921</v>
      </c>
      <c r="I1290" s="437">
        <v>3.0</v>
      </c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</row>
    <row r="1291" hidden="1">
      <c r="A1291" s="25"/>
      <c r="B1291" s="26"/>
      <c r="C1291" s="26"/>
      <c r="D1291" s="7"/>
      <c r="E1291" s="7"/>
      <c r="F1291" s="435">
        <v>45345.0</v>
      </c>
      <c r="G1291" s="278" t="s">
        <v>704</v>
      </c>
      <c r="H1291" s="436" t="s">
        <v>387</v>
      </c>
      <c r="I1291" s="437">
        <v>5.0</v>
      </c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</row>
    <row r="1292" hidden="1">
      <c r="A1292" s="25"/>
      <c r="B1292" s="26"/>
      <c r="C1292" s="26"/>
      <c r="D1292" s="7"/>
      <c r="E1292" s="7"/>
      <c r="F1292" s="435">
        <v>45346.0</v>
      </c>
      <c r="G1292" s="278" t="s">
        <v>704</v>
      </c>
      <c r="H1292" s="436" t="s">
        <v>536</v>
      </c>
      <c r="I1292" s="441">
        <v>2.0</v>
      </c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</row>
    <row r="1293" hidden="1">
      <c r="A1293" s="25"/>
      <c r="B1293" s="26"/>
      <c r="C1293" s="26"/>
      <c r="D1293" s="7"/>
      <c r="E1293" s="7"/>
      <c r="F1293" s="435">
        <v>45346.0</v>
      </c>
      <c r="G1293" s="278" t="s">
        <v>704</v>
      </c>
      <c r="H1293" s="436" t="s">
        <v>918</v>
      </c>
      <c r="I1293" s="437">
        <v>3.0</v>
      </c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</row>
    <row r="1294" hidden="1">
      <c r="A1294" s="25"/>
      <c r="B1294" s="26"/>
      <c r="C1294" s="26"/>
      <c r="D1294" s="7"/>
      <c r="E1294" s="7"/>
      <c r="F1294" s="435">
        <v>45346.0</v>
      </c>
      <c r="G1294" s="278" t="s">
        <v>704</v>
      </c>
      <c r="H1294" s="436" t="s">
        <v>916</v>
      </c>
      <c r="I1294" s="437">
        <v>1.0</v>
      </c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</row>
    <row r="1295" hidden="1">
      <c r="A1295" s="25"/>
      <c r="B1295" s="26"/>
      <c r="C1295" s="26"/>
      <c r="D1295" s="7"/>
      <c r="E1295" s="7"/>
      <c r="F1295" s="435">
        <v>45346.0</v>
      </c>
      <c r="G1295" s="278" t="s">
        <v>704</v>
      </c>
      <c r="H1295" s="436" t="s">
        <v>921</v>
      </c>
      <c r="I1295" s="441">
        <v>5.0</v>
      </c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</row>
    <row r="1296" hidden="1">
      <c r="A1296" s="25"/>
      <c r="B1296" s="26"/>
      <c r="C1296" s="26"/>
      <c r="D1296" s="7"/>
      <c r="E1296" s="7"/>
      <c r="F1296" s="435">
        <v>45346.0</v>
      </c>
      <c r="G1296" s="278" t="s">
        <v>704</v>
      </c>
      <c r="H1296" s="436" t="s">
        <v>387</v>
      </c>
      <c r="I1296" s="437">
        <v>1.0</v>
      </c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</row>
    <row r="1297" hidden="1">
      <c r="A1297" s="25"/>
      <c r="B1297" s="26"/>
      <c r="C1297" s="26"/>
      <c r="D1297" s="7"/>
      <c r="E1297" s="7"/>
      <c r="F1297" s="435">
        <v>45346.0</v>
      </c>
      <c r="G1297" s="278" t="s">
        <v>716</v>
      </c>
      <c r="H1297" s="436" t="s">
        <v>536</v>
      </c>
      <c r="I1297" s="437">
        <v>5.0</v>
      </c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</row>
    <row r="1298" hidden="1">
      <c r="A1298" s="25"/>
      <c r="B1298" s="26"/>
      <c r="C1298" s="26"/>
      <c r="D1298" s="7"/>
      <c r="E1298" s="7"/>
      <c r="F1298" s="435">
        <v>45346.0</v>
      </c>
      <c r="G1298" s="278" t="s">
        <v>716</v>
      </c>
      <c r="H1298" s="436" t="s">
        <v>918</v>
      </c>
      <c r="I1298" s="437">
        <v>3.0</v>
      </c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</row>
    <row r="1299" hidden="1">
      <c r="A1299" s="25"/>
      <c r="B1299" s="26"/>
      <c r="C1299" s="26"/>
      <c r="D1299" s="7"/>
      <c r="E1299" s="7"/>
      <c r="F1299" s="435">
        <v>45346.0</v>
      </c>
      <c r="G1299" s="278" t="s">
        <v>716</v>
      </c>
      <c r="H1299" s="436" t="s">
        <v>916</v>
      </c>
      <c r="I1299" s="437">
        <v>4.0</v>
      </c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</row>
    <row r="1300" hidden="1">
      <c r="A1300" s="25"/>
      <c r="B1300" s="26"/>
      <c r="C1300" s="26"/>
      <c r="D1300" s="7"/>
      <c r="E1300" s="7"/>
      <c r="F1300" s="435">
        <v>45346.0</v>
      </c>
      <c r="G1300" s="278" t="s">
        <v>716</v>
      </c>
      <c r="H1300" s="436" t="s">
        <v>921</v>
      </c>
      <c r="I1300" s="437">
        <v>3.0</v>
      </c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</row>
    <row r="1301" hidden="1">
      <c r="A1301" s="25"/>
      <c r="B1301" s="26"/>
      <c r="C1301" s="26"/>
      <c r="D1301" s="7"/>
      <c r="E1301" s="7"/>
      <c r="F1301" s="435">
        <v>45346.0</v>
      </c>
      <c r="G1301" s="278" t="s">
        <v>716</v>
      </c>
      <c r="H1301" s="436" t="s">
        <v>387</v>
      </c>
      <c r="I1301" s="437">
        <v>4.0</v>
      </c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</row>
    <row r="1302" hidden="1">
      <c r="A1302" s="25"/>
      <c r="B1302" s="26"/>
      <c r="C1302" s="26"/>
      <c r="D1302" s="7"/>
      <c r="E1302" s="7"/>
      <c r="F1302" s="435">
        <v>45346.0</v>
      </c>
      <c r="G1302" s="278" t="s">
        <v>707</v>
      </c>
      <c r="H1302" s="436" t="s">
        <v>536</v>
      </c>
      <c r="I1302" s="437">
        <v>3.0</v>
      </c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</row>
    <row r="1303" hidden="1">
      <c r="A1303" s="25"/>
      <c r="B1303" s="26"/>
      <c r="C1303" s="26"/>
      <c r="D1303" s="7"/>
      <c r="E1303" s="7"/>
      <c r="F1303" s="435">
        <v>45346.0</v>
      </c>
      <c r="G1303" s="278" t="s">
        <v>707</v>
      </c>
      <c r="H1303" s="436" t="s">
        <v>918</v>
      </c>
      <c r="I1303" s="437">
        <v>3.0</v>
      </c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</row>
    <row r="1304" hidden="1">
      <c r="A1304" s="25"/>
      <c r="B1304" s="26"/>
      <c r="C1304" s="26"/>
      <c r="D1304" s="7"/>
      <c r="E1304" s="7"/>
      <c r="F1304" s="435">
        <v>45346.0</v>
      </c>
      <c r="G1304" s="278" t="s">
        <v>707</v>
      </c>
      <c r="H1304" s="436" t="s">
        <v>916</v>
      </c>
      <c r="I1304" s="437">
        <v>5.0</v>
      </c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</row>
    <row r="1305" hidden="1">
      <c r="A1305" s="25"/>
      <c r="B1305" s="26"/>
      <c r="C1305" s="26"/>
      <c r="D1305" s="7"/>
      <c r="E1305" s="7"/>
      <c r="F1305" s="435">
        <v>45346.0</v>
      </c>
      <c r="G1305" s="278" t="s">
        <v>707</v>
      </c>
      <c r="H1305" s="436" t="s">
        <v>921</v>
      </c>
      <c r="I1305" s="437">
        <v>4.0</v>
      </c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</row>
    <row r="1306" hidden="1">
      <c r="A1306" s="25"/>
      <c r="B1306" s="26"/>
      <c r="C1306" s="26"/>
      <c r="D1306" s="7"/>
      <c r="E1306" s="7"/>
      <c r="F1306" s="435">
        <v>45346.0</v>
      </c>
      <c r="G1306" s="278" t="s">
        <v>707</v>
      </c>
      <c r="H1306" s="436" t="s">
        <v>387</v>
      </c>
      <c r="I1306" s="437">
        <v>4.0</v>
      </c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</row>
    <row r="1307" hidden="1">
      <c r="A1307" s="25"/>
      <c r="B1307" s="26"/>
      <c r="C1307" s="26"/>
      <c r="D1307" s="7"/>
      <c r="E1307" s="7"/>
      <c r="F1307" s="435">
        <v>45348.0</v>
      </c>
      <c r="G1307" s="278" t="s">
        <v>697</v>
      </c>
      <c r="H1307" s="436" t="s">
        <v>536</v>
      </c>
      <c r="I1307" s="437">
        <v>4.0</v>
      </c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</row>
    <row r="1308" hidden="1">
      <c r="A1308" s="25"/>
      <c r="B1308" s="26"/>
      <c r="C1308" s="26"/>
      <c r="D1308" s="7"/>
      <c r="E1308" s="7"/>
      <c r="F1308" s="435">
        <v>45348.0</v>
      </c>
      <c r="G1308" s="278" t="s">
        <v>697</v>
      </c>
      <c r="H1308" s="436" t="s">
        <v>536</v>
      </c>
      <c r="I1308" s="437">
        <v>1.0</v>
      </c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</row>
    <row r="1309" hidden="1">
      <c r="A1309" s="25"/>
      <c r="B1309" s="26"/>
      <c r="C1309" s="26"/>
      <c r="D1309" s="7"/>
      <c r="E1309" s="7"/>
      <c r="F1309" s="435">
        <v>45348.0</v>
      </c>
      <c r="G1309" s="278" t="s">
        <v>697</v>
      </c>
      <c r="H1309" s="436" t="s">
        <v>918</v>
      </c>
      <c r="I1309" s="441">
        <v>1.0</v>
      </c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</row>
    <row r="1310" hidden="1">
      <c r="A1310" s="25"/>
      <c r="B1310" s="26"/>
      <c r="C1310" s="26"/>
      <c r="D1310" s="7"/>
      <c r="E1310" s="7"/>
      <c r="F1310" s="435">
        <v>45348.0</v>
      </c>
      <c r="G1310" s="278" t="s">
        <v>697</v>
      </c>
      <c r="H1310" s="436" t="s">
        <v>918</v>
      </c>
      <c r="I1310" s="437">
        <v>3.0</v>
      </c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</row>
    <row r="1311" hidden="1">
      <c r="A1311" s="25"/>
      <c r="B1311" s="26"/>
      <c r="C1311" s="26"/>
      <c r="D1311" s="7"/>
      <c r="E1311" s="7"/>
      <c r="F1311" s="435">
        <v>45348.0</v>
      </c>
      <c r="G1311" s="278" t="s">
        <v>697</v>
      </c>
      <c r="H1311" s="436" t="s">
        <v>916</v>
      </c>
      <c r="I1311" s="437">
        <v>5.0</v>
      </c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</row>
    <row r="1312" hidden="1">
      <c r="A1312" s="25"/>
      <c r="B1312" s="26"/>
      <c r="C1312" s="26"/>
      <c r="D1312" s="7"/>
      <c r="E1312" s="7"/>
      <c r="F1312" s="435">
        <v>45348.0</v>
      </c>
      <c r="G1312" s="278" t="s">
        <v>697</v>
      </c>
      <c r="H1312" s="436" t="s">
        <v>916</v>
      </c>
      <c r="I1312" s="437">
        <v>1.0</v>
      </c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</row>
    <row r="1313" hidden="1">
      <c r="A1313" s="25"/>
      <c r="B1313" s="26"/>
      <c r="C1313" s="26"/>
      <c r="D1313" s="7"/>
      <c r="E1313" s="7"/>
      <c r="F1313" s="435">
        <v>45348.0</v>
      </c>
      <c r="G1313" s="278" t="s">
        <v>697</v>
      </c>
      <c r="H1313" s="436" t="s">
        <v>921</v>
      </c>
      <c r="I1313" s="441">
        <v>5.0</v>
      </c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</row>
    <row r="1314" hidden="1">
      <c r="A1314" s="25"/>
      <c r="B1314" s="26"/>
      <c r="C1314" s="26"/>
      <c r="D1314" s="7"/>
      <c r="E1314" s="7"/>
      <c r="F1314" s="435">
        <v>45348.0</v>
      </c>
      <c r="G1314" s="278" t="s">
        <v>697</v>
      </c>
      <c r="H1314" s="436" t="s">
        <v>921</v>
      </c>
      <c r="I1314" s="441">
        <v>5.0</v>
      </c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</row>
    <row r="1315" hidden="1">
      <c r="A1315" s="25"/>
      <c r="B1315" s="26"/>
      <c r="C1315" s="26"/>
      <c r="D1315" s="7"/>
      <c r="E1315" s="7"/>
      <c r="F1315" s="435">
        <v>45348.0</v>
      </c>
      <c r="G1315" s="278" t="s">
        <v>697</v>
      </c>
      <c r="H1315" s="436" t="s">
        <v>387</v>
      </c>
      <c r="I1315" s="437">
        <v>4.0</v>
      </c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</row>
    <row r="1316" hidden="1">
      <c r="A1316" s="25"/>
      <c r="B1316" s="26"/>
      <c r="C1316" s="26"/>
      <c r="D1316" s="7"/>
      <c r="E1316" s="7"/>
      <c r="F1316" s="435">
        <v>45348.0</v>
      </c>
      <c r="G1316" s="278" t="s">
        <v>697</v>
      </c>
      <c r="H1316" s="436" t="s">
        <v>387</v>
      </c>
      <c r="I1316" s="441">
        <v>5.0</v>
      </c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</row>
    <row r="1317" hidden="1">
      <c r="A1317" s="25"/>
      <c r="B1317" s="26"/>
      <c r="C1317" s="26"/>
      <c r="D1317" s="7"/>
      <c r="E1317" s="7"/>
      <c r="F1317" s="435">
        <v>45349.0</v>
      </c>
      <c r="G1317" s="278" t="s">
        <v>697</v>
      </c>
      <c r="H1317" s="436" t="s">
        <v>536</v>
      </c>
      <c r="I1317" s="437">
        <v>5.0</v>
      </c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</row>
    <row r="1318" hidden="1">
      <c r="A1318" s="25"/>
      <c r="B1318" s="26"/>
      <c r="C1318" s="26"/>
      <c r="D1318" s="7"/>
      <c r="E1318" s="7"/>
      <c r="F1318" s="435">
        <v>45349.0</v>
      </c>
      <c r="G1318" s="278" t="s">
        <v>697</v>
      </c>
      <c r="H1318" s="436" t="s">
        <v>536</v>
      </c>
      <c r="I1318" s="437">
        <v>4.0</v>
      </c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</row>
    <row r="1319" hidden="1">
      <c r="A1319" s="25"/>
      <c r="B1319" s="26"/>
      <c r="C1319" s="26"/>
      <c r="D1319" s="7"/>
      <c r="E1319" s="7"/>
      <c r="F1319" s="435">
        <v>45349.0</v>
      </c>
      <c r="G1319" s="278" t="s">
        <v>697</v>
      </c>
      <c r="H1319" s="436" t="s">
        <v>918</v>
      </c>
      <c r="I1319" s="441">
        <v>1.0</v>
      </c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</row>
    <row r="1320" hidden="1">
      <c r="A1320" s="25"/>
      <c r="B1320" s="26"/>
      <c r="C1320" s="26"/>
      <c r="D1320" s="7"/>
      <c r="E1320" s="7"/>
      <c r="F1320" s="435">
        <v>45349.0</v>
      </c>
      <c r="G1320" s="278" t="s">
        <v>697</v>
      </c>
      <c r="H1320" s="436" t="s">
        <v>918</v>
      </c>
      <c r="I1320" s="441">
        <v>1.0</v>
      </c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</row>
    <row r="1321" hidden="1">
      <c r="A1321" s="25"/>
      <c r="B1321" s="26"/>
      <c r="C1321" s="26"/>
      <c r="D1321" s="7"/>
      <c r="E1321" s="7"/>
      <c r="F1321" s="435">
        <v>45349.0</v>
      </c>
      <c r="G1321" s="278" t="s">
        <v>697</v>
      </c>
      <c r="H1321" s="436" t="s">
        <v>916</v>
      </c>
      <c r="I1321" s="437">
        <v>3.0</v>
      </c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</row>
    <row r="1322" hidden="1">
      <c r="A1322" s="25"/>
      <c r="B1322" s="26"/>
      <c r="C1322" s="26"/>
      <c r="D1322" s="7"/>
      <c r="E1322" s="7"/>
      <c r="F1322" s="435">
        <v>45349.0</v>
      </c>
      <c r="G1322" s="278" t="s">
        <v>697</v>
      </c>
      <c r="H1322" s="436" t="s">
        <v>916</v>
      </c>
      <c r="I1322" s="437">
        <v>5.0</v>
      </c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</row>
    <row r="1323" hidden="1">
      <c r="A1323" s="25"/>
      <c r="B1323" s="26"/>
      <c r="C1323" s="26"/>
      <c r="D1323" s="7"/>
      <c r="E1323" s="7"/>
      <c r="F1323" s="435">
        <v>45349.0</v>
      </c>
      <c r="G1323" s="278" t="s">
        <v>697</v>
      </c>
      <c r="H1323" s="436" t="s">
        <v>921</v>
      </c>
      <c r="I1323" s="437">
        <v>3.0</v>
      </c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</row>
    <row r="1324" hidden="1">
      <c r="A1324" s="25"/>
      <c r="B1324" s="26"/>
      <c r="C1324" s="26"/>
      <c r="D1324" s="7"/>
      <c r="E1324" s="7"/>
      <c r="F1324" s="435">
        <v>45349.0</v>
      </c>
      <c r="G1324" s="278" t="s">
        <v>697</v>
      </c>
      <c r="H1324" s="436" t="s">
        <v>921</v>
      </c>
      <c r="I1324" s="441">
        <v>5.0</v>
      </c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</row>
    <row r="1325" hidden="1">
      <c r="A1325" s="25"/>
      <c r="B1325" s="26"/>
      <c r="C1325" s="26"/>
      <c r="D1325" s="7"/>
      <c r="E1325" s="7"/>
      <c r="F1325" s="435">
        <v>45349.0</v>
      </c>
      <c r="G1325" s="278" t="s">
        <v>697</v>
      </c>
      <c r="H1325" s="436" t="s">
        <v>387</v>
      </c>
      <c r="I1325" s="437">
        <v>5.0</v>
      </c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</row>
    <row r="1326" hidden="1">
      <c r="A1326" s="25"/>
      <c r="B1326" s="26"/>
      <c r="C1326" s="26"/>
      <c r="D1326" s="7"/>
      <c r="E1326" s="7"/>
      <c r="F1326" s="435">
        <v>45349.0</v>
      </c>
      <c r="G1326" s="278" t="s">
        <v>697</v>
      </c>
      <c r="H1326" s="436" t="s">
        <v>387</v>
      </c>
      <c r="I1326" s="441">
        <v>5.0</v>
      </c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</row>
    <row r="1327" hidden="1">
      <c r="A1327" s="25"/>
      <c r="B1327" s="26"/>
      <c r="C1327" s="26"/>
      <c r="D1327" s="7"/>
      <c r="E1327" s="7"/>
      <c r="F1327" s="435">
        <v>45349.0</v>
      </c>
      <c r="G1327" s="278" t="s">
        <v>716</v>
      </c>
      <c r="H1327" s="436" t="s">
        <v>536</v>
      </c>
      <c r="I1327" s="437">
        <v>4.0</v>
      </c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</row>
    <row r="1328" hidden="1">
      <c r="A1328" s="25"/>
      <c r="B1328" s="26"/>
      <c r="C1328" s="26"/>
      <c r="D1328" s="7"/>
      <c r="E1328" s="7"/>
      <c r="F1328" s="435">
        <v>45349.0</v>
      </c>
      <c r="G1328" s="278" t="s">
        <v>716</v>
      </c>
      <c r="H1328" s="436" t="s">
        <v>918</v>
      </c>
      <c r="I1328" s="437">
        <v>2.0</v>
      </c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</row>
    <row r="1329" hidden="1">
      <c r="A1329" s="25"/>
      <c r="B1329" s="26"/>
      <c r="C1329" s="26"/>
      <c r="D1329" s="7"/>
      <c r="E1329" s="7"/>
      <c r="F1329" s="435">
        <v>45349.0</v>
      </c>
      <c r="G1329" s="278" t="s">
        <v>716</v>
      </c>
      <c r="H1329" s="436" t="s">
        <v>916</v>
      </c>
      <c r="I1329" s="437">
        <v>1.0</v>
      </c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</row>
    <row r="1330" hidden="1">
      <c r="A1330" s="25"/>
      <c r="B1330" s="26"/>
      <c r="C1330" s="26"/>
      <c r="D1330" s="7"/>
      <c r="E1330" s="7"/>
      <c r="F1330" s="435">
        <v>45349.0</v>
      </c>
      <c r="G1330" s="278" t="s">
        <v>716</v>
      </c>
      <c r="H1330" s="436" t="s">
        <v>921</v>
      </c>
      <c r="I1330" s="437">
        <v>2.0</v>
      </c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</row>
    <row r="1331" hidden="1">
      <c r="A1331" s="25"/>
      <c r="B1331" s="26"/>
      <c r="C1331" s="26"/>
      <c r="D1331" s="7"/>
      <c r="E1331" s="7"/>
      <c r="F1331" s="435">
        <v>45349.0</v>
      </c>
      <c r="G1331" s="278" t="s">
        <v>716</v>
      </c>
      <c r="H1331" s="436" t="s">
        <v>387</v>
      </c>
      <c r="I1331" s="437">
        <v>4.0</v>
      </c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</row>
    <row r="1332" hidden="1">
      <c r="A1332" s="25"/>
      <c r="B1332" s="26"/>
      <c r="C1332" s="26"/>
      <c r="D1332" s="7"/>
      <c r="E1332" s="7"/>
      <c r="F1332" s="435">
        <v>45352.0</v>
      </c>
      <c r="G1332" s="278" t="s">
        <v>716</v>
      </c>
      <c r="H1332" s="436" t="s">
        <v>536</v>
      </c>
      <c r="I1332" s="437">
        <v>1.0</v>
      </c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</row>
    <row r="1333" hidden="1">
      <c r="A1333" s="25"/>
      <c r="B1333" s="26"/>
      <c r="C1333" s="26"/>
      <c r="D1333" s="7"/>
      <c r="E1333" s="7"/>
      <c r="F1333" s="435">
        <v>45352.0</v>
      </c>
      <c r="G1333" s="278" t="s">
        <v>716</v>
      </c>
      <c r="H1333" s="436" t="s">
        <v>918</v>
      </c>
      <c r="I1333" s="437">
        <v>2.0</v>
      </c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</row>
    <row r="1334" hidden="1">
      <c r="A1334" s="25"/>
      <c r="B1334" s="26"/>
      <c r="C1334" s="26"/>
      <c r="D1334" s="7"/>
      <c r="E1334" s="7"/>
      <c r="F1334" s="435">
        <v>45352.0</v>
      </c>
      <c r="G1334" s="278" t="s">
        <v>716</v>
      </c>
      <c r="H1334" s="436" t="s">
        <v>916</v>
      </c>
      <c r="I1334" s="437">
        <v>4.0</v>
      </c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</row>
    <row r="1335" hidden="1">
      <c r="A1335" s="25"/>
      <c r="B1335" s="26"/>
      <c r="C1335" s="26"/>
      <c r="D1335" s="7"/>
      <c r="E1335" s="7"/>
      <c r="F1335" s="435">
        <v>45352.0</v>
      </c>
      <c r="G1335" s="278" t="s">
        <v>716</v>
      </c>
      <c r="H1335" s="436" t="s">
        <v>921</v>
      </c>
      <c r="I1335" s="437">
        <v>1.0</v>
      </c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</row>
    <row r="1336" hidden="1">
      <c r="A1336" s="25"/>
      <c r="B1336" s="26"/>
      <c r="C1336" s="26"/>
      <c r="D1336" s="7"/>
      <c r="E1336" s="7"/>
      <c r="F1336" s="435">
        <v>45352.0</v>
      </c>
      <c r="G1336" s="278" t="s">
        <v>716</v>
      </c>
      <c r="H1336" s="436" t="s">
        <v>387</v>
      </c>
      <c r="I1336" s="437">
        <v>3.0</v>
      </c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</row>
    <row r="1337" hidden="1">
      <c r="A1337" s="25"/>
      <c r="B1337" s="26"/>
      <c r="C1337" s="26"/>
      <c r="D1337" s="7"/>
      <c r="E1337" s="7"/>
      <c r="F1337" s="435">
        <v>45352.0</v>
      </c>
      <c r="G1337" s="278" t="s">
        <v>707</v>
      </c>
      <c r="H1337" s="436" t="s">
        <v>536</v>
      </c>
      <c r="I1337" s="437">
        <v>1.0</v>
      </c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</row>
    <row r="1338" hidden="1">
      <c r="A1338" s="25"/>
      <c r="B1338" s="26"/>
      <c r="C1338" s="26"/>
      <c r="D1338" s="7"/>
      <c r="E1338" s="7"/>
      <c r="F1338" s="435">
        <v>45352.0</v>
      </c>
      <c r="G1338" s="278" t="s">
        <v>707</v>
      </c>
      <c r="H1338" s="436" t="s">
        <v>918</v>
      </c>
      <c r="I1338" s="437">
        <v>5.0</v>
      </c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</row>
    <row r="1339" hidden="1">
      <c r="A1339" s="25"/>
      <c r="B1339" s="26"/>
      <c r="C1339" s="26"/>
      <c r="D1339" s="7"/>
      <c r="E1339" s="7"/>
      <c r="F1339" s="435">
        <v>45352.0</v>
      </c>
      <c r="G1339" s="278" t="s">
        <v>707</v>
      </c>
      <c r="H1339" s="436" t="s">
        <v>916</v>
      </c>
      <c r="I1339" s="437">
        <v>3.0</v>
      </c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</row>
    <row r="1340" hidden="1">
      <c r="A1340" s="25"/>
      <c r="B1340" s="26"/>
      <c r="C1340" s="26"/>
      <c r="D1340" s="7"/>
      <c r="E1340" s="7"/>
      <c r="F1340" s="435">
        <v>45352.0</v>
      </c>
      <c r="G1340" s="278" t="s">
        <v>707</v>
      </c>
      <c r="H1340" s="436" t="s">
        <v>921</v>
      </c>
      <c r="I1340" s="437">
        <v>2.0</v>
      </c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</row>
    <row r="1341" hidden="1">
      <c r="A1341" s="25"/>
      <c r="B1341" s="26"/>
      <c r="C1341" s="26"/>
      <c r="D1341" s="7"/>
      <c r="E1341" s="7"/>
      <c r="F1341" s="435">
        <v>45352.0</v>
      </c>
      <c r="G1341" s="278" t="s">
        <v>707</v>
      </c>
      <c r="H1341" s="436" t="s">
        <v>387</v>
      </c>
      <c r="I1341" s="437">
        <v>2.0</v>
      </c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</row>
    <row r="1342" hidden="1">
      <c r="A1342" s="25"/>
      <c r="B1342" s="26"/>
      <c r="C1342" s="26"/>
      <c r="D1342" s="7"/>
      <c r="E1342" s="7"/>
      <c r="F1342" s="435">
        <v>45353.0</v>
      </c>
      <c r="G1342" s="278" t="s">
        <v>697</v>
      </c>
      <c r="H1342" s="436" t="s">
        <v>536</v>
      </c>
      <c r="I1342" s="437">
        <v>1.0</v>
      </c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</row>
    <row r="1343" hidden="1">
      <c r="A1343" s="25"/>
      <c r="B1343" s="26"/>
      <c r="C1343" s="26"/>
      <c r="D1343" s="7"/>
      <c r="E1343" s="7"/>
      <c r="F1343" s="435">
        <v>45353.0</v>
      </c>
      <c r="G1343" s="278" t="s">
        <v>697</v>
      </c>
      <c r="H1343" s="436" t="s">
        <v>536</v>
      </c>
      <c r="I1343" s="437">
        <v>2.0</v>
      </c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</row>
    <row r="1344" hidden="1">
      <c r="A1344" s="25"/>
      <c r="B1344" s="26"/>
      <c r="C1344" s="26"/>
      <c r="D1344" s="7"/>
      <c r="E1344" s="7"/>
      <c r="F1344" s="435">
        <v>45353.0</v>
      </c>
      <c r="G1344" s="278" t="s">
        <v>697</v>
      </c>
      <c r="H1344" s="436" t="s">
        <v>918</v>
      </c>
      <c r="I1344" s="441">
        <v>1.0</v>
      </c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</row>
    <row r="1345" hidden="1">
      <c r="A1345" s="25"/>
      <c r="B1345" s="26"/>
      <c r="C1345" s="26"/>
      <c r="D1345" s="7"/>
      <c r="E1345" s="7"/>
      <c r="F1345" s="435">
        <v>45353.0</v>
      </c>
      <c r="G1345" s="278" t="s">
        <v>697</v>
      </c>
      <c r="H1345" s="436" t="s">
        <v>918</v>
      </c>
      <c r="I1345" s="441">
        <v>1.0</v>
      </c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</row>
    <row r="1346" hidden="1">
      <c r="A1346" s="25"/>
      <c r="B1346" s="26"/>
      <c r="C1346" s="26"/>
      <c r="D1346" s="7"/>
      <c r="E1346" s="7"/>
      <c r="F1346" s="435">
        <v>45353.0</v>
      </c>
      <c r="G1346" s="278" t="s">
        <v>697</v>
      </c>
      <c r="H1346" s="436" t="s">
        <v>916</v>
      </c>
      <c r="I1346" s="437">
        <v>4.0</v>
      </c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</row>
    <row r="1347" hidden="1">
      <c r="A1347" s="25"/>
      <c r="B1347" s="26"/>
      <c r="C1347" s="26"/>
      <c r="D1347" s="7"/>
      <c r="E1347" s="7"/>
      <c r="F1347" s="435">
        <v>45353.0</v>
      </c>
      <c r="G1347" s="278" t="s">
        <v>697</v>
      </c>
      <c r="H1347" s="436" t="s">
        <v>916</v>
      </c>
      <c r="I1347" s="437">
        <v>1.0</v>
      </c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</row>
    <row r="1348" hidden="1">
      <c r="A1348" s="25"/>
      <c r="B1348" s="26"/>
      <c r="C1348" s="26"/>
      <c r="D1348" s="7"/>
      <c r="E1348" s="7"/>
      <c r="F1348" s="435">
        <v>45353.0</v>
      </c>
      <c r="G1348" s="278" t="s">
        <v>697</v>
      </c>
      <c r="H1348" s="436" t="s">
        <v>921</v>
      </c>
      <c r="I1348" s="441">
        <v>5.0</v>
      </c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</row>
    <row r="1349" hidden="1">
      <c r="A1349" s="25"/>
      <c r="B1349" s="26"/>
      <c r="C1349" s="26"/>
      <c r="D1349" s="7"/>
      <c r="E1349" s="7"/>
      <c r="F1349" s="435">
        <v>45353.0</v>
      </c>
      <c r="G1349" s="278" t="s">
        <v>697</v>
      </c>
      <c r="H1349" s="436" t="s">
        <v>921</v>
      </c>
      <c r="I1349" s="437">
        <v>5.0</v>
      </c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</row>
    <row r="1350" hidden="1">
      <c r="A1350" s="25"/>
      <c r="B1350" s="26"/>
      <c r="C1350" s="26"/>
      <c r="D1350" s="7"/>
      <c r="E1350" s="7"/>
      <c r="F1350" s="435">
        <v>45353.0</v>
      </c>
      <c r="G1350" s="278" t="s">
        <v>697</v>
      </c>
      <c r="H1350" s="436" t="s">
        <v>387</v>
      </c>
      <c r="I1350" s="441">
        <v>5.0</v>
      </c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</row>
    <row r="1351" hidden="1">
      <c r="A1351" s="25"/>
      <c r="B1351" s="26"/>
      <c r="C1351" s="26"/>
      <c r="D1351" s="7"/>
      <c r="E1351" s="7"/>
      <c r="F1351" s="435">
        <v>45353.0</v>
      </c>
      <c r="G1351" s="278" t="s">
        <v>697</v>
      </c>
      <c r="H1351" s="436" t="s">
        <v>387</v>
      </c>
      <c r="I1351" s="437">
        <v>5.0</v>
      </c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</row>
    <row r="1352" hidden="1">
      <c r="A1352" s="25"/>
      <c r="B1352" s="26"/>
      <c r="C1352" s="26"/>
      <c r="D1352" s="7"/>
      <c r="E1352" s="7"/>
      <c r="F1352" s="435">
        <v>45353.0</v>
      </c>
      <c r="G1352" s="278" t="s">
        <v>707</v>
      </c>
      <c r="H1352" s="436" t="s">
        <v>536</v>
      </c>
      <c r="I1352" s="437">
        <v>5.0</v>
      </c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</row>
    <row r="1353" hidden="1">
      <c r="A1353" s="25"/>
      <c r="B1353" s="26"/>
      <c r="C1353" s="26"/>
      <c r="D1353" s="7"/>
      <c r="E1353" s="7"/>
      <c r="F1353" s="435">
        <v>45353.0</v>
      </c>
      <c r="G1353" s="278" t="s">
        <v>707</v>
      </c>
      <c r="H1353" s="436" t="s">
        <v>918</v>
      </c>
      <c r="I1353" s="437">
        <v>1.0</v>
      </c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</row>
    <row r="1354" hidden="1">
      <c r="A1354" s="25"/>
      <c r="B1354" s="26"/>
      <c r="C1354" s="26"/>
      <c r="D1354" s="7"/>
      <c r="E1354" s="7"/>
      <c r="F1354" s="435">
        <v>45353.0</v>
      </c>
      <c r="G1354" s="278" t="s">
        <v>707</v>
      </c>
      <c r="H1354" s="436" t="s">
        <v>916</v>
      </c>
      <c r="I1354" s="437">
        <v>3.0</v>
      </c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</row>
    <row r="1355" hidden="1">
      <c r="A1355" s="25"/>
      <c r="B1355" s="26"/>
      <c r="C1355" s="26"/>
      <c r="D1355" s="7"/>
      <c r="E1355" s="7"/>
      <c r="F1355" s="435">
        <v>45353.0</v>
      </c>
      <c r="G1355" s="278" t="s">
        <v>707</v>
      </c>
      <c r="H1355" s="436" t="s">
        <v>921</v>
      </c>
      <c r="I1355" s="437">
        <v>4.0</v>
      </c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</row>
    <row r="1356" hidden="1">
      <c r="A1356" s="25"/>
      <c r="B1356" s="26"/>
      <c r="C1356" s="26"/>
      <c r="D1356" s="7"/>
      <c r="E1356" s="7"/>
      <c r="F1356" s="435">
        <v>45353.0</v>
      </c>
      <c r="G1356" s="278" t="s">
        <v>707</v>
      </c>
      <c r="H1356" s="436" t="s">
        <v>387</v>
      </c>
      <c r="I1356" s="437">
        <v>1.0</v>
      </c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</row>
    <row r="1357" hidden="1">
      <c r="A1357" s="25"/>
      <c r="B1357" s="26"/>
      <c r="C1357" s="26"/>
      <c r="D1357" s="7"/>
      <c r="E1357" s="7"/>
      <c r="F1357" s="435">
        <v>45355.0</v>
      </c>
      <c r="G1357" s="278" t="s">
        <v>707</v>
      </c>
      <c r="H1357" s="436" t="s">
        <v>536</v>
      </c>
      <c r="I1357" s="437">
        <v>2.0</v>
      </c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</row>
    <row r="1358" hidden="1">
      <c r="A1358" s="25"/>
      <c r="B1358" s="26"/>
      <c r="C1358" s="26"/>
      <c r="D1358" s="7"/>
      <c r="E1358" s="7"/>
      <c r="F1358" s="435">
        <v>45355.0</v>
      </c>
      <c r="G1358" s="278" t="s">
        <v>707</v>
      </c>
      <c r="H1358" s="436" t="s">
        <v>918</v>
      </c>
      <c r="I1358" s="437">
        <v>2.0</v>
      </c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</row>
    <row r="1359" hidden="1">
      <c r="A1359" s="25"/>
      <c r="B1359" s="26"/>
      <c r="C1359" s="26"/>
      <c r="D1359" s="7"/>
      <c r="E1359" s="7"/>
      <c r="F1359" s="435">
        <v>45355.0</v>
      </c>
      <c r="G1359" s="278" t="s">
        <v>707</v>
      </c>
      <c r="H1359" s="436" t="s">
        <v>916</v>
      </c>
      <c r="I1359" s="437">
        <v>4.0</v>
      </c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</row>
    <row r="1360" hidden="1">
      <c r="A1360" s="25"/>
      <c r="B1360" s="26"/>
      <c r="C1360" s="26"/>
      <c r="D1360" s="7"/>
      <c r="E1360" s="7"/>
      <c r="F1360" s="435">
        <v>45355.0</v>
      </c>
      <c r="G1360" s="278" t="s">
        <v>707</v>
      </c>
      <c r="H1360" s="436" t="s">
        <v>921</v>
      </c>
      <c r="I1360" s="437">
        <v>2.0</v>
      </c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</row>
    <row r="1361" hidden="1">
      <c r="A1361" s="25"/>
      <c r="B1361" s="26"/>
      <c r="C1361" s="26"/>
      <c r="D1361" s="7"/>
      <c r="E1361" s="7"/>
      <c r="F1361" s="435">
        <v>45355.0</v>
      </c>
      <c r="G1361" s="278" t="s">
        <v>707</v>
      </c>
      <c r="H1361" s="436" t="s">
        <v>387</v>
      </c>
      <c r="I1361" s="437">
        <v>5.0</v>
      </c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</row>
    <row r="1362" hidden="1">
      <c r="A1362" s="25"/>
      <c r="B1362" s="26"/>
      <c r="C1362" s="26"/>
      <c r="D1362" s="7"/>
      <c r="E1362" s="7"/>
      <c r="F1362" s="435">
        <v>45356.0</v>
      </c>
      <c r="G1362" s="278" t="s">
        <v>697</v>
      </c>
      <c r="H1362" s="436" t="s">
        <v>536</v>
      </c>
      <c r="I1362" s="437">
        <v>3.0</v>
      </c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</row>
    <row r="1363" hidden="1">
      <c r="A1363" s="25"/>
      <c r="B1363" s="26"/>
      <c r="C1363" s="26"/>
      <c r="D1363" s="7"/>
      <c r="E1363" s="7"/>
      <c r="F1363" s="435">
        <v>45356.0</v>
      </c>
      <c r="G1363" s="278" t="s">
        <v>697</v>
      </c>
      <c r="H1363" s="436" t="s">
        <v>918</v>
      </c>
      <c r="I1363" s="441">
        <v>1.0</v>
      </c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</row>
    <row r="1364" hidden="1">
      <c r="A1364" s="25"/>
      <c r="B1364" s="26"/>
      <c r="C1364" s="26"/>
      <c r="D1364" s="7"/>
      <c r="E1364" s="7"/>
      <c r="F1364" s="435">
        <v>45356.0</v>
      </c>
      <c r="G1364" s="278" t="s">
        <v>697</v>
      </c>
      <c r="H1364" s="436" t="s">
        <v>916</v>
      </c>
      <c r="I1364" s="437">
        <v>5.0</v>
      </c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</row>
    <row r="1365" hidden="1">
      <c r="A1365" s="25"/>
      <c r="B1365" s="26"/>
      <c r="C1365" s="26"/>
      <c r="D1365" s="7"/>
      <c r="E1365" s="7"/>
      <c r="F1365" s="435">
        <v>45356.0</v>
      </c>
      <c r="G1365" s="278" t="s">
        <v>697</v>
      </c>
      <c r="H1365" s="436" t="s">
        <v>921</v>
      </c>
      <c r="I1365" s="441">
        <v>5.0</v>
      </c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</row>
    <row r="1366" hidden="1">
      <c r="A1366" s="25"/>
      <c r="B1366" s="26"/>
      <c r="C1366" s="26"/>
      <c r="D1366" s="7"/>
      <c r="E1366" s="7"/>
      <c r="F1366" s="435">
        <v>45356.0</v>
      </c>
      <c r="G1366" s="278" t="s">
        <v>697</v>
      </c>
      <c r="H1366" s="436" t="s">
        <v>387</v>
      </c>
      <c r="I1366" s="441">
        <v>5.0</v>
      </c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</row>
    <row r="1367" hidden="1">
      <c r="A1367" s="25"/>
      <c r="B1367" s="26"/>
      <c r="C1367" s="26"/>
      <c r="D1367" s="7"/>
      <c r="E1367" s="7"/>
      <c r="F1367" s="435">
        <v>45357.0</v>
      </c>
      <c r="G1367" s="278" t="s">
        <v>716</v>
      </c>
      <c r="H1367" s="436" t="s">
        <v>536</v>
      </c>
      <c r="I1367" s="437">
        <v>3.0</v>
      </c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</row>
    <row r="1368" hidden="1">
      <c r="A1368" s="25"/>
      <c r="B1368" s="26"/>
      <c r="C1368" s="26"/>
      <c r="D1368" s="7"/>
      <c r="E1368" s="7"/>
      <c r="F1368" s="435">
        <v>45357.0</v>
      </c>
      <c r="G1368" s="278" t="s">
        <v>716</v>
      </c>
      <c r="H1368" s="436" t="s">
        <v>918</v>
      </c>
      <c r="I1368" s="437">
        <v>5.0</v>
      </c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</row>
    <row r="1369" hidden="1">
      <c r="A1369" s="25"/>
      <c r="B1369" s="26"/>
      <c r="C1369" s="26"/>
      <c r="D1369" s="7"/>
      <c r="E1369" s="7"/>
      <c r="F1369" s="435">
        <v>45357.0</v>
      </c>
      <c r="G1369" s="278" t="s">
        <v>716</v>
      </c>
      <c r="H1369" s="436" t="s">
        <v>916</v>
      </c>
      <c r="I1369" s="437">
        <v>1.0</v>
      </c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</row>
    <row r="1370" hidden="1">
      <c r="A1370" s="25"/>
      <c r="B1370" s="26"/>
      <c r="C1370" s="26"/>
      <c r="D1370" s="7"/>
      <c r="E1370" s="7"/>
      <c r="F1370" s="435">
        <v>45357.0</v>
      </c>
      <c r="G1370" s="278" t="s">
        <v>716</v>
      </c>
      <c r="H1370" s="436" t="s">
        <v>921</v>
      </c>
      <c r="I1370" s="437">
        <v>5.0</v>
      </c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</row>
    <row r="1371" hidden="1">
      <c r="A1371" s="25"/>
      <c r="B1371" s="26"/>
      <c r="C1371" s="26"/>
      <c r="D1371" s="7"/>
      <c r="E1371" s="7"/>
      <c r="F1371" s="435">
        <v>45357.0</v>
      </c>
      <c r="G1371" s="278" t="s">
        <v>716</v>
      </c>
      <c r="H1371" s="436" t="s">
        <v>387</v>
      </c>
      <c r="I1371" s="437">
        <v>4.0</v>
      </c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</row>
    <row r="1372" hidden="1">
      <c r="A1372" s="25"/>
      <c r="B1372" s="26"/>
      <c r="C1372" s="26"/>
      <c r="D1372" s="7"/>
      <c r="E1372" s="7"/>
      <c r="F1372" s="435">
        <v>45358.0</v>
      </c>
      <c r="G1372" s="278" t="s">
        <v>697</v>
      </c>
      <c r="H1372" s="436" t="s">
        <v>536</v>
      </c>
      <c r="I1372" s="437">
        <v>4.0</v>
      </c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</row>
    <row r="1373" hidden="1">
      <c r="A1373" s="25"/>
      <c r="B1373" s="26"/>
      <c r="C1373" s="26"/>
      <c r="D1373" s="7"/>
      <c r="E1373" s="7"/>
      <c r="F1373" s="435">
        <v>45358.0</v>
      </c>
      <c r="G1373" s="278" t="s">
        <v>697</v>
      </c>
      <c r="H1373" s="436" t="s">
        <v>918</v>
      </c>
      <c r="I1373" s="441">
        <v>1.0</v>
      </c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</row>
    <row r="1374" hidden="1">
      <c r="A1374" s="25"/>
      <c r="B1374" s="26"/>
      <c r="C1374" s="26"/>
      <c r="D1374" s="7"/>
      <c r="E1374" s="7"/>
      <c r="F1374" s="435">
        <v>45358.0</v>
      </c>
      <c r="G1374" s="278" t="s">
        <v>697</v>
      </c>
      <c r="H1374" s="436" t="s">
        <v>916</v>
      </c>
      <c r="I1374" s="437">
        <v>3.0</v>
      </c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</row>
    <row r="1375" hidden="1">
      <c r="A1375" s="25"/>
      <c r="B1375" s="26"/>
      <c r="C1375" s="26"/>
      <c r="D1375" s="7"/>
      <c r="E1375" s="7"/>
      <c r="F1375" s="435">
        <v>45358.0</v>
      </c>
      <c r="G1375" s="278" t="s">
        <v>697</v>
      </c>
      <c r="H1375" s="436" t="s">
        <v>921</v>
      </c>
      <c r="I1375" s="441">
        <v>5.0</v>
      </c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</row>
    <row r="1376" hidden="1">
      <c r="A1376" s="25"/>
      <c r="B1376" s="26"/>
      <c r="C1376" s="26"/>
      <c r="D1376" s="7"/>
      <c r="E1376" s="7"/>
      <c r="F1376" s="435">
        <v>45358.0</v>
      </c>
      <c r="G1376" s="278" t="s">
        <v>697</v>
      </c>
      <c r="H1376" s="436" t="s">
        <v>387</v>
      </c>
      <c r="I1376" s="437">
        <v>5.0</v>
      </c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</row>
    <row r="1377" hidden="1">
      <c r="A1377" s="25"/>
      <c r="B1377" s="26"/>
      <c r="C1377" s="26"/>
      <c r="D1377" s="7"/>
      <c r="E1377" s="7"/>
      <c r="F1377" s="435">
        <v>45358.0</v>
      </c>
      <c r="G1377" s="278" t="s">
        <v>707</v>
      </c>
      <c r="H1377" s="436" t="s">
        <v>536</v>
      </c>
      <c r="I1377" s="437">
        <v>1.0</v>
      </c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</row>
    <row r="1378" hidden="1">
      <c r="A1378" s="25"/>
      <c r="B1378" s="26"/>
      <c r="C1378" s="26"/>
      <c r="D1378" s="7"/>
      <c r="E1378" s="7"/>
      <c r="F1378" s="435">
        <v>45358.0</v>
      </c>
      <c r="G1378" s="278" t="s">
        <v>707</v>
      </c>
      <c r="H1378" s="436" t="s">
        <v>918</v>
      </c>
      <c r="I1378" s="437">
        <v>1.0</v>
      </c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</row>
    <row r="1379" hidden="1">
      <c r="A1379" s="25"/>
      <c r="B1379" s="26"/>
      <c r="C1379" s="26"/>
      <c r="D1379" s="7"/>
      <c r="E1379" s="7"/>
      <c r="F1379" s="435">
        <v>45358.0</v>
      </c>
      <c r="G1379" s="278" t="s">
        <v>707</v>
      </c>
      <c r="H1379" s="436" t="s">
        <v>916</v>
      </c>
      <c r="I1379" s="437">
        <v>2.0</v>
      </c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</row>
    <row r="1380" hidden="1">
      <c r="A1380" s="25"/>
      <c r="B1380" s="26"/>
      <c r="C1380" s="26"/>
      <c r="D1380" s="7"/>
      <c r="E1380" s="7"/>
      <c r="F1380" s="435">
        <v>45358.0</v>
      </c>
      <c r="G1380" s="278" t="s">
        <v>707</v>
      </c>
      <c r="H1380" s="436" t="s">
        <v>921</v>
      </c>
      <c r="I1380" s="437">
        <v>2.0</v>
      </c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</row>
    <row r="1381" hidden="1">
      <c r="A1381" s="25"/>
      <c r="B1381" s="26"/>
      <c r="C1381" s="26"/>
      <c r="D1381" s="7"/>
      <c r="E1381" s="7"/>
      <c r="F1381" s="435">
        <v>45358.0</v>
      </c>
      <c r="G1381" s="278" t="s">
        <v>707</v>
      </c>
      <c r="H1381" s="436" t="s">
        <v>387</v>
      </c>
      <c r="I1381" s="437">
        <v>2.0</v>
      </c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</row>
    <row r="1382" hidden="1">
      <c r="A1382" s="25"/>
      <c r="B1382" s="26"/>
      <c r="C1382" s="26"/>
      <c r="D1382" s="7"/>
      <c r="E1382" s="7"/>
      <c r="F1382" s="435">
        <v>45359.0</v>
      </c>
      <c r="G1382" s="278" t="s">
        <v>716</v>
      </c>
      <c r="H1382" s="436" t="s">
        <v>536</v>
      </c>
      <c r="I1382" s="437">
        <v>3.0</v>
      </c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</row>
    <row r="1383" hidden="1">
      <c r="A1383" s="25"/>
      <c r="B1383" s="26"/>
      <c r="C1383" s="26"/>
      <c r="D1383" s="7"/>
      <c r="E1383" s="7"/>
      <c r="F1383" s="435">
        <v>45359.0</v>
      </c>
      <c r="G1383" s="278" t="s">
        <v>716</v>
      </c>
      <c r="H1383" s="436" t="s">
        <v>918</v>
      </c>
      <c r="I1383" s="437">
        <v>5.0</v>
      </c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</row>
    <row r="1384" hidden="1">
      <c r="A1384" s="25"/>
      <c r="B1384" s="26"/>
      <c r="C1384" s="26"/>
      <c r="D1384" s="7"/>
      <c r="E1384" s="7"/>
      <c r="F1384" s="435">
        <v>45359.0</v>
      </c>
      <c r="G1384" s="278" t="s">
        <v>716</v>
      </c>
      <c r="H1384" s="436" t="s">
        <v>916</v>
      </c>
      <c r="I1384" s="437">
        <v>3.0</v>
      </c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</row>
    <row r="1385" hidden="1">
      <c r="A1385" s="25"/>
      <c r="B1385" s="26"/>
      <c r="C1385" s="26"/>
      <c r="D1385" s="7"/>
      <c r="E1385" s="7"/>
      <c r="F1385" s="435">
        <v>45359.0</v>
      </c>
      <c r="G1385" s="278" t="s">
        <v>716</v>
      </c>
      <c r="H1385" s="436" t="s">
        <v>921</v>
      </c>
      <c r="I1385" s="437">
        <v>1.0</v>
      </c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</row>
    <row r="1386" hidden="1">
      <c r="A1386" s="25"/>
      <c r="B1386" s="26"/>
      <c r="C1386" s="26"/>
      <c r="D1386" s="7"/>
      <c r="E1386" s="7"/>
      <c r="F1386" s="435">
        <v>45359.0</v>
      </c>
      <c r="G1386" s="278" t="s">
        <v>716</v>
      </c>
      <c r="H1386" s="436" t="s">
        <v>387</v>
      </c>
      <c r="I1386" s="437">
        <v>3.0</v>
      </c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</row>
    <row r="1387" hidden="1">
      <c r="A1387" s="25"/>
      <c r="B1387" s="26"/>
      <c r="C1387" s="26"/>
      <c r="D1387" s="7"/>
      <c r="E1387" s="7"/>
      <c r="F1387" s="435">
        <v>45360.0</v>
      </c>
      <c r="G1387" s="278" t="s">
        <v>704</v>
      </c>
      <c r="H1387" s="436" t="s">
        <v>536</v>
      </c>
      <c r="I1387" s="437">
        <v>3.0</v>
      </c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</row>
    <row r="1388" hidden="1">
      <c r="A1388" s="25"/>
      <c r="B1388" s="26"/>
      <c r="C1388" s="26"/>
      <c r="D1388" s="7"/>
      <c r="E1388" s="7"/>
      <c r="F1388" s="435">
        <v>45360.0</v>
      </c>
      <c r="G1388" s="278" t="s">
        <v>704</v>
      </c>
      <c r="H1388" s="436" t="s">
        <v>918</v>
      </c>
      <c r="I1388" s="437">
        <v>1.0</v>
      </c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</row>
    <row r="1389" hidden="1">
      <c r="A1389" s="25"/>
      <c r="B1389" s="26"/>
      <c r="C1389" s="26"/>
      <c r="D1389" s="7"/>
      <c r="E1389" s="7"/>
      <c r="F1389" s="435">
        <v>45360.0</v>
      </c>
      <c r="G1389" s="278" t="s">
        <v>704</v>
      </c>
      <c r="H1389" s="436" t="s">
        <v>916</v>
      </c>
      <c r="I1389" s="437">
        <v>3.0</v>
      </c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</row>
    <row r="1390" hidden="1">
      <c r="A1390" s="25"/>
      <c r="B1390" s="26"/>
      <c r="C1390" s="26"/>
      <c r="D1390" s="7"/>
      <c r="E1390" s="7"/>
      <c r="F1390" s="435">
        <v>45360.0</v>
      </c>
      <c r="G1390" s="278" t="s">
        <v>704</v>
      </c>
      <c r="H1390" s="436" t="s">
        <v>921</v>
      </c>
      <c r="I1390" s="441">
        <v>5.0</v>
      </c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</row>
    <row r="1391" hidden="1">
      <c r="A1391" s="25"/>
      <c r="B1391" s="26"/>
      <c r="C1391" s="26"/>
      <c r="D1391" s="7"/>
      <c r="E1391" s="7"/>
      <c r="F1391" s="435">
        <v>45360.0</v>
      </c>
      <c r="G1391" s="278" t="s">
        <v>704</v>
      </c>
      <c r="H1391" s="436" t="s">
        <v>387</v>
      </c>
      <c r="I1391" s="437">
        <v>1.0</v>
      </c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</row>
    <row r="1392" hidden="1">
      <c r="A1392" s="25"/>
      <c r="B1392" s="26"/>
      <c r="C1392" s="26"/>
      <c r="D1392" s="7"/>
      <c r="E1392" s="7"/>
      <c r="F1392" s="435">
        <v>45362.0</v>
      </c>
      <c r="G1392" s="278" t="s">
        <v>697</v>
      </c>
      <c r="H1392" s="436" t="s">
        <v>536</v>
      </c>
      <c r="I1392" s="437">
        <v>2.0</v>
      </c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</row>
    <row r="1393" hidden="1">
      <c r="A1393" s="25"/>
      <c r="B1393" s="26"/>
      <c r="C1393" s="26"/>
      <c r="D1393" s="7"/>
      <c r="E1393" s="7"/>
      <c r="F1393" s="435">
        <v>45362.0</v>
      </c>
      <c r="G1393" s="278" t="s">
        <v>697</v>
      </c>
      <c r="H1393" s="436" t="s">
        <v>918</v>
      </c>
      <c r="I1393" s="437">
        <v>3.0</v>
      </c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</row>
    <row r="1394" hidden="1">
      <c r="A1394" s="25"/>
      <c r="B1394" s="26"/>
      <c r="C1394" s="26"/>
      <c r="D1394" s="7"/>
      <c r="E1394" s="7"/>
      <c r="F1394" s="435">
        <v>45362.0</v>
      </c>
      <c r="G1394" s="278" t="s">
        <v>697</v>
      </c>
      <c r="H1394" s="436" t="s">
        <v>916</v>
      </c>
      <c r="I1394" s="437">
        <v>1.0</v>
      </c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</row>
    <row r="1395" hidden="1">
      <c r="A1395" s="25"/>
      <c r="B1395" s="26"/>
      <c r="C1395" s="26"/>
      <c r="D1395" s="7"/>
      <c r="E1395" s="7"/>
      <c r="F1395" s="435">
        <v>45362.0</v>
      </c>
      <c r="G1395" s="278" t="s">
        <v>697</v>
      </c>
      <c r="H1395" s="436" t="s">
        <v>921</v>
      </c>
      <c r="I1395" s="441">
        <v>5.0</v>
      </c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</row>
    <row r="1396" hidden="1">
      <c r="A1396" s="25"/>
      <c r="B1396" s="26"/>
      <c r="C1396" s="26"/>
      <c r="D1396" s="7"/>
      <c r="E1396" s="7"/>
      <c r="F1396" s="435">
        <v>45362.0</v>
      </c>
      <c r="G1396" s="278" t="s">
        <v>697</v>
      </c>
      <c r="H1396" s="436" t="s">
        <v>387</v>
      </c>
      <c r="I1396" s="437">
        <v>2.0</v>
      </c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</row>
    <row r="1397" hidden="1">
      <c r="A1397" s="25"/>
      <c r="B1397" s="26"/>
      <c r="C1397" s="26"/>
      <c r="D1397" s="7"/>
      <c r="E1397" s="7"/>
      <c r="F1397" s="435">
        <v>45362.0</v>
      </c>
      <c r="G1397" s="278" t="s">
        <v>716</v>
      </c>
      <c r="H1397" s="436" t="s">
        <v>536</v>
      </c>
      <c r="I1397" s="437">
        <v>4.0</v>
      </c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</row>
    <row r="1398" hidden="1">
      <c r="A1398" s="25"/>
      <c r="B1398" s="26"/>
      <c r="C1398" s="26"/>
      <c r="D1398" s="7"/>
      <c r="E1398" s="7"/>
      <c r="F1398" s="435">
        <v>45362.0</v>
      </c>
      <c r="G1398" s="278" t="s">
        <v>716</v>
      </c>
      <c r="H1398" s="436" t="s">
        <v>918</v>
      </c>
      <c r="I1398" s="437">
        <v>1.0</v>
      </c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</row>
    <row r="1399" hidden="1">
      <c r="A1399" s="25"/>
      <c r="B1399" s="26"/>
      <c r="C1399" s="26"/>
      <c r="D1399" s="7"/>
      <c r="E1399" s="7"/>
      <c r="F1399" s="435">
        <v>45362.0</v>
      </c>
      <c r="G1399" s="278" t="s">
        <v>716</v>
      </c>
      <c r="H1399" s="436" t="s">
        <v>916</v>
      </c>
      <c r="I1399" s="437">
        <v>1.0</v>
      </c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</row>
    <row r="1400" hidden="1">
      <c r="A1400" s="25"/>
      <c r="B1400" s="26"/>
      <c r="C1400" s="26"/>
      <c r="D1400" s="7"/>
      <c r="E1400" s="7"/>
      <c r="F1400" s="435">
        <v>45362.0</v>
      </c>
      <c r="G1400" s="278" t="s">
        <v>716</v>
      </c>
      <c r="H1400" s="436" t="s">
        <v>921</v>
      </c>
      <c r="I1400" s="437">
        <v>4.0</v>
      </c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</row>
    <row r="1401" hidden="1">
      <c r="A1401" s="25"/>
      <c r="B1401" s="26"/>
      <c r="C1401" s="26"/>
      <c r="D1401" s="7"/>
      <c r="E1401" s="7"/>
      <c r="F1401" s="435">
        <v>45362.0</v>
      </c>
      <c r="G1401" s="278" t="s">
        <v>716</v>
      </c>
      <c r="H1401" s="436" t="s">
        <v>387</v>
      </c>
      <c r="I1401" s="437">
        <v>3.0</v>
      </c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</row>
    <row r="1402" hidden="1">
      <c r="A1402" s="25"/>
      <c r="B1402" s="26"/>
      <c r="C1402" s="26"/>
      <c r="D1402" s="7"/>
      <c r="E1402" s="7"/>
      <c r="F1402" s="435">
        <v>45366.0</v>
      </c>
      <c r="G1402" s="278" t="s">
        <v>707</v>
      </c>
      <c r="H1402" s="436" t="s">
        <v>536</v>
      </c>
      <c r="I1402" s="437">
        <v>1.0</v>
      </c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</row>
    <row r="1403" hidden="1">
      <c r="A1403" s="25"/>
      <c r="B1403" s="26"/>
      <c r="C1403" s="26"/>
      <c r="D1403" s="7"/>
      <c r="E1403" s="7"/>
      <c r="F1403" s="435">
        <v>45366.0</v>
      </c>
      <c r="G1403" s="278" t="s">
        <v>707</v>
      </c>
      <c r="H1403" s="436" t="s">
        <v>918</v>
      </c>
      <c r="I1403" s="437">
        <v>2.0</v>
      </c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</row>
    <row r="1404" hidden="1">
      <c r="A1404" s="25"/>
      <c r="B1404" s="26"/>
      <c r="C1404" s="26"/>
      <c r="D1404" s="7"/>
      <c r="E1404" s="7"/>
      <c r="F1404" s="435">
        <v>45366.0</v>
      </c>
      <c r="G1404" s="278" t="s">
        <v>707</v>
      </c>
      <c r="H1404" s="436" t="s">
        <v>916</v>
      </c>
      <c r="I1404" s="437">
        <v>5.0</v>
      </c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</row>
    <row r="1405" hidden="1">
      <c r="A1405" s="25"/>
      <c r="B1405" s="26"/>
      <c r="C1405" s="26"/>
      <c r="D1405" s="7"/>
      <c r="E1405" s="7"/>
      <c r="F1405" s="435">
        <v>45366.0</v>
      </c>
      <c r="G1405" s="278" t="s">
        <v>707</v>
      </c>
      <c r="H1405" s="436" t="s">
        <v>921</v>
      </c>
      <c r="I1405" s="437">
        <v>1.0</v>
      </c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</row>
    <row r="1406" hidden="1">
      <c r="A1406" s="25"/>
      <c r="B1406" s="26"/>
      <c r="C1406" s="26"/>
      <c r="D1406" s="7"/>
      <c r="E1406" s="7"/>
      <c r="F1406" s="435">
        <v>45366.0</v>
      </c>
      <c r="G1406" s="278" t="s">
        <v>707</v>
      </c>
      <c r="H1406" s="436" t="s">
        <v>387</v>
      </c>
      <c r="I1406" s="437">
        <v>4.0</v>
      </c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</row>
    <row r="1407" hidden="1">
      <c r="A1407" s="25"/>
      <c r="B1407" s="26"/>
      <c r="C1407" s="26"/>
      <c r="D1407" s="7"/>
      <c r="E1407" s="7"/>
      <c r="F1407" s="435">
        <v>45367.0</v>
      </c>
      <c r="G1407" s="278" t="s">
        <v>704</v>
      </c>
      <c r="H1407" s="436" t="s">
        <v>536</v>
      </c>
      <c r="I1407" s="437">
        <v>4.0</v>
      </c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</row>
    <row r="1408" hidden="1">
      <c r="A1408" s="25"/>
      <c r="B1408" s="26"/>
      <c r="C1408" s="26"/>
      <c r="D1408" s="7"/>
      <c r="E1408" s="7"/>
      <c r="F1408" s="435">
        <v>45367.0</v>
      </c>
      <c r="G1408" s="278" t="s">
        <v>704</v>
      </c>
      <c r="H1408" s="436" t="s">
        <v>918</v>
      </c>
      <c r="I1408" s="437">
        <v>3.0</v>
      </c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</row>
    <row r="1409" hidden="1">
      <c r="A1409" s="25"/>
      <c r="B1409" s="26"/>
      <c r="C1409" s="26"/>
      <c r="D1409" s="7"/>
      <c r="E1409" s="7"/>
      <c r="F1409" s="435">
        <v>45367.0</v>
      </c>
      <c r="G1409" s="278" t="s">
        <v>704</v>
      </c>
      <c r="H1409" s="436" t="s">
        <v>916</v>
      </c>
      <c r="I1409" s="437">
        <v>1.0</v>
      </c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</row>
    <row r="1410" hidden="1">
      <c r="A1410" s="25"/>
      <c r="B1410" s="26"/>
      <c r="C1410" s="26"/>
      <c r="D1410" s="7"/>
      <c r="E1410" s="7"/>
      <c r="F1410" s="435">
        <v>45367.0</v>
      </c>
      <c r="G1410" s="278" t="s">
        <v>704</v>
      </c>
      <c r="H1410" s="436" t="s">
        <v>921</v>
      </c>
      <c r="I1410" s="437">
        <v>4.0</v>
      </c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</row>
    <row r="1411" hidden="1">
      <c r="A1411" s="25"/>
      <c r="B1411" s="26"/>
      <c r="C1411" s="26"/>
      <c r="D1411" s="7"/>
      <c r="E1411" s="7"/>
      <c r="F1411" s="435">
        <v>45367.0</v>
      </c>
      <c r="G1411" s="278" t="s">
        <v>704</v>
      </c>
      <c r="H1411" s="436" t="s">
        <v>387</v>
      </c>
      <c r="I1411" s="437">
        <v>3.0</v>
      </c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</row>
    <row r="1412" hidden="1">
      <c r="A1412" s="25"/>
      <c r="B1412" s="26"/>
      <c r="C1412" s="26"/>
      <c r="D1412" s="7"/>
      <c r="E1412" s="7"/>
      <c r="F1412" s="435">
        <v>45367.0</v>
      </c>
      <c r="G1412" s="278" t="s">
        <v>707</v>
      </c>
      <c r="H1412" s="436" t="s">
        <v>536</v>
      </c>
      <c r="I1412" s="437">
        <v>1.0</v>
      </c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</row>
    <row r="1413" hidden="1">
      <c r="A1413" s="25"/>
      <c r="B1413" s="26"/>
      <c r="C1413" s="26"/>
      <c r="D1413" s="7"/>
      <c r="E1413" s="7"/>
      <c r="F1413" s="435">
        <v>45367.0</v>
      </c>
      <c r="G1413" s="278" t="s">
        <v>707</v>
      </c>
      <c r="H1413" s="436" t="s">
        <v>918</v>
      </c>
      <c r="I1413" s="437">
        <v>2.0</v>
      </c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</row>
    <row r="1414" hidden="1">
      <c r="A1414" s="25"/>
      <c r="B1414" s="26"/>
      <c r="C1414" s="26"/>
      <c r="D1414" s="7"/>
      <c r="E1414" s="7"/>
      <c r="F1414" s="435">
        <v>45367.0</v>
      </c>
      <c r="G1414" s="278" t="s">
        <v>707</v>
      </c>
      <c r="H1414" s="436" t="s">
        <v>916</v>
      </c>
      <c r="I1414" s="437">
        <v>3.0</v>
      </c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</row>
    <row r="1415" hidden="1">
      <c r="A1415" s="25"/>
      <c r="B1415" s="26"/>
      <c r="C1415" s="26"/>
      <c r="D1415" s="7"/>
      <c r="E1415" s="7"/>
      <c r="F1415" s="435">
        <v>45367.0</v>
      </c>
      <c r="G1415" s="278" t="s">
        <v>707</v>
      </c>
      <c r="H1415" s="436" t="s">
        <v>921</v>
      </c>
      <c r="I1415" s="437">
        <v>2.0</v>
      </c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</row>
    <row r="1416" hidden="1">
      <c r="A1416" s="25"/>
      <c r="B1416" s="26"/>
      <c r="C1416" s="26"/>
      <c r="D1416" s="7"/>
      <c r="E1416" s="7"/>
      <c r="F1416" s="435">
        <v>45367.0</v>
      </c>
      <c r="G1416" s="278" t="s">
        <v>707</v>
      </c>
      <c r="H1416" s="436" t="s">
        <v>387</v>
      </c>
      <c r="I1416" s="437">
        <v>4.0</v>
      </c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</row>
    <row r="1417" hidden="1">
      <c r="A1417" s="25"/>
      <c r="B1417" s="26"/>
      <c r="C1417" s="26"/>
      <c r="D1417" s="7"/>
      <c r="E1417" s="7"/>
      <c r="F1417" s="435">
        <v>45369.0</v>
      </c>
      <c r="G1417" s="278" t="s">
        <v>697</v>
      </c>
      <c r="H1417" s="436" t="s">
        <v>536</v>
      </c>
      <c r="I1417" s="437">
        <v>5.0</v>
      </c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</row>
    <row r="1418" hidden="1">
      <c r="A1418" s="25"/>
      <c r="B1418" s="26"/>
      <c r="C1418" s="26"/>
      <c r="D1418" s="7"/>
      <c r="E1418" s="7"/>
      <c r="F1418" s="435">
        <v>45369.0</v>
      </c>
      <c r="G1418" s="278" t="s">
        <v>697</v>
      </c>
      <c r="H1418" s="436" t="s">
        <v>918</v>
      </c>
      <c r="I1418" s="441">
        <v>1.0</v>
      </c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</row>
    <row r="1419" hidden="1">
      <c r="A1419" s="25"/>
      <c r="B1419" s="26"/>
      <c r="C1419" s="26"/>
      <c r="D1419" s="7"/>
      <c r="E1419" s="7"/>
      <c r="F1419" s="435">
        <v>45369.0</v>
      </c>
      <c r="G1419" s="278" t="s">
        <v>697</v>
      </c>
      <c r="H1419" s="436" t="s">
        <v>916</v>
      </c>
      <c r="I1419" s="437">
        <v>1.0</v>
      </c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</row>
    <row r="1420" hidden="1">
      <c r="A1420" s="25"/>
      <c r="B1420" s="26"/>
      <c r="C1420" s="26"/>
      <c r="D1420" s="7"/>
      <c r="E1420" s="7"/>
      <c r="F1420" s="435">
        <v>45369.0</v>
      </c>
      <c r="G1420" s="278" t="s">
        <v>697</v>
      </c>
      <c r="H1420" s="436" t="s">
        <v>921</v>
      </c>
      <c r="I1420" s="441">
        <v>5.0</v>
      </c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</row>
    <row r="1421" hidden="1">
      <c r="A1421" s="25"/>
      <c r="B1421" s="26"/>
      <c r="C1421" s="26"/>
      <c r="D1421" s="7"/>
      <c r="E1421" s="7"/>
      <c r="F1421" s="435">
        <v>45369.0</v>
      </c>
      <c r="G1421" s="278" t="s">
        <v>697</v>
      </c>
      <c r="H1421" s="436" t="s">
        <v>387</v>
      </c>
      <c r="I1421" s="441">
        <v>5.0</v>
      </c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</row>
    <row r="1422" hidden="1">
      <c r="A1422" s="25"/>
      <c r="B1422" s="26"/>
      <c r="C1422" s="26"/>
      <c r="D1422" s="7"/>
      <c r="E1422" s="7"/>
      <c r="F1422" s="435">
        <v>45370.0</v>
      </c>
      <c r="G1422" s="278" t="s">
        <v>707</v>
      </c>
      <c r="H1422" s="436" t="s">
        <v>536</v>
      </c>
      <c r="I1422" s="437">
        <v>3.0</v>
      </c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</row>
    <row r="1423" hidden="1">
      <c r="A1423" s="25"/>
      <c r="B1423" s="26"/>
      <c r="C1423" s="26"/>
      <c r="D1423" s="7"/>
      <c r="E1423" s="7"/>
      <c r="F1423" s="435">
        <v>45370.0</v>
      </c>
      <c r="G1423" s="278" t="s">
        <v>707</v>
      </c>
      <c r="H1423" s="436" t="s">
        <v>918</v>
      </c>
      <c r="I1423" s="437">
        <v>3.0</v>
      </c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</row>
    <row r="1424" hidden="1">
      <c r="A1424" s="25"/>
      <c r="B1424" s="26"/>
      <c r="C1424" s="26"/>
      <c r="D1424" s="7"/>
      <c r="E1424" s="7"/>
      <c r="F1424" s="435">
        <v>45370.0</v>
      </c>
      <c r="G1424" s="278" t="s">
        <v>707</v>
      </c>
      <c r="H1424" s="436" t="s">
        <v>916</v>
      </c>
      <c r="I1424" s="437">
        <v>3.0</v>
      </c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</row>
    <row r="1425" hidden="1">
      <c r="A1425" s="25"/>
      <c r="B1425" s="26"/>
      <c r="C1425" s="26"/>
      <c r="D1425" s="7"/>
      <c r="E1425" s="7"/>
      <c r="F1425" s="435">
        <v>45370.0</v>
      </c>
      <c r="G1425" s="278" t="s">
        <v>707</v>
      </c>
      <c r="H1425" s="436" t="s">
        <v>921</v>
      </c>
      <c r="I1425" s="437">
        <v>2.0</v>
      </c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</row>
    <row r="1426" hidden="1">
      <c r="A1426" s="25"/>
      <c r="B1426" s="26"/>
      <c r="C1426" s="26"/>
      <c r="D1426" s="7"/>
      <c r="E1426" s="7"/>
      <c r="F1426" s="435">
        <v>45370.0</v>
      </c>
      <c r="G1426" s="278" t="s">
        <v>707</v>
      </c>
      <c r="H1426" s="436" t="s">
        <v>387</v>
      </c>
      <c r="I1426" s="437">
        <v>5.0</v>
      </c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</row>
    <row r="1427" hidden="1">
      <c r="A1427" s="25"/>
      <c r="B1427" s="26"/>
      <c r="C1427" s="26"/>
      <c r="D1427" s="7"/>
      <c r="E1427" s="7"/>
      <c r="F1427" s="435">
        <v>45373.0</v>
      </c>
      <c r="G1427" s="278" t="s">
        <v>707</v>
      </c>
      <c r="H1427" s="436" t="s">
        <v>536</v>
      </c>
      <c r="I1427" s="437">
        <v>3.0</v>
      </c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</row>
    <row r="1428" hidden="1">
      <c r="A1428" s="25"/>
      <c r="B1428" s="26"/>
      <c r="C1428" s="26"/>
      <c r="D1428" s="7"/>
      <c r="E1428" s="7"/>
      <c r="F1428" s="435">
        <v>45373.0</v>
      </c>
      <c r="G1428" s="278" t="s">
        <v>707</v>
      </c>
      <c r="H1428" s="436" t="s">
        <v>918</v>
      </c>
      <c r="I1428" s="437">
        <v>3.0</v>
      </c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</row>
    <row r="1429" hidden="1">
      <c r="A1429" s="25"/>
      <c r="B1429" s="26"/>
      <c r="C1429" s="26"/>
      <c r="D1429" s="7"/>
      <c r="E1429" s="7"/>
      <c r="F1429" s="435">
        <v>45373.0</v>
      </c>
      <c r="G1429" s="278" t="s">
        <v>707</v>
      </c>
      <c r="H1429" s="436" t="s">
        <v>916</v>
      </c>
      <c r="I1429" s="437">
        <v>4.0</v>
      </c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</row>
    <row r="1430" hidden="1">
      <c r="A1430" s="25"/>
      <c r="B1430" s="26"/>
      <c r="C1430" s="26"/>
      <c r="D1430" s="7"/>
      <c r="E1430" s="7"/>
      <c r="F1430" s="435">
        <v>45373.0</v>
      </c>
      <c r="G1430" s="278" t="s">
        <v>707</v>
      </c>
      <c r="H1430" s="436" t="s">
        <v>921</v>
      </c>
      <c r="I1430" s="437">
        <v>2.0</v>
      </c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</row>
    <row r="1431" hidden="1">
      <c r="A1431" s="25"/>
      <c r="B1431" s="26"/>
      <c r="C1431" s="26"/>
      <c r="D1431" s="7"/>
      <c r="E1431" s="7"/>
      <c r="F1431" s="435">
        <v>45373.0</v>
      </c>
      <c r="G1431" s="278" t="s">
        <v>707</v>
      </c>
      <c r="H1431" s="436" t="s">
        <v>387</v>
      </c>
      <c r="I1431" s="437">
        <v>1.0</v>
      </c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</row>
    <row r="1432" hidden="1">
      <c r="A1432" s="25"/>
      <c r="B1432" s="26"/>
      <c r="C1432" s="26"/>
      <c r="D1432" s="7"/>
      <c r="E1432" s="7"/>
      <c r="F1432" s="435">
        <v>45374.0</v>
      </c>
      <c r="G1432" s="278" t="s">
        <v>704</v>
      </c>
      <c r="H1432" s="436" t="s">
        <v>536</v>
      </c>
      <c r="I1432" s="437">
        <v>1.0</v>
      </c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</row>
    <row r="1433" hidden="1">
      <c r="A1433" s="25"/>
      <c r="B1433" s="26"/>
      <c r="C1433" s="26"/>
      <c r="D1433" s="7"/>
      <c r="E1433" s="7"/>
      <c r="F1433" s="435">
        <v>45374.0</v>
      </c>
      <c r="G1433" s="278" t="s">
        <v>704</v>
      </c>
      <c r="H1433" s="436" t="s">
        <v>536</v>
      </c>
      <c r="I1433" s="437">
        <v>4.0</v>
      </c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</row>
    <row r="1434" hidden="1">
      <c r="A1434" s="25"/>
      <c r="B1434" s="26"/>
      <c r="C1434" s="26"/>
      <c r="D1434" s="7"/>
      <c r="E1434" s="7"/>
      <c r="F1434" s="435">
        <v>45374.0</v>
      </c>
      <c r="G1434" s="278" t="s">
        <v>704</v>
      </c>
      <c r="H1434" s="436" t="s">
        <v>918</v>
      </c>
      <c r="I1434" s="437">
        <v>1.0</v>
      </c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</row>
    <row r="1435" hidden="1">
      <c r="A1435" s="25"/>
      <c r="B1435" s="26"/>
      <c r="C1435" s="26"/>
      <c r="D1435" s="7"/>
      <c r="E1435" s="7"/>
      <c r="F1435" s="435">
        <v>45374.0</v>
      </c>
      <c r="G1435" s="278" t="s">
        <v>704</v>
      </c>
      <c r="H1435" s="436" t="s">
        <v>918</v>
      </c>
      <c r="I1435" s="437">
        <v>1.0</v>
      </c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</row>
    <row r="1436" hidden="1">
      <c r="A1436" s="25"/>
      <c r="B1436" s="26"/>
      <c r="C1436" s="26"/>
      <c r="D1436" s="7"/>
      <c r="E1436" s="7"/>
      <c r="F1436" s="435">
        <v>45374.0</v>
      </c>
      <c r="G1436" s="278" t="s">
        <v>704</v>
      </c>
      <c r="H1436" s="436" t="s">
        <v>916</v>
      </c>
      <c r="I1436" s="437">
        <v>5.0</v>
      </c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</row>
    <row r="1437" hidden="1">
      <c r="A1437" s="25"/>
      <c r="B1437" s="26"/>
      <c r="C1437" s="26"/>
      <c r="D1437" s="7"/>
      <c r="E1437" s="7"/>
      <c r="F1437" s="435">
        <v>45374.0</v>
      </c>
      <c r="G1437" s="278" t="s">
        <v>704</v>
      </c>
      <c r="H1437" s="436" t="s">
        <v>916</v>
      </c>
      <c r="I1437" s="437">
        <v>2.0</v>
      </c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</row>
    <row r="1438" hidden="1">
      <c r="A1438" s="25"/>
      <c r="B1438" s="26"/>
      <c r="C1438" s="26"/>
      <c r="D1438" s="7"/>
      <c r="E1438" s="7"/>
      <c r="F1438" s="435">
        <v>45374.0</v>
      </c>
      <c r="G1438" s="278" t="s">
        <v>704</v>
      </c>
      <c r="H1438" s="436" t="s">
        <v>921</v>
      </c>
      <c r="I1438" s="437">
        <v>5.0</v>
      </c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</row>
    <row r="1439" hidden="1">
      <c r="A1439" s="25"/>
      <c r="B1439" s="26"/>
      <c r="C1439" s="26"/>
      <c r="D1439" s="7"/>
      <c r="E1439" s="7"/>
      <c r="F1439" s="435">
        <v>45374.0</v>
      </c>
      <c r="G1439" s="278" t="s">
        <v>704</v>
      </c>
      <c r="H1439" s="436" t="s">
        <v>921</v>
      </c>
      <c r="I1439" s="437">
        <v>3.0</v>
      </c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</row>
    <row r="1440" hidden="1">
      <c r="A1440" s="25"/>
      <c r="B1440" s="26"/>
      <c r="C1440" s="26"/>
      <c r="D1440" s="7"/>
      <c r="E1440" s="7"/>
      <c r="F1440" s="435">
        <v>45374.0</v>
      </c>
      <c r="G1440" s="278" t="s">
        <v>704</v>
      </c>
      <c r="H1440" s="436" t="s">
        <v>387</v>
      </c>
      <c r="I1440" s="437">
        <v>1.0</v>
      </c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</row>
    <row r="1441" hidden="1">
      <c r="A1441" s="25"/>
      <c r="B1441" s="26"/>
      <c r="C1441" s="26"/>
      <c r="D1441" s="7"/>
      <c r="E1441" s="7"/>
      <c r="F1441" s="435">
        <v>45374.0</v>
      </c>
      <c r="G1441" s="278" t="s">
        <v>704</v>
      </c>
      <c r="H1441" s="436" t="s">
        <v>387</v>
      </c>
      <c r="I1441" s="437">
        <v>5.0</v>
      </c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</row>
    <row r="1442" hidden="1">
      <c r="A1442" s="25"/>
      <c r="B1442" s="26"/>
      <c r="C1442" s="26"/>
      <c r="D1442" s="7"/>
      <c r="E1442" s="7"/>
      <c r="F1442" s="435">
        <v>45375.0</v>
      </c>
      <c r="G1442" s="278" t="s">
        <v>704</v>
      </c>
      <c r="H1442" s="436" t="s">
        <v>536</v>
      </c>
      <c r="I1442" s="437">
        <v>5.0</v>
      </c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</row>
    <row r="1443" hidden="1">
      <c r="A1443" s="25"/>
      <c r="B1443" s="26"/>
      <c r="C1443" s="26"/>
      <c r="D1443" s="7"/>
      <c r="E1443" s="7"/>
      <c r="F1443" s="435">
        <v>45375.0</v>
      </c>
      <c r="G1443" s="278" t="s">
        <v>704</v>
      </c>
      <c r="H1443" s="436" t="s">
        <v>918</v>
      </c>
      <c r="I1443" s="437">
        <v>1.0</v>
      </c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</row>
    <row r="1444" hidden="1">
      <c r="A1444" s="25"/>
      <c r="B1444" s="26"/>
      <c r="C1444" s="26"/>
      <c r="D1444" s="7"/>
      <c r="E1444" s="7"/>
      <c r="F1444" s="435">
        <v>45375.0</v>
      </c>
      <c r="G1444" s="278" t="s">
        <v>704</v>
      </c>
      <c r="H1444" s="436" t="s">
        <v>916</v>
      </c>
      <c r="I1444" s="437">
        <v>4.0</v>
      </c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</row>
    <row r="1445" hidden="1">
      <c r="A1445" s="25"/>
      <c r="B1445" s="26"/>
      <c r="C1445" s="26"/>
      <c r="D1445" s="7"/>
      <c r="E1445" s="7"/>
      <c r="F1445" s="435">
        <v>45375.0</v>
      </c>
      <c r="G1445" s="278" t="s">
        <v>704</v>
      </c>
      <c r="H1445" s="436" t="s">
        <v>921</v>
      </c>
      <c r="I1445" s="441">
        <v>5.0</v>
      </c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</row>
    <row r="1446" hidden="1">
      <c r="A1446" s="25"/>
      <c r="B1446" s="26"/>
      <c r="C1446" s="26"/>
      <c r="D1446" s="7"/>
      <c r="E1446" s="7"/>
      <c r="F1446" s="435">
        <v>45375.0</v>
      </c>
      <c r="G1446" s="278" t="s">
        <v>704</v>
      </c>
      <c r="H1446" s="436" t="s">
        <v>387</v>
      </c>
      <c r="I1446" s="437">
        <v>1.0</v>
      </c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</row>
    <row r="1447" hidden="1">
      <c r="A1447" s="25"/>
      <c r="B1447" s="26"/>
      <c r="C1447" s="26"/>
      <c r="D1447" s="7"/>
      <c r="E1447" s="7"/>
      <c r="F1447" s="435">
        <v>45375.0</v>
      </c>
      <c r="G1447" s="278" t="s">
        <v>707</v>
      </c>
      <c r="H1447" s="436" t="s">
        <v>536</v>
      </c>
      <c r="I1447" s="437">
        <v>5.0</v>
      </c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</row>
    <row r="1448" hidden="1">
      <c r="A1448" s="25"/>
      <c r="B1448" s="26"/>
      <c r="C1448" s="26"/>
      <c r="D1448" s="7"/>
      <c r="E1448" s="7"/>
      <c r="F1448" s="435">
        <v>45375.0</v>
      </c>
      <c r="G1448" s="278" t="s">
        <v>707</v>
      </c>
      <c r="H1448" s="436" t="s">
        <v>536</v>
      </c>
      <c r="I1448" s="437">
        <v>1.0</v>
      </c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</row>
    <row r="1449" hidden="1">
      <c r="A1449" s="25"/>
      <c r="B1449" s="26"/>
      <c r="C1449" s="26"/>
      <c r="D1449" s="7"/>
      <c r="E1449" s="7"/>
      <c r="F1449" s="435">
        <v>45375.0</v>
      </c>
      <c r="G1449" s="278" t="s">
        <v>707</v>
      </c>
      <c r="H1449" s="436" t="s">
        <v>918</v>
      </c>
      <c r="I1449" s="437">
        <v>5.0</v>
      </c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</row>
    <row r="1450" hidden="1">
      <c r="A1450" s="25"/>
      <c r="B1450" s="26"/>
      <c r="C1450" s="26"/>
      <c r="D1450" s="7"/>
      <c r="E1450" s="7"/>
      <c r="F1450" s="435">
        <v>45375.0</v>
      </c>
      <c r="G1450" s="278" t="s">
        <v>707</v>
      </c>
      <c r="H1450" s="436" t="s">
        <v>918</v>
      </c>
      <c r="I1450" s="437">
        <v>1.0</v>
      </c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</row>
    <row r="1451" hidden="1">
      <c r="A1451" s="25"/>
      <c r="B1451" s="26"/>
      <c r="C1451" s="26"/>
      <c r="D1451" s="7"/>
      <c r="E1451" s="7"/>
      <c r="F1451" s="435">
        <v>45375.0</v>
      </c>
      <c r="G1451" s="278" t="s">
        <v>707</v>
      </c>
      <c r="H1451" s="436" t="s">
        <v>916</v>
      </c>
      <c r="I1451" s="437">
        <v>3.0</v>
      </c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</row>
    <row r="1452" hidden="1">
      <c r="A1452" s="25"/>
      <c r="B1452" s="26"/>
      <c r="C1452" s="26"/>
      <c r="D1452" s="7"/>
      <c r="E1452" s="7"/>
      <c r="F1452" s="435">
        <v>45375.0</v>
      </c>
      <c r="G1452" s="278" t="s">
        <v>707</v>
      </c>
      <c r="H1452" s="436" t="s">
        <v>916</v>
      </c>
      <c r="I1452" s="437">
        <v>4.0</v>
      </c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</row>
    <row r="1453" hidden="1">
      <c r="A1453" s="25"/>
      <c r="B1453" s="26"/>
      <c r="C1453" s="26"/>
      <c r="D1453" s="7"/>
      <c r="E1453" s="7"/>
      <c r="F1453" s="435">
        <v>45375.0</v>
      </c>
      <c r="G1453" s="278" t="s">
        <v>707</v>
      </c>
      <c r="H1453" s="436" t="s">
        <v>921</v>
      </c>
      <c r="I1453" s="437">
        <v>5.0</v>
      </c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</row>
    <row r="1454" hidden="1">
      <c r="A1454" s="25"/>
      <c r="B1454" s="26"/>
      <c r="C1454" s="26"/>
      <c r="D1454" s="7"/>
      <c r="E1454" s="7"/>
      <c r="F1454" s="435">
        <v>45375.0</v>
      </c>
      <c r="G1454" s="278" t="s">
        <v>707</v>
      </c>
      <c r="H1454" s="436" t="s">
        <v>921</v>
      </c>
      <c r="I1454" s="437">
        <v>5.0</v>
      </c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</row>
    <row r="1455" hidden="1">
      <c r="A1455" s="25"/>
      <c r="B1455" s="26"/>
      <c r="C1455" s="26"/>
      <c r="D1455" s="7"/>
      <c r="E1455" s="7"/>
      <c r="F1455" s="435">
        <v>45375.0</v>
      </c>
      <c r="G1455" s="278" t="s">
        <v>707</v>
      </c>
      <c r="H1455" s="436" t="s">
        <v>387</v>
      </c>
      <c r="I1455" s="437">
        <v>4.0</v>
      </c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</row>
    <row r="1456" hidden="1">
      <c r="A1456" s="25"/>
      <c r="B1456" s="26"/>
      <c r="C1456" s="26"/>
      <c r="D1456" s="7"/>
      <c r="E1456" s="7"/>
      <c r="F1456" s="435">
        <v>45375.0</v>
      </c>
      <c r="G1456" s="278" t="s">
        <v>707</v>
      </c>
      <c r="H1456" s="436" t="s">
        <v>387</v>
      </c>
      <c r="I1456" s="437">
        <v>5.0</v>
      </c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</row>
    <row r="1457" hidden="1">
      <c r="A1457" s="25"/>
      <c r="B1457" s="26"/>
      <c r="C1457" s="26"/>
      <c r="D1457" s="7"/>
      <c r="E1457" s="7"/>
      <c r="F1457" s="435">
        <v>45376.0</v>
      </c>
      <c r="G1457" s="278" t="s">
        <v>707</v>
      </c>
      <c r="H1457" s="436" t="s">
        <v>536</v>
      </c>
      <c r="I1457" s="437">
        <v>3.0</v>
      </c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</row>
    <row r="1458" hidden="1">
      <c r="A1458" s="25"/>
      <c r="B1458" s="26"/>
      <c r="C1458" s="26"/>
      <c r="D1458" s="7"/>
      <c r="E1458" s="7"/>
      <c r="F1458" s="435">
        <v>45376.0</v>
      </c>
      <c r="G1458" s="278" t="s">
        <v>707</v>
      </c>
      <c r="H1458" s="436" t="s">
        <v>918</v>
      </c>
      <c r="I1458" s="437">
        <v>1.0</v>
      </c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</row>
    <row r="1459" hidden="1">
      <c r="A1459" s="25"/>
      <c r="B1459" s="26"/>
      <c r="C1459" s="26"/>
      <c r="D1459" s="7"/>
      <c r="E1459" s="7"/>
      <c r="F1459" s="435">
        <v>45376.0</v>
      </c>
      <c r="G1459" s="278" t="s">
        <v>707</v>
      </c>
      <c r="H1459" s="436" t="s">
        <v>916</v>
      </c>
      <c r="I1459" s="437">
        <v>3.0</v>
      </c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</row>
    <row r="1460" hidden="1">
      <c r="A1460" s="25"/>
      <c r="B1460" s="26"/>
      <c r="C1460" s="26"/>
      <c r="D1460" s="7"/>
      <c r="E1460" s="7"/>
      <c r="F1460" s="435">
        <v>45376.0</v>
      </c>
      <c r="G1460" s="278" t="s">
        <v>707</v>
      </c>
      <c r="H1460" s="436" t="s">
        <v>921</v>
      </c>
      <c r="I1460" s="437">
        <v>5.0</v>
      </c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</row>
    <row r="1461" hidden="1">
      <c r="A1461" s="25"/>
      <c r="B1461" s="26"/>
      <c r="C1461" s="26"/>
      <c r="D1461" s="7"/>
      <c r="E1461" s="7"/>
      <c r="F1461" s="435">
        <v>45376.0</v>
      </c>
      <c r="G1461" s="278" t="s">
        <v>707</v>
      </c>
      <c r="H1461" s="436" t="s">
        <v>387</v>
      </c>
      <c r="I1461" s="437">
        <v>3.0</v>
      </c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</row>
    <row r="1462" hidden="1">
      <c r="A1462" s="25"/>
      <c r="B1462" s="26"/>
      <c r="C1462" s="26"/>
      <c r="D1462" s="7"/>
      <c r="E1462" s="7"/>
      <c r="F1462" s="435">
        <v>45379.0</v>
      </c>
      <c r="G1462" s="278" t="s">
        <v>697</v>
      </c>
      <c r="H1462" s="436" t="s">
        <v>536</v>
      </c>
      <c r="I1462" s="437">
        <v>5.0</v>
      </c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</row>
    <row r="1463" hidden="1">
      <c r="A1463" s="25"/>
      <c r="B1463" s="26"/>
      <c r="C1463" s="26"/>
      <c r="D1463" s="7"/>
      <c r="E1463" s="7"/>
      <c r="F1463" s="435">
        <v>45379.0</v>
      </c>
      <c r="G1463" s="278" t="s">
        <v>697</v>
      </c>
      <c r="H1463" s="436" t="s">
        <v>918</v>
      </c>
      <c r="I1463" s="441">
        <v>1.0</v>
      </c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</row>
    <row r="1464" hidden="1">
      <c r="A1464" s="25"/>
      <c r="B1464" s="26"/>
      <c r="C1464" s="26"/>
      <c r="D1464" s="7"/>
      <c r="E1464" s="7"/>
      <c r="F1464" s="435">
        <v>45379.0</v>
      </c>
      <c r="G1464" s="278" t="s">
        <v>697</v>
      </c>
      <c r="H1464" s="436" t="s">
        <v>916</v>
      </c>
      <c r="I1464" s="437">
        <v>3.0</v>
      </c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</row>
    <row r="1465" hidden="1">
      <c r="A1465" s="25"/>
      <c r="B1465" s="26"/>
      <c r="C1465" s="26"/>
      <c r="D1465" s="7"/>
      <c r="E1465" s="7"/>
      <c r="F1465" s="435">
        <v>45379.0</v>
      </c>
      <c r="G1465" s="278" t="s">
        <v>697</v>
      </c>
      <c r="H1465" s="436" t="s">
        <v>921</v>
      </c>
      <c r="I1465" s="437">
        <v>5.0</v>
      </c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</row>
    <row r="1466" hidden="1">
      <c r="A1466" s="25"/>
      <c r="B1466" s="26"/>
      <c r="C1466" s="26"/>
      <c r="D1466" s="7"/>
      <c r="E1466" s="7"/>
      <c r="F1466" s="435">
        <v>45379.0</v>
      </c>
      <c r="G1466" s="278" t="s">
        <v>697</v>
      </c>
      <c r="H1466" s="436" t="s">
        <v>387</v>
      </c>
      <c r="I1466" s="437">
        <v>5.0</v>
      </c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</row>
    <row r="1467" hidden="1">
      <c r="A1467" s="25"/>
      <c r="B1467" s="26"/>
      <c r="C1467" s="26"/>
      <c r="D1467" s="7"/>
      <c r="E1467" s="7"/>
      <c r="F1467" s="435">
        <v>45383.0</v>
      </c>
      <c r="G1467" s="278" t="s">
        <v>704</v>
      </c>
      <c r="H1467" s="436" t="s">
        <v>536</v>
      </c>
      <c r="I1467" s="437">
        <v>2.0</v>
      </c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</row>
    <row r="1468" hidden="1">
      <c r="A1468" s="25"/>
      <c r="B1468" s="26"/>
      <c r="C1468" s="26"/>
      <c r="D1468" s="7"/>
      <c r="E1468" s="7"/>
      <c r="F1468" s="435">
        <v>45383.0</v>
      </c>
      <c r="G1468" s="278" t="s">
        <v>704</v>
      </c>
      <c r="H1468" s="436" t="s">
        <v>918</v>
      </c>
      <c r="I1468" s="437">
        <v>3.0</v>
      </c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</row>
    <row r="1469" hidden="1">
      <c r="A1469" s="25"/>
      <c r="B1469" s="26"/>
      <c r="C1469" s="26"/>
      <c r="D1469" s="7"/>
      <c r="E1469" s="7"/>
      <c r="F1469" s="435">
        <v>45383.0</v>
      </c>
      <c r="G1469" s="278" t="s">
        <v>704</v>
      </c>
      <c r="H1469" s="436" t="s">
        <v>916</v>
      </c>
      <c r="I1469" s="437">
        <v>3.0</v>
      </c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</row>
    <row r="1470" hidden="1">
      <c r="A1470" s="25"/>
      <c r="B1470" s="26"/>
      <c r="C1470" s="26"/>
      <c r="D1470" s="7"/>
      <c r="E1470" s="7"/>
      <c r="F1470" s="435">
        <v>45383.0</v>
      </c>
      <c r="G1470" s="278" t="s">
        <v>704</v>
      </c>
      <c r="H1470" s="436" t="s">
        <v>921</v>
      </c>
      <c r="I1470" s="437">
        <v>5.0</v>
      </c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</row>
    <row r="1471" hidden="1">
      <c r="A1471" s="25"/>
      <c r="B1471" s="26"/>
      <c r="C1471" s="26"/>
      <c r="D1471" s="7"/>
      <c r="E1471" s="7"/>
      <c r="F1471" s="435">
        <v>45383.0</v>
      </c>
      <c r="G1471" s="278" t="s">
        <v>704</v>
      </c>
      <c r="H1471" s="436" t="s">
        <v>387</v>
      </c>
      <c r="I1471" s="437">
        <v>5.0</v>
      </c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</row>
    <row r="1472" hidden="1">
      <c r="A1472" s="25"/>
      <c r="B1472" s="26"/>
      <c r="C1472" s="26"/>
      <c r="D1472" s="7"/>
      <c r="E1472" s="7"/>
      <c r="F1472" s="435">
        <v>45384.0</v>
      </c>
      <c r="G1472" s="278" t="s">
        <v>697</v>
      </c>
      <c r="H1472" s="436" t="s">
        <v>536</v>
      </c>
      <c r="I1472" s="437">
        <v>3.0</v>
      </c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</row>
    <row r="1473" hidden="1">
      <c r="A1473" s="25"/>
      <c r="B1473" s="26"/>
      <c r="C1473" s="26"/>
      <c r="D1473" s="7"/>
      <c r="E1473" s="7"/>
      <c r="F1473" s="435">
        <v>45384.0</v>
      </c>
      <c r="G1473" s="278" t="s">
        <v>697</v>
      </c>
      <c r="H1473" s="436" t="s">
        <v>918</v>
      </c>
      <c r="I1473" s="441">
        <v>1.0</v>
      </c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</row>
    <row r="1474" hidden="1">
      <c r="A1474" s="25"/>
      <c r="B1474" s="26"/>
      <c r="C1474" s="26"/>
      <c r="D1474" s="7"/>
      <c r="E1474" s="7"/>
      <c r="F1474" s="435">
        <v>45384.0</v>
      </c>
      <c r="G1474" s="278" t="s">
        <v>697</v>
      </c>
      <c r="H1474" s="436" t="s">
        <v>916</v>
      </c>
      <c r="I1474" s="437">
        <v>3.0</v>
      </c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</row>
    <row r="1475" hidden="1">
      <c r="A1475" s="25"/>
      <c r="B1475" s="26"/>
      <c r="C1475" s="26"/>
      <c r="D1475" s="7"/>
      <c r="E1475" s="7"/>
      <c r="F1475" s="435">
        <v>45384.0</v>
      </c>
      <c r="G1475" s="278" t="s">
        <v>697</v>
      </c>
      <c r="H1475" s="436" t="s">
        <v>921</v>
      </c>
      <c r="I1475" s="441">
        <v>5.0</v>
      </c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</row>
    <row r="1476" hidden="1">
      <c r="A1476" s="25"/>
      <c r="B1476" s="26"/>
      <c r="C1476" s="26"/>
      <c r="D1476" s="7"/>
      <c r="E1476" s="7"/>
      <c r="F1476" s="435">
        <v>45384.0</v>
      </c>
      <c r="G1476" s="278" t="s">
        <v>697</v>
      </c>
      <c r="H1476" s="436" t="s">
        <v>387</v>
      </c>
      <c r="I1476" s="437">
        <v>5.0</v>
      </c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</row>
    <row r="1477" hidden="1">
      <c r="A1477" s="25"/>
      <c r="B1477" s="26"/>
      <c r="C1477" s="26"/>
      <c r="D1477" s="7"/>
      <c r="E1477" s="7"/>
      <c r="F1477" s="435">
        <v>45386.0</v>
      </c>
      <c r="G1477" s="278" t="s">
        <v>707</v>
      </c>
      <c r="H1477" s="436" t="s">
        <v>536</v>
      </c>
      <c r="I1477" s="437">
        <v>2.0</v>
      </c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</row>
    <row r="1478" hidden="1">
      <c r="A1478" s="25"/>
      <c r="B1478" s="26"/>
      <c r="C1478" s="26"/>
      <c r="D1478" s="7"/>
      <c r="E1478" s="7"/>
      <c r="F1478" s="435">
        <v>45386.0</v>
      </c>
      <c r="G1478" s="278" t="s">
        <v>707</v>
      </c>
      <c r="H1478" s="436" t="s">
        <v>918</v>
      </c>
      <c r="I1478" s="437">
        <v>3.0</v>
      </c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</row>
    <row r="1479" hidden="1">
      <c r="A1479" s="25"/>
      <c r="B1479" s="26"/>
      <c r="C1479" s="26"/>
      <c r="D1479" s="7"/>
      <c r="E1479" s="7"/>
      <c r="F1479" s="435">
        <v>45386.0</v>
      </c>
      <c r="G1479" s="278" t="s">
        <v>707</v>
      </c>
      <c r="H1479" s="436" t="s">
        <v>916</v>
      </c>
      <c r="I1479" s="437">
        <v>3.0</v>
      </c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</row>
    <row r="1480" hidden="1">
      <c r="A1480" s="25"/>
      <c r="B1480" s="26"/>
      <c r="C1480" s="26"/>
      <c r="D1480" s="7"/>
      <c r="E1480" s="7"/>
      <c r="F1480" s="435">
        <v>45386.0</v>
      </c>
      <c r="G1480" s="278" t="s">
        <v>707</v>
      </c>
      <c r="H1480" s="436" t="s">
        <v>921</v>
      </c>
      <c r="I1480" s="437">
        <v>5.0</v>
      </c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</row>
    <row r="1481" hidden="1">
      <c r="A1481" s="25"/>
      <c r="B1481" s="26"/>
      <c r="C1481" s="26"/>
      <c r="D1481" s="7"/>
      <c r="E1481" s="7"/>
      <c r="F1481" s="435">
        <v>45386.0</v>
      </c>
      <c r="G1481" s="278" t="s">
        <v>707</v>
      </c>
      <c r="H1481" s="436" t="s">
        <v>387</v>
      </c>
      <c r="I1481" s="437">
        <v>2.0</v>
      </c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</row>
    <row r="1482" hidden="1">
      <c r="A1482" s="25"/>
      <c r="B1482" s="26"/>
      <c r="C1482" s="26"/>
      <c r="D1482" s="7"/>
      <c r="E1482" s="7"/>
      <c r="F1482" s="435">
        <v>45392.0</v>
      </c>
      <c r="G1482" s="278" t="s">
        <v>697</v>
      </c>
      <c r="H1482" s="436" t="s">
        <v>536</v>
      </c>
      <c r="I1482" s="437">
        <v>5.0</v>
      </c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</row>
    <row r="1483" hidden="1">
      <c r="A1483" s="25"/>
      <c r="B1483" s="26"/>
      <c r="C1483" s="26"/>
      <c r="D1483" s="7"/>
      <c r="E1483" s="7"/>
      <c r="F1483" s="435">
        <v>45392.0</v>
      </c>
      <c r="G1483" s="278" t="s">
        <v>697</v>
      </c>
      <c r="H1483" s="436" t="s">
        <v>918</v>
      </c>
      <c r="I1483" s="441">
        <v>1.0</v>
      </c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</row>
    <row r="1484" hidden="1">
      <c r="A1484" s="25"/>
      <c r="B1484" s="26"/>
      <c r="C1484" s="26"/>
      <c r="D1484" s="7"/>
      <c r="E1484" s="7"/>
      <c r="F1484" s="435">
        <v>45392.0</v>
      </c>
      <c r="G1484" s="278" t="s">
        <v>697</v>
      </c>
      <c r="H1484" s="436" t="s">
        <v>916</v>
      </c>
      <c r="I1484" s="437">
        <v>3.0</v>
      </c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</row>
    <row r="1485" hidden="1">
      <c r="A1485" s="25"/>
      <c r="B1485" s="26"/>
      <c r="C1485" s="26"/>
      <c r="D1485" s="7"/>
      <c r="E1485" s="7"/>
      <c r="F1485" s="435">
        <v>45392.0</v>
      </c>
      <c r="G1485" s="278" t="s">
        <v>697</v>
      </c>
      <c r="H1485" s="436" t="s">
        <v>921</v>
      </c>
      <c r="I1485" s="441">
        <v>5.0</v>
      </c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</row>
    <row r="1486" hidden="1">
      <c r="A1486" s="25"/>
      <c r="B1486" s="26"/>
      <c r="C1486" s="26"/>
      <c r="D1486" s="7"/>
      <c r="E1486" s="7"/>
      <c r="F1486" s="435">
        <v>45392.0</v>
      </c>
      <c r="G1486" s="278" t="s">
        <v>697</v>
      </c>
      <c r="H1486" s="436" t="s">
        <v>387</v>
      </c>
      <c r="I1486" s="437">
        <v>4.0</v>
      </c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</row>
    <row r="1487" hidden="1">
      <c r="A1487" s="25"/>
      <c r="B1487" s="26"/>
      <c r="C1487" s="26"/>
      <c r="D1487" s="7"/>
      <c r="E1487" s="7"/>
      <c r="F1487" s="435">
        <v>45392.0</v>
      </c>
      <c r="G1487" s="278" t="s">
        <v>707</v>
      </c>
      <c r="H1487" s="436" t="s">
        <v>536</v>
      </c>
      <c r="I1487" s="437">
        <v>3.0</v>
      </c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</row>
    <row r="1488" hidden="1">
      <c r="A1488" s="25"/>
      <c r="B1488" s="26"/>
      <c r="C1488" s="26"/>
      <c r="D1488" s="7"/>
      <c r="E1488" s="7"/>
      <c r="F1488" s="435">
        <v>45392.0</v>
      </c>
      <c r="G1488" s="278" t="s">
        <v>707</v>
      </c>
      <c r="H1488" s="436" t="s">
        <v>918</v>
      </c>
      <c r="I1488" s="437">
        <v>5.0</v>
      </c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</row>
    <row r="1489" hidden="1">
      <c r="A1489" s="25"/>
      <c r="B1489" s="26"/>
      <c r="C1489" s="26"/>
      <c r="D1489" s="7"/>
      <c r="E1489" s="7"/>
      <c r="F1489" s="435">
        <v>45392.0</v>
      </c>
      <c r="G1489" s="278" t="s">
        <v>707</v>
      </c>
      <c r="H1489" s="436" t="s">
        <v>916</v>
      </c>
      <c r="I1489" s="437">
        <v>5.0</v>
      </c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</row>
    <row r="1490" hidden="1">
      <c r="A1490" s="25"/>
      <c r="B1490" s="26"/>
      <c r="C1490" s="26"/>
      <c r="D1490" s="7"/>
      <c r="E1490" s="7"/>
      <c r="F1490" s="435">
        <v>45392.0</v>
      </c>
      <c r="G1490" s="278" t="s">
        <v>707</v>
      </c>
      <c r="H1490" s="436" t="s">
        <v>921</v>
      </c>
      <c r="I1490" s="437">
        <v>3.0</v>
      </c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</row>
    <row r="1491" hidden="1">
      <c r="A1491" s="25"/>
      <c r="B1491" s="26"/>
      <c r="C1491" s="26"/>
      <c r="D1491" s="7"/>
      <c r="E1491" s="7"/>
      <c r="F1491" s="435">
        <v>45392.0</v>
      </c>
      <c r="G1491" s="278" t="s">
        <v>707</v>
      </c>
      <c r="H1491" s="436" t="s">
        <v>387</v>
      </c>
      <c r="I1491" s="437">
        <v>1.0</v>
      </c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</row>
    <row r="1492" hidden="1">
      <c r="A1492" s="25"/>
      <c r="B1492" s="26"/>
      <c r="C1492" s="26"/>
      <c r="D1492" s="7"/>
      <c r="E1492" s="7"/>
      <c r="F1492" s="435">
        <v>45393.0</v>
      </c>
      <c r="G1492" s="278" t="s">
        <v>697</v>
      </c>
      <c r="H1492" s="436" t="s">
        <v>536</v>
      </c>
      <c r="I1492" s="437">
        <v>5.0</v>
      </c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</row>
    <row r="1493" hidden="1">
      <c r="A1493" s="25"/>
      <c r="B1493" s="26"/>
      <c r="C1493" s="26"/>
      <c r="D1493" s="7"/>
      <c r="E1493" s="7"/>
      <c r="F1493" s="435">
        <v>45393.0</v>
      </c>
      <c r="G1493" s="278" t="s">
        <v>697</v>
      </c>
      <c r="H1493" s="436" t="s">
        <v>918</v>
      </c>
      <c r="I1493" s="441">
        <v>1.0</v>
      </c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</row>
    <row r="1494" hidden="1">
      <c r="A1494" s="25"/>
      <c r="B1494" s="26"/>
      <c r="C1494" s="26"/>
      <c r="D1494" s="7"/>
      <c r="E1494" s="7"/>
      <c r="F1494" s="435">
        <v>45393.0</v>
      </c>
      <c r="G1494" s="278" t="s">
        <v>697</v>
      </c>
      <c r="H1494" s="436" t="s">
        <v>916</v>
      </c>
      <c r="I1494" s="437">
        <v>2.0</v>
      </c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</row>
    <row r="1495" hidden="1">
      <c r="A1495" s="25"/>
      <c r="B1495" s="26"/>
      <c r="C1495" s="26"/>
      <c r="D1495" s="7"/>
      <c r="E1495" s="7"/>
      <c r="F1495" s="435">
        <v>45393.0</v>
      </c>
      <c r="G1495" s="278" t="s">
        <v>697</v>
      </c>
      <c r="H1495" s="436" t="s">
        <v>921</v>
      </c>
      <c r="I1495" s="441">
        <v>5.0</v>
      </c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</row>
    <row r="1496" hidden="1">
      <c r="A1496" s="25"/>
      <c r="B1496" s="26"/>
      <c r="C1496" s="26"/>
      <c r="D1496" s="7"/>
      <c r="E1496" s="7"/>
      <c r="F1496" s="435">
        <v>45393.0</v>
      </c>
      <c r="G1496" s="278" t="s">
        <v>697</v>
      </c>
      <c r="H1496" s="436" t="s">
        <v>387</v>
      </c>
      <c r="I1496" s="441">
        <v>5.0</v>
      </c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</row>
    <row r="1497" hidden="1">
      <c r="A1497" s="25"/>
      <c r="B1497" s="26"/>
      <c r="C1497" s="26"/>
      <c r="D1497" s="7"/>
      <c r="E1497" s="7"/>
      <c r="F1497" s="435">
        <v>45396.0</v>
      </c>
      <c r="G1497" s="278" t="s">
        <v>697</v>
      </c>
      <c r="H1497" s="436" t="s">
        <v>536</v>
      </c>
      <c r="I1497" s="437">
        <v>1.0</v>
      </c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</row>
    <row r="1498" hidden="1">
      <c r="A1498" s="25"/>
      <c r="B1498" s="26"/>
      <c r="C1498" s="26"/>
      <c r="D1498" s="7"/>
      <c r="E1498" s="7"/>
      <c r="F1498" s="435">
        <v>45396.0</v>
      </c>
      <c r="G1498" s="278" t="s">
        <v>697</v>
      </c>
      <c r="H1498" s="436" t="s">
        <v>918</v>
      </c>
      <c r="I1498" s="437">
        <v>1.0</v>
      </c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</row>
    <row r="1499" hidden="1">
      <c r="A1499" s="25"/>
      <c r="B1499" s="26"/>
      <c r="C1499" s="26"/>
      <c r="D1499" s="7"/>
      <c r="E1499" s="7"/>
      <c r="F1499" s="435">
        <v>45396.0</v>
      </c>
      <c r="G1499" s="278" t="s">
        <v>697</v>
      </c>
      <c r="H1499" s="436" t="s">
        <v>916</v>
      </c>
      <c r="I1499" s="437">
        <v>2.0</v>
      </c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</row>
    <row r="1500" hidden="1">
      <c r="A1500" s="25"/>
      <c r="B1500" s="26"/>
      <c r="C1500" s="26"/>
      <c r="D1500" s="7"/>
      <c r="E1500" s="7"/>
      <c r="F1500" s="435">
        <v>45396.0</v>
      </c>
      <c r="G1500" s="278" t="s">
        <v>697</v>
      </c>
      <c r="H1500" s="436" t="s">
        <v>921</v>
      </c>
      <c r="I1500" s="441">
        <v>5.0</v>
      </c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</row>
    <row r="1501" hidden="1">
      <c r="A1501" s="25"/>
      <c r="B1501" s="26"/>
      <c r="C1501" s="26"/>
      <c r="D1501" s="7"/>
      <c r="E1501" s="7"/>
      <c r="F1501" s="435">
        <v>45396.0</v>
      </c>
      <c r="G1501" s="278" t="s">
        <v>697</v>
      </c>
      <c r="H1501" s="436" t="s">
        <v>387</v>
      </c>
      <c r="I1501" s="437">
        <v>5.0</v>
      </c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</row>
    <row r="1502" hidden="1">
      <c r="A1502" s="25"/>
      <c r="B1502" s="26"/>
      <c r="C1502" s="26"/>
      <c r="D1502" s="7"/>
      <c r="E1502" s="7"/>
      <c r="F1502" s="435">
        <v>45398.0</v>
      </c>
      <c r="G1502" s="278" t="s">
        <v>704</v>
      </c>
      <c r="H1502" s="436" t="s">
        <v>536</v>
      </c>
      <c r="I1502" s="441">
        <v>2.0</v>
      </c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</row>
    <row r="1503" hidden="1">
      <c r="A1503" s="25"/>
      <c r="B1503" s="26"/>
      <c r="C1503" s="26"/>
      <c r="D1503" s="7"/>
      <c r="E1503" s="7"/>
      <c r="F1503" s="435">
        <v>45398.0</v>
      </c>
      <c r="G1503" s="278" t="s">
        <v>704</v>
      </c>
      <c r="H1503" s="436" t="s">
        <v>918</v>
      </c>
      <c r="I1503" s="437">
        <v>1.0</v>
      </c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</row>
    <row r="1504" hidden="1">
      <c r="A1504" s="25"/>
      <c r="B1504" s="26"/>
      <c r="C1504" s="26"/>
      <c r="D1504" s="7"/>
      <c r="E1504" s="7"/>
      <c r="F1504" s="435">
        <v>45398.0</v>
      </c>
      <c r="G1504" s="278" t="s">
        <v>704</v>
      </c>
      <c r="H1504" s="436" t="s">
        <v>916</v>
      </c>
      <c r="I1504" s="437">
        <v>2.0</v>
      </c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</row>
    <row r="1505" hidden="1">
      <c r="A1505" s="25"/>
      <c r="B1505" s="26"/>
      <c r="C1505" s="26"/>
      <c r="D1505" s="7"/>
      <c r="E1505" s="7"/>
      <c r="F1505" s="435">
        <v>45398.0</v>
      </c>
      <c r="G1505" s="278" t="s">
        <v>704</v>
      </c>
      <c r="H1505" s="436" t="s">
        <v>921</v>
      </c>
      <c r="I1505" s="437">
        <v>5.0</v>
      </c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</row>
    <row r="1506" hidden="1">
      <c r="A1506" s="25"/>
      <c r="B1506" s="26"/>
      <c r="C1506" s="26"/>
      <c r="D1506" s="7"/>
      <c r="E1506" s="7"/>
      <c r="F1506" s="435">
        <v>45398.0</v>
      </c>
      <c r="G1506" s="278" t="s">
        <v>704</v>
      </c>
      <c r="H1506" s="436" t="s">
        <v>387</v>
      </c>
      <c r="I1506" s="437">
        <v>2.0</v>
      </c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</row>
    <row r="1507" hidden="1">
      <c r="A1507" s="25"/>
      <c r="B1507" s="26"/>
      <c r="C1507" s="26"/>
      <c r="D1507" s="7"/>
      <c r="E1507" s="7"/>
      <c r="F1507" s="435">
        <v>45398.0</v>
      </c>
      <c r="G1507" s="278" t="s">
        <v>697</v>
      </c>
      <c r="H1507" s="436" t="s">
        <v>536</v>
      </c>
      <c r="I1507" s="437">
        <v>3.0</v>
      </c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</row>
    <row r="1508" hidden="1">
      <c r="A1508" s="25"/>
      <c r="B1508" s="26"/>
      <c r="C1508" s="26"/>
      <c r="D1508" s="7"/>
      <c r="E1508" s="7"/>
      <c r="F1508" s="435">
        <v>45398.0</v>
      </c>
      <c r="G1508" s="278" t="s">
        <v>697</v>
      </c>
      <c r="H1508" s="436" t="s">
        <v>918</v>
      </c>
      <c r="I1508" s="437">
        <v>2.0</v>
      </c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</row>
    <row r="1509" hidden="1">
      <c r="A1509" s="25"/>
      <c r="B1509" s="26"/>
      <c r="C1509" s="26"/>
      <c r="D1509" s="7"/>
      <c r="E1509" s="7"/>
      <c r="F1509" s="435">
        <v>45398.0</v>
      </c>
      <c r="G1509" s="278" t="s">
        <v>697</v>
      </c>
      <c r="H1509" s="436" t="s">
        <v>916</v>
      </c>
      <c r="I1509" s="437">
        <v>1.0</v>
      </c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</row>
    <row r="1510" hidden="1">
      <c r="A1510" s="25"/>
      <c r="B1510" s="26"/>
      <c r="C1510" s="26"/>
      <c r="D1510" s="7"/>
      <c r="E1510" s="7"/>
      <c r="F1510" s="435">
        <v>45398.0</v>
      </c>
      <c r="G1510" s="278" t="s">
        <v>697</v>
      </c>
      <c r="H1510" s="436" t="s">
        <v>921</v>
      </c>
      <c r="I1510" s="441">
        <v>5.0</v>
      </c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</row>
    <row r="1511" hidden="1">
      <c r="A1511" s="25"/>
      <c r="B1511" s="26"/>
      <c r="C1511" s="26"/>
      <c r="D1511" s="7"/>
      <c r="E1511" s="7"/>
      <c r="F1511" s="435">
        <v>45398.0</v>
      </c>
      <c r="G1511" s="278" t="s">
        <v>697</v>
      </c>
      <c r="H1511" s="436" t="s">
        <v>387</v>
      </c>
      <c r="I1511" s="441">
        <v>5.0</v>
      </c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</row>
    <row r="1512" hidden="1">
      <c r="A1512" s="25"/>
      <c r="B1512" s="26"/>
      <c r="C1512" s="26"/>
      <c r="D1512" s="7"/>
      <c r="E1512" s="7"/>
      <c r="F1512" s="435">
        <v>45398.0</v>
      </c>
      <c r="G1512" s="278" t="s">
        <v>716</v>
      </c>
      <c r="H1512" s="436" t="s">
        <v>536</v>
      </c>
      <c r="I1512" s="437">
        <v>2.0</v>
      </c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</row>
    <row r="1513" hidden="1">
      <c r="A1513" s="25"/>
      <c r="B1513" s="26"/>
      <c r="C1513" s="26"/>
      <c r="D1513" s="7"/>
      <c r="E1513" s="7"/>
      <c r="F1513" s="435">
        <v>45398.0</v>
      </c>
      <c r="G1513" s="278" t="s">
        <v>716</v>
      </c>
      <c r="H1513" s="436" t="s">
        <v>918</v>
      </c>
      <c r="I1513" s="437">
        <v>5.0</v>
      </c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</row>
    <row r="1514" hidden="1">
      <c r="A1514" s="25"/>
      <c r="B1514" s="26"/>
      <c r="C1514" s="26"/>
      <c r="D1514" s="7"/>
      <c r="E1514" s="7"/>
      <c r="F1514" s="435">
        <v>45398.0</v>
      </c>
      <c r="G1514" s="278" t="s">
        <v>716</v>
      </c>
      <c r="H1514" s="436" t="s">
        <v>916</v>
      </c>
      <c r="I1514" s="437">
        <v>5.0</v>
      </c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</row>
    <row r="1515" hidden="1">
      <c r="A1515" s="25"/>
      <c r="B1515" s="26"/>
      <c r="C1515" s="26"/>
      <c r="D1515" s="7"/>
      <c r="E1515" s="7"/>
      <c r="F1515" s="435">
        <v>45398.0</v>
      </c>
      <c r="G1515" s="278" t="s">
        <v>716</v>
      </c>
      <c r="H1515" s="436" t="s">
        <v>921</v>
      </c>
      <c r="I1515" s="437">
        <v>2.0</v>
      </c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</row>
    <row r="1516" hidden="1">
      <c r="A1516" s="25"/>
      <c r="B1516" s="26"/>
      <c r="C1516" s="26"/>
      <c r="D1516" s="7"/>
      <c r="E1516" s="7"/>
      <c r="F1516" s="435">
        <v>45398.0</v>
      </c>
      <c r="G1516" s="278" t="s">
        <v>716</v>
      </c>
      <c r="H1516" s="436" t="s">
        <v>387</v>
      </c>
      <c r="I1516" s="437">
        <v>3.0</v>
      </c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</row>
    <row r="1517" hidden="1">
      <c r="A1517" s="25"/>
      <c r="B1517" s="26"/>
      <c r="C1517" s="26"/>
      <c r="D1517" s="7"/>
      <c r="E1517" s="7"/>
      <c r="F1517" s="435">
        <v>45399.0</v>
      </c>
      <c r="G1517" s="278" t="s">
        <v>704</v>
      </c>
      <c r="H1517" s="436" t="s">
        <v>536</v>
      </c>
      <c r="I1517" s="441">
        <v>2.0</v>
      </c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</row>
    <row r="1518" hidden="1">
      <c r="A1518" s="25"/>
      <c r="B1518" s="26"/>
      <c r="C1518" s="26"/>
      <c r="D1518" s="7"/>
      <c r="E1518" s="7"/>
      <c r="F1518" s="435">
        <v>45399.0</v>
      </c>
      <c r="G1518" s="278" t="s">
        <v>704</v>
      </c>
      <c r="H1518" s="436" t="s">
        <v>918</v>
      </c>
      <c r="I1518" s="437">
        <v>3.0</v>
      </c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</row>
    <row r="1519" hidden="1">
      <c r="A1519" s="25"/>
      <c r="B1519" s="26"/>
      <c r="C1519" s="26"/>
      <c r="D1519" s="7"/>
      <c r="E1519" s="7"/>
      <c r="F1519" s="435">
        <v>45399.0</v>
      </c>
      <c r="G1519" s="278" t="s">
        <v>704</v>
      </c>
      <c r="H1519" s="436" t="s">
        <v>916</v>
      </c>
      <c r="I1519" s="437">
        <v>5.0</v>
      </c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</row>
    <row r="1520" hidden="1">
      <c r="A1520" s="25"/>
      <c r="B1520" s="26"/>
      <c r="C1520" s="26"/>
      <c r="D1520" s="7"/>
      <c r="E1520" s="7"/>
      <c r="F1520" s="435">
        <v>45399.0</v>
      </c>
      <c r="G1520" s="278" t="s">
        <v>704</v>
      </c>
      <c r="H1520" s="436" t="s">
        <v>921</v>
      </c>
      <c r="I1520" s="441">
        <v>5.0</v>
      </c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</row>
    <row r="1521" hidden="1">
      <c r="A1521" s="25"/>
      <c r="B1521" s="26"/>
      <c r="C1521" s="26"/>
      <c r="D1521" s="7"/>
      <c r="E1521" s="7"/>
      <c r="F1521" s="435">
        <v>45399.0</v>
      </c>
      <c r="G1521" s="278" t="s">
        <v>704</v>
      </c>
      <c r="H1521" s="436" t="s">
        <v>387</v>
      </c>
      <c r="I1521" s="437">
        <v>3.0</v>
      </c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</row>
    <row r="1522" hidden="1">
      <c r="A1522" s="25"/>
      <c r="B1522" s="26"/>
      <c r="C1522" s="26"/>
      <c r="D1522" s="7"/>
      <c r="E1522" s="7"/>
      <c r="F1522" s="435">
        <v>45401.0</v>
      </c>
      <c r="G1522" s="278" t="s">
        <v>716</v>
      </c>
      <c r="H1522" s="436" t="s">
        <v>536</v>
      </c>
      <c r="I1522" s="437">
        <v>2.0</v>
      </c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</row>
    <row r="1523" hidden="1">
      <c r="A1523" s="25"/>
      <c r="B1523" s="26"/>
      <c r="C1523" s="26"/>
      <c r="D1523" s="7"/>
      <c r="E1523" s="7"/>
      <c r="F1523" s="435">
        <v>45401.0</v>
      </c>
      <c r="G1523" s="278" t="s">
        <v>716</v>
      </c>
      <c r="H1523" s="436" t="s">
        <v>918</v>
      </c>
      <c r="I1523" s="437">
        <v>3.0</v>
      </c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</row>
    <row r="1524" hidden="1">
      <c r="A1524" s="25"/>
      <c r="B1524" s="26"/>
      <c r="C1524" s="26"/>
      <c r="D1524" s="7"/>
      <c r="E1524" s="7"/>
      <c r="F1524" s="435">
        <v>45401.0</v>
      </c>
      <c r="G1524" s="278" t="s">
        <v>716</v>
      </c>
      <c r="H1524" s="436" t="s">
        <v>916</v>
      </c>
      <c r="I1524" s="437">
        <v>3.0</v>
      </c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</row>
    <row r="1525" hidden="1">
      <c r="A1525" s="25"/>
      <c r="B1525" s="26"/>
      <c r="C1525" s="26"/>
      <c r="D1525" s="7"/>
      <c r="E1525" s="7"/>
      <c r="F1525" s="435">
        <v>45401.0</v>
      </c>
      <c r="G1525" s="278" t="s">
        <v>716</v>
      </c>
      <c r="H1525" s="436" t="s">
        <v>921</v>
      </c>
      <c r="I1525" s="437">
        <v>5.0</v>
      </c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</row>
    <row r="1526" hidden="1">
      <c r="A1526" s="25"/>
      <c r="B1526" s="26"/>
      <c r="C1526" s="26"/>
      <c r="D1526" s="7"/>
      <c r="E1526" s="7"/>
      <c r="F1526" s="435">
        <v>45401.0</v>
      </c>
      <c r="G1526" s="278" t="s">
        <v>716</v>
      </c>
      <c r="H1526" s="436" t="s">
        <v>387</v>
      </c>
      <c r="I1526" s="437">
        <v>1.0</v>
      </c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</row>
    <row r="1527" hidden="1">
      <c r="A1527" s="25"/>
      <c r="B1527" s="26"/>
      <c r="C1527" s="26"/>
      <c r="D1527" s="7"/>
      <c r="E1527" s="7"/>
      <c r="F1527" s="435">
        <v>45403.0</v>
      </c>
      <c r="G1527" s="278" t="s">
        <v>716</v>
      </c>
      <c r="H1527" s="436" t="s">
        <v>536</v>
      </c>
      <c r="I1527" s="437">
        <v>4.0</v>
      </c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</row>
    <row r="1528" hidden="1">
      <c r="A1528" s="25"/>
      <c r="B1528" s="26"/>
      <c r="C1528" s="26"/>
      <c r="D1528" s="7"/>
      <c r="E1528" s="7"/>
      <c r="F1528" s="435">
        <v>45403.0</v>
      </c>
      <c r="G1528" s="278" t="s">
        <v>716</v>
      </c>
      <c r="H1528" s="436" t="s">
        <v>918</v>
      </c>
      <c r="I1528" s="437">
        <v>4.0</v>
      </c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</row>
    <row r="1529" hidden="1">
      <c r="A1529" s="25"/>
      <c r="B1529" s="26"/>
      <c r="C1529" s="26"/>
      <c r="D1529" s="7"/>
      <c r="E1529" s="7"/>
      <c r="F1529" s="435">
        <v>45403.0</v>
      </c>
      <c r="G1529" s="278" t="s">
        <v>716</v>
      </c>
      <c r="H1529" s="436" t="s">
        <v>916</v>
      </c>
      <c r="I1529" s="437">
        <v>5.0</v>
      </c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</row>
    <row r="1530" hidden="1">
      <c r="A1530" s="25"/>
      <c r="B1530" s="26"/>
      <c r="C1530" s="26"/>
      <c r="D1530" s="7"/>
      <c r="E1530" s="7"/>
      <c r="F1530" s="435">
        <v>45403.0</v>
      </c>
      <c r="G1530" s="278" t="s">
        <v>716</v>
      </c>
      <c r="H1530" s="436" t="s">
        <v>921</v>
      </c>
      <c r="I1530" s="437">
        <v>1.0</v>
      </c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</row>
    <row r="1531" hidden="1">
      <c r="A1531" s="25"/>
      <c r="B1531" s="26"/>
      <c r="C1531" s="26"/>
      <c r="D1531" s="7"/>
      <c r="E1531" s="7"/>
      <c r="F1531" s="435">
        <v>45403.0</v>
      </c>
      <c r="G1531" s="278" t="s">
        <v>716</v>
      </c>
      <c r="H1531" s="436" t="s">
        <v>387</v>
      </c>
      <c r="I1531" s="437">
        <v>4.0</v>
      </c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</row>
    <row r="1532" hidden="1">
      <c r="A1532" s="25"/>
      <c r="B1532" s="26"/>
      <c r="C1532" s="26"/>
      <c r="D1532" s="7"/>
      <c r="E1532" s="7"/>
      <c r="F1532" s="435">
        <v>45404.0</v>
      </c>
      <c r="G1532" s="278" t="s">
        <v>716</v>
      </c>
      <c r="H1532" s="436" t="s">
        <v>536</v>
      </c>
      <c r="I1532" s="437">
        <v>1.0</v>
      </c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</row>
    <row r="1533" hidden="1">
      <c r="A1533" s="25"/>
      <c r="B1533" s="26"/>
      <c r="C1533" s="26"/>
      <c r="D1533" s="7"/>
      <c r="E1533" s="7"/>
      <c r="F1533" s="435">
        <v>45404.0</v>
      </c>
      <c r="G1533" s="278" t="s">
        <v>716</v>
      </c>
      <c r="H1533" s="436" t="s">
        <v>918</v>
      </c>
      <c r="I1533" s="437">
        <v>4.0</v>
      </c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</row>
    <row r="1534" hidden="1">
      <c r="A1534" s="25"/>
      <c r="B1534" s="26"/>
      <c r="C1534" s="26"/>
      <c r="D1534" s="7"/>
      <c r="E1534" s="7"/>
      <c r="F1534" s="435">
        <v>45404.0</v>
      </c>
      <c r="G1534" s="278" t="s">
        <v>716</v>
      </c>
      <c r="H1534" s="436" t="s">
        <v>916</v>
      </c>
      <c r="I1534" s="437">
        <v>5.0</v>
      </c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</row>
    <row r="1535" hidden="1">
      <c r="A1535" s="25"/>
      <c r="B1535" s="26"/>
      <c r="C1535" s="26"/>
      <c r="D1535" s="7"/>
      <c r="E1535" s="7"/>
      <c r="F1535" s="435">
        <v>45404.0</v>
      </c>
      <c r="G1535" s="278" t="s">
        <v>716</v>
      </c>
      <c r="H1535" s="436" t="s">
        <v>921</v>
      </c>
      <c r="I1535" s="437">
        <v>3.0</v>
      </c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</row>
    <row r="1536" hidden="1">
      <c r="A1536" s="25"/>
      <c r="B1536" s="26"/>
      <c r="C1536" s="26"/>
      <c r="D1536" s="7"/>
      <c r="E1536" s="7"/>
      <c r="F1536" s="435">
        <v>45404.0</v>
      </c>
      <c r="G1536" s="278" t="s">
        <v>716</v>
      </c>
      <c r="H1536" s="436" t="s">
        <v>387</v>
      </c>
      <c r="I1536" s="437">
        <v>1.0</v>
      </c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</row>
    <row r="1537" hidden="1">
      <c r="A1537" s="25"/>
      <c r="B1537" s="26"/>
      <c r="C1537" s="26"/>
      <c r="D1537" s="7"/>
      <c r="E1537" s="7"/>
      <c r="F1537" s="435">
        <v>45407.0</v>
      </c>
      <c r="G1537" s="278" t="s">
        <v>704</v>
      </c>
      <c r="H1537" s="436" t="s">
        <v>536</v>
      </c>
      <c r="I1537" s="441">
        <v>2.0</v>
      </c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</row>
    <row r="1538" hidden="1">
      <c r="A1538" s="25"/>
      <c r="B1538" s="26"/>
      <c r="C1538" s="26"/>
      <c r="D1538" s="7"/>
      <c r="E1538" s="7"/>
      <c r="F1538" s="435">
        <v>45407.0</v>
      </c>
      <c r="G1538" s="278" t="s">
        <v>704</v>
      </c>
      <c r="H1538" s="436" t="s">
        <v>918</v>
      </c>
      <c r="I1538" s="437">
        <v>5.0</v>
      </c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</row>
    <row r="1539" hidden="1">
      <c r="A1539" s="25"/>
      <c r="B1539" s="26"/>
      <c r="C1539" s="26"/>
      <c r="D1539" s="7"/>
      <c r="E1539" s="7"/>
      <c r="F1539" s="435">
        <v>45407.0</v>
      </c>
      <c r="G1539" s="278" t="s">
        <v>704</v>
      </c>
      <c r="H1539" s="436" t="s">
        <v>916</v>
      </c>
      <c r="I1539" s="437">
        <v>2.0</v>
      </c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</row>
    <row r="1540" hidden="1">
      <c r="A1540" s="25"/>
      <c r="B1540" s="26"/>
      <c r="C1540" s="26"/>
      <c r="D1540" s="7"/>
      <c r="E1540" s="7"/>
      <c r="F1540" s="435">
        <v>45407.0</v>
      </c>
      <c r="G1540" s="278" t="s">
        <v>704</v>
      </c>
      <c r="H1540" s="436" t="s">
        <v>921</v>
      </c>
      <c r="I1540" s="441">
        <v>5.0</v>
      </c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</row>
    <row r="1541" hidden="1">
      <c r="A1541" s="25"/>
      <c r="B1541" s="26"/>
      <c r="C1541" s="26"/>
      <c r="D1541" s="7"/>
      <c r="E1541" s="7"/>
      <c r="F1541" s="435">
        <v>45407.0</v>
      </c>
      <c r="G1541" s="278" t="s">
        <v>704</v>
      </c>
      <c r="H1541" s="436" t="s">
        <v>387</v>
      </c>
      <c r="I1541" s="437">
        <v>5.0</v>
      </c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</row>
    <row r="1542" hidden="1">
      <c r="A1542" s="25"/>
      <c r="B1542" s="26"/>
      <c r="C1542" s="26"/>
      <c r="D1542" s="7"/>
      <c r="E1542" s="7"/>
      <c r="F1542" s="435">
        <v>45407.0</v>
      </c>
      <c r="G1542" s="278" t="s">
        <v>697</v>
      </c>
      <c r="H1542" s="436" t="s">
        <v>536</v>
      </c>
      <c r="I1542" s="437">
        <v>1.0</v>
      </c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</row>
    <row r="1543" hidden="1">
      <c r="A1543" s="25"/>
      <c r="B1543" s="26"/>
      <c r="C1543" s="26"/>
      <c r="D1543" s="7"/>
      <c r="E1543" s="7"/>
      <c r="F1543" s="435">
        <v>45407.0</v>
      </c>
      <c r="G1543" s="278" t="s">
        <v>697</v>
      </c>
      <c r="H1543" s="436" t="s">
        <v>918</v>
      </c>
      <c r="I1543" s="437">
        <v>1.0</v>
      </c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</row>
    <row r="1544" hidden="1">
      <c r="A1544" s="25"/>
      <c r="B1544" s="26"/>
      <c r="C1544" s="26"/>
      <c r="D1544" s="7"/>
      <c r="E1544" s="7"/>
      <c r="F1544" s="435">
        <v>45407.0</v>
      </c>
      <c r="G1544" s="278" t="s">
        <v>697</v>
      </c>
      <c r="H1544" s="436" t="s">
        <v>916</v>
      </c>
      <c r="I1544" s="437">
        <v>4.0</v>
      </c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</row>
    <row r="1545" hidden="1">
      <c r="A1545" s="25"/>
      <c r="B1545" s="26"/>
      <c r="C1545" s="26"/>
      <c r="D1545" s="7"/>
      <c r="E1545" s="7"/>
      <c r="F1545" s="435">
        <v>45407.0</v>
      </c>
      <c r="G1545" s="278" t="s">
        <v>697</v>
      </c>
      <c r="H1545" s="436" t="s">
        <v>921</v>
      </c>
      <c r="I1545" s="441">
        <v>5.0</v>
      </c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</row>
    <row r="1546" hidden="1">
      <c r="A1546" s="25"/>
      <c r="B1546" s="26"/>
      <c r="C1546" s="26"/>
      <c r="D1546" s="7"/>
      <c r="E1546" s="7"/>
      <c r="F1546" s="435">
        <v>45407.0</v>
      </c>
      <c r="G1546" s="278" t="s">
        <v>697</v>
      </c>
      <c r="H1546" s="436" t="s">
        <v>387</v>
      </c>
      <c r="I1546" s="437">
        <v>4.0</v>
      </c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</row>
    <row r="1547" hidden="1">
      <c r="A1547" s="25"/>
      <c r="B1547" s="26"/>
      <c r="C1547" s="26"/>
      <c r="D1547" s="7"/>
      <c r="E1547" s="7"/>
      <c r="F1547" s="435">
        <v>45408.0</v>
      </c>
      <c r="G1547" s="278" t="s">
        <v>716</v>
      </c>
      <c r="H1547" s="436" t="s">
        <v>536</v>
      </c>
      <c r="I1547" s="437">
        <v>4.0</v>
      </c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</row>
    <row r="1548" hidden="1">
      <c r="A1548" s="25"/>
      <c r="B1548" s="26"/>
      <c r="C1548" s="26"/>
      <c r="D1548" s="7"/>
      <c r="E1548" s="7"/>
      <c r="F1548" s="435">
        <v>45408.0</v>
      </c>
      <c r="G1548" s="278" t="s">
        <v>716</v>
      </c>
      <c r="H1548" s="436" t="s">
        <v>918</v>
      </c>
      <c r="I1548" s="437">
        <v>3.0</v>
      </c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</row>
    <row r="1549" hidden="1">
      <c r="A1549" s="25"/>
      <c r="B1549" s="26"/>
      <c r="C1549" s="26"/>
      <c r="D1549" s="7"/>
      <c r="E1549" s="7"/>
      <c r="F1549" s="435">
        <v>45408.0</v>
      </c>
      <c r="G1549" s="278" t="s">
        <v>716</v>
      </c>
      <c r="H1549" s="436" t="s">
        <v>916</v>
      </c>
      <c r="I1549" s="437">
        <v>1.0</v>
      </c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</row>
    <row r="1550" hidden="1">
      <c r="A1550" s="25"/>
      <c r="B1550" s="26"/>
      <c r="C1550" s="26"/>
      <c r="D1550" s="7"/>
      <c r="E1550" s="7"/>
      <c r="F1550" s="435">
        <v>45408.0</v>
      </c>
      <c r="G1550" s="278" t="s">
        <v>716</v>
      </c>
      <c r="H1550" s="436" t="s">
        <v>921</v>
      </c>
      <c r="I1550" s="437">
        <v>5.0</v>
      </c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</row>
    <row r="1551" hidden="1">
      <c r="A1551" s="25"/>
      <c r="B1551" s="26"/>
      <c r="C1551" s="26"/>
      <c r="D1551" s="7"/>
      <c r="E1551" s="7"/>
      <c r="F1551" s="435">
        <v>45408.0</v>
      </c>
      <c r="G1551" s="278" t="s">
        <v>716</v>
      </c>
      <c r="H1551" s="436" t="s">
        <v>387</v>
      </c>
      <c r="I1551" s="437">
        <v>3.0</v>
      </c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</row>
    <row r="1552" hidden="1">
      <c r="A1552" s="25"/>
      <c r="B1552" s="26"/>
      <c r="C1552" s="26"/>
      <c r="D1552" s="7"/>
      <c r="E1552" s="7"/>
      <c r="F1552" s="435">
        <v>45411.0</v>
      </c>
      <c r="G1552" s="278" t="s">
        <v>697</v>
      </c>
      <c r="H1552" s="436" t="s">
        <v>536</v>
      </c>
      <c r="I1552" s="437">
        <v>5.0</v>
      </c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</row>
    <row r="1553" hidden="1">
      <c r="A1553" s="25"/>
      <c r="B1553" s="26"/>
      <c r="C1553" s="26"/>
      <c r="D1553" s="7"/>
      <c r="E1553" s="7"/>
      <c r="F1553" s="435">
        <v>45411.0</v>
      </c>
      <c r="G1553" s="278" t="s">
        <v>697</v>
      </c>
      <c r="H1553" s="436" t="s">
        <v>918</v>
      </c>
      <c r="I1553" s="441">
        <v>1.0</v>
      </c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</row>
    <row r="1554" hidden="1">
      <c r="A1554" s="25"/>
      <c r="B1554" s="26"/>
      <c r="C1554" s="26"/>
      <c r="D1554" s="7"/>
      <c r="E1554" s="7"/>
      <c r="F1554" s="435">
        <v>45411.0</v>
      </c>
      <c r="G1554" s="278" t="s">
        <v>697</v>
      </c>
      <c r="H1554" s="436" t="s">
        <v>916</v>
      </c>
      <c r="I1554" s="437">
        <v>5.0</v>
      </c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</row>
    <row r="1555" hidden="1">
      <c r="A1555" s="25"/>
      <c r="B1555" s="26"/>
      <c r="C1555" s="26"/>
      <c r="D1555" s="7"/>
      <c r="E1555" s="7"/>
      <c r="F1555" s="435">
        <v>45411.0</v>
      </c>
      <c r="G1555" s="278" t="s">
        <v>697</v>
      </c>
      <c r="H1555" s="436" t="s">
        <v>921</v>
      </c>
      <c r="I1555" s="437">
        <v>4.0</v>
      </c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</row>
    <row r="1556" hidden="1">
      <c r="A1556" s="25"/>
      <c r="B1556" s="26"/>
      <c r="C1556" s="26"/>
      <c r="D1556" s="7"/>
      <c r="E1556" s="7"/>
      <c r="F1556" s="435">
        <v>45411.0</v>
      </c>
      <c r="G1556" s="278" t="s">
        <v>697</v>
      </c>
      <c r="H1556" s="436" t="s">
        <v>387</v>
      </c>
      <c r="I1556" s="437">
        <v>5.0</v>
      </c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</row>
    <row r="1557" hidden="1">
      <c r="A1557" s="25"/>
      <c r="B1557" s="26"/>
      <c r="C1557" s="26"/>
      <c r="D1557" s="7"/>
      <c r="E1557" s="7"/>
      <c r="F1557" s="435">
        <v>45412.0</v>
      </c>
      <c r="G1557" s="278" t="s">
        <v>704</v>
      </c>
      <c r="H1557" s="436" t="s">
        <v>536</v>
      </c>
      <c r="I1557" s="441">
        <v>2.0</v>
      </c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</row>
    <row r="1558" hidden="1">
      <c r="A1558" s="25"/>
      <c r="B1558" s="26"/>
      <c r="C1558" s="26"/>
      <c r="D1558" s="7"/>
      <c r="E1558" s="7"/>
      <c r="F1558" s="435">
        <v>45412.0</v>
      </c>
      <c r="G1558" s="278" t="s">
        <v>704</v>
      </c>
      <c r="H1558" s="436" t="s">
        <v>918</v>
      </c>
      <c r="I1558" s="437">
        <v>3.0</v>
      </c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</row>
    <row r="1559" hidden="1">
      <c r="A1559" s="25"/>
      <c r="B1559" s="26"/>
      <c r="C1559" s="26"/>
      <c r="D1559" s="7"/>
      <c r="E1559" s="7"/>
      <c r="F1559" s="435">
        <v>45412.0</v>
      </c>
      <c r="G1559" s="278" t="s">
        <v>704</v>
      </c>
      <c r="H1559" s="436" t="s">
        <v>916</v>
      </c>
      <c r="I1559" s="437">
        <v>3.0</v>
      </c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</row>
    <row r="1560" hidden="1">
      <c r="A1560" s="25"/>
      <c r="B1560" s="26"/>
      <c r="C1560" s="26"/>
      <c r="D1560" s="7"/>
      <c r="E1560" s="7"/>
      <c r="F1560" s="435">
        <v>45412.0</v>
      </c>
      <c r="G1560" s="278" t="s">
        <v>704</v>
      </c>
      <c r="H1560" s="436" t="s">
        <v>921</v>
      </c>
      <c r="I1560" s="437">
        <v>5.0</v>
      </c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</row>
    <row r="1561" hidden="1">
      <c r="A1561" s="25"/>
      <c r="B1561" s="26"/>
      <c r="C1561" s="26"/>
      <c r="D1561" s="7"/>
      <c r="E1561" s="7"/>
      <c r="F1561" s="435">
        <v>45412.0</v>
      </c>
      <c r="G1561" s="278" t="s">
        <v>704</v>
      </c>
      <c r="H1561" s="436" t="s">
        <v>387</v>
      </c>
      <c r="I1561" s="437">
        <v>1.0</v>
      </c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</row>
    <row r="1562" hidden="1">
      <c r="A1562" s="25"/>
      <c r="B1562" s="26"/>
      <c r="C1562" s="26"/>
      <c r="D1562" s="7"/>
      <c r="E1562" s="7"/>
      <c r="F1562" s="435">
        <v>45413.0</v>
      </c>
      <c r="G1562" s="278" t="s">
        <v>707</v>
      </c>
      <c r="H1562" s="436" t="s">
        <v>536</v>
      </c>
      <c r="I1562" s="437">
        <v>3.0</v>
      </c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</row>
    <row r="1563" hidden="1">
      <c r="A1563" s="25"/>
      <c r="B1563" s="26"/>
      <c r="C1563" s="26"/>
      <c r="D1563" s="7"/>
      <c r="E1563" s="7"/>
      <c r="F1563" s="435">
        <v>45413.0</v>
      </c>
      <c r="G1563" s="278" t="s">
        <v>707</v>
      </c>
      <c r="H1563" s="436" t="s">
        <v>918</v>
      </c>
      <c r="I1563" s="437">
        <v>5.0</v>
      </c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</row>
    <row r="1564" hidden="1">
      <c r="A1564" s="25"/>
      <c r="B1564" s="26"/>
      <c r="C1564" s="26"/>
      <c r="D1564" s="7"/>
      <c r="E1564" s="7"/>
      <c r="F1564" s="435">
        <v>45413.0</v>
      </c>
      <c r="G1564" s="278" t="s">
        <v>707</v>
      </c>
      <c r="H1564" s="436" t="s">
        <v>916</v>
      </c>
      <c r="I1564" s="437">
        <v>4.0</v>
      </c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</row>
    <row r="1565" hidden="1">
      <c r="A1565" s="25"/>
      <c r="B1565" s="26"/>
      <c r="C1565" s="26"/>
      <c r="D1565" s="7"/>
      <c r="E1565" s="7"/>
      <c r="F1565" s="435">
        <v>45413.0</v>
      </c>
      <c r="G1565" s="278" t="s">
        <v>707</v>
      </c>
      <c r="H1565" s="436" t="s">
        <v>921</v>
      </c>
      <c r="I1565" s="437">
        <v>1.0</v>
      </c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</row>
    <row r="1566" hidden="1">
      <c r="A1566" s="25"/>
      <c r="B1566" s="26"/>
      <c r="C1566" s="26"/>
      <c r="D1566" s="7"/>
      <c r="E1566" s="7"/>
      <c r="F1566" s="435">
        <v>45413.0</v>
      </c>
      <c r="G1566" s="278" t="s">
        <v>707</v>
      </c>
      <c r="H1566" s="436" t="s">
        <v>387</v>
      </c>
      <c r="I1566" s="437">
        <v>1.0</v>
      </c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</row>
    <row r="1567" hidden="1">
      <c r="A1567" s="25"/>
      <c r="B1567" s="26"/>
      <c r="C1567" s="26"/>
      <c r="D1567" s="7"/>
      <c r="E1567" s="7"/>
      <c r="F1567" s="435">
        <v>45416.0</v>
      </c>
      <c r="G1567" s="278" t="s">
        <v>697</v>
      </c>
      <c r="H1567" s="436" t="s">
        <v>536</v>
      </c>
      <c r="I1567" s="437">
        <v>1.0</v>
      </c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</row>
    <row r="1568" hidden="1">
      <c r="A1568" s="25"/>
      <c r="B1568" s="26"/>
      <c r="C1568" s="26"/>
      <c r="D1568" s="7"/>
      <c r="E1568" s="7"/>
      <c r="F1568" s="435">
        <v>45416.0</v>
      </c>
      <c r="G1568" s="278" t="s">
        <v>697</v>
      </c>
      <c r="H1568" s="436" t="s">
        <v>918</v>
      </c>
      <c r="I1568" s="437">
        <v>1.0</v>
      </c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</row>
    <row r="1569" hidden="1">
      <c r="A1569" s="25"/>
      <c r="B1569" s="26"/>
      <c r="C1569" s="26"/>
      <c r="D1569" s="7"/>
      <c r="E1569" s="7"/>
      <c r="F1569" s="435">
        <v>45416.0</v>
      </c>
      <c r="G1569" s="278" t="s">
        <v>697</v>
      </c>
      <c r="H1569" s="436" t="s">
        <v>916</v>
      </c>
      <c r="I1569" s="437">
        <v>3.0</v>
      </c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</row>
    <row r="1570" hidden="1">
      <c r="A1570" s="25"/>
      <c r="B1570" s="26"/>
      <c r="C1570" s="26"/>
      <c r="D1570" s="7"/>
      <c r="E1570" s="7"/>
      <c r="F1570" s="435">
        <v>45416.0</v>
      </c>
      <c r="G1570" s="278" t="s">
        <v>697</v>
      </c>
      <c r="H1570" s="436" t="s">
        <v>921</v>
      </c>
      <c r="I1570" s="441">
        <v>5.0</v>
      </c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</row>
    <row r="1571" hidden="1">
      <c r="A1571" s="25"/>
      <c r="B1571" s="26"/>
      <c r="C1571" s="26"/>
      <c r="D1571" s="7"/>
      <c r="E1571" s="7"/>
      <c r="F1571" s="435">
        <v>45416.0</v>
      </c>
      <c r="G1571" s="278" t="s">
        <v>697</v>
      </c>
      <c r="H1571" s="436" t="s">
        <v>387</v>
      </c>
      <c r="I1571" s="437">
        <v>5.0</v>
      </c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</row>
    <row r="1572" hidden="1">
      <c r="A1572" s="25"/>
      <c r="B1572" s="26"/>
      <c r="C1572" s="26"/>
      <c r="D1572" s="7"/>
      <c r="E1572" s="7"/>
      <c r="F1572" s="435">
        <v>45417.0</v>
      </c>
      <c r="G1572" s="278" t="s">
        <v>697</v>
      </c>
      <c r="H1572" s="436" t="s">
        <v>536</v>
      </c>
      <c r="I1572" s="437">
        <v>4.0</v>
      </c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</row>
    <row r="1573" hidden="1">
      <c r="A1573" s="25"/>
      <c r="B1573" s="26"/>
      <c r="C1573" s="26"/>
      <c r="D1573" s="7"/>
      <c r="E1573" s="7"/>
      <c r="F1573" s="435">
        <v>45417.0</v>
      </c>
      <c r="G1573" s="278" t="s">
        <v>697</v>
      </c>
      <c r="H1573" s="436" t="s">
        <v>918</v>
      </c>
      <c r="I1573" s="437">
        <v>3.0</v>
      </c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</row>
    <row r="1574" hidden="1">
      <c r="A1574" s="25"/>
      <c r="B1574" s="26"/>
      <c r="C1574" s="26"/>
      <c r="D1574" s="7"/>
      <c r="E1574" s="7"/>
      <c r="F1574" s="435">
        <v>45417.0</v>
      </c>
      <c r="G1574" s="278" t="s">
        <v>697</v>
      </c>
      <c r="H1574" s="436" t="s">
        <v>916</v>
      </c>
      <c r="I1574" s="437">
        <v>5.0</v>
      </c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</row>
    <row r="1575" hidden="1">
      <c r="A1575" s="25"/>
      <c r="B1575" s="26"/>
      <c r="C1575" s="26"/>
      <c r="D1575" s="7"/>
      <c r="E1575" s="7"/>
      <c r="F1575" s="435">
        <v>45417.0</v>
      </c>
      <c r="G1575" s="278" t="s">
        <v>697</v>
      </c>
      <c r="H1575" s="436" t="s">
        <v>921</v>
      </c>
      <c r="I1575" s="441">
        <v>5.0</v>
      </c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</row>
    <row r="1576" hidden="1">
      <c r="A1576" s="25"/>
      <c r="B1576" s="26"/>
      <c r="C1576" s="26"/>
      <c r="D1576" s="7"/>
      <c r="E1576" s="7"/>
      <c r="F1576" s="435">
        <v>45417.0</v>
      </c>
      <c r="G1576" s="278" t="s">
        <v>697</v>
      </c>
      <c r="H1576" s="436" t="s">
        <v>387</v>
      </c>
      <c r="I1576" s="441">
        <v>5.0</v>
      </c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</row>
    <row r="1577" hidden="1">
      <c r="A1577" s="25"/>
      <c r="B1577" s="26"/>
      <c r="C1577" s="26"/>
      <c r="D1577" s="7"/>
      <c r="E1577" s="7"/>
      <c r="F1577" s="435">
        <v>45419.0</v>
      </c>
      <c r="G1577" s="278" t="s">
        <v>716</v>
      </c>
      <c r="H1577" s="436" t="s">
        <v>536</v>
      </c>
      <c r="I1577" s="437">
        <v>5.0</v>
      </c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</row>
    <row r="1578" hidden="1">
      <c r="A1578" s="25"/>
      <c r="B1578" s="26"/>
      <c r="C1578" s="26"/>
      <c r="D1578" s="7"/>
      <c r="E1578" s="7"/>
      <c r="F1578" s="435">
        <v>45419.0</v>
      </c>
      <c r="G1578" s="278" t="s">
        <v>716</v>
      </c>
      <c r="H1578" s="436" t="s">
        <v>918</v>
      </c>
      <c r="I1578" s="437">
        <v>1.0</v>
      </c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</row>
    <row r="1579" hidden="1">
      <c r="A1579" s="25"/>
      <c r="B1579" s="26"/>
      <c r="C1579" s="26"/>
      <c r="D1579" s="7"/>
      <c r="E1579" s="7"/>
      <c r="F1579" s="435">
        <v>45419.0</v>
      </c>
      <c r="G1579" s="278" t="s">
        <v>716</v>
      </c>
      <c r="H1579" s="436" t="s">
        <v>916</v>
      </c>
      <c r="I1579" s="437">
        <v>3.0</v>
      </c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</row>
    <row r="1580" hidden="1">
      <c r="A1580" s="25"/>
      <c r="B1580" s="26"/>
      <c r="C1580" s="26"/>
      <c r="D1580" s="7"/>
      <c r="E1580" s="7"/>
      <c r="F1580" s="435">
        <v>45419.0</v>
      </c>
      <c r="G1580" s="278" t="s">
        <v>716</v>
      </c>
      <c r="H1580" s="436" t="s">
        <v>921</v>
      </c>
      <c r="I1580" s="437">
        <v>2.0</v>
      </c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</row>
    <row r="1581" hidden="1">
      <c r="A1581" s="25"/>
      <c r="B1581" s="26"/>
      <c r="C1581" s="26"/>
      <c r="D1581" s="7"/>
      <c r="E1581" s="7"/>
      <c r="F1581" s="435">
        <v>45419.0</v>
      </c>
      <c r="G1581" s="278" t="s">
        <v>716</v>
      </c>
      <c r="H1581" s="436" t="s">
        <v>387</v>
      </c>
      <c r="I1581" s="437">
        <v>2.0</v>
      </c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</row>
    <row r="1582" hidden="1">
      <c r="A1582" s="25"/>
      <c r="B1582" s="26"/>
      <c r="C1582" s="26"/>
      <c r="D1582" s="7"/>
      <c r="E1582" s="7"/>
      <c r="F1582" s="435">
        <v>45422.0</v>
      </c>
      <c r="G1582" s="278" t="s">
        <v>707</v>
      </c>
      <c r="H1582" s="436" t="s">
        <v>536</v>
      </c>
      <c r="I1582" s="437">
        <v>1.0</v>
      </c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</row>
    <row r="1583" hidden="1">
      <c r="A1583" s="25"/>
      <c r="B1583" s="26"/>
      <c r="C1583" s="26"/>
      <c r="D1583" s="7"/>
      <c r="E1583" s="7"/>
      <c r="F1583" s="435">
        <v>45422.0</v>
      </c>
      <c r="G1583" s="278" t="s">
        <v>707</v>
      </c>
      <c r="H1583" s="436" t="s">
        <v>918</v>
      </c>
      <c r="I1583" s="437">
        <v>5.0</v>
      </c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</row>
    <row r="1584" hidden="1">
      <c r="A1584" s="25"/>
      <c r="B1584" s="26"/>
      <c r="C1584" s="26"/>
      <c r="D1584" s="7"/>
      <c r="E1584" s="7"/>
      <c r="F1584" s="435">
        <v>45422.0</v>
      </c>
      <c r="G1584" s="278" t="s">
        <v>707</v>
      </c>
      <c r="H1584" s="436" t="s">
        <v>916</v>
      </c>
      <c r="I1584" s="437">
        <v>4.0</v>
      </c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</row>
    <row r="1585" hidden="1">
      <c r="A1585" s="25"/>
      <c r="B1585" s="26"/>
      <c r="C1585" s="26"/>
      <c r="D1585" s="7"/>
      <c r="E1585" s="7"/>
      <c r="F1585" s="435">
        <v>45422.0</v>
      </c>
      <c r="G1585" s="278" t="s">
        <v>707</v>
      </c>
      <c r="H1585" s="436" t="s">
        <v>921</v>
      </c>
      <c r="I1585" s="437">
        <v>4.0</v>
      </c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</row>
    <row r="1586" hidden="1">
      <c r="A1586" s="25"/>
      <c r="B1586" s="26"/>
      <c r="C1586" s="26"/>
      <c r="D1586" s="7"/>
      <c r="E1586" s="7"/>
      <c r="F1586" s="435">
        <v>45422.0</v>
      </c>
      <c r="G1586" s="278" t="s">
        <v>707</v>
      </c>
      <c r="H1586" s="436" t="s">
        <v>387</v>
      </c>
      <c r="I1586" s="437">
        <v>5.0</v>
      </c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</row>
    <row r="1587" hidden="1">
      <c r="A1587" s="25"/>
      <c r="B1587" s="26"/>
      <c r="C1587" s="26"/>
      <c r="D1587" s="7"/>
      <c r="E1587" s="7"/>
      <c r="F1587" s="435">
        <v>45423.0</v>
      </c>
      <c r="G1587" s="278" t="s">
        <v>716</v>
      </c>
      <c r="H1587" s="436" t="s">
        <v>536</v>
      </c>
      <c r="I1587" s="437">
        <v>5.0</v>
      </c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</row>
    <row r="1588" hidden="1">
      <c r="A1588" s="25"/>
      <c r="B1588" s="26"/>
      <c r="C1588" s="26"/>
      <c r="D1588" s="7"/>
      <c r="E1588" s="7"/>
      <c r="F1588" s="435">
        <v>45423.0</v>
      </c>
      <c r="G1588" s="278" t="s">
        <v>716</v>
      </c>
      <c r="H1588" s="436" t="s">
        <v>918</v>
      </c>
      <c r="I1588" s="437">
        <v>3.0</v>
      </c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</row>
    <row r="1589" hidden="1">
      <c r="A1589" s="25"/>
      <c r="B1589" s="26"/>
      <c r="C1589" s="26"/>
      <c r="D1589" s="7"/>
      <c r="E1589" s="7"/>
      <c r="F1589" s="435">
        <v>45423.0</v>
      </c>
      <c r="G1589" s="278" t="s">
        <v>716</v>
      </c>
      <c r="H1589" s="436" t="s">
        <v>916</v>
      </c>
      <c r="I1589" s="437">
        <v>4.0</v>
      </c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</row>
    <row r="1590" hidden="1">
      <c r="A1590" s="25"/>
      <c r="B1590" s="26"/>
      <c r="C1590" s="26"/>
      <c r="D1590" s="7"/>
      <c r="E1590" s="7"/>
      <c r="F1590" s="435">
        <v>45423.0</v>
      </c>
      <c r="G1590" s="278" t="s">
        <v>716</v>
      </c>
      <c r="H1590" s="436" t="s">
        <v>921</v>
      </c>
      <c r="I1590" s="437">
        <v>5.0</v>
      </c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</row>
    <row r="1591" hidden="1">
      <c r="A1591" s="25"/>
      <c r="B1591" s="26"/>
      <c r="C1591" s="26"/>
      <c r="D1591" s="7"/>
      <c r="E1591" s="7"/>
      <c r="F1591" s="435">
        <v>45423.0</v>
      </c>
      <c r="G1591" s="278" t="s">
        <v>716</v>
      </c>
      <c r="H1591" s="436" t="s">
        <v>387</v>
      </c>
      <c r="I1591" s="437">
        <v>5.0</v>
      </c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</row>
    <row r="1592" hidden="1">
      <c r="A1592" s="25"/>
      <c r="B1592" s="26"/>
      <c r="C1592" s="26"/>
      <c r="D1592" s="7"/>
      <c r="E1592" s="7"/>
      <c r="F1592" s="435">
        <v>45424.0</v>
      </c>
      <c r="G1592" s="278" t="s">
        <v>707</v>
      </c>
      <c r="H1592" s="436" t="s">
        <v>536</v>
      </c>
      <c r="I1592" s="437">
        <v>5.0</v>
      </c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</row>
    <row r="1593" hidden="1">
      <c r="A1593" s="25"/>
      <c r="B1593" s="26"/>
      <c r="C1593" s="26"/>
      <c r="D1593" s="7"/>
      <c r="E1593" s="7"/>
      <c r="F1593" s="435">
        <v>45424.0</v>
      </c>
      <c r="G1593" s="278" t="s">
        <v>707</v>
      </c>
      <c r="H1593" s="436" t="s">
        <v>918</v>
      </c>
      <c r="I1593" s="437">
        <v>5.0</v>
      </c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</row>
    <row r="1594" hidden="1">
      <c r="A1594" s="25"/>
      <c r="B1594" s="26"/>
      <c r="C1594" s="26"/>
      <c r="D1594" s="7"/>
      <c r="E1594" s="7"/>
      <c r="F1594" s="435">
        <v>45424.0</v>
      </c>
      <c r="G1594" s="278" t="s">
        <v>707</v>
      </c>
      <c r="H1594" s="436" t="s">
        <v>916</v>
      </c>
      <c r="I1594" s="437">
        <v>3.0</v>
      </c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</row>
    <row r="1595" hidden="1">
      <c r="A1595" s="25"/>
      <c r="B1595" s="26"/>
      <c r="C1595" s="26"/>
      <c r="D1595" s="7"/>
      <c r="E1595" s="7"/>
      <c r="F1595" s="435">
        <v>45424.0</v>
      </c>
      <c r="G1595" s="278" t="s">
        <v>707</v>
      </c>
      <c r="H1595" s="436" t="s">
        <v>921</v>
      </c>
      <c r="I1595" s="437">
        <v>4.0</v>
      </c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</row>
    <row r="1596" hidden="1">
      <c r="A1596" s="25"/>
      <c r="B1596" s="26"/>
      <c r="C1596" s="26"/>
      <c r="D1596" s="7"/>
      <c r="E1596" s="7"/>
      <c r="F1596" s="435">
        <v>45424.0</v>
      </c>
      <c r="G1596" s="278" t="s">
        <v>707</v>
      </c>
      <c r="H1596" s="436" t="s">
        <v>387</v>
      </c>
      <c r="I1596" s="437">
        <v>4.0</v>
      </c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</row>
    <row r="1597" hidden="1">
      <c r="A1597" s="25"/>
      <c r="B1597" s="26"/>
      <c r="C1597" s="26"/>
      <c r="D1597" s="7"/>
      <c r="E1597" s="7"/>
      <c r="F1597" s="435">
        <v>45426.0</v>
      </c>
      <c r="G1597" s="278" t="s">
        <v>704</v>
      </c>
      <c r="H1597" s="436" t="s">
        <v>536</v>
      </c>
      <c r="I1597" s="437">
        <v>3.0</v>
      </c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</row>
    <row r="1598" hidden="1">
      <c r="A1598" s="25"/>
      <c r="B1598" s="26"/>
      <c r="C1598" s="26"/>
      <c r="D1598" s="7"/>
      <c r="E1598" s="7"/>
      <c r="F1598" s="435">
        <v>45426.0</v>
      </c>
      <c r="G1598" s="278" t="s">
        <v>704</v>
      </c>
      <c r="H1598" s="436" t="s">
        <v>918</v>
      </c>
      <c r="I1598" s="437">
        <v>3.0</v>
      </c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</row>
    <row r="1599" hidden="1">
      <c r="A1599" s="25"/>
      <c r="B1599" s="26"/>
      <c r="C1599" s="26"/>
      <c r="D1599" s="7"/>
      <c r="E1599" s="7"/>
      <c r="F1599" s="435">
        <v>45426.0</v>
      </c>
      <c r="G1599" s="278" t="s">
        <v>704</v>
      </c>
      <c r="H1599" s="436" t="s">
        <v>916</v>
      </c>
      <c r="I1599" s="437">
        <v>3.0</v>
      </c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</row>
    <row r="1600" hidden="1">
      <c r="A1600" s="25"/>
      <c r="B1600" s="26"/>
      <c r="C1600" s="26"/>
      <c r="D1600" s="7"/>
      <c r="E1600" s="7"/>
      <c r="F1600" s="435">
        <v>45426.0</v>
      </c>
      <c r="G1600" s="278" t="s">
        <v>704</v>
      </c>
      <c r="H1600" s="436" t="s">
        <v>921</v>
      </c>
      <c r="I1600" s="441">
        <v>5.0</v>
      </c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</row>
    <row r="1601" hidden="1">
      <c r="A1601" s="25"/>
      <c r="B1601" s="26"/>
      <c r="C1601" s="26"/>
      <c r="D1601" s="7"/>
      <c r="E1601" s="7"/>
      <c r="F1601" s="435">
        <v>45426.0</v>
      </c>
      <c r="G1601" s="278" t="s">
        <v>704</v>
      </c>
      <c r="H1601" s="436" t="s">
        <v>387</v>
      </c>
      <c r="I1601" s="437">
        <v>3.0</v>
      </c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</row>
    <row r="1602" hidden="1">
      <c r="A1602" s="25"/>
      <c r="B1602" s="26"/>
      <c r="C1602" s="26"/>
      <c r="D1602" s="7"/>
      <c r="E1602" s="7"/>
      <c r="F1602" s="435">
        <v>45428.0</v>
      </c>
      <c r="G1602" s="278" t="s">
        <v>697</v>
      </c>
      <c r="H1602" s="436" t="s">
        <v>536</v>
      </c>
      <c r="I1602" s="437">
        <v>5.0</v>
      </c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</row>
    <row r="1603" hidden="1">
      <c r="A1603" s="25"/>
      <c r="B1603" s="26"/>
      <c r="C1603" s="26"/>
      <c r="D1603" s="7"/>
      <c r="E1603" s="7"/>
      <c r="F1603" s="435">
        <v>45428.0</v>
      </c>
      <c r="G1603" s="278" t="s">
        <v>697</v>
      </c>
      <c r="H1603" s="436" t="s">
        <v>918</v>
      </c>
      <c r="I1603" s="441">
        <v>1.0</v>
      </c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</row>
    <row r="1604" hidden="1">
      <c r="A1604" s="25"/>
      <c r="B1604" s="26"/>
      <c r="C1604" s="26"/>
      <c r="D1604" s="7"/>
      <c r="E1604" s="7"/>
      <c r="F1604" s="435">
        <v>45428.0</v>
      </c>
      <c r="G1604" s="278" t="s">
        <v>697</v>
      </c>
      <c r="H1604" s="436" t="s">
        <v>916</v>
      </c>
      <c r="I1604" s="437">
        <v>3.0</v>
      </c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</row>
    <row r="1605" hidden="1">
      <c r="A1605" s="25"/>
      <c r="B1605" s="26"/>
      <c r="C1605" s="26"/>
      <c r="D1605" s="7"/>
      <c r="E1605" s="7"/>
      <c r="F1605" s="435">
        <v>45428.0</v>
      </c>
      <c r="G1605" s="278" t="s">
        <v>697</v>
      </c>
      <c r="H1605" s="436" t="s">
        <v>921</v>
      </c>
      <c r="I1605" s="441">
        <v>5.0</v>
      </c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</row>
    <row r="1606" hidden="1">
      <c r="A1606" s="25"/>
      <c r="B1606" s="26"/>
      <c r="C1606" s="26"/>
      <c r="D1606" s="7"/>
      <c r="E1606" s="7"/>
      <c r="F1606" s="435">
        <v>45428.0</v>
      </c>
      <c r="G1606" s="278" t="s">
        <v>697</v>
      </c>
      <c r="H1606" s="436" t="s">
        <v>387</v>
      </c>
      <c r="I1606" s="441">
        <v>5.0</v>
      </c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</row>
    <row r="1607" hidden="1">
      <c r="A1607" s="25"/>
      <c r="B1607" s="26"/>
      <c r="C1607" s="26"/>
      <c r="D1607" s="7"/>
      <c r="E1607" s="7"/>
      <c r="F1607" s="435">
        <v>45430.0</v>
      </c>
      <c r="G1607" s="278" t="s">
        <v>704</v>
      </c>
      <c r="H1607" s="436" t="s">
        <v>536</v>
      </c>
      <c r="I1607" s="437">
        <v>2.0</v>
      </c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</row>
    <row r="1608" hidden="1">
      <c r="A1608" s="25"/>
      <c r="B1608" s="26"/>
      <c r="C1608" s="26"/>
      <c r="D1608" s="7"/>
      <c r="E1608" s="7"/>
      <c r="F1608" s="435">
        <v>45430.0</v>
      </c>
      <c r="G1608" s="278" t="s">
        <v>704</v>
      </c>
      <c r="H1608" s="436" t="s">
        <v>918</v>
      </c>
      <c r="I1608" s="437">
        <v>3.0</v>
      </c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</row>
    <row r="1609" hidden="1">
      <c r="A1609" s="25"/>
      <c r="B1609" s="26"/>
      <c r="C1609" s="26"/>
      <c r="D1609" s="7"/>
      <c r="E1609" s="7"/>
      <c r="F1609" s="435">
        <v>45430.0</v>
      </c>
      <c r="G1609" s="278" t="s">
        <v>704</v>
      </c>
      <c r="H1609" s="436" t="s">
        <v>916</v>
      </c>
      <c r="I1609" s="437">
        <v>3.0</v>
      </c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</row>
    <row r="1610" hidden="1">
      <c r="A1610" s="25"/>
      <c r="B1610" s="26"/>
      <c r="C1610" s="26"/>
      <c r="D1610" s="7"/>
      <c r="E1610" s="7"/>
      <c r="F1610" s="435">
        <v>45430.0</v>
      </c>
      <c r="G1610" s="278" t="s">
        <v>704</v>
      </c>
      <c r="H1610" s="436" t="s">
        <v>921</v>
      </c>
      <c r="I1610" s="441">
        <v>5.0</v>
      </c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</row>
    <row r="1611" hidden="1">
      <c r="A1611" s="25"/>
      <c r="B1611" s="26"/>
      <c r="C1611" s="26"/>
      <c r="D1611" s="7"/>
      <c r="E1611" s="7"/>
      <c r="F1611" s="435">
        <v>45430.0</v>
      </c>
      <c r="G1611" s="278" t="s">
        <v>704</v>
      </c>
      <c r="H1611" s="436" t="s">
        <v>387</v>
      </c>
      <c r="I1611" s="437">
        <v>3.0</v>
      </c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</row>
    <row r="1612" hidden="1">
      <c r="A1612" s="25"/>
      <c r="B1612" s="26"/>
      <c r="C1612" s="26"/>
      <c r="D1612" s="7"/>
      <c r="E1612" s="7"/>
      <c r="F1612" s="435">
        <v>45434.0</v>
      </c>
      <c r="G1612" s="278" t="s">
        <v>707</v>
      </c>
      <c r="H1612" s="436" t="s">
        <v>536</v>
      </c>
      <c r="I1612" s="437">
        <v>3.0</v>
      </c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</row>
    <row r="1613" hidden="1">
      <c r="A1613" s="25"/>
      <c r="B1613" s="26"/>
      <c r="C1613" s="26"/>
      <c r="D1613" s="7"/>
      <c r="E1613" s="7"/>
      <c r="F1613" s="435">
        <v>45434.0</v>
      </c>
      <c r="G1613" s="278" t="s">
        <v>707</v>
      </c>
      <c r="H1613" s="436" t="s">
        <v>918</v>
      </c>
      <c r="I1613" s="437">
        <v>5.0</v>
      </c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</row>
    <row r="1614" hidden="1">
      <c r="A1614" s="25"/>
      <c r="B1614" s="26"/>
      <c r="C1614" s="26"/>
      <c r="D1614" s="7"/>
      <c r="E1614" s="7"/>
      <c r="F1614" s="435">
        <v>45434.0</v>
      </c>
      <c r="G1614" s="278" t="s">
        <v>707</v>
      </c>
      <c r="H1614" s="436" t="s">
        <v>916</v>
      </c>
      <c r="I1614" s="437">
        <v>2.0</v>
      </c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</row>
    <row r="1615" hidden="1">
      <c r="A1615" s="25"/>
      <c r="B1615" s="26"/>
      <c r="C1615" s="26"/>
      <c r="D1615" s="7"/>
      <c r="E1615" s="7"/>
      <c r="F1615" s="435">
        <v>45434.0</v>
      </c>
      <c r="G1615" s="278" t="s">
        <v>707</v>
      </c>
      <c r="H1615" s="436" t="s">
        <v>921</v>
      </c>
      <c r="I1615" s="437">
        <v>1.0</v>
      </c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</row>
    <row r="1616" hidden="1">
      <c r="A1616" s="25"/>
      <c r="B1616" s="26"/>
      <c r="C1616" s="26"/>
      <c r="D1616" s="7"/>
      <c r="E1616" s="7"/>
      <c r="F1616" s="435">
        <v>45434.0</v>
      </c>
      <c r="G1616" s="278" t="s">
        <v>707</v>
      </c>
      <c r="H1616" s="436" t="s">
        <v>387</v>
      </c>
      <c r="I1616" s="437">
        <v>2.0</v>
      </c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</row>
    <row r="1617" hidden="1">
      <c r="A1617" s="25"/>
      <c r="B1617" s="26"/>
      <c r="C1617" s="26"/>
      <c r="D1617" s="7"/>
      <c r="E1617" s="7"/>
      <c r="F1617" s="435">
        <v>45435.0</v>
      </c>
      <c r="G1617" s="278" t="s">
        <v>697</v>
      </c>
      <c r="H1617" s="436" t="s">
        <v>536</v>
      </c>
      <c r="I1617" s="437">
        <v>5.0</v>
      </c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</row>
    <row r="1618" hidden="1">
      <c r="A1618" s="25"/>
      <c r="B1618" s="26"/>
      <c r="C1618" s="26"/>
      <c r="D1618" s="7"/>
      <c r="E1618" s="7"/>
      <c r="F1618" s="435">
        <v>45435.0</v>
      </c>
      <c r="G1618" s="278" t="s">
        <v>697</v>
      </c>
      <c r="H1618" s="436" t="s">
        <v>918</v>
      </c>
      <c r="I1618" s="437">
        <v>1.0</v>
      </c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</row>
    <row r="1619" hidden="1">
      <c r="A1619" s="25"/>
      <c r="B1619" s="26"/>
      <c r="C1619" s="26"/>
      <c r="D1619" s="7"/>
      <c r="E1619" s="7"/>
      <c r="F1619" s="435">
        <v>45435.0</v>
      </c>
      <c r="G1619" s="278" t="s">
        <v>697</v>
      </c>
      <c r="H1619" s="436" t="s">
        <v>916</v>
      </c>
      <c r="I1619" s="437">
        <v>1.0</v>
      </c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</row>
    <row r="1620" hidden="1">
      <c r="A1620" s="25"/>
      <c r="B1620" s="26"/>
      <c r="C1620" s="26"/>
      <c r="D1620" s="7"/>
      <c r="E1620" s="7"/>
      <c r="F1620" s="435">
        <v>45435.0</v>
      </c>
      <c r="G1620" s="278" t="s">
        <v>697</v>
      </c>
      <c r="H1620" s="436" t="s">
        <v>921</v>
      </c>
      <c r="I1620" s="441">
        <v>5.0</v>
      </c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</row>
    <row r="1621" hidden="1">
      <c r="A1621" s="25"/>
      <c r="B1621" s="26"/>
      <c r="C1621" s="26"/>
      <c r="D1621" s="7"/>
      <c r="E1621" s="7"/>
      <c r="F1621" s="435">
        <v>45435.0</v>
      </c>
      <c r="G1621" s="278" t="s">
        <v>697</v>
      </c>
      <c r="H1621" s="436" t="s">
        <v>387</v>
      </c>
      <c r="I1621" s="441">
        <v>5.0</v>
      </c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</row>
    <row r="1622" hidden="1">
      <c r="A1622" s="25"/>
      <c r="B1622" s="26"/>
      <c r="C1622" s="26"/>
      <c r="D1622" s="7"/>
      <c r="E1622" s="7"/>
      <c r="F1622" s="435">
        <v>45436.0</v>
      </c>
      <c r="G1622" s="278" t="s">
        <v>704</v>
      </c>
      <c r="H1622" s="436" t="s">
        <v>536</v>
      </c>
      <c r="I1622" s="441">
        <v>2.0</v>
      </c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</row>
    <row r="1623" hidden="1">
      <c r="A1623" s="25"/>
      <c r="B1623" s="26"/>
      <c r="C1623" s="26"/>
      <c r="D1623" s="7"/>
      <c r="E1623" s="7"/>
      <c r="F1623" s="435">
        <v>45436.0</v>
      </c>
      <c r="G1623" s="278" t="s">
        <v>704</v>
      </c>
      <c r="H1623" s="436" t="s">
        <v>918</v>
      </c>
      <c r="I1623" s="437">
        <v>2.0</v>
      </c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</row>
    <row r="1624" hidden="1">
      <c r="A1624" s="25"/>
      <c r="B1624" s="26"/>
      <c r="C1624" s="26"/>
      <c r="D1624" s="7"/>
      <c r="E1624" s="7"/>
      <c r="F1624" s="435">
        <v>45436.0</v>
      </c>
      <c r="G1624" s="278" t="s">
        <v>704</v>
      </c>
      <c r="H1624" s="436" t="s">
        <v>916</v>
      </c>
      <c r="I1624" s="437">
        <v>4.0</v>
      </c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</row>
    <row r="1625" hidden="1">
      <c r="A1625" s="25"/>
      <c r="B1625" s="26"/>
      <c r="C1625" s="26"/>
      <c r="D1625" s="7"/>
      <c r="E1625" s="7"/>
      <c r="F1625" s="435">
        <v>45436.0</v>
      </c>
      <c r="G1625" s="278" t="s">
        <v>704</v>
      </c>
      <c r="H1625" s="436" t="s">
        <v>921</v>
      </c>
      <c r="I1625" s="437">
        <v>4.0</v>
      </c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</row>
    <row r="1626" hidden="1">
      <c r="A1626" s="25"/>
      <c r="B1626" s="26"/>
      <c r="C1626" s="26"/>
      <c r="D1626" s="7"/>
      <c r="E1626" s="7"/>
      <c r="F1626" s="435">
        <v>45436.0</v>
      </c>
      <c r="G1626" s="278" t="s">
        <v>704</v>
      </c>
      <c r="H1626" s="436" t="s">
        <v>387</v>
      </c>
      <c r="I1626" s="437">
        <v>2.0</v>
      </c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</row>
    <row r="1627" hidden="1">
      <c r="A1627" s="25"/>
      <c r="B1627" s="26"/>
      <c r="C1627" s="26"/>
      <c r="D1627" s="7"/>
      <c r="E1627" s="7"/>
      <c r="F1627" s="435">
        <v>45437.0</v>
      </c>
      <c r="G1627" s="278" t="s">
        <v>707</v>
      </c>
      <c r="H1627" s="436" t="s">
        <v>536</v>
      </c>
      <c r="I1627" s="437">
        <v>4.0</v>
      </c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</row>
    <row r="1628" hidden="1">
      <c r="A1628" s="25"/>
      <c r="B1628" s="26"/>
      <c r="C1628" s="26"/>
      <c r="D1628" s="7"/>
      <c r="E1628" s="7"/>
      <c r="F1628" s="435">
        <v>45437.0</v>
      </c>
      <c r="G1628" s="278" t="s">
        <v>707</v>
      </c>
      <c r="H1628" s="436" t="s">
        <v>918</v>
      </c>
      <c r="I1628" s="437">
        <v>3.0</v>
      </c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</row>
    <row r="1629" hidden="1">
      <c r="A1629" s="25"/>
      <c r="B1629" s="26"/>
      <c r="C1629" s="26"/>
      <c r="D1629" s="7"/>
      <c r="E1629" s="7"/>
      <c r="F1629" s="435">
        <v>45437.0</v>
      </c>
      <c r="G1629" s="278" t="s">
        <v>707</v>
      </c>
      <c r="H1629" s="436" t="s">
        <v>916</v>
      </c>
      <c r="I1629" s="437">
        <v>3.0</v>
      </c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</row>
    <row r="1630" hidden="1">
      <c r="A1630" s="25"/>
      <c r="B1630" s="26"/>
      <c r="C1630" s="26"/>
      <c r="D1630" s="7"/>
      <c r="E1630" s="7"/>
      <c r="F1630" s="435">
        <v>45437.0</v>
      </c>
      <c r="G1630" s="278" t="s">
        <v>707</v>
      </c>
      <c r="H1630" s="436" t="s">
        <v>921</v>
      </c>
      <c r="I1630" s="437">
        <v>2.0</v>
      </c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</row>
    <row r="1631" hidden="1">
      <c r="A1631" s="25"/>
      <c r="B1631" s="26"/>
      <c r="C1631" s="26"/>
      <c r="D1631" s="7"/>
      <c r="E1631" s="7"/>
      <c r="F1631" s="435">
        <v>45437.0</v>
      </c>
      <c r="G1631" s="278" t="s">
        <v>707</v>
      </c>
      <c r="H1631" s="436" t="s">
        <v>387</v>
      </c>
      <c r="I1631" s="437">
        <v>1.0</v>
      </c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</row>
    <row r="1632" hidden="1">
      <c r="A1632" s="25"/>
      <c r="B1632" s="26"/>
      <c r="C1632" s="26"/>
      <c r="D1632" s="7"/>
      <c r="E1632" s="7"/>
      <c r="F1632" s="435">
        <v>45439.0</v>
      </c>
      <c r="G1632" s="278" t="s">
        <v>697</v>
      </c>
      <c r="H1632" s="436" t="s">
        <v>536</v>
      </c>
      <c r="I1632" s="437">
        <v>2.0</v>
      </c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</row>
    <row r="1633" hidden="1">
      <c r="A1633" s="25"/>
      <c r="B1633" s="26"/>
      <c r="C1633" s="26"/>
      <c r="D1633" s="7"/>
      <c r="E1633" s="7"/>
      <c r="F1633" s="435">
        <v>45439.0</v>
      </c>
      <c r="G1633" s="278" t="s">
        <v>697</v>
      </c>
      <c r="H1633" s="436" t="s">
        <v>918</v>
      </c>
      <c r="I1633" s="441">
        <v>1.0</v>
      </c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</row>
    <row r="1634" hidden="1">
      <c r="A1634" s="25"/>
      <c r="B1634" s="26"/>
      <c r="C1634" s="26"/>
      <c r="D1634" s="7"/>
      <c r="E1634" s="7"/>
      <c r="F1634" s="435">
        <v>45439.0</v>
      </c>
      <c r="G1634" s="278" t="s">
        <v>697</v>
      </c>
      <c r="H1634" s="436" t="s">
        <v>916</v>
      </c>
      <c r="I1634" s="437">
        <v>5.0</v>
      </c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</row>
    <row r="1635" hidden="1">
      <c r="A1635" s="25"/>
      <c r="B1635" s="26"/>
      <c r="C1635" s="26"/>
      <c r="D1635" s="7"/>
      <c r="E1635" s="7"/>
      <c r="F1635" s="435">
        <v>45439.0</v>
      </c>
      <c r="G1635" s="278" t="s">
        <v>697</v>
      </c>
      <c r="H1635" s="436" t="s">
        <v>921</v>
      </c>
      <c r="I1635" s="441">
        <v>5.0</v>
      </c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</row>
    <row r="1636" hidden="1">
      <c r="A1636" s="25"/>
      <c r="B1636" s="26"/>
      <c r="C1636" s="26"/>
      <c r="D1636" s="7"/>
      <c r="E1636" s="7"/>
      <c r="F1636" s="435">
        <v>45439.0</v>
      </c>
      <c r="G1636" s="278" t="s">
        <v>697</v>
      </c>
      <c r="H1636" s="436" t="s">
        <v>387</v>
      </c>
      <c r="I1636" s="441">
        <v>5.0</v>
      </c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</row>
    <row r="1637" hidden="1">
      <c r="A1637" s="25"/>
      <c r="B1637" s="26"/>
      <c r="C1637" s="26"/>
      <c r="D1637" s="7"/>
      <c r="E1637" s="7"/>
      <c r="F1637" s="435">
        <v>45440.0</v>
      </c>
      <c r="G1637" s="278" t="s">
        <v>697</v>
      </c>
      <c r="H1637" s="436" t="s">
        <v>536</v>
      </c>
      <c r="I1637" s="437">
        <v>2.0</v>
      </c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</row>
    <row r="1638" hidden="1">
      <c r="A1638" s="25"/>
      <c r="B1638" s="26"/>
      <c r="C1638" s="26"/>
      <c r="D1638" s="7"/>
      <c r="E1638" s="7"/>
      <c r="F1638" s="435">
        <v>45440.0</v>
      </c>
      <c r="G1638" s="278" t="s">
        <v>697</v>
      </c>
      <c r="H1638" s="436" t="s">
        <v>918</v>
      </c>
      <c r="I1638" s="441">
        <v>1.0</v>
      </c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</row>
    <row r="1639" hidden="1">
      <c r="A1639" s="25"/>
      <c r="B1639" s="26"/>
      <c r="C1639" s="26"/>
      <c r="D1639" s="7"/>
      <c r="E1639" s="7"/>
      <c r="F1639" s="435">
        <v>45440.0</v>
      </c>
      <c r="G1639" s="278" t="s">
        <v>697</v>
      </c>
      <c r="H1639" s="436" t="s">
        <v>916</v>
      </c>
      <c r="I1639" s="437">
        <v>4.0</v>
      </c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</row>
    <row r="1640" hidden="1">
      <c r="A1640" s="25"/>
      <c r="B1640" s="26"/>
      <c r="C1640" s="26"/>
      <c r="D1640" s="7"/>
      <c r="E1640" s="7"/>
      <c r="F1640" s="435">
        <v>45440.0</v>
      </c>
      <c r="G1640" s="278" t="s">
        <v>697</v>
      </c>
      <c r="H1640" s="436" t="s">
        <v>921</v>
      </c>
      <c r="I1640" s="441">
        <v>5.0</v>
      </c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</row>
    <row r="1641" hidden="1">
      <c r="A1641" s="25"/>
      <c r="B1641" s="26"/>
      <c r="C1641" s="26"/>
      <c r="D1641" s="7"/>
      <c r="E1641" s="7"/>
      <c r="F1641" s="435">
        <v>45440.0</v>
      </c>
      <c r="G1641" s="278" t="s">
        <v>697</v>
      </c>
      <c r="H1641" s="436" t="s">
        <v>387</v>
      </c>
      <c r="I1641" s="441">
        <v>5.0</v>
      </c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</row>
    <row r="1642" hidden="1">
      <c r="A1642" s="25"/>
      <c r="B1642" s="26"/>
      <c r="C1642" s="26"/>
      <c r="D1642" s="7"/>
      <c r="E1642" s="7"/>
      <c r="F1642" s="435">
        <v>45441.0</v>
      </c>
      <c r="G1642" s="278" t="s">
        <v>707</v>
      </c>
      <c r="H1642" s="436" t="s">
        <v>536</v>
      </c>
      <c r="I1642" s="437">
        <v>4.0</v>
      </c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</row>
    <row r="1643" hidden="1">
      <c r="A1643" s="25"/>
      <c r="B1643" s="26"/>
      <c r="C1643" s="26"/>
      <c r="D1643" s="7"/>
      <c r="E1643" s="7"/>
      <c r="F1643" s="435">
        <v>45441.0</v>
      </c>
      <c r="G1643" s="278" t="s">
        <v>707</v>
      </c>
      <c r="H1643" s="436" t="s">
        <v>918</v>
      </c>
      <c r="I1643" s="437">
        <v>3.0</v>
      </c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</row>
    <row r="1644" hidden="1">
      <c r="A1644" s="25"/>
      <c r="B1644" s="26"/>
      <c r="C1644" s="26"/>
      <c r="D1644" s="7"/>
      <c r="E1644" s="7"/>
      <c r="F1644" s="435">
        <v>45441.0</v>
      </c>
      <c r="G1644" s="278" t="s">
        <v>707</v>
      </c>
      <c r="H1644" s="436" t="s">
        <v>916</v>
      </c>
      <c r="I1644" s="437">
        <v>2.0</v>
      </c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</row>
    <row r="1645" hidden="1">
      <c r="A1645" s="25"/>
      <c r="B1645" s="26"/>
      <c r="C1645" s="26"/>
      <c r="D1645" s="7"/>
      <c r="E1645" s="7"/>
      <c r="F1645" s="435">
        <v>45441.0</v>
      </c>
      <c r="G1645" s="278" t="s">
        <v>707</v>
      </c>
      <c r="H1645" s="436" t="s">
        <v>921</v>
      </c>
      <c r="I1645" s="437">
        <v>5.0</v>
      </c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</row>
    <row r="1646" hidden="1">
      <c r="A1646" s="25"/>
      <c r="B1646" s="26"/>
      <c r="C1646" s="26"/>
      <c r="D1646" s="7"/>
      <c r="E1646" s="7"/>
      <c r="F1646" s="435">
        <v>45441.0</v>
      </c>
      <c r="G1646" s="278" t="s">
        <v>707</v>
      </c>
      <c r="H1646" s="436" t="s">
        <v>387</v>
      </c>
      <c r="I1646" s="437">
        <v>2.0</v>
      </c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</row>
    <row r="1647" hidden="1">
      <c r="A1647" s="25"/>
      <c r="B1647" s="26"/>
      <c r="C1647" s="26"/>
      <c r="D1647" s="7"/>
      <c r="E1647" s="7"/>
      <c r="F1647" s="435">
        <v>45444.0</v>
      </c>
      <c r="G1647" s="278" t="s">
        <v>697</v>
      </c>
      <c r="H1647" s="436" t="s">
        <v>536</v>
      </c>
      <c r="I1647" s="437">
        <v>1.0</v>
      </c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</row>
    <row r="1648" hidden="1">
      <c r="A1648" s="25"/>
      <c r="B1648" s="26"/>
      <c r="C1648" s="26"/>
      <c r="D1648" s="7"/>
      <c r="E1648" s="7"/>
      <c r="F1648" s="435">
        <v>45444.0</v>
      </c>
      <c r="G1648" s="278" t="s">
        <v>697</v>
      </c>
      <c r="H1648" s="436" t="s">
        <v>918</v>
      </c>
      <c r="I1648" s="441">
        <v>1.0</v>
      </c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</row>
    <row r="1649" hidden="1">
      <c r="A1649" s="25"/>
      <c r="B1649" s="26"/>
      <c r="C1649" s="26"/>
      <c r="D1649" s="7"/>
      <c r="E1649" s="7"/>
      <c r="F1649" s="435">
        <v>45444.0</v>
      </c>
      <c r="G1649" s="278" t="s">
        <v>697</v>
      </c>
      <c r="H1649" s="436" t="s">
        <v>916</v>
      </c>
      <c r="I1649" s="437">
        <v>5.0</v>
      </c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</row>
    <row r="1650" hidden="1">
      <c r="A1650" s="25"/>
      <c r="B1650" s="26"/>
      <c r="C1650" s="26"/>
      <c r="D1650" s="7"/>
      <c r="E1650" s="7"/>
      <c r="F1650" s="435">
        <v>45444.0</v>
      </c>
      <c r="G1650" s="278" t="s">
        <v>697</v>
      </c>
      <c r="H1650" s="436" t="s">
        <v>921</v>
      </c>
      <c r="I1650" s="441">
        <v>5.0</v>
      </c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</row>
    <row r="1651" hidden="1">
      <c r="A1651" s="25"/>
      <c r="B1651" s="26"/>
      <c r="C1651" s="26"/>
      <c r="D1651" s="7"/>
      <c r="E1651" s="7"/>
      <c r="F1651" s="435">
        <v>45444.0</v>
      </c>
      <c r="G1651" s="278" t="s">
        <v>697</v>
      </c>
      <c r="H1651" s="436" t="s">
        <v>387</v>
      </c>
      <c r="I1651" s="441">
        <v>5.0</v>
      </c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</row>
    <row r="1652" hidden="1">
      <c r="A1652" s="25"/>
      <c r="B1652" s="26"/>
      <c r="C1652" s="26"/>
      <c r="D1652" s="7"/>
      <c r="E1652" s="7"/>
      <c r="F1652" s="435">
        <v>45451.0</v>
      </c>
      <c r="G1652" s="278" t="s">
        <v>697</v>
      </c>
      <c r="H1652" s="436" t="s">
        <v>536</v>
      </c>
      <c r="I1652" s="437">
        <v>5.0</v>
      </c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</row>
    <row r="1653" hidden="1">
      <c r="A1653" s="25"/>
      <c r="B1653" s="26"/>
      <c r="C1653" s="26"/>
      <c r="D1653" s="7"/>
      <c r="E1653" s="7"/>
      <c r="F1653" s="435">
        <v>45451.0</v>
      </c>
      <c r="G1653" s="278" t="s">
        <v>697</v>
      </c>
      <c r="H1653" s="436" t="s">
        <v>918</v>
      </c>
      <c r="I1653" s="437">
        <v>1.0</v>
      </c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</row>
    <row r="1654" hidden="1">
      <c r="A1654" s="25"/>
      <c r="B1654" s="26"/>
      <c r="C1654" s="26"/>
      <c r="D1654" s="7"/>
      <c r="E1654" s="7"/>
      <c r="F1654" s="435">
        <v>45451.0</v>
      </c>
      <c r="G1654" s="278" t="s">
        <v>697</v>
      </c>
      <c r="H1654" s="436" t="s">
        <v>916</v>
      </c>
      <c r="I1654" s="437">
        <v>3.0</v>
      </c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</row>
    <row r="1655" hidden="1">
      <c r="A1655" s="25"/>
      <c r="B1655" s="26"/>
      <c r="C1655" s="26"/>
      <c r="D1655" s="7"/>
      <c r="E1655" s="7"/>
      <c r="F1655" s="435">
        <v>45451.0</v>
      </c>
      <c r="G1655" s="278" t="s">
        <v>697</v>
      </c>
      <c r="H1655" s="436" t="s">
        <v>921</v>
      </c>
      <c r="I1655" s="441">
        <v>5.0</v>
      </c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</row>
    <row r="1656" hidden="1">
      <c r="A1656" s="25"/>
      <c r="B1656" s="26"/>
      <c r="C1656" s="26"/>
      <c r="D1656" s="7"/>
      <c r="E1656" s="7"/>
      <c r="F1656" s="435">
        <v>45451.0</v>
      </c>
      <c r="G1656" s="278" t="s">
        <v>697</v>
      </c>
      <c r="H1656" s="436" t="s">
        <v>387</v>
      </c>
      <c r="I1656" s="437">
        <v>3.0</v>
      </c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</row>
    <row r="1657" hidden="1">
      <c r="A1657" s="25"/>
      <c r="B1657" s="26"/>
      <c r="C1657" s="26"/>
      <c r="D1657" s="7"/>
      <c r="E1657" s="7"/>
      <c r="F1657" s="435">
        <v>45452.0</v>
      </c>
      <c r="G1657" s="278" t="s">
        <v>704</v>
      </c>
      <c r="H1657" s="436" t="s">
        <v>536</v>
      </c>
      <c r="I1657" s="437">
        <v>4.0</v>
      </c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</row>
    <row r="1658" hidden="1">
      <c r="A1658" s="25"/>
      <c r="B1658" s="26"/>
      <c r="C1658" s="26"/>
      <c r="D1658" s="7"/>
      <c r="E1658" s="7"/>
      <c r="F1658" s="435">
        <v>45452.0</v>
      </c>
      <c r="G1658" s="278" t="s">
        <v>704</v>
      </c>
      <c r="H1658" s="436" t="s">
        <v>918</v>
      </c>
      <c r="I1658" s="437">
        <v>1.0</v>
      </c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</row>
    <row r="1659" hidden="1">
      <c r="A1659" s="25"/>
      <c r="B1659" s="26"/>
      <c r="C1659" s="26"/>
      <c r="D1659" s="7"/>
      <c r="E1659" s="7"/>
      <c r="F1659" s="435">
        <v>45452.0</v>
      </c>
      <c r="G1659" s="278" t="s">
        <v>704</v>
      </c>
      <c r="H1659" s="436" t="s">
        <v>916</v>
      </c>
      <c r="I1659" s="437">
        <v>5.0</v>
      </c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</row>
    <row r="1660" hidden="1">
      <c r="A1660" s="25"/>
      <c r="B1660" s="26"/>
      <c r="C1660" s="26"/>
      <c r="D1660" s="7"/>
      <c r="E1660" s="7"/>
      <c r="F1660" s="435">
        <v>45452.0</v>
      </c>
      <c r="G1660" s="278" t="s">
        <v>704</v>
      </c>
      <c r="H1660" s="436" t="s">
        <v>921</v>
      </c>
      <c r="I1660" s="437">
        <v>4.0</v>
      </c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</row>
    <row r="1661" hidden="1">
      <c r="A1661" s="25"/>
      <c r="B1661" s="26"/>
      <c r="C1661" s="26"/>
      <c r="D1661" s="7"/>
      <c r="E1661" s="7"/>
      <c r="F1661" s="435">
        <v>45452.0</v>
      </c>
      <c r="G1661" s="278" t="s">
        <v>704</v>
      </c>
      <c r="H1661" s="436" t="s">
        <v>387</v>
      </c>
      <c r="I1661" s="437">
        <v>2.0</v>
      </c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</row>
    <row r="1662" hidden="1">
      <c r="A1662" s="25"/>
      <c r="B1662" s="26"/>
      <c r="C1662" s="26"/>
      <c r="D1662" s="7"/>
      <c r="E1662" s="7"/>
      <c r="F1662" s="435">
        <v>45457.0</v>
      </c>
      <c r="G1662" s="278" t="s">
        <v>704</v>
      </c>
      <c r="H1662" s="436" t="s">
        <v>536</v>
      </c>
      <c r="I1662" s="437">
        <v>2.0</v>
      </c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</row>
    <row r="1663" hidden="1">
      <c r="A1663" s="25"/>
      <c r="B1663" s="26"/>
      <c r="C1663" s="26"/>
      <c r="D1663" s="7"/>
      <c r="E1663" s="7"/>
      <c r="F1663" s="435">
        <v>45457.0</v>
      </c>
      <c r="G1663" s="278" t="s">
        <v>704</v>
      </c>
      <c r="H1663" s="436" t="s">
        <v>918</v>
      </c>
      <c r="I1663" s="437">
        <v>5.0</v>
      </c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</row>
    <row r="1664" hidden="1">
      <c r="A1664" s="25"/>
      <c r="B1664" s="26"/>
      <c r="C1664" s="26"/>
      <c r="D1664" s="7"/>
      <c r="E1664" s="7"/>
      <c r="F1664" s="435">
        <v>45457.0</v>
      </c>
      <c r="G1664" s="278" t="s">
        <v>704</v>
      </c>
      <c r="H1664" s="436" t="s">
        <v>916</v>
      </c>
      <c r="I1664" s="437">
        <v>3.0</v>
      </c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</row>
    <row r="1665" hidden="1">
      <c r="A1665" s="25"/>
      <c r="B1665" s="26"/>
      <c r="C1665" s="26"/>
      <c r="D1665" s="7"/>
      <c r="E1665" s="7"/>
      <c r="F1665" s="435">
        <v>45457.0</v>
      </c>
      <c r="G1665" s="278" t="s">
        <v>704</v>
      </c>
      <c r="H1665" s="436" t="s">
        <v>921</v>
      </c>
      <c r="I1665" s="437">
        <v>3.0</v>
      </c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</row>
    <row r="1666" hidden="1">
      <c r="A1666" s="25"/>
      <c r="B1666" s="26"/>
      <c r="C1666" s="26"/>
      <c r="D1666" s="7"/>
      <c r="E1666" s="7"/>
      <c r="F1666" s="435">
        <v>45457.0</v>
      </c>
      <c r="G1666" s="278" t="s">
        <v>704</v>
      </c>
      <c r="H1666" s="436" t="s">
        <v>387</v>
      </c>
      <c r="I1666" s="437">
        <v>2.0</v>
      </c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</row>
    <row r="1667" hidden="1">
      <c r="A1667" s="25"/>
      <c r="B1667" s="26"/>
      <c r="C1667" s="26"/>
      <c r="D1667" s="7"/>
      <c r="E1667" s="7"/>
      <c r="F1667" s="435">
        <v>45457.0</v>
      </c>
      <c r="G1667" s="278" t="s">
        <v>697</v>
      </c>
      <c r="H1667" s="436" t="s">
        <v>536</v>
      </c>
      <c r="I1667" s="437">
        <v>3.0</v>
      </c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</row>
    <row r="1668" hidden="1">
      <c r="A1668" s="25"/>
      <c r="B1668" s="26"/>
      <c r="C1668" s="26"/>
      <c r="D1668" s="7"/>
      <c r="E1668" s="7"/>
      <c r="F1668" s="435">
        <v>45457.0</v>
      </c>
      <c r="G1668" s="278" t="s">
        <v>697</v>
      </c>
      <c r="H1668" s="436" t="s">
        <v>918</v>
      </c>
      <c r="I1668" s="437">
        <v>1.0</v>
      </c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</row>
    <row r="1669" hidden="1">
      <c r="A1669" s="25"/>
      <c r="B1669" s="26"/>
      <c r="C1669" s="26"/>
      <c r="D1669" s="7"/>
      <c r="E1669" s="7"/>
      <c r="F1669" s="435">
        <v>45457.0</v>
      </c>
      <c r="G1669" s="278" t="s">
        <v>697</v>
      </c>
      <c r="H1669" s="436" t="s">
        <v>916</v>
      </c>
      <c r="I1669" s="437">
        <v>3.0</v>
      </c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</row>
    <row r="1670" hidden="1">
      <c r="A1670" s="25"/>
      <c r="B1670" s="26"/>
      <c r="C1670" s="26"/>
      <c r="D1670" s="7"/>
      <c r="E1670" s="7"/>
      <c r="F1670" s="435">
        <v>45457.0</v>
      </c>
      <c r="G1670" s="278" t="s">
        <v>697</v>
      </c>
      <c r="H1670" s="436" t="s">
        <v>921</v>
      </c>
      <c r="I1670" s="441">
        <v>5.0</v>
      </c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</row>
    <row r="1671" hidden="1">
      <c r="A1671" s="25"/>
      <c r="B1671" s="26"/>
      <c r="C1671" s="26"/>
      <c r="D1671" s="7"/>
      <c r="E1671" s="7"/>
      <c r="F1671" s="435">
        <v>45457.0</v>
      </c>
      <c r="G1671" s="278" t="s">
        <v>697</v>
      </c>
      <c r="H1671" s="436" t="s">
        <v>387</v>
      </c>
      <c r="I1671" s="437">
        <v>2.0</v>
      </c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</row>
    <row r="1672" hidden="1">
      <c r="A1672" s="25"/>
      <c r="B1672" s="26"/>
      <c r="C1672" s="26"/>
      <c r="D1672" s="7"/>
      <c r="E1672" s="7"/>
      <c r="F1672" s="435">
        <v>45462.0</v>
      </c>
      <c r="G1672" s="278" t="s">
        <v>704</v>
      </c>
      <c r="H1672" s="436" t="s">
        <v>536</v>
      </c>
      <c r="I1672" s="437">
        <v>1.0</v>
      </c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</row>
    <row r="1673" hidden="1">
      <c r="A1673" s="25"/>
      <c r="B1673" s="26"/>
      <c r="C1673" s="26"/>
      <c r="D1673" s="7"/>
      <c r="E1673" s="7"/>
      <c r="F1673" s="435">
        <v>45462.0</v>
      </c>
      <c r="G1673" s="278" t="s">
        <v>704</v>
      </c>
      <c r="H1673" s="436" t="s">
        <v>918</v>
      </c>
      <c r="I1673" s="437">
        <v>4.0</v>
      </c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</row>
    <row r="1674" hidden="1">
      <c r="A1674" s="25"/>
      <c r="B1674" s="26"/>
      <c r="C1674" s="26"/>
      <c r="D1674" s="7"/>
      <c r="E1674" s="7"/>
      <c r="F1674" s="435">
        <v>45462.0</v>
      </c>
      <c r="G1674" s="278" t="s">
        <v>704</v>
      </c>
      <c r="H1674" s="436" t="s">
        <v>916</v>
      </c>
      <c r="I1674" s="437">
        <v>1.0</v>
      </c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</row>
    <row r="1675" hidden="1">
      <c r="A1675" s="25"/>
      <c r="B1675" s="26"/>
      <c r="C1675" s="26"/>
      <c r="D1675" s="7"/>
      <c r="E1675" s="7"/>
      <c r="F1675" s="435">
        <v>45462.0</v>
      </c>
      <c r="G1675" s="278" t="s">
        <v>704</v>
      </c>
      <c r="H1675" s="436" t="s">
        <v>921</v>
      </c>
      <c r="I1675" s="437">
        <v>4.0</v>
      </c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</row>
    <row r="1676" hidden="1">
      <c r="A1676" s="25"/>
      <c r="B1676" s="26"/>
      <c r="C1676" s="26"/>
      <c r="D1676" s="7"/>
      <c r="E1676" s="7"/>
      <c r="F1676" s="435">
        <v>45462.0</v>
      </c>
      <c r="G1676" s="278" t="s">
        <v>704</v>
      </c>
      <c r="H1676" s="436" t="s">
        <v>387</v>
      </c>
      <c r="I1676" s="437">
        <v>3.0</v>
      </c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</row>
    <row r="1677" hidden="1">
      <c r="A1677" s="25"/>
      <c r="B1677" s="26"/>
      <c r="C1677" s="26"/>
      <c r="D1677" s="7"/>
      <c r="E1677" s="7"/>
      <c r="F1677" s="435">
        <v>45463.0</v>
      </c>
      <c r="G1677" s="278" t="s">
        <v>704</v>
      </c>
      <c r="H1677" s="436" t="s">
        <v>536</v>
      </c>
      <c r="I1677" s="437">
        <v>1.0</v>
      </c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</row>
    <row r="1678" hidden="1">
      <c r="A1678" s="25"/>
      <c r="B1678" s="26"/>
      <c r="C1678" s="26"/>
      <c r="D1678" s="7"/>
      <c r="E1678" s="7"/>
      <c r="F1678" s="435">
        <v>45463.0</v>
      </c>
      <c r="G1678" s="278" t="s">
        <v>704</v>
      </c>
      <c r="H1678" s="436" t="s">
        <v>918</v>
      </c>
      <c r="I1678" s="437">
        <v>4.0</v>
      </c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</row>
    <row r="1679" hidden="1">
      <c r="A1679" s="25"/>
      <c r="B1679" s="26"/>
      <c r="C1679" s="26"/>
      <c r="D1679" s="7"/>
      <c r="E1679" s="7"/>
      <c r="F1679" s="435">
        <v>45463.0</v>
      </c>
      <c r="G1679" s="278" t="s">
        <v>704</v>
      </c>
      <c r="H1679" s="436" t="s">
        <v>916</v>
      </c>
      <c r="I1679" s="437">
        <v>3.0</v>
      </c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</row>
    <row r="1680" hidden="1">
      <c r="A1680" s="25"/>
      <c r="B1680" s="26"/>
      <c r="C1680" s="26"/>
      <c r="D1680" s="7"/>
      <c r="E1680" s="7"/>
      <c r="F1680" s="435">
        <v>45463.0</v>
      </c>
      <c r="G1680" s="278" t="s">
        <v>704</v>
      </c>
      <c r="H1680" s="436" t="s">
        <v>921</v>
      </c>
      <c r="I1680" s="441">
        <v>5.0</v>
      </c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</row>
    <row r="1681" hidden="1">
      <c r="A1681" s="25"/>
      <c r="B1681" s="26"/>
      <c r="C1681" s="26"/>
      <c r="D1681" s="7"/>
      <c r="E1681" s="7"/>
      <c r="F1681" s="435">
        <v>45463.0</v>
      </c>
      <c r="G1681" s="278" t="s">
        <v>704</v>
      </c>
      <c r="H1681" s="436" t="s">
        <v>387</v>
      </c>
      <c r="I1681" s="437">
        <v>5.0</v>
      </c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</row>
    <row r="1682" hidden="1">
      <c r="A1682" s="25"/>
      <c r="B1682" s="26"/>
      <c r="C1682" s="26"/>
      <c r="D1682" s="7"/>
      <c r="E1682" s="7"/>
      <c r="F1682" s="435">
        <v>45464.0</v>
      </c>
      <c r="G1682" s="278" t="s">
        <v>707</v>
      </c>
      <c r="H1682" s="436" t="s">
        <v>536</v>
      </c>
      <c r="I1682" s="437">
        <v>1.0</v>
      </c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</row>
    <row r="1683" hidden="1">
      <c r="A1683" s="25"/>
      <c r="B1683" s="26"/>
      <c r="C1683" s="26"/>
      <c r="D1683" s="7"/>
      <c r="E1683" s="7"/>
      <c r="F1683" s="435">
        <v>45464.0</v>
      </c>
      <c r="G1683" s="278" t="s">
        <v>707</v>
      </c>
      <c r="H1683" s="436" t="s">
        <v>536</v>
      </c>
      <c r="I1683" s="437">
        <v>1.0</v>
      </c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</row>
    <row r="1684" hidden="1">
      <c r="A1684" s="25"/>
      <c r="B1684" s="26"/>
      <c r="C1684" s="26"/>
      <c r="D1684" s="7"/>
      <c r="E1684" s="7"/>
      <c r="F1684" s="435">
        <v>45464.0</v>
      </c>
      <c r="G1684" s="278" t="s">
        <v>707</v>
      </c>
      <c r="H1684" s="436" t="s">
        <v>918</v>
      </c>
      <c r="I1684" s="437">
        <v>4.0</v>
      </c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</row>
    <row r="1685" hidden="1">
      <c r="A1685" s="25"/>
      <c r="B1685" s="26"/>
      <c r="C1685" s="26"/>
      <c r="D1685" s="7"/>
      <c r="E1685" s="7"/>
      <c r="F1685" s="435">
        <v>45464.0</v>
      </c>
      <c r="G1685" s="278" t="s">
        <v>707</v>
      </c>
      <c r="H1685" s="436" t="s">
        <v>918</v>
      </c>
      <c r="I1685" s="437">
        <v>2.0</v>
      </c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</row>
    <row r="1686" hidden="1">
      <c r="A1686" s="25"/>
      <c r="B1686" s="26"/>
      <c r="C1686" s="26"/>
      <c r="D1686" s="7"/>
      <c r="E1686" s="7"/>
      <c r="F1686" s="435">
        <v>45464.0</v>
      </c>
      <c r="G1686" s="278" t="s">
        <v>707</v>
      </c>
      <c r="H1686" s="436" t="s">
        <v>916</v>
      </c>
      <c r="I1686" s="437">
        <v>4.0</v>
      </c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</row>
    <row r="1687" hidden="1">
      <c r="A1687" s="25"/>
      <c r="B1687" s="26"/>
      <c r="C1687" s="26"/>
      <c r="D1687" s="7"/>
      <c r="E1687" s="7"/>
      <c r="F1687" s="435">
        <v>45464.0</v>
      </c>
      <c r="G1687" s="278" t="s">
        <v>707</v>
      </c>
      <c r="H1687" s="436" t="s">
        <v>916</v>
      </c>
      <c r="I1687" s="437">
        <v>3.0</v>
      </c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</row>
    <row r="1688" hidden="1">
      <c r="A1688" s="25"/>
      <c r="B1688" s="26"/>
      <c r="C1688" s="26"/>
      <c r="D1688" s="7"/>
      <c r="E1688" s="7"/>
      <c r="F1688" s="435">
        <v>45464.0</v>
      </c>
      <c r="G1688" s="278" t="s">
        <v>707</v>
      </c>
      <c r="H1688" s="436" t="s">
        <v>921</v>
      </c>
      <c r="I1688" s="437">
        <v>4.0</v>
      </c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</row>
    <row r="1689" hidden="1">
      <c r="A1689" s="25"/>
      <c r="B1689" s="26"/>
      <c r="C1689" s="26"/>
      <c r="D1689" s="7"/>
      <c r="E1689" s="7"/>
      <c r="F1689" s="435">
        <v>45464.0</v>
      </c>
      <c r="G1689" s="278" t="s">
        <v>707</v>
      </c>
      <c r="H1689" s="436" t="s">
        <v>921</v>
      </c>
      <c r="I1689" s="437">
        <v>5.0</v>
      </c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</row>
    <row r="1690" hidden="1">
      <c r="A1690" s="25"/>
      <c r="B1690" s="26"/>
      <c r="C1690" s="26"/>
      <c r="D1690" s="7"/>
      <c r="E1690" s="7"/>
      <c r="F1690" s="435">
        <v>45464.0</v>
      </c>
      <c r="G1690" s="278" t="s">
        <v>707</v>
      </c>
      <c r="H1690" s="436" t="s">
        <v>387</v>
      </c>
      <c r="I1690" s="437">
        <v>5.0</v>
      </c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</row>
    <row r="1691" hidden="1">
      <c r="A1691" s="25"/>
      <c r="B1691" s="26"/>
      <c r="C1691" s="26"/>
      <c r="D1691" s="7"/>
      <c r="E1691" s="7"/>
      <c r="F1691" s="435">
        <v>45464.0</v>
      </c>
      <c r="G1691" s="278" t="s">
        <v>707</v>
      </c>
      <c r="H1691" s="436" t="s">
        <v>387</v>
      </c>
      <c r="I1691" s="437">
        <v>3.0</v>
      </c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</row>
    <row r="1692" hidden="1">
      <c r="A1692" s="25"/>
      <c r="B1692" s="26"/>
      <c r="C1692" s="26"/>
      <c r="D1692" s="7"/>
      <c r="E1692" s="7"/>
      <c r="F1692" s="435">
        <v>45466.0</v>
      </c>
      <c r="G1692" s="278" t="s">
        <v>697</v>
      </c>
      <c r="H1692" s="436" t="s">
        <v>536</v>
      </c>
      <c r="I1692" s="437">
        <v>3.0</v>
      </c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</row>
    <row r="1693" hidden="1">
      <c r="A1693" s="25"/>
      <c r="B1693" s="26"/>
      <c r="C1693" s="26"/>
      <c r="D1693" s="7"/>
      <c r="E1693" s="7"/>
      <c r="F1693" s="435">
        <v>45466.0</v>
      </c>
      <c r="G1693" s="278" t="s">
        <v>697</v>
      </c>
      <c r="H1693" s="436" t="s">
        <v>918</v>
      </c>
      <c r="I1693" s="441">
        <v>1.0</v>
      </c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</row>
    <row r="1694" hidden="1">
      <c r="A1694" s="25"/>
      <c r="B1694" s="26"/>
      <c r="C1694" s="26"/>
      <c r="D1694" s="7"/>
      <c r="E1694" s="7"/>
      <c r="F1694" s="435">
        <v>45466.0</v>
      </c>
      <c r="G1694" s="278" t="s">
        <v>697</v>
      </c>
      <c r="H1694" s="436" t="s">
        <v>916</v>
      </c>
      <c r="I1694" s="437">
        <v>1.0</v>
      </c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</row>
    <row r="1695" hidden="1">
      <c r="A1695" s="25"/>
      <c r="B1695" s="26"/>
      <c r="C1695" s="26"/>
      <c r="D1695" s="7"/>
      <c r="E1695" s="7"/>
      <c r="F1695" s="435">
        <v>45466.0</v>
      </c>
      <c r="G1695" s="278" t="s">
        <v>697</v>
      </c>
      <c r="H1695" s="436" t="s">
        <v>921</v>
      </c>
      <c r="I1695" s="441">
        <v>5.0</v>
      </c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</row>
    <row r="1696" hidden="1">
      <c r="A1696" s="25"/>
      <c r="B1696" s="26"/>
      <c r="C1696" s="26"/>
      <c r="D1696" s="7"/>
      <c r="E1696" s="7"/>
      <c r="F1696" s="435">
        <v>45466.0</v>
      </c>
      <c r="G1696" s="278" t="s">
        <v>697</v>
      </c>
      <c r="H1696" s="436" t="s">
        <v>387</v>
      </c>
      <c r="I1696" s="437">
        <v>3.0</v>
      </c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</row>
    <row r="1697" hidden="1">
      <c r="A1697" s="25"/>
      <c r="B1697" s="26"/>
      <c r="C1697" s="26"/>
      <c r="D1697" s="7"/>
      <c r="E1697" s="7"/>
      <c r="F1697" s="435">
        <v>45466.0</v>
      </c>
      <c r="G1697" s="278" t="s">
        <v>707</v>
      </c>
      <c r="H1697" s="436" t="s">
        <v>536</v>
      </c>
      <c r="I1697" s="437">
        <v>1.0</v>
      </c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</row>
    <row r="1698" hidden="1">
      <c r="A1698" s="25"/>
      <c r="B1698" s="26"/>
      <c r="C1698" s="26"/>
      <c r="D1698" s="7"/>
      <c r="E1698" s="7"/>
      <c r="F1698" s="435">
        <v>45466.0</v>
      </c>
      <c r="G1698" s="278" t="s">
        <v>707</v>
      </c>
      <c r="H1698" s="436" t="s">
        <v>918</v>
      </c>
      <c r="I1698" s="437">
        <v>4.0</v>
      </c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</row>
    <row r="1699" hidden="1">
      <c r="A1699" s="25"/>
      <c r="B1699" s="26"/>
      <c r="C1699" s="26"/>
      <c r="D1699" s="7"/>
      <c r="E1699" s="7"/>
      <c r="F1699" s="435">
        <v>45466.0</v>
      </c>
      <c r="G1699" s="278" t="s">
        <v>707</v>
      </c>
      <c r="H1699" s="436" t="s">
        <v>916</v>
      </c>
      <c r="I1699" s="437">
        <v>5.0</v>
      </c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</row>
    <row r="1700" hidden="1">
      <c r="A1700" s="25"/>
      <c r="B1700" s="26"/>
      <c r="C1700" s="26"/>
      <c r="D1700" s="7"/>
      <c r="E1700" s="7"/>
      <c r="F1700" s="435">
        <v>45466.0</v>
      </c>
      <c r="G1700" s="278" t="s">
        <v>707</v>
      </c>
      <c r="H1700" s="436" t="s">
        <v>921</v>
      </c>
      <c r="I1700" s="437">
        <v>1.0</v>
      </c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</row>
    <row r="1701" hidden="1">
      <c r="A1701" s="25"/>
      <c r="B1701" s="26"/>
      <c r="C1701" s="26"/>
      <c r="D1701" s="7"/>
      <c r="E1701" s="7"/>
      <c r="F1701" s="435">
        <v>45466.0</v>
      </c>
      <c r="G1701" s="278" t="s">
        <v>707</v>
      </c>
      <c r="H1701" s="436" t="s">
        <v>387</v>
      </c>
      <c r="I1701" s="437">
        <v>3.0</v>
      </c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</row>
    <row r="1702" hidden="1">
      <c r="A1702" s="25"/>
      <c r="B1702" s="26"/>
      <c r="C1702" s="26"/>
      <c r="D1702" s="7"/>
      <c r="E1702" s="7"/>
      <c r="F1702" s="435">
        <v>45467.0</v>
      </c>
      <c r="G1702" s="278" t="s">
        <v>716</v>
      </c>
      <c r="H1702" s="436" t="s">
        <v>536</v>
      </c>
      <c r="I1702" s="437">
        <v>4.0</v>
      </c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</row>
    <row r="1703" hidden="1">
      <c r="A1703" s="25"/>
      <c r="B1703" s="26"/>
      <c r="C1703" s="26"/>
      <c r="D1703" s="7"/>
      <c r="E1703" s="7"/>
      <c r="F1703" s="435">
        <v>45467.0</v>
      </c>
      <c r="G1703" s="278" t="s">
        <v>716</v>
      </c>
      <c r="H1703" s="436" t="s">
        <v>918</v>
      </c>
      <c r="I1703" s="437">
        <v>5.0</v>
      </c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</row>
    <row r="1704" hidden="1">
      <c r="A1704" s="25"/>
      <c r="B1704" s="26"/>
      <c r="C1704" s="26"/>
      <c r="D1704" s="7"/>
      <c r="E1704" s="7"/>
      <c r="F1704" s="435">
        <v>45467.0</v>
      </c>
      <c r="G1704" s="278" t="s">
        <v>716</v>
      </c>
      <c r="H1704" s="436" t="s">
        <v>916</v>
      </c>
      <c r="I1704" s="437">
        <v>1.0</v>
      </c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</row>
    <row r="1705" hidden="1">
      <c r="A1705" s="25"/>
      <c r="B1705" s="26"/>
      <c r="C1705" s="26"/>
      <c r="D1705" s="7"/>
      <c r="E1705" s="7"/>
      <c r="F1705" s="435">
        <v>45467.0</v>
      </c>
      <c r="G1705" s="278" t="s">
        <v>716</v>
      </c>
      <c r="H1705" s="436" t="s">
        <v>921</v>
      </c>
      <c r="I1705" s="437">
        <v>3.0</v>
      </c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</row>
    <row r="1706" hidden="1">
      <c r="A1706" s="25"/>
      <c r="B1706" s="26"/>
      <c r="C1706" s="26"/>
      <c r="D1706" s="7"/>
      <c r="E1706" s="7"/>
      <c r="F1706" s="435">
        <v>45467.0</v>
      </c>
      <c r="G1706" s="278" t="s">
        <v>716</v>
      </c>
      <c r="H1706" s="436" t="s">
        <v>387</v>
      </c>
      <c r="I1706" s="437">
        <v>4.0</v>
      </c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</row>
    <row r="1707" hidden="1">
      <c r="A1707" s="25"/>
      <c r="B1707" s="26"/>
      <c r="C1707" s="26"/>
      <c r="D1707" s="7"/>
      <c r="E1707" s="7"/>
      <c r="F1707" s="435">
        <v>45471.0</v>
      </c>
      <c r="G1707" s="278" t="s">
        <v>704</v>
      </c>
      <c r="H1707" s="436" t="s">
        <v>536</v>
      </c>
      <c r="I1707" s="437">
        <v>2.0</v>
      </c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</row>
    <row r="1708" hidden="1">
      <c r="A1708" s="25"/>
      <c r="B1708" s="26"/>
      <c r="C1708" s="26"/>
      <c r="D1708" s="7"/>
      <c r="E1708" s="7"/>
      <c r="F1708" s="435">
        <v>45471.0</v>
      </c>
      <c r="G1708" s="278" t="s">
        <v>704</v>
      </c>
      <c r="H1708" s="436" t="s">
        <v>918</v>
      </c>
      <c r="I1708" s="437">
        <v>2.0</v>
      </c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</row>
    <row r="1709" hidden="1">
      <c r="A1709" s="25"/>
      <c r="B1709" s="26"/>
      <c r="C1709" s="26"/>
      <c r="D1709" s="7"/>
      <c r="E1709" s="7"/>
      <c r="F1709" s="435">
        <v>45471.0</v>
      </c>
      <c r="G1709" s="278" t="s">
        <v>704</v>
      </c>
      <c r="H1709" s="436" t="s">
        <v>916</v>
      </c>
      <c r="I1709" s="437">
        <v>1.0</v>
      </c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</row>
    <row r="1710" hidden="1">
      <c r="A1710" s="25"/>
      <c r="B1710" s="26"/>
      <c r="C1710" s="26"/>
      <c r="D1710" s="7"/>
      <c r="E1710" s="7"/>
      <c r="F1710" s="435">
        <v>45471.0</v>
      </c>
      <c r="G1710" s="278" t="s">
        <v>704</v>
      </c>
      <c r="H1710" s="436" t="s">
        <v>921</v>
      </c>
      <c r="I1710" s="441">
        <v>5.0</v>
      </c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</row>
    <row r="1711" hidden="1">
      <c r="A1711" s="25"/>
      <c r="B1711" s="26"/>
      <c r="C1711" s="26"/>
      <c r="D1711" s="7"/>
      <c r="E1711" s="7"/>
      <c r="F1711" s="435">
        <v>45471.0</v>
      </c>
      <c r="G1711" s="278" t="s">
        <v>704</v>
      </c>
      <c r="H1711" s="436" t="s">
        <v>387</v>
      </c>
      <c r="I1711" s="437">
        <v>1.0</v>
      </c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</row>
    <row r="1712" hidden="1">
      <c r="A1712" s="25"/>
      <c r="B1712" s="26"/>
      <c r="C1712" s="26"/>
      <c r="D1712" s="7"/>
      <c r="E1712" s="7"/>
      <c r="F1712" s="435">
        <v>45471.0</v>
      </c>
      <c r="G1712" s="278" t="s">
        <v>707</v>
      </c>
      <c r="H1712" s="436" t="s">
        <v>536</v>
      </c>
      <c r="I1712" s="437">
        <v>5.0</v>
      </c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</row>
    <row r="1713" hidden="1">
      <c r="A1713" s="25"/>
      <c r="B1713" s="26"/>
      <c r="C1713" s="26"/>
      <c r="D1713" s="7"/>
      <c r="E1713" s="7"/>
      <c r="F1713" s="435">
        <v>45471.0</v>
      </c>
      <c r="G1713" s="278" t="s">
        <v>707</v>
      </c>
      <c r="H1713" s="436" t="s">
        <v>918</v>
      </c>
      <c r="I1713" s="437">
        <v>5.0</v>
      </c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</row>
    <row r="1714" hidden="1">
      <c r="A1714" s="25"/>
      <c r="B1714" s="26"/>
      <c r="C1714" s="26"/>
      <c r="D1714" s="7"/>
      <c r="E1714" s="7"/>
      <c r="F1714" s="435">
        <v>45471.0</v>
      </c>
      <c r="G1714" s="278" t="s">
        <v>707</v>
      </c>
      <c r="H1714" s="436" t="s">
        <v>916</v>
      </c>
      <c r="I1714" s="437">
        <v>4.0</v>
      </c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</row>
    <row r="1715" hidden="1">
      <c r="A1715" s="25"/>
      <c r="B1715" s="26"/>
      <c r="C1715" s="26"/>
      <c r="D1715" s="7"/>
      <c r="E1715" s="7"/>
      <c r="F1715" s="435">
        <v>45471.0</v>
      </c>
      <c r="G1715" s="278" t="s">
        <v>707</v>
      </c>
      <c r="H1715" s="436" t="s">
        <v>921</v>
      </c>
      <c r="I1715" s="437">
        <v>4.0</v>
      </c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</row>
    <row r="1716" hidden="1">
      <c r="A1716" s="25"/>
      <c r="B1716" s="26"/>
      <c r="C1716" s="26"/>
      <c r="D1716" s="7"/>
      <c r="E1716" s="7"/>
      <c r="F1716" s="435">
        <v>45471.0</v>
      </c>
      <c r="G1716" s="278" t="s">
        <v>707</v>
      </c>
      <c r="H1716" s="436" t="s">
        <v>387</v>
      </c>
      <c r="I1716" s="437">
        <v>5.0</v>
      </c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</row>
    <row r="1717" hidden="1">
      <c r="A1717" s="25"/>
      <c r="B1717" s="26"/>
      <c r="C1717" s="26"/>
      <c r="D1717" s="7"/>
      <c r="E1717" s="7"/>
      <c r="F1717" s="435">
        <v>45472.0</v>
      </c>
      <c r="G1717" s="278" t="s">
        <v>697</v>
      </c>
      <c r="H1717" s="436" t="s">
        <v>536</v>
      </c>
      <c r="I1717" s="437">
        <v>5.0</v>
      </c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</row>
    <row r="1718" hidden="1">
      <c r="A1718" s="25"/>
      <c r="B1718" s="26"/>
      <c r="C1718" s="26"/>
      <c r="D1718" s="7"/>
      <c r="E1718" s="7"/>
      <c r="F1718" s="435">
        <v>45472.0</v>
      </c>
      <c r="G1718" s="278" t="s">
        <v>697</v>
      </c>
      <c r="H1718" s="436" t="s">
        <v>918</v>
      </c>
      <c r="I1718" s="441">
        <v>1.0</v>
      </c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</row>
    <row r="1719" hidden="1">
      <c r="A1719" s="25"/>
      <c r="B1719" s="26"/>
      <c r="C1719" s="26"/>
      <c r="D1719" s="7"/>
      <c r="E1719" s="7"/>
      <c r="F1719" s="435">
        <v>45472.0</v>
      </c>
      <c r="G1719" s="278" t="s">
        <v>697</v>
      </c>
      <c r="H1719" s="436" t="s">
        <v>916</v>
      </c>
      <c r="I1719" s="437">
        <v>2.0</v>
      </c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</row>
    <row r="1720" hidden="1">
      <c r="A1720" s="25"/>
      <c r="B1720" s="26"/>
      <c r="C1720" s="26"/>
      <c r="D1720" s="7"/>
      <c r="E1720" s="7"/>
      <c r="F1720" s="435">
        <v>45472.0</v>
      </c>
      <c r="G1720" s="278" t="s">
        <v>697</v>
      </c>
      <c r="H1720" s="436" t="s">
        <v>921</v>
      </c>
      <c r="I1720" s="437">
        <v>5.0</v>
      </c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</row>
    <row r="1721" hidden="1">
      <c r="A1721" s="25"/>
      <c r="B1721" s="26"/>
      <c r="C1721" s="26"/>
      <c r="D1721" s="7"/>
      <c r="E1721" s="7"/>
      <c r="F1721" s="435">
        <v>45472.0</v>
      </c>
      <c r="G1721" s="278" t="s">
        <v>697</v>
      </c>
      <c r="H1721" s="436" t="s">
        <v>387</v>
      </c>
      <c r="I1721" s="437">
        <v>3.0</v>
      </c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</row>
    <row r="1722" hidden="1">
      <c r="A1722" s="25"/>
      <c r="B1722" s="26"/>
      <c r="C1722" s="26"/>
      <c r="D1722" s="7"/>
      <c r="E1722" s="7"/>
      <c r="F1722" s="435">
        <v>45477.0</v>
      </c>
      <c r="G1722" s="278" t="s">
        <v>697</v>
      </c>
      <c r="H1722" s="436" t="s">
        <v>536</v>
      </c>
      <c r="I1722" s="437">
        <v>4.0</v>
      </c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</row>
    <row r="1723" hidden="1">
      <c r="A1723" s="25"/>
      <c r="B1723" s="26"/>
      <c r="C1723" s="26"/>
      <c r="D1723" s="7"/>
      <c r="E1723" s="7"/>
      <c r="F1723" s="435">
        <v>45477.0</v>
      </c>
      <c r="G1723" s="278" t="s">
        <v>697</v>
      </c>
      <c r="H1723" s="436" t="s">
        <v>918</v>
      </c>
      <c r="I1723" s="441">
        <v>1.0</v>
      </c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</row>
    <row r="1724" hidden="1">
      <c r="A1724" s="25"/>
      <c r="B1724" s="26"/>
      <c r="C1724" s="26"/>
      <c r="D1724" s="7"/>
      <c r="E1724" s="7"/>
      <c r="F1724" s="435">
        <v>45477.0</v>
      </c>
      <c r="G1724" s="278" t="s">
        <v>697</v>
      </c>
      <c r="H1724" s="436" t="s">
        <v>916</v>
      </c>
      <c r="I1724" s="437">
        <v>1.0</v>
      </c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</row>
    <row r="1725" hidden="1">
      <c r="A1725" s="25"/>
      <c r="B1725" s="26"/>
      <c r="C1725" s="26"/>
      <c r="D1725" s="7"/>
      <c r="E1725" s="7"/>
      <c r="F1725" s="435">
        <v>45477.0</v>
      </c>
      <c r="G1725" s="278" t="s">
        <v>697</v>
      </c>
      <c r="H1725" s="436" t="s">
        <v>921</v>
      </c>
      <c r="I1725" s="441">
        <v>5.0</v>
      </c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</row>
    <row r="1726" hidden="1">
      <c r="A1726" s="25"/>
      <c r="B1726" s="26"/>
      <c r="C1726" s="26"/>
      <c r="D1726" s="7"/>
      <c r="E1726" s="7"/>
      <c r="F1726" s="435">
        <v>45477.0</v>
      </c>
      <c r="G1726" s="278" t="s">
        <v>697</v>
      </c>
      <c r="H1726" s="436" t="s">
        <v>387</v>
      </c>
      <c r="I1726" s="441">
        <v>5.0</v>
      </c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</row>
    <row r="1727" hidden="1">
      <c r="A1727" s="25"/>
      <c r="B1727" s="26"/>
      <c r="C1727" s="26"/>
      <c r="D1727" s="7"/>
      <c r="E1727" s="7"/>
      <c r="F1727" s="435">
        <v>45477.0</v>
      </c>
      <c r="G1727" s="278" t="s">
        <v>716</v>
      </c>
      <c r="H1727" s="436" t="s">
        <v>536</v>
      </c>
      <c r="I1727" s="437">
        <v>4.0</v>
      </c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</row>
    <row r="1728" hidden="1">
      <c r="A1728" s="25"/>
      <c r="B1728" s="26"/>
      <c r="C1728" s="26"/>
      <c r="D1728" s="7"/>
      <c r="E1728" s="7"/>
      <c r="F1728" s="435">
        <v>45477.0</v>
      </c>
      <c r="G1728" s="278" t="s">
        <v>716</v>
      </c>
      <c r="H1728" s="436" t="s">
        <v>918</v>
      </c>
      <c r="I1728" s="437">
        <v>2.0</v>
      </c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</row>
    <row r="1729" hidden="1">
      <c r="A1729" s="25"/>
      <c r="B1729" s="26"/>
      <c r="C1729" s="26"/>
      <c r="D1729" s="7"/>
      <c r="E1729" s="7"/>
      <c r="F1729" s="435">
        <v>45477.0</v>
      </c>
      <c r="G1729" s="278" t="s">
        <v>716</v>
      </c>
      <c r="H1729" s="436" t="s">
        <v>916</v>
      </c>
      <c r="I1729" s="437">
        <v>4.0</v>
      </c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</row>
    <row r="1730" hidden="1">
      <c r="A1730" s="25"/>
      <c r="B1730" s="26"/>
      <c r="C1730" s="26"/>
      <c r="D1730" s="7"/>
      <c r="E1730" s="7"/>
      <c r="F1730" s="435">
        <v>45477.0</v>
      </c>
      <c r="G1730" s="278" t="s">
        <v>716</v>
      </c>
      <c r="H1730" s="436" t="s">
        <v>921</v>
      </c>
      <c r="I1730" s="437">
        <v>3.0</v>
      </c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</row>
    <row r="1731" hidden="1">
      <c r="A1731" s="25"/>
      <c r="B1731" s="26"/>
      <c r="C1731" s="26"/>
      <c r="D1731" s="7"/>
      <c r="E1731" s="7"/>
      <c r="F1731" s="435">
        <v>45477.0</v>
      </c>
      <c r="G1731" s="278" t="s">
        <v>716</v>
      </c>
      <c r="H1731" s="436" t="s">
        <v>387</v>
      </c>
      <c r="I1731" s="437">
        <v>4.0</v>
      </c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</row>
    <row r="1732" hidden="1">
      <c r="A1732" s="25"/>
      <c r="B1732" s="26"/>
      <c r="C1732" s="26"/>
      <c r="D1732" s="7"/>
      <c r="E1732" s="7"/>
      <c r="F1732" s="435">
        <v>45479.0</v>
      </c>
      <c r="G1732" s="278" t="s">
        <v>716</v>
      </c>
      <c r="H1732" s="436" t="s">
        <v>536</v>
      </c>
      <c r="I1732" s="437">
        <v>5.0</v>
      </c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</row>
    <row r="1733" hidden="1">
      <c r="A1733" s="25"/>
      <c r="B1733" s="26"/>
      <c r="C1733" s="26"/>
      <c r="D1733" s="7"/>
      <c r="E1733" s="7"/>
      <c r="F1733" s="435">
        <v>45479.0</v>
      </c>
      <c r="G1733" s="278" t="s">
        <v>716</v>
      </c>
      <c r="H1733" s="436" t="s">
        <v>918</v>
      </c>
      <c r="I1733" s="437">
        <v>1.0</v>
      </c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</row>
    <row r="1734" hidden="1">
      <c r="A1734" s="25"/>
      <c r="B1734" s="26"/>
      <c r="C1734" s="26"/>
      <c r="D1734" s="7"/>
      <c r="E1734" s="7"/>
      <c r="F1734" s="435">
        <v>45479.0</v>
      </c>
      <c r="G1734" s="278" t="s">
        <v>716</v>
      </c>
      <c r="H1734" s="436" t="s">
        <v>916</v>
      </c>
      <c r="I1734" s="437">
        <v>4.0</v>
      </c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</row>
    <row r="1735" hidden="1">
      <c r="A1735" s="25"/>
      <c r="B1735" s="26"/>
      <c r="C1735" s="26"/>
      <c r="D1735" s="7"/>
      <c r="E1735" s="7"/>
      <c r="F1735" s="435">
        <v>45479.0</v>
      </c>
      <c r="G1735" s="278" t="s">
        <v>716</v>
      </c>
      <c r="H1735" s="436" t="s">
        <v>921</v>
      </c>
      <c r="I1735" s="437">
        <v>2.0</v>
      </c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</row>
    <row r="1736" hidden="1">
      <c r="A1736" s="25"/>
      <c r="B1736" s="26"/>
      <c r="C1736" s="26"/>
      <c r="D1736" s="7"/>
      <c r="E1736" s="7"/>
      <c r="F1736" s="435">
        <v>45479.0</v>
      </c>
      <c r="G1736" s="278" t="s">
        <v>716</v>
      </c>
      <c r="H1736" s="436" t="s">
        <v>387</v>
      </c>
      <c r="I1736" s="437">
        <v>5.0</v>
      </c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</row>
    <row r="1737" hidden="1">
      <c r="A1737" s="25"/>
      <c r="B1737" s="26"/>
      <c r="C1737" s="26"/>
      <c r="D1737" s="7"/>
      <c r="E1737" s="7"/>
      <c r="F1737" s="435">
        <v>45479.0</v>
      </c>
      <c r="G1737" s="278" t="s">
        <v>707</v>
      </c>
      <c r="H1737" s="436" t="s">
        <v>536</v>
      </c>
      <c r="I1737" s="437">
        <v>2.0</v>
      </c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</row>
    <row r="1738" hidden="1">
      <c r="A1738" s="25"/>
      <c r="B1738" s="26"/>
      <c r="C1738" s="26"/>
      <c r="D1738" s="7"/>
      <c r="E1738" s="7"/>
      <c r="F1738" s="435">
        <v>45479.0</v>
      </c>
      <c r="G1738" s="278" t="s">
        <v>707</v>
      </c>
      <c r="H1738" s="436" t="s">
        <v>918</v>
      </c>
      <c r="I1738" s="437">
        <v>1.0</v>
      </c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</row>
    <row r="1739" hidden="1">
      <c r="A1739" s="25"/>
      <c r="B1739" s="26"/>
      <c r="C1739" s="26"/>
      <c r="D1739" s="7"/>
      <c r="E1739" s="7"/>
      <c r="F1739" s="435">
        <v>45479.0</v>
      </c>
      <c r="G1739" s="278" t="s">
        <v>707</v>
      </c>
      <c r="H1739" s="436" t="s">
        <v>916</v>
      </c>
      <c r="I1739" s="437">
        <v>2.0</v>
      </c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</row>
    <row r="1740" hidden="1">
      <c r="A1740" s="25"/>
      <c r="B1740" s="26"/>
      <c r="C1740" s="26"/>
      <c r="D1740" s="7"/>
      <c r="E1740" s="7"/>
      <c r="F1740" s="435">
        <v>45479.0</v>
      </c>
      <c r="G1740" s="278" t="s">
        <v>707</v>
      </c>
      <c r="H1740" s="436" t="s">
        <v>921</v>
      </c>
      <c r="I1740" s="437">
        <v>3.0</v>
      </c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</row>
    <row r="1741" hidden="1">
      <c r="A1741" s="25"/>
      <c r="B1741" s="26"/>
      <c r="C1741" s="26"/>
      <c r="D1741" s="7"/>
      <c r="E1741" s="7"/>
      <c r="F1741" s="435">
        <v>45479.0</v>
      </c>
      <c r="G1741" s="278" t="s">
        <v>707</v>
      </c>
      <c r="H1741" s="436" t="s">
        <v>387</v>
      </c>
      <c r="I1741" s="437">
        <v>5.0</v>
      </c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</row>
    <row r="1742" hidden="1">
      <c r="A1742" s="25"/>
      <c r="B1742" s="26"/>
      <c r="C1742" s="26"/>
      <c r="D1742" s="7"/>
      <c r="E1742" s="7"/>
      <c r="F1742" s="435">
        <v>45480.0</v>
      </c>
      <c r="G1742" s="278" t="s">
        <v>716</v>
      </c>
      <c r="H1742" s="436" t="s">
        <v>536</v>
      </c>
      <c r="I1742" s="437">
        <v>5.0</v>
      </c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</row>
    <row r="1743" hidden="1">
      <c r="A1743" s="25"/>
      <c r="B1743" s="26"/>
      <c r="C1743" s="26"/>
      <c r="D1743" s="7"/>
      <c r="E1743" s="7"/>
      <c r="F1743" s="435">
        <v>45480.0</v>
      </c>
      <c r="G1743" s="278" t="s">
        <v>716</v>
      </c>
      <c r="H1743" s="436" t="s">
        <v>918</v>
      </c>
      <c r="I1743" s="437">
        <v>4.0</v>
      </c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</row>
    <row r="1744" hidden="1">
      <c r="A1744" s="25"/>
      <c r="B1744" s="26"/>
      <c r="C1744" s="26"/>
      <c r="D1744" s="7"/>
      <c r="E1744" s="7"/>
      <c r="F1744" s="435">
        <v>45480.0</v>
      </c>
      <c r="G1744" s="278" t="s">
        <v>716</v>
      </c>
      <c r="H1744" s="436" t="s">
        <v>916</v>
      </c>
      <c r="I1744" s="437">
        <v>2.0</v>
      </c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</row>
    <row r="1745" hidden="1">
      <c r="A1745" s="25"/>
      <c r="B1745" s="26"/>
      <c r="C1745" s="26"/>
      <c r="D1745" s="7"/>
      <c r="E1745" s="7"/>
      <c r="F1745" s="435">
        <v>45480.0</v>
      </c>
      <c r="G1745" s="278" t="s">
        <v>716</v>
      </c>
      <c r="H1745" s="436" t="s">
        <v>921</v>
      </c>
      <c r="I1745" s="437">
        <v>5.0</v>
      </c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</row>
    <row r="1746" hidden="1">
      <c r="A1746" s="25"/>
      <c r="B1746" s="26"/>
      <c r="C1746" s="26"/>
      <c r="D1746" s="7"/>
      <c r="E1746" s="7"/>
      <c r="F1746" s="435">
        <v>45480.0</v>
      </c>
      <c r="G1746" s="278" t="s">
        <v>716</v>
      </c>
      <c r="H1746" s="436" t="s">
        <v>387</v>
      </c>
      <c r="I1746" s="437">
        <v>3.0</v>
      </c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</row>
    <row r="1747" hidden="1">
      <c r="A1747" s="25"/>
      <c r="B1747" s="26"/>
      <c r="C1747" s="26"/>
      <c r="D1747" s="7"/>
      <c r="E1747" s="7"/>
      <c r="F1747" s="435">
        <v>45481.0</v>
      </c>
      <c r="G1747" s="278" t="s">
        <v>716</v>
      </c>
      <c r="H1747" s="436" t="s">
        <v>536</v>
      </c>
      <c r="I1747" s="437">
        <v>3.0</v>
      </c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</row>
    <row r="1748" hidden="1">
      <c r="A1748" s="25"/>
      <c r="B1748" s="26"/>
      <c r="C1748" s="26"/>
      <c r="D1748" s="7"/>
      <c r="E1748" s="7"/>
      <c r="F1748" s="435">
        <v>45481.0</v>
      </c>
      <c r="G1748" s="278" t="s">
        <v>716</v>
      </c>
      <c r="H1748" s="436" t="s">
        <v>918</v>
      </c>
      <c r="I1748" s="437">
        <v>4.0</v>
      </c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</row>
    <row r="1749" hidden="1">
      <c r="A1749" s="25"/>
      <c r="B1749" s="26"/>
      <c r="C1749" s="26"/>
      <c r="D1749" s="7"/>
      <c r="E1749" s="7"/>
      <c r="F1749" s="435">
        <v>45481.0</v>
      </c>
      <c r="G1749" s="278" t="s">
        <v>716</v>
      </c>
      <c r="H1749" s="436" t="s">
        <v>916</v>
      </c>
      <c r="I1749" s="437">
        <v>4.0</v>
      </c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</row>
    <row r="1750" hidden="1">
      <c r="A1750" s="25"/>
      <c r="B1750" s="26"/>
      <c r="C1750" s="26"/>
      <c r="D1750" s="7"/>
      <c r="E1750" s="7"/>
      <c r="F1750" s="435">
        <v>45481.0</v>
      </c>
      <c r="G1750" s="278" t="s">
        <v>716</v>
      </c>
      <c r="H1750" s="436" t="s">
        <v>921</v>
      </c>
      <c r="I1750" s="437">
        <v>3.0</v>
      </c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</row>
    <row r="1751" hidden="1">
      <c r="A1751" s="25"/>
      <c r="B1751" s="26"/>
      <c r="C1751" s="26"/>
      <c r="D1751" s="7"/>
      <c r="E1751" s="7"/>
      <c r="F1751" s="435">
        <v>45481.0</v>
      </c>
      <c r="G1751" s="278" t="s">
        <v>716</v>
      </c>
      <c r="H1751" s="436" t="s">
        <v>387</v>
      </c>
      <c r="I1751" s="437">
        <v>2.0</v>
      </c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</row>
    <row r="1752" hidden="1">
      <c r="A1752" s="25"/>
      <c r="B1752" s="26"/>
      <c r="C1752" s="26"/>
      <c r="D1752" s="7"/>
      <c r="E1752" s="7"/>
      <c r="F1752" s="435">
        <v>45481.0</v>
      </c>
      <c r="G1752" s="278" t="s">
        <v>707</v>
      </c>
      <c r="H1752" s="436" t="s">
        <v>536</v>
      </c>
      <c r="I1752" s="437">
        <v>4.0</v>
      </c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</row>
    <row r="1753" hidden="1">
      <c r="A1753" s="25"/>
      <c r="B1753" s="26"/>
      <c r="C1753" s="26"/>
      <c r="D1753" s="7"/>
      <c r="E1753" s="7"/>
      <c r="F1753" s="435">
        <v>45481.0</v>
      </c>
      <c r="G1753" s="278" t="s">
        <v>707</v>
      </c>
      <c r="H1753" s="436" t="s">
        <v>918</v>
      </c>
      <c r="I1753" s="437">
        <v>4.0</v>
      </c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</row>
    <row r="1754" hidden="1">
      <c r="A1754" s="25"/>
      <c r="B1754" s="26"/>
      <c r="C1754" s="26"/>
      <c r="D1754" s="7"/>
      <c r="E1754" s="7"/>
      <c r="F1754" s="435">
        <v>45481.0</v>
      </c>
      <c r="G1754" s="278" t="s">
        <v>707</v>
      </c>
      <c r="H1754" s="436" t="s">
        <v>916</v>
      </c>
      <c r="I1754" s="437">
        <v>5.0</v>
      </c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</row>
    <row r="1755" hidden="1">
      <c r="A1755" s="25"/>
      <c r="B1755" s="26"/>
      <c r="C1755" s="26"/>
      <c r="D1755" s="7"/>
      <c r="E1755" s="7"/>
      <c r="F1755" s="435">
        <v>45481.0</v>
      </c>
      <c r="G1755" s="278" t="s">
        <v>707</v>
      </c>
      <c r="H1755" s="436" t="s">
        <v>921</v>
      </c>
      <c r="I1755" s="437">
        <v>3.0</v>
      </c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</row>
    <row r="1756" hidden="1">
      <c r="A1756" s="25"/>
      <c r="B1756" s="26"/>
      <c r="C1756" s="26"/>
      <c r="D1756" s="7"/>
      <c r="E1756" s="7"/>
      <c r="F1756" s="435">
        <v>45481.0</v>
      </c>
      <c r="G1756" s="278" t="s">
        <v>707</v>
      </c>
      <c r="H1756" s="436" t="s">
        <v>387</v>
      </c>
      <c r="I1756" s="437">
        <v>3.0</v>
      </c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</row>
    <row r="1757" hidden="1">
      <c r="A1757" s="25"/>
      <c r="B1757" s="26"/>
      <c r="C1757" s="26"/>
      <c r="D1757" s="7"/>
      <c r="E1757" s="7"/>
      <c r="F1757" s="435">
        <v>45483.0</v>
      </c>
      <c r="G1757" s="278" t="s">
        <v>704</v>
      </c>
      <c r="H1757" s="436" t="s">
        <v>536</v>
      </c>
      <c r="I1757" s="437">
        <v>2.0</v>
      </c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</row>
    <row r="1758" hidden="1">
      <c r="A1758" s="25"/>
      <c r="B1758" s="26"/>
      <c r="C1758" s="26"/>
      <c r="D1758" s="7"/>
      <c r="E1758" s="7"/>
      <c r="F1758" s="435">
        <v>45483.0</v>
      </c>
      <c r="G1758" s="278" t="s">
        <v>704</v>
      </c>
      <c r="H1758" s="436" t="s">
        <v>536</v>
      </c>
      <c r="I1758" s="437">
        <v>5.0</v>
      </c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</row>
    <row r="1759" hidden="1">
      <c r="A1759" s="25"/>
      <c r="B1759" s="26"/>
      <c r="C1759" s="26"/>
      <c r="D1759" s="7"/>
      <c r="E1759" s="7"/>
      <c r="F1759" s="435">
        <v>45483.0</v>
      </c>
      <c r="G1759" s="278" t="s">
        <v>704</v>
      </c>
      <c r="H1759" s="436" t="s">
        <v>918</v>
      </c>
      <c r="I1759" s="437">
        <v>3.0</v>
      </c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</row>
    <row r="1760" hidden="1">
      <c r="A1760" s="25"/>
      <c r="B1760" s="26"/>
      <c r="C1760" s="26"/>
      <c r="D1760" s="7"/>
      <c r="E1760" s="7"/>
      <c r="F1760" s="435">
        <v>45483.0</v>
      </c>
      <c r="G1760" s="278" t="s">
        <v>704</v>
      </c>
      <c r="H1760" s="436" t="s">
        <v>918</v>
      </c>
      <c r="I1760" s="437">
        <v>5.0</v>
      </c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</row>
    <row r="1761" hidden="1">
      <c r="A1761" s="25"/>
      <c r="B1761" s="26"/>
      <c r="C1761" s="26"/>
      <c r="D1761" s="7"/>
      <c r="E1761" s="7"/>
      <c r="F1761" s="435">
        <v>45483.0</v>
      </c>
      <c r="G1761" s="278" t="s">
        <v>704</v>
      </c>
      <c r="H1761" s="436" t="s">
        <v>916</v>
      </c>
      <c r="I1761" s="437">
        <v>1.0</v>
      </c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</row>
    <row r="1762" hidden="1">
      <c r="A1762" s="25"/>
      <c r="B1762" s="26"/>
      <c r="C1762" s="26"/>
      <c r="D1762" s="7"/>
      <c r="E1762" s="7"/>
      <c r="F1762" s="435">
        <v>45483.0</v>
      </c>
      <c r="G1762" s="278" t="s">
        <v>704</v>
      </c>
      <c r="H1762" s="436" t="s">
        <v>916</v>
      </c>
      <c r="I1762" s="437">
        <v>2.0</v>
      </c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</row>
    <row r="1763" hidden="1">
      <c r="A1763" s="25"/>
      <c r="B1763" s="26"/>
      <c r="C1763" s="26"/>
      <c r="D1763" s="7"/>
      <c r="E1763" s="7"/>
      <c r="F1763" s="435">
        <v>45483.0</v>
      </c>
      <c r="G1763" s="278" t="s">
        <v>704</v>
      </c>
      <c r="H1763" s="436" t="s">
        <v>921</v>
      </c>
      <c r="I1763" s="441">
        <v>5.0</v>
      </c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</row>
    <row r="1764" hidden="1">
      <c r="A1764" s="25"/>
      <c r="B1764" s="26"/>
      <c r="C1764" s="26"/>
      <c r="D1764" s="7"/>
      <c r="E1764" s="7"/>
      <c r="F1764" s="435">
        <v>45483.0</v>
      </c>
      <c r="G1764" s="278" t="s">
        <v>704</v>
      </c>
      <c r="H1764" s="436" t="s">
        <v>921</v>
      </c>
      <c r="I1764" s="441">
        <v>5.0</v>
      </c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</row>
    <row r="1765" hidden="1">
      <c r="A1765" s="25"/>
      <c r="B1765" s="26"/>
      <c r="C1765" s="26"/>
      <c r="D1765" s="7"/>
      <c r="E1765" s="7"/>
      <c r="F1765" s="435">
        <v>45483.0</v>
      </c>
      <c r="G1765" s="278" t="s">
        <v>704</v>
      </c>
      <c r="H1765" s="436" t="s">
        <v>387</v>
      </c>
      <c r="I1765" s="437">
        <v>5.0</v>
      </c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</row>
    <row r="1766" hidden="1">
      <c r="A1766" s="25"/>
      <c r="B1766" s="26"/>
      <c r="C1766" s="26"/>
      <c r="D1766" s="7"/>
      <c r="E1766" s="7"/>
      <c r="F1766" s="435">
        <v>45483.0</v>
      </c>
      <c r="G1766" s="278" t="s">
        <v>704</v>
      </c>
      <c r="H1766" s="436" t="s">
        <v>387</v>
      </c>
      <c r="I1766" s="437">
        <v>3.0</v>
      </c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</row>
    <row r="1767" hidden="1">
      <c r="A1767" s="25"/>
      <c r="B1767" s="26"/>
      <c r="C1767" s="26"/>
      <c r="D1767" s="7"/>
      <c r="E1767" s="7"/>
      <c r="F1767" s="435">
        <v>45487.0</v>
      </c>
      <c r="G1767" s="278" t="s">
        <v>716</v>
      </c>
      <c r="H1767" s="436" t="s">
        <v>536</v>
      </c>
      <c r="I1767" s="437">
        <v>5.0</v>
      </c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</row>
    <row r="1768" hidden="1">
      <c r="A1768" s="25"/>
      <c r="B1768" s="26"/>
      <c r="C1768" s="26"/>
      <c r="D1768" s="7"/>
      <c r="E1768" s="7"/>
      <c r="F1768" s="435">
        <v>45487.0</v>
      </c>
      <c r="G1768" s="278" t="s">
        <v>716</v>
      </c>
      <c r="H1768" s="436" t="s">
        <v>918</v>
      </c>
      <c r="I1768" s="437">
        <v>5.0</v>
      </c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</row>
    <row r="1769" hidden="1">
      <c r="A1769" s="25"/>
      <c r="B1769" s="26"/>
      <c r="C1769" s="26"/>
      <c r="D1769" s="7"/>
      <c r="E1769" s="7"/>
      <c r="F1769" s="435">
        <v>45487.0</v>
      </c>
      <c r="G1769" s="278" t="s">
        <v>716</v>
      </c>
      <c r="H1769" s="436" t="s">
        <v>916</v>
      </c>
      <c r="I1769" s="437">
        <v>1.0</v>
      </c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</row>
    <row r="1770" hidden="1">
      <c r="A1770" s="25"/>
      <c r="B1770" s="26"/>
      <c r="C1770" s="26"/>
      <c r="D1770" s="7"/>
      <c r="E1770" s="7"/>
      <c r="F1770" s="435">
        <v>45487.0</v>
      </c>
      <c r="G1770" s="278" t="s">
        <v>716</v>
      </c>
      <c r="H1770" s="436" t="s">
        <v>921</v>
      </c>
      <c r="I1770" s="437">
        <v>4.0</v>
      </c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</row>
    <row r="1771" hidden="1">
      <c r="A1771" s="25"/>
      <c r="B1771" s="26"/>
      <c r="C1771" s="26"/>
      <c r="D1771" s="7"/>
      <c r="E1771" s="7"/>
      <c r="F1771" s="435">
        <v>45487.0</v>
      </c>
      <c r="G1771" s="278" t="s">
        <v>716</v>
      </c>
      <c r="H1771" s="436" t="s">
        <v>387</v>
      </c>
      <c r="I1771" s="437">
        <v>4.0</v>
      </c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</row>
    <row r="1772" hidden="1">
      <c r="A1772" s="25"/>
      <c r="B1772" s="26"/>
      <c r="C1772" s="26"/>
      <c r="D1772" s="7"/>
      <c r="E1772" s="7"/>
      <c r="F1772" s="435">
        <v>45488.0</v>
      </c>
      <c r="G1772" s="278" t="s">
        <v>716</v>
      </c>
      <c r="H1772" s="436" t="s">
        <v>536</v>
      </c>
      <c r="I1772" s="437">
        <v>5.0</v>
      </c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</row>
    <row r="1773" hidden="1">
      <c r="A1773" s="25"/>
      <c r="B1773" s="26"/>
      <c r="C1773" s="26"/>
      <c r="D1773" s="7"/>
      <c r="E1773" s="7"/>
      <c r="F1773" s="435">
        <v>45488.0</v>
      </c>
      <c r="G1773" s="278" t="s">
        <v>716</v>
      </c>
      <c r="H1773" s="436" t="s">
        <v>918</v>
      </c>
      <c r="I1773" s="437">
        <v>4.0</v>
      </c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</row>
    <row r="1774" hidden="1">
      <c r="A1774" s="25"/>
      <c r="B1774" s="26"/>
      <c r="C1774" s="26"/>
      <c r="D1774" s="7"/>
      <c r="E1774" s="7"/>
      <c r="F1774" s="435">
        <v>45488.0</v>
      </c>
      <c r="G1774" s="278" t="s">
        <v>716</v>
      </c>
      <c r="H1774" s="436" t="s">
        <v>916</v>
      </c>
      <c r="I1774" s="437">
        <v>3.0</v>
      </c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</row>
    <row r="1775" hidden="1">
      <c r="A1775" s="25"/>
      <c r="B1775" s="26"/>
      <c r="C1775" s="26"/>
      <c r="D1775" s="7"/>
      <c r="E1775" s="7"/>
      <c r="F1775" s="435">
        <v>45488.0</v>
      </c>
      <c r="G1775" s="278" t="s">
        <v>716</v>
      </c>
      <c r="H1775" s="436" t="s">
        <v>921</v>
      </c>
      <c r="I1775" s="437">
        <v>5.0</v>
      </c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</row>
    <row r="1776" hidden="1">
      <c r="A1776" s="25"/>
      <c r="B1776" s="26"/>
      <c r="C1776" s="26"/>
      <c r="D1776" s="7"/>
      <c r="E1776" s="7"/>
      <c r="F1776" s="435">
        <v>45488.0</v>
      </c>
      <c r="G1776" s="278" t="s">
        <v>716</v>
      </c>
      <c r="H1776" s="436" t="s">
        <v>387</v>
      </c>
      <c r="I1776" s="437">
        <v>4.0</v>
      </c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</row>
    <row r="1777" hidden="1">
      <c r="A1777" s="25"/>
      <c r="B1777" s="26"/>
      <c r="C1777" s="26"/>
      <c r="D1777" s="7"/>
      <c r="E1777" s="7"/>
      <c r="F1777" s="435">
        <v>45490.0</v>
      </c>
      <c r="G1777" s="278" t="s">
        <v>697</v>
      </c>
      <c r="H1777" s="436" t="s">
        <v>536</v>
      </c>
      <c r="I1777" s="437">
        <v>4.0</v>
      </c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</row>
    <row r="1778" hidden="1">
      <c r="A1778" s="25"/>
      <c r="B1778" s="26"/>
      <c r="C1778" s="26"/>
      <c r="D1778" s="7"/>
      <c r="E1778" s="7"/>
      <c r="F1778" s="435">
        <v>45490.0</v>
      </c>
      <c r="G1778" s="278" t="s">
        <v>697</v>
      </c>
      <c r="H1778" s="436" t="s">
        <v>918</v>
      </c>
      <c r="I1778" s="441">
        <v>1.0</v>
      </c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</row>
    <row r="1779" hidden="1">
      <c r="A1779" s="25"/>
      <c r="B1779" s="26"/>
      <c r="C1779" s="26"/>
      <c r="D1779" s="7"/>
      <c r="E1779" s="7"/>
      <c r="F1779" s="435">
        <v>45490.0</v>
      </c>
      <c r="G1779" s="278" t="s">
        <v>697</v>
      </c>
      <c r="H1779" s="436" t="s">
        <v>916</v>
      </c>
      <c r="I1779" s="437">
        <v>2.0</v>
      </c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</row>
    <row r="1780" hidden="1">
      <c r="A1780" s="25"/>
      <c r="B1780" s="26"/>
      <c r="C1780" s="26"/>
      <c r="D1780" s="7"/>
      <c r="E1780" s="7"/>
      <c r="F1780" s="435">
        <v>45490.0</v>
      </c>
      <c r="G1780" s="278" t="s">
        <v>697</v>
      </c>
      <c r="H1780" s="436" t="s">
        <v>921</v>
      </c>
      <c r="I1780" s="441">
        <v>5.0</v>
      </c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</row>
    <row r="1781" hidden="1">
      <c r="A1781" s="25"/>
      <c r="B1781" s="26"/>
      <c r="C1781" s="26"/>
      <c r="D1781" s="7"/>
      <c r="E1781" s="7"/>
      <c r="F1781" s="435">
        <v>45490.0</v>
      </c>
      <c r="G1781" s="278" t="s">
        <v>697</v>
      </c>
      <c r="H1781" s="436" t="s">
        <v>387</v>
      </c>
      <c r="I1781" s="441">
        <v>5.0</v>
      </c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</row>
    <row r="1782" hidden="1">
      <c r="A1782" s="25"/>
      <c r="B1782" s="26"/>
      <c r="C1782" s="26"/>
      <c r="D1782" s="7"/>
      <c r="E1782" s="7"/>
      <c r="F1782" s="435">
        <v>45490.0</v>
      </c>
      <c r="G1782" s="278" t="s">
        <v>707</v>
      </c>
      <c r="H1782" s="436" t="s">
        <v>536</v>
      </c>
      <c r="I1782" s="437">
        <v>2.0</v>
      </c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</row>
    <row r="1783" hidden="1">
      <c r="A1783" s="25"/>
      <c r="B1783" s="26"/>
      <c r="C1783" s="26"/>
      <c r="D1783" s="7"/>
      <c r="E1783" s="7"/>
      <c r="F1783" s="435">
        <v>45490.0</v>
      </c>
      <c r="G1783" s="278" t="s">
        <v>707</v>
      </c>
      <c r="H1783" s="436" t="s">
        <v>918</v>
      </c>
      <c r="I1783" s="437">
        <v>5.0</v>
      </c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</row>
    <row r="1784" hidden="1">
      <c r="A1784" s="25"/>
      <c r="B1784" s="26"/>
      <c r="C1784" s="26"/>
      <c r="D1784" s="7"/>
      <c r="E1784" s="7"/>
      <c r="F1784" s="435">
        <v>45490.0</v>
      </c>
      <c r="G1784" s="278" t="s">
        <v>707</v>
      </c>
      <c r="H1784" s="436" t="s">
        <v>916</v>
      </c>
      <c r="I1784" s="437">
        <v>2.0</v>
      </c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</row>
    <row r="1785" hidden="1">
      <c r="A1785" s="25"/>
      <c r="B1785" s="26"/>
      <c r="C1785" s="26"/>
      <c r="D1785" s="7"/>
      <c r="E1785" s="7"/>
      <c r="F1785" s="435">
        <v>45490.0</v>
      </c>
      <c r="G1785" s="278" t="s">
        <v>707</v>
      </c>
      <c r="H1785" s="436" t="s">
        <v>921</v>
      </c>
      <c r="I1785" s="437">
        <v>4.0</v>
      </c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</row>
    <row r="1786" hidden="1">
      <c r="A1786" s="25"/>
      <c r="B1786" s="26"/>
      <c r="C1786" s="26"/>
      <c r="D1786" s="7"/>
      <c r="E1786" s="7"/>
      <c r="F1786" s="435">
        <v>45490.0</v>
      </c>
      <c r="G1786" s="278" t="s">
        <v>707</v>
      </c>
      <c r="H1786" s="436" t="s">
        <v>387</v>
      </c>
      <c r="I1786" s="437">
        <v>5.0</v>
      </c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</row>
    <row r="1787" hidden="1">
      <c r="A1787" s="25"/>
      <c r="B1787" s="26"/>
      <c r="C1787" s="26"/>
      <c r="D1787" s="7"/>
      <c r="E1787" s="7"/>
      <c r="F1787" s="435">
        <v>45491.0</v>
      </c>
      <c r="G1787" s="278" t="s">
        <v>707</v>
      </c>
      <c r="H1787" s="436" t="s">
        <v>536</v>
      </c>
      <c r="I1787" s="437">
        <v>1.0</v>
      </c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</row>
    <row r="1788" hidden="1">
      <c r="A1788" s="25"/>
      <c r="B1788" s="26"/>
      <c r="C1788" s="26"/>
      <c r="D1788" s="7"/>
      <c r="E1788" s="7"/>
      <c r="F1788" s="435">
        <v>45491.0</v>
      </c>
      <c r="G1788" s="278" t="s">
        <v>707</v>
      </c>
      <c r="H1788" s="436" t="s">
        <v>918</v>
      </c>
      <c r="I1788" s="437">
        <v>1.0</v>
      </c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</row>
    <row r="1789" hidden="1">
      <c r="A1789" s="25"/>
      <c r="B1789" s="26"/>
      <c r="C1789" s="26"/>
      <c r="D1789" s="7"/>
      <c r="E1789" s="7"/>
      <c r="F1789" s="435">
        <v>45491.0</v>
      </c>
      <c r="G1789" s="278" t="s">
        <v>707</v>
      </c>
      <c r="H1789" s="436" t="s">
        <v>916</v>
      </c>
      <c r="I1789" s="437">
        <v>2.0</v>
      </c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</row>
    <row r="1790" hidden="1">
      <c r="A1790" s="25"/>
      <c r="B1790" s="26"/>
      <c r="C1790" s="26"/>
      <c r="D1790" s="7"/>
      <c r="E1790" s="7"/>
      <c r="F1790" s="435">
        <v>45491.0</v>
      </c>
      <c r="G1790" s="278" t="s">
        <v>707</v>
      </c>
      <c r="H1790" s="436" t="s">
        <v>921</v>
      </c>
      <c r="I1790" s="437">
        <v>1.0</v>
      </c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</row>
    <row r="1791" hidden="1">
      <c r="A1791" s="25"/>
      <c r="B1791" s="26"/>
      <c r="C1791" s="26"/>
      <c r="D1791" s="7"/>
      <c r="E1791" s="7"/>
      <c r="F1791" s="435">
        <v>45491.0</v>
      </c>
      <c r="G1791" s="278" t="s">
        <v>707</v>
      </c>
      <c r="H1791" s="436" t="s">
        <v>387</v>
      </c>
      <c r="I1791" s="437">
        <v>2.0</v>
      </c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</row>
    <row r="1792" hidden="1">
      <c r="A1792" s="25"/>
      <c r="B1792" s="26"/>
      <c r="C1792" s="26"/>
      <c r="D1792" s="7"/>
      <c r="E1792" s="7"/>
      <c r="F1792" s="435">
        <v>45493.0</v>
      </c>
      <c r="G1792" s="278" t="s">
        <v>707</v>
      </c>
      <c r="H1792" s="436" t="s">
        <v>536</v>
      </c>
      <c r="I1792" s="437">
        <v>3.0</v>
      </c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</row>
    <row r="1793" hidden="1">
      <c r="A1793" s="25"/>
      <c r="B1793" s="26"/>
      <c r="C1793" s="26"/>
      <c r="D1793" s="7"/>
      <c r="E1793" s="7"/>
      <c r="F1793" s="435">
        <v>45493.0</v>
      </c>
      <c r="G1793" s="278" t="s">
        <v>707</v>
      </c>
      <c r="H1793" s="436" t="s">
        <v>918</v>
      </c>
      <c r="I1793" s="437">
        <v>3.0</v>
      </c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</row>
    <row r="1794" hidden="1">
      <c r="A1794" s="25"/>
      <c r="B1794" s="26"/>
      <c r="C1794" s="26"/>
      <c r="D1794" s="7"/>
      <c r="E1794" s="7"/>
      <c r="F1794" s="435">
        <v>45493.0</v>
      </c>
      <c r="G1794" s="278" t="s">
        <v>707</v>
      </c>
      <c r="H1794" s="436" t="s">
        <v>916</v>
      </c>
      <c r="I1794" s="437">
        <v>3.0</v>
      </c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</row>
    <row r="1795" hidden="1">
      <c r="A1795" s="25"/>
      <c r="B1795" s="26"/>
      <c r="C1795" s="26"/>
      <c r="D1795" s="7"/>
      <c r="E1795" s="7"/>
      <c r="F1795" s="435">
        <v>45493.0</v>
      </c>
      <c r="G1795" s="278" t="s">
        <v>707</v>
      </c>
      <c r="H1795" s="436" t="s">
        <v>921</v>
      </c>
      <c r="I1795" s="437">
        <v>1.0</v>
      </c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</row>
    <row r="1796" hidden="1">
      <c r="A1796" s="25"/>
      <c r="B1796" s="26"/>
      <c r="C1796" s="26"/>
      <c r="D1796" s="7"/>
      <c r="E1796" s="7"/>
      <c r="F1796" s="435">
        <v>45493.0</v>
      </c>
      <c r="G1796" s="278" t="s">
        <v>707</v>
      </c>
      <c r="H1796" s="436" t="s">
        <v>387</v>
      </c>
      <c r="I1796" s="437">
        <v>4.0</v>
      </c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</row>
    <row r="1797" hidden="1">
      <c r="A1797" s="25"/>
      <c r="B1797" s="26"/>
      <c r="C1797" s="26"/>
      <c r="D1797" s="7"/>
      <c r="E1797" s="7"/>
      <c r="F1797" s="435">
        <v>45499.0</v>
      </c>
      <c r="G1797" s="278" t="s">
        <v>704</v>
      </c>
      <c r="H1797" s="436" t="s">
        <v>536</v>
      </c>
      <c r="I1797" s="441">
        <v>2.0</v>
      </c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</row>
    <row r="1798" hidden="1">
      <c r="A1798" s="25"/>
      <c r="B1798" s="26"/>
      <c r="C1798" s="26"/>
      <c r="D1798" s="7"/>
      <c r="E1798" s="7"/>
      <c r="F1798" s="435">
        <v>45499.0</v>
      </c>
      <c r="G1798" s="278" t="s">
        <v>704</v>
      </c>
      <c r="H1798" s="436" t="s">
        <v>918</v>
      </c>
      <c r="I1798" s="437">
        <v>3.0</v>
      </c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</row>
    <row r="1799" hidden="1">
      <c r="A1799" s="25"/>
      <c r="B1799" s="26"/>
      <c r="C1799" s="26"/>
      <c r="D1799" s="7"/>
      <c r="E1799" s="7"/>
      <c r="F1799" s="435">
        <v>45499.0</v>
      </c>
      <c r="G1799" s="278" t="s">
        <v>704</v>
      </c>
      <c r="H1799" s="436" t="s">
        <v>916</v>
      </c>
      <c r="I1799" s="437">
        <v>2.0</v>
      </c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</row>
    <row r="1800" hidden="1">
      <c r="A1800" s="25"/>
      <c r="B1800" s="26"/>
      <c r="C1800" s="26"/>
      <c r="D1800" s="7"/>
      <c r="E1800" s="7"/>
      <c r="F1800" s="435">
        <v>45499.0</v>
      </c>
      <c r="G1800" s="278" t="s">
        <v>704</v>
      </c>
      <c r="H1800" s="436" t="s">
        <v>921</v>
      </c>
      <c r="I1800" s="437">
        <v>4.0</v>
      </c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</row>
    <row r="1801" hidden="1">
      <c r="A1801" s="25"/>
      <c r="B1801" s="26"/>
      <c r="C1801" s="26"/>
      <c r="D1801" s="7"/>
      <c r="E1801" s="7"/>
      <c r="F1801" s="435">
        <v>45499.0</v>
      </c>
      <c r="G1801" s="278" t="s">
        <v>704</v>
      </c>
      <c r="H1801" s="436" t="s">
        <v>387</v>
      </c>
      <c r="I1801" s="437">
        <v>1.0</v>
      </c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</row>
    <row r="1802" hidden="1">
      <c r="A1802" s="25"/>
      <c r="B1802" s="26"/>
      <c r="C1802" s="26"/>
      <c r="D1802" s="7"/>
      <c r="E1802" s="7"/>
      <c r="F1802" s="435">
        <v>45502.0</v>
      </c>
      <c r="G1802" s="278" t="s">
        <v>707</v>
      </c>
      <c r="H1802" s="436" t="s">
        <v>536</v>
      </c>
      <c r="I1802" s="437">
        <v>1.0</v>
      </c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</row>
    <row r="1803" hidden="1">
      <c r="A1803" s="25"/>
      <c r="B1803" s="26"/>
      <c r="C1803" s="26"/>
      <c r="D1803" s="7"/>
      <c r="E1803" s="7"/>
      <c r="F1803" s="435">
        <v>45502.0</v>
      </c>
      <c r="G1803" s="278" t="s">
        <v>707</v>
      </c>
      <c r="H1803" s="436" t="s">
        <v>918</v>
      </c>
      <c r="I1803" s="437">
        <v>3.0</v>
      </c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</row>
    <row r="1804" hidden="1">
      <c r="A1804" s="25"/>
      <c r="B1804" s="26"/>
      <c r="C1804" s="26"/>
      <c r="D1804" s="7"/>
      <c r="E1804" s="7"/>
      <c r="F1804" s="435">
        <v>45502.0</v>
      </c>
      <c r="G1804" s="278" t="s">
        <v>707</v>
      </c>
      <c r="H1804" s="436" t="s">
        <v>916</v>
      </c>
      <c r="I1804" s="437">
        <v>2.0</v>
      </c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</row>
    <row r="1805" hidden="1">
      <c r="A1805" s="25"/>
      <c r="B1805" s="26"/>
      <c r="C1805" s="26"/>
      <c r="D1805" s="7"/>
      <c r="E1805" s="7"/>
      <c r="F1805" s="435">
        <v>45502.0</v>
      </c>
      <c r="G1805" s="278" t="s">
        <v>707</v>
      </c>
      <c r="H1805" s="436" t="s">
        <v>921</v>
      </c>
      <c r="I1805" s="437">
        <v>2.0</v>
      </c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</row>
    <row r="1806" hidden="1">
      <c r="A1806" s="25"/>
      <c r="B1806" s="26"/>
      <c r="C1806" s="26"/>
      <c r="D1806" s="7"/>
      <c r="E1806" s="7"/>
      <c r="F1806" s="435">
        <v>45502.0</v>
      </c>
      <c r="G1806" s="278" t="s">
        <v>707</v>
      </c>
      <c r="H1806" s="436" t="s">
        <v>387</v>
      </c>
      <c r="I1806" s="437">
        <v>5.0</v>
      </c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</row>
    <row r="1807" hidden="1">
      <c r="A1807" s="25"/>
      <c r="B1807" s="26"/>
      <c r="C1807" s="26"/>
      <c r="D1807" s="7"/>
      <c r="E1807" s="7"/>
      <c r="F1807" s="435">
        <v>45505.0</v>
      </c>
      <c r="G1807" s="278" t="s">
        <v>716</v>
      </c>
      <c r="H1807" s="436" t="s">
        <v>536</v>
      </c>
      <c r="I1807" s="437">
        <v>4.0</v>
      </c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</row>
    <row r="1808" hidden="1">
      <c r="A1808" s="25"/>
      <c r="B1808" s="26"/>
      <c r="C1808" s="26"/>
      <c r="D1808" s="7"/>
      <c r="E1808" s="7"/>
      <c r="F1808" s="435">
        <v>45505.0</v>
      </c>
      <c r="G1808" s="278" t="s">
        <v>716</v>
      </c>
      <c r="H1808" s="436" t="s">
        <v>918</v>
      </c>
      <c r="I1808" s="437">
        <v>4.0</v>
      </c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</row>
    <row r="1809" hidden="1">
      <c r="A1809" s="25"/>
      <c r="B1809" s="26"/>
      <c r="C1809" s="26"/>
      <c r="D1809" s="7"/>
      <c r="E1809" s="7"/>
      <c r="F1809" s="435">
        <v>45505.0</v>
      </c>
      <c r="G1809" s="278" t="s">
        <v>716</v>
      </c>
      <c r="H1809" s="436" t="s">
        <v>916</v>
      </c>
      <c r="I1809" s="437">
        <v>4.0</v>
      </c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</row>
    <row r="1810" hidden="1">
      <c r="A1810" s="25"/>
      <c r="B1810" s="26"/>
      <c r="C1810" s="26"/>
      <c r="D1810" s="7"/>
      <c r="E1810" s="7"/>
      <c r="F1810" s="435">
        <v>45505.0</v>
      </c>
      <c r="G1810" s="278" t="s">
        <v>716</v>
      </c>
      <c r="H1810" s="436" t="s">
        <v>921</v>
      </c>
      <c r="I1810" s="437">
        <v>3.0</v>
      </c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</row>
    <row r="1811" hidden="1">
      <c r="A1811" s="25"/>
      <c r="B1811" s="26"/>
      <c r="C1811" s="26"/>
      <c r="D1811" s="7"/>
      <c r="E1811" s="7"/>
      <c r="F1811" s="435">
        <v>45505.0</v>
      </c>
      <c r="G1811" s="278" t="s">
        <v>716</v>
      </c>
      <c r="H1811" s="436" t="s">
        <v>387</v>
      </c>
      <c r="I1811" s="437">
        <v>4.0</v>
      </c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</row>
    <row r="1812" hidden="1">
      <c r="A1812" s="25"/>
      <c r="B1812" s="26"/>
      <c r="C1812" s="26"/>
      <c r="D1812" s="7"/>
      <c r="E1812" s="7"/>
      <c r="F1812" s="435">
        <v>45505.0</v>
      </c>
      <c r="G1812" s="278" t="s">
        <v>707</v>
      </c>
      <c r="H1812" s="436" t="s">
        <v>536</v>
      </c>
      <c r="I1812" s="437">
        <v>2.0</v>
      </c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</row>
    <row r="1813" hidden="1">
      <c r="A1813" s="25"/>
      <c r="B1813" s="26"/>
      <c r="C1813" s="26"/>
      <c r="D1813" s="7"/>
      <c r="E1813" s="7"/>
      <c r="F1813" s="435">
        <v>45505.0</v>
      </c>
      <c r="G1813" s="278" t="s">
        <v>707</v>
      </c>
      <c r="H1813" s="436" t="s">
        <v>918</v>
      </c>
      <c r="I1813" s="437">
        <v>2.0</v>
      </c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</row>
    <row r="1814" hidden="1">
      <c r="A1814" s="25"/>
      <c r="B1814" s="26"/>
      <c r="C1814" s="26"/>
      <c r="D1814" s="7"/>
      <c r="E1814" s="7"/>
      <c r="F1814" s="435">
        <v>45505.0</v>
      </c>
      <c r="G1814" s="278" t="s">
        <v>707</v>
      </c>
      <c r="H1814" s="436" t="s">
        <v>916</v>
      </c>
      <c r="I1814" s="437">
        <v>3.0</v>
      </c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</row>
    <row r="1815" hidden="1">
      <c r="A1815" s="25"/>
      <c r="B1815" s="26"/>
      <c r="C1815" s="26"/>
      <c r="D1815" s="7"/>
      <c r="E1815" s="7"/>
      <c r="F1815" s="435">
        <v>45505.0</v>
      </c>
      <c r="G1815" s="278" t="s">
        <v>707</v>
      </c>
      <c r="H1815" s="436" t="s">
        <v>921</v>
      </c>
      <c r="I1815" s="437">
        <v>4.0</v>
      </c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</row>
    <row r="1816" hidden="1">
      <c r="A1816" s="25"/>
      <c r="B1816" s="26"/>
      <c r="C1816" s="26"/>
      <c r="D1816" s="7"/>
      <c r="E1816" s="7"/>
      <c r="F1816" s="435">
        <v>45505.0</v>
      </c>
      <c r="G1816" s="278" t="s">
        <v>707</v>
      </c>
      <c r="H1816" s="436" t="s">
        <v>387</v>
      </c>
      <c r="I1816" s="437">
        <v>5.0</v>
      </c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</row>
    <row r="1817" hidden="1">
      <c r="A1817" s="25"/>
      <c r="B1817" s="26"/>
      <c r="C1817" s="26"/>
      <c r="D1817" s="7"/>
      <c r="E1817" s="7"/>
      <c r="F1817" s="435">
        <v>45507.0</v>
      </c>
      <c r="G1817" s="278" t="s">
        <v>707</v>
      </c>
      <c r="H1817" s="436" t="s">
        <v>536</v>
      </c>
      <c r="I1817" s="437">
        <v>3.0</v>
      </c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</row>
    <row r="1818" hidden="1">
      <c r="A1818" s="25"/>
      <c r="B1818" s="26"/>
      <c r="C1818" s="26"/>
      <c r="D1818" s="7"/>
      <c r="E1818" s="7"/>
      <c r="F1818" s="435">
        <v>45507.0</v>
      </c>
      <c r="G1818" s="278" t="s">
        <v>707</v>
      </c>
      <c r="H1818" s="436" t="s">
        <v>918</v>
      </c>
      <c r="I1818" s="437">
        <v>2.0</v>
      </c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</row>
    <row r="1819" hidden="1">
      <c r="A1819" s="25"/>
      <c r="B1819" s="26"/>
      <c r="C1819" s="26"/>
      <c r="D1819" s="7"/>
      <c r="E1819" s="7"/>
      <c r="F1819" s="435">
        <v>45507.0</v>
      </c>
      <c r="G1819" s="278" t="s">
        <v>707</v>
      </c>
      <c r="H1819" s="436" t="s">
        <v>916</v>
      </c>
      <c r="I1819" s="437">
        <v>4.0</v>
      </c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</row>
    <row r="1820" hidden="1">
      <c r="A1820" s="25"/>
      <c r="B1820" s="26"/>
      <c r="C1820" s="26"/>
      <c r="D1820" s="7"/>
      <c r="E1820" s="7"/>
      <c r="F1820" s="435">
        <v>45507.0</v>
      </c>
      <c r="G1820" s="278" t="s">
        <v>707</v>
      </c>
      <c r="H1820" s="436" t="s">
        <v>921</v>
      </c>
      <c r="I1820" s="437">
        <v>3.0</v>
      </c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</row>
    <row r="1821" hidden="1">
      <c r="A1821" s="25"/>
      <c r="B1821" s="26"/>
      <c r="C1821" s="26"/>
      <c r="D1821" s="7"/>
      <c r="E1821" s="7"/>
      <c r="F1821" s="435">
        <v>45507.0</v>
      </c>
      <c r="G1821" s="278" t="s">
        <v>707</v>
      </c>
      <c r="H1821" s="436" t="s">
        <v>387</v>
      </c>
      <c r="I1821" s="437">
        <v>4.0</v>
      </c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</row>
    <row r="1822" hidden="1">
      <c r="A1822" s="25"/>
      <c r="B1822" s="26"/>
      <c r="C1822" s="26"/>
      <c r="D1822" s="7"/>
      <c r="E1822" s="7"/>
      <c r="F1822" s="435">
        <v>45508.0</v>
      </c>
      <c r="G1822" s="278" t="s">
        <v>704</v>
      </c>
      <c r="H1822" s="436" t="s">
        <v>536</v>
      </c>
      <c r="I1822" s="437">
        <v>5.0</v>
      </c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</row>
    <row r="1823" hidden="1">
      <c r="A1823" s="25"/>
      <c r="B1823" s="26"/>
      <c r="C1823" s="26"/>
      <c r="D1823" s="7"/>
      <c r="E1823" s="7"/>
      <c r="F1823" s="435">
        <v>45508.0</v>
      </c>
      <c r="G1823" s="278" t="s">
        <v>704</v>
      </c>
      <c r="H1823" s="436" t="s">
        <v>918</v>
      </c>
      <c r="I1823" s="437">
        <v>5.0</v>
      </c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</row>
    <row r="1824" hidden="1">
      <c r="A1824" s="25"/>
      <c r="B1824" s="26"/>
      <c r="C1824" s="26"/>
      <c r="D1824" s="7"/>
      <c r="E1824" s="7"/>
      <c r="F1824" s="435">
        <v>45508.0</v>
      </c>
      <c r="G1824" s="278" t="s">
        <v>704</v>
      </c>
      <c r="H1824" s="436" t="s">
        <v>916</v>
      </c>
      <c r="I1824" s="437">
        <v>1.0</v>
      </c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</row>
    <row r="1825" hidden="1">
      <c r="A1825" s="25"/>
      <c r="B1825" s="26"/>
      <c r="C1825" s="26"/>
      <c r="D1825" s="7"/>
      <c r="E1825" s="7"/>
      <c r="F1825" s="435">
        <v>45508.0</v>
      </c>
      <c r="G1825" s="278" t="s">
        <v>704</v>
      </c>
      <c r="H1825" s="436" t="s">
        <v>921</v>
      </c>
      <c r="I1825" s="437">
        <v>5.0</v>
      </c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</row>
    <row r="1826" hidden="1">
      <c r="A1826" s="25"/>
      <c r="B1826" s="26"/>
      <c r="C1826" s="26"/>
      <c r="D1826" s="7"/>
      <c r="E1826" s="7"/>
      <c r="F1826" s="435">
        <v>45508.0</v>
      </c>
      <c r="G1826" s="278" t="s">
        <v>704</v>
      </c>
      <c r="H1826" s="436" t="s">
        <v>387</v>
      </c>
      <c r="I1826" s="437">
        <v>4.0</v>
      </c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</row>
    <row r="1827" hidden="1">
      <c r="A1827" s="25"/>
      <c r="B1827" s="26"/>
      <c r="C1827" s="26"/>
      <c r="D1827" s="7"/>
      <c r="E1827" s="7"/>
      <c r="F1827" s="435">
        <v>45508.0</v>
      </c>
      <c r="G1827" s="278" t="s">
        <v>716</v>
      </c>
      <c r="H1827" s="436" t="s">
        <v>536</v>
      </c>
      <c r="I1827" s="437">
        <v>1.0</v>
      </c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</row>
    <row r="1828" hidden="1">
      <c r="A1828" s="25"/>
      <c r="B1828" s="26"/>
      <c r="C1828" s="26"/>
      <c r="D1828" s="7"/>
      <c r="E1828" s="7"/>
      <c r="F1828" s="435">
        <v>45508.0</v>
      </c>
      <c r="G1828" s="278" t="s">
        <v>716</v>
      </c>
      <c r="H1828" s="436" t="s">
        <v>918</v>
      </c>
      <c r="I1828" s="437">
        <v>3.0</v>
      </c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</row>
    <row r="1829" hidden="1">
      <c r="A1829" s="25"/>
      <c r="B1829" s="26"/>
      <c r="C1829" s="26"/>
      <c r="D1829" s="7"/>
      <c r="E1829" s="7"/>
      <c r="F1829" s="435">
        <v>45508.0</v>
      </c>
      <c r="G1829" s="278" t="s">
        <v>716</v>
      </c>
      <c r="H1829" s="436" t="s">
        <v>916</v>
      </c>
      <c r="I1829" s="437">
        <v>4.0</v>
      </c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</row>
    <row r="1830" hidden="1">
      <c r="A1830" s="25"/>
      <c r="B1830" s="26"/>
      <c r="C1830" s="26"/>
      <c r="D1830" s="7"/>
      <c r="E1830" s="7"/>
      <c r="F1830" s="435">
        <v>45508.0</v>
      </c>
      <c r="G1830" s="278" t="s">
        <v>716</v>
      </c>
      <c r="H1830" s="436" t="s">
        <v>921</v>
      </c>
      <c r="I1830" s="437">
        <v>4.0</v>
      </c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</row>
    <row r="1831" hidden="1">
      <c r="A1831" s="25"/>
      <c r="B1831" s="26"/>
      <c r="C1831" s="26"/>
      <c r="D1831" s="7"/>
      <c r="E1831" s="7"/>
      <c r="F1831" s="435">
        <v>45508.0</v>
      </c>
      <c r="G1831" s="278" t="s">
        <v>716</v>
      </c>
      <c r="H1831" s="436" t="s">
        <v>387</v>
      </c>
      <c r="I1831" s="437">
        <v>1.0</v>
      </c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</row>
    <row r="1832" hidden="1">
      <c r="A1832" s="25"/>
      <c r="B1832" s="26"/>
      <c r="C1832" s="26"/>
      <c r="D1832" s="7"/>
      <c r="E1832" s="7"/>
      <c r="F1832" s="435">
        <v>45509.0</v>
      </c>
      <c r="G1832" s="278" t="s">
        <v>697</v>
      </c>
      <c r="H1832" s="436" t="s">
        <v>536</v>
      </c>
      <c r="I1832" s="437">
        <v>4.0</v>
      </c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</row>
    <row r="1833" hidden="1">
      <c r="A1833" s="25"/>
      <c r="B1833" s="26"/>
      <c r="C1833" s="26"/>
      <c r="D1833" s="7"/>
      <c r="E1833" s="7"/>
      <c r="F1833" s="435">
        <v>45509.0</v>
      </c>
      <c r="G1833" s="278" t="s">
        <v>697</v>
      </c>
      <c r="H1833" s="436" t="s">
        <v>918</v>
      </c>
      <c r="I1833" s="441">
        <v>1.0</v>
      </c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</row>
    <row r="1834" hidden="1">
      <c r="A1834" s="25"/>
      <c r="B1834" s="26"/>
      <c r="C1834" s="26"/>
      <c r="D1834" s="7"/>
      <c r="E1834" s="7"/>
      <c r="F1834" s="435">
        <v>45509.0</v>
      </c>
      <c r="G1834" s="278" t="s">
        <v>697</v>
      </c>
      <c r="H1834" s="436" t="s">
        <v>916</v>
      </c>
      <c r="I1834" s="437">
        <v>4.0</v>
      </c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</row>
    <row r="1835" hidden="1">
      <c r="A1835" s="25"/>
      <c r="B1835" s="26"/>
      <c r="C1835" s="26"/>
      <c r="D1835" s="7"/>
      <c r="E1835" s="7"/>
      <c r="F1835" s="435">
        <v>45509.0</v>
      </c>
      <c r="G1835" s="278" t="s">
        <v>697</v>
      </c>
      <c r="H1835" s="436" t="s">
        <v>921</v>
      </c>
      <c r="I1835" s="441">
        <v>5.0</v>
      </c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</row>
    <row r="1836" hidden="1">
      <c r="A1836" s="25"/>
      <c r="B1836" s="26"/>
      <c r="C1836" s="26"/>
      <c r="D1836" s="7"/>
      <c r="E1836" s="7"/>
      <c r="F1836" s="435">
        <v>45509.0</v>
      </c>
      <c r="G1836" s="278" t="s">
        <v>697</v>
      </c>
      <c r="H1836" s="436" t="s">
        <v>387</v>
      </c>
      <c r="I1836" s="441">
        <v>5.0</v>
      </c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</row>
    <row r="1837" hidden="1">
      <c r="A1837" s="25"/>
      <c r="B1837" s="26"/>
      <c r="C1837" s="26"/>
      <c r="D1837" s="7"/>
      <c r="E1837" s="7"/>
      <c r="F1837" s="435">
        <v>45509.0</v>
      </c>
      <c r="G1837" s="278" t="s">
        <v>707</v>
      </c>
      <c r="H1837" s="436" t="s">
        <v>536</v>
      </c>
      <c r="I1837" s="437">
        <v>1.0</v>
      </c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</row>
    <row r="1838" hidden="1">
      <c r="A1838" s="25"/>
      <c r="B1838" s="26"/>
      <c r="C1838" s="26"/>
      <c r="D1838" s="7"/>
      <c r="E1838" s="7"/>
      <c r="F1838" s="435">
        <v>45509.0</v>
      </c>
      <c r="G1838" s="278" t="s">
        <v>707</v>
      </c>
      <c r="H1838" s="436" t="s">
        <v>918</v>
      </c>
      <c r="I1838" s="437">
        <v>3.0</v>
      </c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</row>
    <row r="1839" hidden="1">
      <c r="A1839" s="25"/>
      <c r="B1839" s="26"/>
      <c r="C1839" s="26"/>
      <c r="D1839" s="7"/>
      <c r="E1839" s="7"/>
      <c r="F1839" s="435">
        <v>45509.0</v>
      </c>
      <c r="G1839" s="278" t="s">
        <v>707</v>
      </c>
      <c r="H1839" s="436" t="s">
        <v>916</v>
      </c>
      <c r="I1839" s="437">
        <v>3.0</v>
      </c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</row>
    <row r="1840" hidden="1">
      <c r="A1840" s="25"/>
      <c r="B1840" s="26"/>
      <c r="C1840" s="26"/>
      <c r="D1840" s="7"/>
      <c r="E1840" s="7"/>
      <c r="F1840" s="435">
        <v>45509.0</v>
      </c>
      <c r="G1840" s="278" t="s">
        <v>707</v>
      </c>
      <c r="H1840" s="436" t="s">
        <v>921</v>
      </c>
      <c r="I1840" s="437">
        <v>1.0</v>
      </c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</row>
    <row r="1841" hidden="1">
      <c r="A1841" s="25"/>
      <c r="B1841" s="26"/>
      <c r="C1841" s="26"/>
      <c r="D1841" s="7"/>
      <c r="E1841" s="7"/>
      <c r="F1841" s="435">
        <v>45509.0</v>
      </c>
      <c r="G1841" s="278" t="s">
        <v>707</v>
      </c>
      <c r="H1841" s="436" t="s">
        <v>387</v>
      </c>
      <c r="I1841" s="437">
        <v>4.0</v>
      </c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</row>
    <row r="1842" hidden="1">
      <c r="A1842" s="25"/>
      <c r="B1842" s="26"/>
      <c r="C1842" s="26"/>
      <c r="D1842" s="7"/>
      <c r="E1842" s="7"/>
      <c r="F1842" s="435">
        <v>45510.0</v>
      </c>
      <c r="G1842" s="278" t="s">
        <v>697</v>
      </c>
      <c r="H1842" s="436" t="s">
        <v>536</v>
      </c>
      <c r="I1842" s="437">
        <v>4.0</v>
      </c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</row>
    <row r="1843" hidden="1">
      <c r="A1843" s="25"/>
      <c r="B1843" s="26"/>
      <c r="C1843" s="26"/>
      <c r="D1843" s="7"/>
      <c r="E1843" s="7"/>
      <c r="F1843" s="435">
        <v>45510.0</v>
      </c>
      <c r="G1843" s="278" t="s">
        <v>697</v>
      </c>
      <c r="H1843" s="436" t="s">
        <v>536</v>
      </c>
      <c r="I1843" s="437">
        <v>1.0</v>
      </c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</row>
    <row r="1844" hidden="1">
      <c r="A1844" s="25"/>
      <c r="B1844" s="26"/>
      <c r="C1844" s="26"/>
      <c r="D1844" s="7"/>
      <c r="E1844" s="7"/>
      <c r="F1844" s="435">
        <v>45510.0</v>
      </c>
      <c r="G1844" s="278" t="s">
        <v>697</v>
      </c>
      <c r="H1844" s="436" t="s">
        <v>918</v>
      </c>
      <c r="I1844" s="437">
        <v>4.0</v>
      </c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</row>
    <row r="1845" hidden="1">
      <c r="A1845" s="25"/>
      <c r="B1845" s="26"/>
      <c r="C1845" s="26"/>
      <c r="D1845" s="7"/>
      <c r="E1845" s="7"/>
      <c r="F1845" s="435">
        <v>45510.0</v>
      </c>
      <c r="G1845" s="278" t="s">
        <v>697</v>
      </c>
      <c r="H1845" s="436" t="s">
        <v>918</v>
      </c>
      <c r="I1845" s="437">
        <v>1.0</v>
      </c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</row>
    <row r="1846" hidden="1">
      <c r="A1846" s="25"/>
      <c r="B1846" s="26"/>
      <c r="C1846" s="26"/>
      <c r="D1846" s="7"/>
      <c r="E1846" s="7"/>
      <c r="F1846" s="435">
        <v>45510.0</v>
      </c>
      <c r="G1846" s="278" t="s">
        <v>697</v>
      </c>
      <c r="H1846" s="436" t="s">
        <v>916</v>
      </c>
      <c r="I1846" s="437">
        <v>1.0</v>
      </c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</row>
    <row r="1847" hidden="1">
      <c r="A1847" s="25"/>
      <c r="B1847" s="26"/>
      <c r="C1847" s="26"/>
      <c r="D1847" s="7"/>
      <c r="E1847" s="7"/>
      <c r="F1847" s="435">
        <v>45510.0</v>
      </c>
      <c r="G1847" s="278" t="s">
        <v>697</v>
      </c>
      <c r="H1847" s="436" t="s">
        <v>916</v>
      </c>
      <c r="I1847" s="437">
        <v>3.0</v>
      </c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</row>
    <row r="1848" hidden="1">
      <c r="A1848" s="25"/>
      <c r="B1848" s="26"/>
      <c r="C1848" s="26"/>
      <c r="D1848" s="7"/>
      <c r="E1848" s="7"/>
      <c r="F1848" s="435">
        <v>45510.0</v>
      </c>
      <c r="G1848" s="278" t="s">
        <v>697</v>
      </c>
      <c r="H1848" s="436" t="s">
        <v>921</v>
      </c>
      <c r="I1848" s="441">
        <v>5.0</v>
      </c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</row>
    <row r="1849" hidden="1">
      <c r="A1849" s="25"/>
      <c r="B1849" s="26"/>
      <c r="C1849" s="26"/>
      <c r="D1849" s="7"/>
      <c r="E1849" s="7"/>
      <c r="F1849" s="435">
        <v>45510.0</v>
      </c>
      <c r="G1849" s="278" t="s">
        <v>697</v>
      </c>
      <c r="H1849" s="436" t="s">
        <v>921</v>
      </c>
      <c r="I1849" s="441">
        <v>5.0</v>
      </c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</row>
    <row r="1850" hidden="1">
      <c r="A1850" s="25"/>
      <c r="B1850" s="26"/>
      <c r="C1850" s="26"/>
      <c r="D1850" s="7"/>
      <c r="E1850" s="7"/>
      <c r="F1850" s="435">
        <v>45510.0</v>
      </c>
      <c r="G1850" s="278" t="s">
        <v>697</v>
      </c>
      <c r="H1850" s="436" t="s">
        <v>387</v>
      </c>
      <c r="I1850" s="441">
        <v>5.0</v>
      </c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</row>
    <row r="1851" hidden="1">
      <c r="A1851" s="25"/>
      <c r="B1851" s="26"/>
      <c r="C1851" s="26"/>
      <c r="D1851" s="7"/>
      <c r="E1851" s="7"/>
      <c r="F1851" s="435">
        <v>45510.0</v>
      </c>
      <c r="G1851" s="278" t="s">
        <v>697</v>
      </c>
      <c r="H1851" s="436" t="s">
        <v>387</v>
      </c>
      <c r="I1851" s="437">
        <v>4.0</v>
      </c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</row>
    <row r="1852" hidden="1">
      <c r="A1852" s="25"/>
      <c r="B1852" s="26"/>
      <c r="C1852" s="26"/>
      <c r="D1852" s="7"/>
      <c r="E1852" s="7"/>
      <c r="F1852" s="435">
        <v>45510.0</v>
      </c>
      <c r="G1852" s="278" t="s">
        <v>716</v>
      </c>
      <c r="H1852" s="436" t="s">
        <v>536</v>
      </c>
      <c r="I1852" s="437">
        <v>2.0</v>
      </c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</row>
    <row r="1853" hidden="1">
      <c r="A1853" s="25"/>
      <c r="B1853" s="26"/>
      <c r="C1853" s="26"/>
      <c r="D1853" s="7"/>
      <c r="E1853" s="7"/>
      <c r="F1853" s="435">
        <v>45510.0</v>
      </c>
      <c r="G1853" s="278" t="s">
        <v>716</v>
      </c>
      <c r="H1853" s="436" t="s">
        <v>918</v>
      </c>
      <c r="I1853" s="437">
        <v>1.0</v>
      </c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</row>
    <row r="1854" hidden="1">
      <c r="A1854" s="25"/>
      <c r="B1854" s="26"/>
      <c r="C1854" s="26"/>
      <c r="D1854" s="7"/>
      <c r="E1854" s="7"/>
      <c r="F1854" s="435">
        <v>45510.0</v>
      </c>
      <c r="G1854" s="278" t="s">
        <v>716</v>
      </c>
      <c r="H1854" s="436" t="s">
        <v>916</v>
      </c>
      <c r="I1854" s="437">
        <v>1.0</v>
      </c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</row>
    <row r="1855" hidden="1">
      <c r="A1855" s="25"/>
      <c r="B1855" s="26"/>
      <c r="C1855" s="26"/>
      <c r="D1855" s="7"/>
      <c r="E1855" s="7"/>
      <c r="F1855" s="435">
        <v>45510.0</v>
      </c>
      <c r="G1855" s="278" t="s">
        <v>716</v>
      </c>
      <c r="H1855" s="436" t="s">
        <v>921</v>
      </c>
      <c r="I1855" s="437">
        <v>3.0</v>
      </c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</row>
    <row r="1856" hidden="1">
      <c r="A1856" s="25"/>
      <c r="B1856" s="26"/>
      <c r="C1856" s="26"/>
      <c r="D1856" s="7"/>
      <c r="E1856" s="7"/>
      <c r="F1856" s="435">
        <v>45510.0</v>
      </c>
      <c r="G1856" s="278" t="s">
        <v>716</v>
      </c>
      <c r="H1856" s="436" t="s">
        <v>387</v>
      </c>
      <c r="I1856" s="437">
        <v>5.0</v>
      </c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</row>
    <row r="1857" hidden="1">
      <c r="A1857" s="25"/>
      <c r="B1857" s="26"/>
      <c r="C1857" s="26"/>
      <c r="D1857" s="7"/>
      <c r="E1857" s="7"/>
      <c r="F1857" s="435">
        <v>45511.0</v>
      </c>
      <c r="G1857" s="278" t="s">
        <v>704</v>
      </c>
      <c r="H1857" s="436" t="s">
        <v>536</v>
      </c>
      <c r="I1857" s="441">
        <v>2.0</v>
      </c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</row>
    <row r="1858" hidden="1">
      <c r="A1858" s="25"/>
      <c r="B1858" s="26"/>
      <c r="C1858" s="26"/>
      <c r="D1858" s="7"/>
      <c r="E1858" s="7"/>
      <c r="F1858" s="435">
        <v>45511.0</v>
      </c>
      <c r="G1858" s="278" t="s">
        <v>704</v>
      </c>
      <c r="H1858" s="436" t="s">
        <v>918</v>
      </c>
      <c r="I1858" s="437">
        <v>4.0</v>
      </c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</row>
    <row r="1859" hidden="1">
      <c r="A1859" s="25"/>
      <c r="B1859" s="26"/>
      <c r="C1859" s="26"/>
      <c r="D1859" s="7"/>
      <c r="E1859" s="7"/>
      <c r="F1859" s="435">
        <v>45511.0</v>
      </c>
      <c r="G1859" s="278" t="s">
        <v>704</v>
      </c>
      <c r="H1859" s="436" t="s">
        <v>916</v>
      </c>
      <c r="I1859" s="437">
        <v>4.0</v>
      </c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</row>
    <row r="1860" hidden="1">
      <c r="A1860" s="25"/>
      <c r="B1860" s="26"/>
      <c r="C1860" s="26"/>
      <c r="D1860" s="7"/>
      <c r="E1860" s="7"/>
      <c r="F1860" s="435">
        <v>45511.0</v>
      </c>
      <c r="G1860" s="278" t="s">
        <v>704</v>
      </c>
      <c r="H1860" s="436" t="s">
        <v>921</v>
      </c>
      <c r="I1860" s="437">
        <v>5.0</v>
      </c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</row>
    <row r="1861" hidden="1">
      <c r="A1861" s="25"/>
      <c r="B1861" s="26"/>
      <c r="C1861" s="26"/>
      <c r="D1861" s="7"/>
      <c r="E1861" s="7"/>
      <c r="F1861" s="435">
        <v>45511.0</v>
      </c>
      <c r="G1861" s="278" t="s">
        <v>704</v>
      </c>
      <c r="H1861" s="436" t="s">
        <v>387</v>
      </c>
      <c r="I1861" s="437">
        <v>1.0</v>
      </c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</row>
    <row r="1862" hidden="1">
      <c r="A1862" s="25"/>
      <c r="B1862" s="26"/>
      <c r="C1862" s="26"/>
      <c r="D1862" s="7"/>
      <c r="E1862" s="7"/>
      <c r="F1862" s="435">
        <v>45512.0</v>
      </c>
      <c r="G1862" s="278" t="s">
        <v>697</v>
      </c>
      <c r="H1862" s="436" t="s">
        <v>536</v>
      </c>
      <c r="I1862" s="437">
        <v>3.0</v>
      </c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</row>
    <row r="1863" hidden="1">
      <c r="A1863" s="25"/>
      <c r="B1863" s="26"/>
      <c r="C1863" s="26"/>
      <c r="D1863" s="7"/>
      <c r="E1863" s="7"/>
      <c r="F1863" s="435">
        <v>45512.0</v>
      </c>
      <c r="G1863" s="278" t="s">
        <v>697</v>
      </c>
      <c r="H1863" s="436" t="s">
        <v>536</v>
      </c>
      <c r="I1863" s="437">
        <v>4.0</v>
      </c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</row>
    <row r="1864" hidden="1">
      <c r="A1864" s="25"/>
      <c r="B1864" s="26"/>
      <c r="C1864" s="26"/>
      <c r="D1864" s="7"/>
      <c r="E1864" s="7"/>
      <c r="F1864" s="435">
        <v>45512.0</v>
      </c>
      <c r="G1864" s="278" t="s">
        <v>697</v>
      </c>
      <c r="H1864" s="436" t="s">
        <v>918</v>
      </c>
      <c r="I1864" s="441">
        <v>1.0</v>
      </c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</row>
    <row r="1865" hidden="1">
      <c r="A1865" s="25"/>
      <c r="B1865" s="26"/>
      <c r="C1865" s="26"/>
      <c r="D1865" s="7"/>
      <c r="E1865" s="7"/>
      <c r="F1865" s="435">
        <v>45512.0</v>
      </c>
      <c r="G1865" s="278" t="s">
        <v>697</v>
      </c>
      <c r="H1865" s="436" t="s">
        <v>918</v>
      </c>
      <c r="I1865" s="437">
        <v>3.0</v>
      </c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</row>
    <row r="1866" hidden="1">
      <c r="A1866" s="25"/>
      <c r="B1866" s="26"/>
      <c r="C1866" s="26"/>
      <c r="D1866" s="7"/>
      <c r="E1866" s="7"/>
      <c r="F1866" s="435">
        <v>45512.0</v>
      </c>
      <c r="G1866" s="278" t="s">
        <v>697</v>
      </c>
      <c r="H1866" s="436" t="s">
        <v>916</v>
      </c>
      <c r="I1866" s="437">
        <v>4.0</v>
      </c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</row>
    <row r="1867" hidden="1">
      <c r="A1867" s="25"/>
      <c r="B1867" s="26"/>
      <c r="C1867" s="26"/>
      <c r="D1867" s="7"/>
      <c r="E1867" s="7"/>
      <c r="F1867" s="435">
        <v>45512.0</v>
      </c>
      <c r="G1867" s="278" t="s">
        <v>697</v>
      </c>
      <c r="H1867" s="436" t="s">
        <v>916</v>
      </c>
      <c r="I1867" s="437">
        <v>3.0</v>
      </c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</row>
    <row r="1868" hidden="1">
      <c r="A1868" s="25"/>
      <c r="B1868" s="26"/>
      <c r="C1868" s="26"/>
      <c r="D1868" s="7"/>
      <c r="E1868" s="7"/>
      <c r="F1868" s="435">
        <v>45512.0</v>
      </c>
      <c r="G1868" s="278" t="s">
        <v>697</v>
      </c>
      <c r="H1868" s="436" t="s">
        <v>921</v>
      </c>
      <c r="I1868" s="437">
        <v>5.0</v>
      </c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</row>
    <row r="1869" hidden="1">
      <c r="A1869" s="25"/>
      <c r="B1869" s="26"/>
      <c r="C1869" s="26"/>
      <c r="D1869" s="7"/>
      <c r="E1869" s="7"/>
      <c r="F1869" s="435">
        <v>45512.0</v>
      </c>
      <c r="G1869" s="278" t="s">
        <v>697</v>
      </c>
      <c r="H1869" s="436" t="s">
        <v>921</v>
      </c>
      <c r="I1869" s="437">
        <v>5.0</v>
      </c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</row>
    <row r="1870" hidden="1">
      <c r="A1870" s="25"/>
      <c r="B1870" s="26"/>
      <c r="C1870" s="26"/>
      <c r="D1870" s="7"/>
      <c r="E1870" s="7"/>
      <c r="F1870" s="435">
        <v>45512.0</v>
      </c>
      <c r="G1870" s="278" t="s">
        <v>697</v>
      </c>
      <c r="H1870" s="436" t="s">
        <v>387</v>
      </c>
      <c r="I1870" s="441">
        <v>5.0</v>
      </c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</row>
    <row r="1871" hidden="1">
      <c r="A1871" s="25"/>
      <c r="B1871" s="26"/>
      <c r="C1871" s="26"/>
      <c r="D1871" s="7"/>
      <c r="E1871" s="7"/>
      <c r="F1871" s="435">
        <v>45512.0</v>
      </c>
      <c r="G1871" s="278" t="s">
        <v>697</v>
      </c>
      <c r="H1871" s="436" t="s">
        <v>387</v>
      </c>
      <c r="I1871" s="441">
        <v>5.0</v>
      </c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</row>
    <row r="1872" hidden="1">
      <c r="A1872" s="25"/>
      <c r="B1872" s="26"/>
      <c r="C1872" s="26"/>
      <c r="D1872" s="7"/>
      <c r="E1872" s="7"/>
      <c r="F1872" s="435">
        <v>45515.0</v>
      </c>
      <c r="G1872" s="278" t="s">
        <v>707</v>
      </c>
      <c r="H1872" s="436" t="s">
        <v>536</v>
      </c>
      <c r="I1872" s="437">
        <v>2.0</v>
      </c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</row>
    <row r="1873" hidden="1">
      <c r="A1873" s="25"/>
      <c r="B1873" s="26"/>
      <c r="C1873" s="26"/>
      <c r="D1873" s="7"/>
      <c r="E1873" s="7"/>
      <c r="F1873" s="435">
        <v>45515.0</v>
      </c>
      <c r="G1873" s="278" t="s">
        <v>707</v>
      </c>
      <c r="H1873" s="436" t="s">
        <v>918</v>
      </c>
      <c r="I1873" s="437">
        <v>4.0</v>
      </c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</row>
    <row r="1874" hidden="1">
      <c r="A1874" s="25"/>
      <c r="B1874" s="26"/>
      <c r="C1874" s="26"/>
      <c r="D1874" s="7"/>
      <c r="E1874" s="7"/>
      <c r="F1874" s="435">
        <v>45515.0</v>
      </c>
      <c r="G1874" s="278" t="s">
        <v>707</v>
      </c>
      <c r="H1874" s="436" t="s">
        <v>916</v>
      </c>
      <c r="I1874" s="437">
        <v>4.0</v>
      </c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</row>
    <row r="1875" hidden="1">
      <c r="A1875" s="25"/>
      <c r="B1875" s="26"/>
      <c r="C1875" s="26"/>
      <c r="D1875" s="7"/>
      <c r="E1875" s="7"/>
      <c r="F1875" s="435">
        <v>45515.0</v>
      </c>
      <c r="G1875" s="278" t="s">
        <v>707</v>
      </c>
      <c r="H1875" s="436" t="s">
        <v>921</v>
      </c>
      <c r="I1875" s="437">
        <v>1.0</v>
      </c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</row>
    <row r="1876" hidden="1">
      <c r="A1876" s="25"/>
      <c r="B1876" s="26"/>
      <c r="C1876" s="26"/>
      <c r="D1876" s="7"/>
      <c r="E1876" s="7"/>
      <c r="F1876" s="435">
        <v>45515.0</v>
      </c>
      <c r="G1876" s="278" t="s">
        <v>707</v>
      </c>
      <c r="H1876" s="436" t="s">
        <v>387</v>
      </c>
      <c r="I1876" s="437">
        <v>4.0</v>
      </c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</row>
    <row r="1877" hidden="1">
      <c r="A1877" s="25"/>
      <c r="B1877" s="26"/>
      <c r="C1877" s="26"/>
      <c r="D1877" s="7"/>
      <c r="E1877" s="7"/>
      <c r="F1877" s="435">
        <v>45521.0</v>
      </c>
      <c r="G1877" s="278" t="s">
        <v>697</v>
      </c>
      <c r="H1877" s="436" t="s">
        <v>536</v>
      </c>
      <c r="I1877" s="437">
        <v>2.0</v>
      </c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</row>
    <row r="1878" hidden="1">
      <c r="A1878" s="25"/>
      <c r="B1878" s="26"/>
      <c r="C1878" s="26"/>
      <c r="D1878" s="7"/>
      <c r="E1878" s="7"/>
      <c r="F1878" s="435">
        <v>45521.0</v>
      </c>
      <c r="G1878" s="278" t="s">
        <v>697</v>
      </c>
      <c r="H1878" s="436" t="s">
        <v>918</v>
      </c>
      <c r="I1878" s="441">
        <v>1.0</v>
      </c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</row>
    <row r="1879" hidden="1">
      <c r="A1879" s="25"/>
      <c r="B1879" s="26"/>
      <c r="C1879" s="26"/>
      <c r="D1879" s="7"/>
      <c r="E1879" s="7"/>
      <c r="F1879" s="435">
        <v>45521.0</v>
      </c>
      <c r="G1879" s="278" t="s">
        <v>697</v>
      </c>
      <c r="H1879" s="436" t="s">
        <v>916</v>
      </c>
      <c r="I1879" s="437">
        <v>1.0</v>
      </c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</row>
    <row r="1880" hidden="1">
      <c r="A1880" s="25"/>
      <c r="B1880" s="26"/>
      <c r="C1880" s="26"/>
      <c r="D1880" s="7"/>
      <c r="E1880" s="7"/>
      <c r="F1880" s="435">
        <v>45521.0</v>
      </c>
      <c r="G1880" s="278" t="s">
        <v>697</v>
      </c>
      <c r="H1880" s="436" t="s">
        <v>921</v>
      </c>
      <c r="I1880" s="437">
        <v>4.0</v>
      </c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</row>
    <row r="1881" hidden="1">
      <c r="A1881" s="25"/>
      <c r="B1881" s="26"/>
      <c r="C1881" s="26"/>
      <c r="D1881" s="7"/>
      <c r="E1881" s="7"/>
      <c r="F1881" s="435">
        <v>45521.0</v>
      </c>
      <c r="G1881" s="278" t="s">
        <v>697</v>
      </c>
      <c r="H1881" s="436" t="s">
        <v>387</v>
      </c>
      <c r="I1881" s="437">
        <v>5.0</v>
      </c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</row>
    <row r="1882" hidden="1">
      <c r="A1882" s="25"/>
      <c r="B1882" s="26"/>
      <c r="C1882" s="26"/>
      <c r="D1882" s="7"/>
      <c r="E1882" s="7"/>
      <c r="F1882" s="435">
        <v>45525.0</v>
      </c>
      <c r="G1882" s="278" t="s">
        <v>697</v>
      </c>
      <c r="H1882" s="436" t="s">
        <v>536</v>
      </c>
      <c r="I1882" s="437">
        <v>3.0</v>
      </c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</row>
    <row r="1883" hidden="1">
      <c r="A1883" s="25"/>
      <c r="B1883" s="26"/>
      <c r="C1883" s="26"/>
      <c r="D1883" s="7"/>
      <c r="E1883" s="7"/>
      <c r="F1883" s="435">
        <v>45525.0</v>
      </c>
      <c r="G1883" s="278" t="s">
        <v>697</v>
      </c>
      <c r="H1883" s="436" t="s">
        <v>918</v>
      </c>
      <c r="I1883" s="441">
        <v>1.0</v>
      </c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</row>
    <row r="1884" hidden="1">
      <c r="A1884" s="25"/>
      <c r="B1884" s="26"/>
      <c r="C1884" s="26"/>
      <c r="D1884" s="7"/>
      <c r="E1884" s="7"/>
      <c r="F1884" s="435">
        <v>45525.0</v>
      </c>
      <c r="G1884" s="278" t="s">
        <v>697</v>
      </c>
      <c r="H1884" s="436" t="s">
        <v>916</v>
      </c>
      <c r="I1884" s="437">
        <v>5.0</v>
      </c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</row>
    <row r="1885" hidden="1">
      <c r="A1885" s="25"/>
      <c r="B1885" s="26"/>
      <c r="C1885" s="26"/>
      <c r="D1885" s="7"/>
      <c r="E1885" s="7"/>
      <c r="F1885" s="435">
        <v>45525.0</v>
      </c>
      <c r="G1885" s="278" t="s">
        <v>697</v>
      </c>
      <c r="H1885" s="436" t="s">
        <v>921</v>
      </c>
      <c r="I1885" s="441">
        <v>5.0</v>
      </c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</row>
    <row r="1886" hidden="1">
      <c r="A1886" s="25"/>
      <c r="B1886" s="26"/>
      <c r="C1886" s="26"/>
      <c r="D1886" s="7"/>
      <c r="E1886" s="7"/>
      <c r="F1886" s="435">
        <v>45525.0</v>
      </c>
      <c r="G1886" s="278" t="s">
        <v>697</v>
      </c>
      <c r="H1886" s="436" t="s">
        <v>387</v>
      </c>
      <c r="I1886" s="437">
        <v>4.0</v>
      </c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</row>
    <row r="1887" hidden="1">
      <c r="A1887" s="25"/>
      <c r="B1887" s="26"/>
      <c r="C1887" s="26"/>
      <c r="D1887" s="7"/>
      <c r="E1887" s="7"/>
      <c r="F1887" s="435">
        <v>45527.0</v>
      </c>
      <c r="G1887" s="278" t="s">
        <v>716</v>
      </c>
      <c r="H1887" s="436" t="s">
        <v>536</v>
      </c>
      <c r="I1887" s="437">
        <v>5.0</v>
      </c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</row>
    <row r="1888" hidden="1">
      <c r="A1888" s="25"/>
      <c r="B1888" s="26"/>
      <c r="C1888" s="26"/>
      <c r="D1888" s="7"/>
      <c r="E1888" s="7"/>
      <c r="F1888" s="435">
        <v>45527.0</v>
      </c>
      <c r="G1888" s="278" t="s">
        <v>716</v>
      </c>
      <c r="H1888" s="436" t="s">
        <v>918</v>
      </c>
      <c r="I1888" s="437">
        <v>5.0</v>
      </c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</row>
    <row r="1889" hidden="1">
      <c r="A1889" s="25"/>
      <c r="B1889" s="26"/>
      <c r="C1889" s="26"/>
      <c r="D1889" s="7"/>
      <c r="E1889" s="7"/>
      <c r="F1889" s="435">
        <v>45527.0</v>
      </c>
      <c r="G1889" s="278" t="s">
        <v>716</v>
      </c>
      <c r="H1889" s="436" t="s">
        <v>916</v>
      </c>
      <c r="I1889" s="437">
        <v>2.0</v>
      </c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</row>
    <row r="1890" hidden="1">
      <c r="A1890" s="25"/>
      <c r="B1890" s="26"/>
      <c r="C1890" s="26"/>
      <c r="D1890" s="7"/>
      <c r="E1890" s="7"/>
      <c r="F1890" s="435">
        <v>45527.0</v>
      </c>
      <c r="G1890" s="278" t="s">
        <v>716</v>
      </c>
      <c r="H1890" s="436" t="s">
        <v>921</v>
      </c>
      <c r="I1890" s="437">
        <v>3.0</v>
      </c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</row>
    <row r="1891" hidden="1">
      <c r="A1891" s="25"/>
      <c r="B1891" s="26"/>
      <c r="C1891" s="26"/>
      <c r="D1891" s="7"/>
      <c r="E1891" s="7"/>
      <c r="F1891" s="435">
        <v>45527.0</v>
      </c>
      <c r="G1891" s="278" t="s">
        <v>716</v>
      </c>
      <c r="H1891" s="436" t="s">
        <v>387</v>
      </c>
      <c r="I1891" s="437">
        <v>3.0</v>
      </c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</row>
    <row r="1892" hidden="1">
      <c r="A1892" s="25"/>
      <c r="B1892" s="26"/>
      <c r="C1892" s="26"/>
      <c r="D1892" s="7"/>
      <c r="E1892" s="7"/>
      <c r="F1892" s="435">
        <v>45527.0</v>
      </c>
      <c r="G1892" s="278" t="s">
        <v>707</v>
      </c>
      <c r="H1892" s="436" t="s">
        <v>536</v>
      </c>
      <c r="I1892" s="437">
        <v>2.0</v>
      </c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</row>
    <row r="1893" hidden="1">
      <c r="A1893" s="25"/>
      <c r="B1893" s="26"/>
      <c r="C1893" s="26"/>
      <c r="D1893" s="7"/>
      <c r="E1893" s="7"/>
      <c r="F1893" s="435">
        <v>45527.0</v>
      </c>
      <c r="G1893" s="278" t="s">
        <v>707</v>
      </c>
      <c r="H1893" s="436" t="s">
        <v>536</v>
      </c>
      <c r="I1893" s="437">
        <v>2.0</v>
      </c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</row>
    <row r="1894" hidden="1">
      <c r="A1894" s="25"/>
      <c r="B1894" s="26"/>
      <c r="C1894" s="26"/>
      <c r="D1894" s="7"/>
      <c r="E1894" s="7"/>
      <c r="F1894" s="435">
        <v>45527.0</v>
      </c>
      <c r="G1894" s="278" t="s">
        <v>707</v>
      </c>
      <c r="H1894" s="436" t="s">
        <v>918</v>
      </c>
      <c r="I1894" s="437">
        <v>3.0</v>
      </c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</row>
    <row r="1895" hidden="1">
      <c r="A1895" s="25"/>
      <c r="B1895" s="26"/>
      <c r="C1895" s="26"/>
      <c r="D1895" s="7"/>
      <c r="E1895" s="7"/>
      <c r="F1895" s="435">
        <v>45527.0</v>
      </c>
      <c r="G1895" s="278" t="s">
        <v>707</v>
      </c>
      <c r="H1895" s="436" t="s">
        <v>918</v>
      </c>
      <c r="I1895" s="437">
        <v>4.0</v>
      </c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</row>
    <row r="1896" hidden="1">
      <c r="A1896" s="25"/>
      <c r="B1896" s="26"/>
      <c r="C1896" s="26"/>
      <c r="D1896" s="7"/>
      <c r="E1896" s="7"/>
      <c r="F1896" s="435">
        <v>45527.0</v>
      </c>
      <c r="G1896" s="278" t="s">
        <v>707</v>
      </c>
      <c r="H1896" s="436" t="s">
        <v>916</v>
      </c>
      <c r="I1896" s="437">
        <v>2.0</v>
      </c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</row>
    <row r="1897" hidden="1">
      <c r="A1897" s="25"/>
      <c r="B1897" s="26"/>
      <c r="C1897" s="26"/>
      <c r="D1897" s="7"/>
      <c r="E1897" s="7"/>
      <c r="F1897" s="435">
        <v>45527.0</v>
      </c>
      <c r="G1897" s="278" t="s">
        <v>707</v>
      </c>
      <c r="H1897" s="436" t="s">
        <v>916</v>
      </c>
      <c r="I1897" s="437">
        <v>4.0</v>
      </c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</row>
    <row r="1898" hidden="1">
      <c r="A1898" s="25"/>
      <c r="B1898" s="26"/>
      <c r="C1898" s="26"/>
      <c r="D1898" s="7"/>
      <c r="E1898" s="7"/>
      <c r="F1898" s="435">
        <v>45527.0</v>
      </c>
      <c r="G1898" s="278" t="s">
        <v>707</v>
      </c>
      <c r="H1898" s="436" t="s">
        <v>921</v>
      </c>
      <c r="I1898" s="437">
        <v>3.0</v>
      </c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</row>
    <row r="1899" hidden="1">
      <c r="A1899" s="25"/>
      <c r="B1899" s="26"/>
      <c r="C1899" s="26"/>
      <c r="D1899" s="7"/>
      <c r="E1899" s="7"/>
      <c r="F1899" s="435">
        <v>45527.0</v>
      </c>
      <c r="G1899" s="278" t="s">
        <v>707</v>
      </c>
      <c r="H1899" s="436" t="s">
        <v>921</v>
      </c>
      <c r="I1899" s="437">
        <v>4.0</v>
      </c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</row>
    <row r="1900" hidden="1">
      <c r="A1900" s="25"/>
      <c r="B1900" s="26"/>
      <c r="C1900" s="26"/>
      <c r="D1900" s="7"/>
      <c r="E1900" s="7"/>
      <c r="F1900" s="435">
        <v>45527.0</v>
      </c>
      <c r="G1900" s="278" t="s">
        <v>707</v>
      </c>
      <c r="H1900" s="436" t="s">
        <v>387</v>
      </c>
      <c r="I1900" s="437">
        <v>5.0</v>
      </c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</row>
    <row r="1901" hidden="1">
      <c r="A1901" s="25"/>
      <c r="B1901" s="26"/>
      <c r="C1901" s="26"/>
      <c r="D1901" s="7"/>
      <c r="E1901" s="7"/>
      <c r="F1901" s="435">
        <v>45527.0</v>
      </c>
      <c r="G1901" s="278" t="s">
        <v>707</v>
      </c>
      <c r="H1901" s="436" t="s">
        <v>387</v>
      </c>
      <c r="I1901" s="437">
        <v>3.0</v>
      </c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</row>
    <row r="1902" hidden="1">
      <c r="A1902" s="25"/>
      <c r="B1902" s="26"/>
      <c r="C1902" s="26"/>
      <c r="D1902" s="7"/>
      <c r="E1902" s="7"/>
      <c r="F1902" s="435">
        <v>45528.0</v>
      </c>
      <c r="G1902" s="278" t="s">
        <v>697</v>
      </c>
      <c r="H1902" s="436" t="s">
        <v>536</v>
      </c>
      <c r="I1902" s="437">
        <v>1.0</v>
      </c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</row>
    <row r="1903" hidden="1">
      <c r="A1903" s="25"/>
      <c r="B1903" s="26"/>
      <c r="C1903" s="26"/>
      <c r="D1903" s="7"/>
      <c r="E1903" s="7"/>
      <c r="F1903" s="435">
        <v>45528.0</v>
      </c>
      <c r="G1903" s="278" t="s">
        <v>697</v>
      </c>
      <c r="H1903" s="436" t="s">
        <v>918</v>
      </c>
      <c r="I1903" s="441">
        <v>1.0</v>
      </c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</row>
    <row r="1904" hidden="1">
      <c r="A1904" s="25"/>
      <c r="B1904" s="26"/>
      <c r="C1904" s="26"/>
      <c r="D1904" s="7"/>
      <c r="E1904" s="7"/>
      <c r="F1904" s="435">
        <v>45528.0</v>
      </c>
      <c r="G1904" s="278" t="s">
        <v>697</v>
      </c>
      <c r="H1904" s="436" t="s">
        <v>916</v>
      </c>
      <c r="I1904" s="437">
        <v>4.0</v>
      </c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</row>
    <row r="1905" hidden="1">
      <c r="A1905" s="25"/>
      <c r="B1905" s="26"/>
      <c r="C1905" s="26"/>
      <c r="D1905" s="7"/>
      <c r="E1905" s="7"/>
      <c r="F1905" s="435">
        <v>45528.0</v>
      </c>
      <c r="G1905" s="278" t="s">
        <v>697</v>
      </c>
      <c r="H1905" s="436" t="s">
        <v>921</v>
      </c>
      <c r="I1905" s="441">
        <v>5.0</v>
      </c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</row>
    <row r="1906" hidden="1">
      <c r="A1906" s="25"/>
      <c r="B1906" s="26"/>
      <c r="C1906" s="26"/>
      <c r="D1906" s="7"/>
      <c r="E1906" s="7"/>
      <c r="F1906" s="435">
        <v>45528.0</v>
      </c>
      <c r="G1906" s="278" t="s">
        <v>697</v>
      </c>
      <c r="H1906" s="436" t="s">
        <v>387</v>
      </c>
      <c r="I1906" s="437">
        <v>3.0</v>
      </c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</row>
    <row r="1907" hidden="1">
      <c r="A1907" s="25"/>
      <c r="B1907" s="26"/>
      <c r="C1907" s="26"/>
      <c r="D1907" s="7"/>
      <c r="E1907" s="7"/>
      <c r="F1907" s="435">
        <v>45529.0</v>
      </c>
      <c r="G1907" s="278" t="s">
        <v>716</v>
      </c>
      <c r="H1907" s="436" t="s">
        <v>536</v>
      </c>
      <c r="I1907" s="437">
        <v>2.0</v>
      </c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</row>
    <row r="1908" hidden="1">
      <c r="A1908" s="25"/>
      <c r="B1908" s="26"/>
      <c r="C1908" s="26"/>
      <c r="D1908" s="7"/>
      <c r="E1908" s="7"/>
      <c r="F1908" s="435">
        <v>45529.0</v>
      </c>
      <c r="G1908" s="278" t="s">
        <v>716</v>
      </c>
      <c r="H1908" s="436" t="s">
        <v>918</v>
      </c>
      <c r="I1908" s="437">
        <v>4.0</v>
      </c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</row>
    <row r="1909" hidden="1">
      <c r="A1909" s="25"/>
      <c r="B1909" s="26"/>
      <c r="C1909" s="26"/>
      <c r="D1909" s="7"/>
      <c r="E1909" s="7"/>
      <c r="F1909" s="435">
        <v>45529.0</v>
      </c>
      <c r="G1909" s="278" t="s">
        <v>716</v>
      </c>
      <c r="H1909" s="436" t="s">
        <v>916</v>
      </c>
      <c r="I1909" s="437">
        <v>5.0</v>
      </c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</row>
    <row r="1910" hidden="1">
      <c r="A1910" s="25"/>
      <c r="B1910" s="26"/>
      <c r="C1910" s="26"/>
      <c r="D1910" s="7"/>
      <c r="E1910" s="7"/>
      <c r="F1910" s="435">
        <v>45529.0</v>
      </c>
      <c r="G1910" s="278" t="s">
        <v>716</v>
      </c>
      <c r="H1910" s="436" t="s">
        <v>921</v>
      </c>
      <c r="I1910" s="437">
        <v>5.0</v>
      </c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</row>
    <row r="1911" hidden="1">
      <c r="A1911" s="25"/>
      <c r="B1911" s="26"/>
      <c r="C1911" s="26"/>
      <c r="D1911" s="7"/>
      <c r="E1911" s="7"/>
      <c r="F1911" s="435">
        <v>45529.0</v>
      </c>
      <c r="G1911" s="278" t="s">
        <v>716</v>
      </c>
      <c r="H1911" s="436" t="s">
        <v>387</v>
      </c>
      <c r="I1911" s="437">
        <v>5.0</v>
      </c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</row>
    <row r="1912" hidden="1">
      <c r="A1912" s="25"/>
      <c r="B1912" s="26"/>
      <c r="C1912" s="26"/>
      <c r="D1912" s="7"/>
      <c r="E1912" s="7"/>
      <c r="F1912" s="435">
        <v>45531.0</v>
      </c>
      <c r="G1912" s="278" t="s">
        <v>707</v>
      </c>
      <c r="H1912" s="436" t="s">
        <v>536</v>
      </c>
      <c r="I1912" s="437">
        <v>3.0</v>
      </c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</row>
    <row r="1913" hidden="1">
      <c r="A1913" s="25"/>
      <c r="B1913" s="26"/>
      <c r="C1913" s="26"/>
      <c r="D1913" s="7"/>
      <c r="E1913" s="7"/>
      <c r="F1913" s="435">
        <v>45531.0</v>
      </c>
      <c r="G1913" s="278" t="s">
        <v>707</v>
      </c>
      <c r="H1913" s="436" t="s">
        <v>918</v>
      </c>
      <c r="I1913" s="437">
        <v>1.0</v>
      </c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</row>
    <row r="1914" hidden="1">
      <c r="A1914" s="25"/>
      <c r="B1914" s="26"/>
      <c r="C1914" s="26"/>
      <c r="D1914" s="7"/>
      <c r="E1914" s="7"/>
      <c r="F1914" s="435">
        <v>45531.0</v>
      </c>
      <c r="G1914" s="278" t="s">
        <v>707</v>
      </c>
      <c r="H1914" s="436" t="s">
        <v>916</v>
      </c>
      <c r="I1914" s="437">
        <v>2.0</v>
      </c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</row>
    <row r="1915" hidden="1">
      <c r="A1915" s="25"/>
      <c r="B1915" s="26"/>
      <c r="C1915" s="26"/>
      <c r="D1915" s="7"/>
      <c r="E1915" s="7"/>
      <c r="F1915" s="435">
        <v>45531.0</v>
      </c>
      <c r="G1915" s="278" t="s">
        <v>707</v>
      </c>
      <c r="H1915" s="436" t="s">
        <v>921</v>
      </c>
      <c r="I1915" s="437">
        <v>5.0</v>
      </c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</row>
    <row r="1916" hidden="1">
      <c r="A1916" s="25"/>
      <c r="B1916" s="26"/>
      <c r="C1916" s="26"/>
      <c r="D1916" s="7"/>
      <c r="E1916" s="7"/>
      <c r="F1916" s="435">
        <v>45531.0</v>
      </c>
      <c r="G1916" s="278" t="s">
        <v>707</v>
      </c>
      <c r="H1916" s="436" t="s">
        <v>387</v>
      </c>
      <c r="I1916" s="437">
        <v>1.0</v>
      </c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</row>
    <row r="1917" hidden="1">
      <c r="A1917" s="25"/>
      <c r="B1917" s="26"/>
      <c r="C1917" s="26"/>
      <c r="D1917" s="7"/>
      <c r="E1917" s="7"/>
      <c r="F1917" s="435">
        <v>45535.0</v>
      </c>
      <c r="G1917" s="278" t="s">
        <v>704</v>
      </c>
      <c r="H1917" s="436" t="s">
        <v>536</v>
      </c>
      <c r="I1917" s="441">
        <v>2.0</v>
      </c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</row>
    <row r="1918" hidden="1">
      <c r="A1918" s="25"/>
      <c r="B1918" s="26"/>
      <c r="C1918" s="26"/>
      <c r="D1918" s="7"/>
      <c r="E1918" s="7"/>
      <c r="F1918" s="435">
        <v>45535.0</v>
      </c>
      <c r="G1918" s="278" t="s">
        <v>704</v>
      </c>
      <c r="H1918" s="436" t="s">
        <v>918</v>
      </c>
      <c r="I1918" s="437">
        <v>3.0</v>
      </c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</row>
    <row r="1919" hidden="1">
      <c r="A1919" s="25"/>
      <c r="B1919" s="26"/>
      <c r="C1919" s="26"/>
      <c r="D1919" s="7"/>
      <c r="E1919" s="7"/>
      <c r="F1919" s="435">
        <v>45535.0</v>
      </c>
      <c r="G1919" s="278" t="s">
        <v>704</v>
      </c>
      <c r="H1919" s="436" t="s">
        <v>916</v>
      </c>
      <c r="I1919" s="437">
        <v>5.0</v>
      </c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</row>
    <row r="1920" hidden="1">
      <c r="A1920" s="25"/>
      <c r="B1920" s="26"/>
      <c r="C1920" s="26"/>
      <c r="D1920" s="7"/>
      <c r="E1920" s="7"/>
      <c r="F1920" s="435">
        <v>45535.0</v>
      </c>
      <c r="G1920" s="278" t="s">
        <v>704</v>
      </c>
      <c r="H1920" s="436" t="s">
        <v>921</v>
      </c>
      <c r="I1920" s="437">
        <v>5.0</v>
      </c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</row>
    <row r="1921" hidden="1">
      <c r="A1921" s="25"/>
      <c r="B1921" s="26"/>
      <c r="C1921" s="26"/>
      <c r="D1921" s="7"/>
      <c r="E1921" s="7"/>
      <c r="F1921" s="435">
        <v>45535.0</v>
      </c>
      <c r="G1921" s="278" t="s">
        <v>704</v>
      </c>
      <c r="H1921" s="436" t="s">
        <v>387</v>
      </c>
      <c r="I1921" s="437">
        <v>4.0</v>
      </c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</row>
    <row r="1922" hidden="1">
      <c r="A1922" s="25"/>
      <c r="B1922" s="26"/>
      <c r="C1922" s="26"/>
      <c r="D1922" s="7"/>
      <c r="E1922" s="7"/>
      <c r="F1922" s="435">
        <v>45535.0</v>
      </c>
      <c r="G1922" s="278" t="s">
        <v>716</v>
      </c>
      <c r="H1922" s="436" t="s">
        <v>536</v>
      </c>
      <c r="I1922" s="437">
        <v>1.0</v>
      </c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</row>
    <row r="1923" hidden="1">
      <c r="A1923" s="25"/>
      <c r="B1923" s="26"/>
      <c r="C1923" s="26"/>
      <c r="D1923" s="7"/>
      <c r="E1923" s="7"/>
      <c r="F1923" s="435">
        <v>45535.0</v>
      </c>
      <c r="G1923" s="278" t="s">
        <v>716</v>
      </c>
      <c r="H1923" s="436" t="s">
        <v>918</v>
      </c>
      <c r="I1923" s="437">
        <v>3.0</v>
      </c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</row>
    <row r="1924" hidden="1">
      <c r="A1924" s="25"/>
      <c r="B1924" s="26"/>
      <c r="C1924" s="26"/>
      <c r="D1924" s="7"/>
      <c r="E1924" s="7"/>
      <c r="F1924" s="435">
        <v>45535.0</v>
      </c>
      <c r="G1924" s="278" t="s">
        <v>716</v>
      </c>
      <c r="H1924" s="436" t="s">
        <v>916</v>
      </c>
      <c r="I1924" s="437">
        <v>3.0</v>
      </c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</row>
    <row r="1925" hidden="1">
      <c r="A1925" s="25"/>
      <c r="B1925" s="26"/>
      <c r="C1925" s="26"/>
      <c r="D1925" s="7"/>
      <c r="E1925" s="7"/>
      <c r="F1925" s="435">
        <v>45535.0</v>
      </c>
      <c r="G1925" s="278" t="s">
        <v>716</v>
      </c>
      <c r="H1925" s="436" t="s">
        <v>921</v>
      </c>
      <c r="I1925" s="437">
        <v>4.0</v>
      </c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</row>
    <row r="1926" hidden="1">
      <c r="A1926" s="25"/>
      <c r="B1926" s="26"/>
      <c r="C1926" s="26"/>
      <c r="D1926" s="7"/>
      <c r="E1926" s="7"/>
      <c r="F1926" s="435">
        <v>45535.0</v>
      </c>
      <c r="G1926" s="278" t="s">
        <v>716</v>
      </c>
      <c r="H1926" s="436" t="s">
        <v>387</v>
      </c>
      <c r="I1926" s="437">
        <v>5.0</v>
      </c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</row>
    <row r="1927" hidden="1">
      <c r="A1927" s="25"/>
      <c r="B1927" s="26"/>
      <c r="C1927" s="26"/>
      <c r="D1927" s="7"/>
      <c r="E1927" s="7"/>
      <c r="F1927" s="435">
        <v>45538.0</v>
      </c>
      <c r="G1927" s="278" t="s">
        <v>704</v>
      </c>
      <c r="H1927" s="436" t="s">
        <v>536</v>
      </c>
      <c r="I1927" s="441">
        <v>2.0</v>
      </c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</row>
    <row r="1928" hidden="1">
      <c r="A1928" s="25"/>
      <c r="B1928" s="26"/>
      <c r="C1928" s="26"/>
      <c r="D1928" s="7"/>
      <c r="E1928" s="7"/>
      <c r="F1928" s="435">
        <v>45538.0</v>
      </c>
      <c r="G1928" s="278" t="s">
        <v>704</v>
      </c>
      <c r="H1928" s="436" t="s">
        <v>918</v>
      </c>
      <c r="I1928" s="437">
        <v>5.0</v>
      </c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</row>
    <row r="1929" hidden="1">
      <c r="A1929" s="25"/>
      <c r="B1929" s="26"/>
      <c r="C1929" s="26"/>
      <c r="D1929" s="7"/>
      <c r="E1929" s="7"/>
      <c r="F1929" s="435">
        <v>45538.0</v>
      </c>
      <c r="G1929" s="278" t="s">
        <v>704</v>
      </c>
      <c r="H1929" s="436" t="s">
        <v>916</v>
      </c>
      <c r="I1929" s="437">
        <v>3.0</v>
      </c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</row>
    <row r="1930" hidden="1">
      <c r="A1930" s="25"/>
      <c r="B1930" s="26"/>
      <c r="C1930" s="26"/>
      <c r="D1930" s="7"/>
      <c r="E1930" s="7"/>
      <c r="F1930" s="435">
        <v>45538.0</v>
      </c>
      <c r="G1930" s="278" t="s">
        <v>704</v>
      </c>
      <c r="H1930" s="436" t="s">
        <v>921</v>
      </c>
      <c r="I1930" s="441">
        <v>5.0</v>
      </c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</row>
    <row r="1931" hidden="1">
      <c r="A1931" s="25"/>
      <c r="B1931" s="26"/>
      <c r="C1931" s="26"/>
      <c r="D1931" s="7"/>
      <c r="E1931" s="7"/>
      <c r="F1931" s="435">
        <v>45538.0</v>
      </c>
      <c r="G1931" s="278" t="s">
        <v>704</v>
      </c>
      <c r="H1931" s="436" t="s">
        <v>387</v>
      </c>
      <c r="I1931" s="437">
        <v>4.0</v>
      </c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</row>
    <row r="1932" hidden="1">
      <c r="A1932" s="25"/>
      <c r="B1932" s="26"/>
      <c r="C1932" s="26"/>
      <c r="D1932" s="7"/>
      <c r="E1932" s="7"/>
      <c r="F1932" s="435">
        <v>45538.0</v>
      </c>
      <c r="G1932" s="278" t="s">
        <v>716</v>
      </c>
      <c r="H1932" s="436" t="s">
        <v>536</v>
      </c>
      <c r="I1932" s="437">
        <v>5.0</v>
      </c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</row>
    <row r="1933" hidden="1">
      <c r="A1933" s="25"/>
      <c r="B1933" s="26"/>
      <c r="C1933" s="26"/>
      <c r="D1933" s="7"/>
      <c r="E1933" s="7"/>
      <c r="F1933" s="435">
        <v>45538.0</v>
      </c>
      <c r="G1933" s="278" t="s">
        <v>716</v>
      </c>
      <c r="H1933" s="436" t="s">
        <v>918</v>
      </c>
      <c r="I1933" s="437">
        <v>5.0</v>
      </c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</row>
    <row r="1934" hidden="1">
      <c r="A1934" s="25"/>
      <c r="B1934" s="26"/>
      <c r="C1934" s="26"/>
      <c r="D1934" s="7"/>
      <c r="E1934" s="7"/>
      <c r="F1934" s="435">
        <v>45538.0</v>
      </c>
      <c r="G1934" s="278" t="s">
        <v>716</v>
      </c>
      <c r="H1934" s="436" t="s">
        <v>916</v>
      </c>
      <c r="I1934" s="437">
        <v>5.0</v>
      </c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</row>
    <row r="1935" hidden="1">
      <c r="A1935" s="25"/>
      <c r="B1935" s="26"/>
      <c r="C1935" s="26"/>
      <c r="D1935" s="7"/>
      <c r="E1935" s="7"/>
      <c r="F1935" s="435">
        <v>45538.0</v>
      </c>
      <c r="G1935" s="278" t="s">
        <v>716</v>
      </c>
      <c r="H1935" s="436" t="s">
        <v>921</v>
      </c>
      <c r="I1935" s="437">
        <v>3.0</v>
      </c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</row>
    <row r="1936" hidden="1">
      <c r="A1936" s="25"/>
      <c r="B1936" s="26"/>
      <c r="C1936" s="26"/>
      <c r="D1936" s="7"/>
      <c r="E1936" s="7"/>
      <c r="F1936" s="435">
        <v>45538.0</v>
      </c>
      <c r="G1936" s="278" t="s">
        <v>716</v>
      </c>
      <c r="H1936" s="436" t="s">
        <v>387</v>
      </c>
      <c r="I1936" s="437">
        <v>4.0</v>
      </c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</row>
    <row r="1937" hidden="1">
      <c r="A1937" s="25"/>
      <c r="B1937" s="26"/>
      <c r="C1937" s="26"/>
      <c r="D1937" s="7"/>
      <c r="E1937" s="7"/>
      <c r="F1937" s="435">
        <v>45539.0</v>
      </c>
      <c r="G1937" s="278" t="s">
        <v>707</v>
      </c>
      <c r="H1937" s="436" t="s">
        <v>536</v>
      </c>
      <c r="I1937" s="437">
        <v>1.0</v>
      </c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</row>
    <row r="1938" hidden="1">
      <c r="A1938" s="25"/>
      <c r="B1938" s="26"/>
      <c r="C1938" s="26"/>
      <c r="D1938" s="7"/>
      <c r="E1938" s="7"/>
      <c r="F1938" s="435">
        <v>45539.0</v>
      </c>
      <c r="G1938" s="278" t="s">
        <v>707</v>
      </c>
      <c r="H1938" s="436" t="s">
        <v>918</v>
      </c>
      <c r="I1938" s="437">
        <v>3.0</v>
      </c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</row>
    <row r="1939" hidden="1">
      <c r="A1939" s="25"/>
      <c r="B1939" s="26"/>
      <c r="C1939" s="26"/>
      <c r="D1939" s="7"/>
      <c r="E1939" s="7"/>
      <c r="F1939" s="435">
        <v>45539.0</v>
      </c>
      <c r="G1939" s="278" t="s">
        <v>707</v>
      </c>
      <c r="H1939" s="436" t="s">
        <v>916</v>
      </c>
      <c r="I1939" s="437">
        <v>3.0</v>
      </c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</row>
    <row r="1940" hidden="1">
      <c r="A1940" s="25"/>
      <c r="B1940" s="26"/>
      <c r="C1940" s="26"/>
      <c r="D1940" s="7"/>
      <c r="E1940" s="7"/>
      <c r="F1940" s="435">
        <v>45539.0</v>
      </c>
      <c r="G1940" s="278" t="s">
        <v>707</v>
      </c>
      <c r="H1940" s="436" t="s">
        <v>921</v>
      </c>
      <c r="I1940" s="437">
        <v>2.0</v>
      </c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</row>
    <row r="1941" hidden="1">
      <c r="A1941" s="25"/>
      <c r="B1941" s="26"/>
      <c r="C1941" s="26"/>
      <c r="D1941" s="7"/>
      <c r="E1941" s="7"/>
      <c r="F1941" s="435">
        <v>45539.0</v>
      </c>
      <c r="G1941" s="278" t="s">
        <v>707</v>
      </c>
      <c r="H1941" s="436" t="s">
        <v>387</v>
      </c>
      <c r="I1941" s="437">
        <v>2.0</v>
      </c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</row>
    <row r="1942" hidden="1">
      <c r="A1942" s="25"/>
      <c r="B1942" s="26"/>
      <c r="C1942" s="26"/>
      <c r="D1942" s="7"/>
      <c r="E1942" s="7"/>
      <c r="F1942" s="435">
        <v>45540.0</v>
      </c>
      <c r="G1942" s="278" t="s">
        <v>704</v>
      </c>
      <c r="H1942" s="436" t="s">
        <v>536</v>
      </c>
      <c r="I1942" s="437">
        <v>2.0</v>
      </c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</row>
    <row r="1943" hidden="1">
      <c r="A1943" s="25"/>
      <c r="B1943" s="26"/>
      <c r="C1943" s="26"/>
      <c r="D1943" s="7"/>
      <c r="E1943" s="7"/>
      <c r="F1943" s="435">
        <v>45540.0</v>
      </c>
      <c r="G1943" s="278" t="s">
        <v>704</v>
      </c>
      <c r="H1943" s="436" t="s">
        <v>918</v>
      </c>
      <c r="I1943" s="437">
        <v>2.0</v>
      </c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</row>
    <row r="1944" hidden="1">
      <c r="A1944" s="25"/>
      <c r="B1944" s="26"/>
      <c r="C1944" s="26"/>
      <c r="D1944" s="7"/>
      <c r="E1944" s="7"/>
      <c r="F1944" s="435">
        <v>45540.0</v>
      </c>
      <c r="G1944" s="278" t="s">
        <v>704</v>
      </c>
      <c r="H1944" s="436" t="s">
        <v>916</v>
      </c>
      <c r="I1944" s="437">
        <v>3.0</v>
      </c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</row>
    <row r="1945" hidden="1">
      <c r="A1945" s="25"/>
      <c r="B1945" s="26"/>
      <c r="C1945" s="26"/>
      <c r="D1945" s="7"/>
      <c r="E1945" s="7"/>
      <c r="F1945" s="435">
        <v>45540.0</v>
      </c>
      <c r="G1945" s="278" t="s">
        <v>704</v>
      </c>
      <c r="H1945" s="436" t="s">
        <v>921</v>
      </c>
      <c r="I1945" s="441">
        <v>5.0</v>
      </c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</row>
    <row r="1946" hidden="1">
      <c r="A1946" s="25"/>
      <c r="B1946" s="26"/>
      <c r="C1946" s="26"/>
      <c r="D1946" s="7"/>
      <c r="E1946" s="7"/>
      <c r="F1946" s="435">
        <v>45540.0</v>
      </c>
      <c r="G1946" s="278" t="s">
        <v>704</v>
      </c>
      <c r="H1946" s="436" t="s">
        <v>387</v>
      </c>
      <c r="I1946" s="437">
        <v>1.0</v>
      </c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</row>
    <row r="1947" hidden="1">
      <c r="A1947" s="25"/>
      <c r="B1947" s="26"/>
      <c r="C1947" s="26"/>
      <c r="D1947" s="7"/>
      <c r="E1947" s="7"/>
      <c r="F1947" s="435">
        <v>45540.0</v>
      </c>
      <c r="G1947" s="278" t="s">
        <v>697</v>
      </c>
      <c r="H1947" s="436" t="s">
        <v>536</v>
      </c>
      <c r="I1947" s="437">
        <v>1.0</v>
      </c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</row>
    <row r="1948" hidden="1">
      <c r="A1948" s="25"/>
      <c r="B1948" s="26"/>
      <c r="C1948" s="26"/>
      <c r="D1948" s="7"/>
      <c r="E1948" s="7"/>
      <c r="F1948" s="435">
        <v>45540.0</v>
      </c>
      <c r="G1948" s="278" t="s">
        <v>697</v>
      </c>
      <c r="H1948" s="436" t="s">
        <v>918</v>
      </c>
      <c r="I1948" s="441">
        <v>1.0</v>
      </c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</row>
    <row r="1949" hidden="1">
      <c r="A1949" s="25"/>
      <c r="B1949" s="26"/>
      <c r="C1949" s="26"/>
      <c r="D1949" s="7"/>
      <c r="E1949" s="7"/>
      <c r="F1949" s="435">
        <v>45540.0</v>
      </c>
      <c r="G1949" s="278" t="s">
        <v>697</v>
      </c>
      <c r="H1949" s="436" t="s">
        <v>916</v>
      </c>
      <c r="I1949" s="437">
        <v>2.0</v>
      </c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</row>
    <row r="1950" hidden="1">
      <c r="A1950" s="25"/>
      <c r="B1950" s="26"/>
      <c r="C1950" s="26"/>
      <c r="D1950" s="7"/>
      <c r="E1950" s="7"/>
      <c r="F1950" s="435">
        <v>45540.0</v>
      </c>
      <c r="G1950" s="278" t="s">
        <v>697</v>
      </c>
      <c r="H1950" s="436" t="s">
        <v>921</v>
      </c>
      <c r="I1950" s="441">
        <v>5.0</v>
      </c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</row>
    <row r="1951" hidden="1">
      <c r="A1951" s="25"/>
      <c r="B1951" s="26"/>
      <c r="C1951" s="26"/>
      <c r="D1951" s="7"/>
      <c r="E1951" s="7"/>
      <c r="F1951" s="435">
        <v>45540.0</v>
      </c>
      <c r="G1951" s="278" t="s">
        <v>697</v>
      </c>
      <c r="H1951" s="436" t="s">
        <v>387</v>
      </c>
      <c r="I1951" s="441">
        <v>5.0</v>
      </c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</row>
    <row r="1952" hidden="1">
      <c r="A1952" s="25"/>
      <c r="B1952" s="26"/>
      <c r="C1952" s="26"/>
      <c r="D1952" s="7"/>
      <c r="E1952" s="7"/>
      <c r="F1952" s="435">
        <v>45549.0</v>
      </c>
      <c r="G1952" s="278" t="s">
        <v>704</v>
      </c>
      <c r="H1952" s="436" t="s">
        <v>536</v>
      </c>
      <c r="I1952" s="437">
        <v>2.0</v>
      </c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</row>
    <row r="1953" hidden="1">
      <c r="A1953" s="25"/>
      <c r="B1953" s="26"/>
      <c r="C1953" s="26"/>
      <c r="D1953" s="7"/>
      <c r="E1953" s="7"/>
      <c r="F1953" s="435">
        <v>45549.0</v>
      </c>
      <c r="G1953" s="278" t="s">
        <v>704</v>
      </c>
      <c r="H1953" s="436" t="s">
        <v>918</v>
      </c>
      <c r="I1953" s="437">
        <v>5.0</v>
      </c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</row>
    <row r="1954" hidden="1">
      <c r="A1954" s="25"/>
      <c r="B1954" s="26"/>
      <c r="C1954" s="26"/>
      <c r="D1954" s="7"/>
      <c r="E1954" s="7"/>
      <c r="F1954" s="435">
        <v>45549.0</v>
      </c>
      <c r="G1954" s="278" t="s">
        <v>704</v>
      </c>
      <c r="H1954" s="436" t="s">
        <v>916</v>
      </c>
      <c r="I1954" s="437">
        <v>1.0</v>
      </c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</row>
    <row r="1955" hidden="1">
      <c r="A1955" s="25"/>
      <c r="B1955" s="26"/>
      <c r="C1955" s="26"/>
      <c r="D1955" s="7"/>
      <c r="E1955" s="7"/>
      <c r="F1955" s="435">
        <v>45549.0</v>
      </c>
      <c r="G1955" s="278" t="s">
        <v>704</v>
      </c>
      <c r="H1955" s="436" t="s">
        <v>921</v>
      </c>
      <c r="I1955" s="441">
        <v>5.0</v>
      </c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</row>
    <row r="1956" hidden="1">
      <c r="A1956" s="25"/>
      <c r="B1956" s="26"/>
      <c r="C1956" s="26"/>
      <c r="D1956" s="7"/>
      <c r="E1956" s="7"/>
      <c r="F1956" s="435">
        <v>45549.0</v>
      </c>
      <c r="G1956" s="278" t="s">
        <v>704</v>
      </c>
      <c r="H1956" s="436" t="s">
        <v>387</v>
      </c>
      <c r="I1956" s="437">
        <v>1.0</v>
      </c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</row>
    <row r="1957" hidden="1">
      <c r="A1957" s="25"/>
      <c r="B1957" s="26"/>
      <c r="C1957" s="26"/>
      <c r="D1957" s="7"/>
      <c r="E1957" s="7"/>
      <c r="F1957" s="435">
        <v>45551.0</v>
      </c>
      <c r="G1957" s="278" t="s">
        <v>697</v>
      </c>
      <c r="H1957" s="436" t="s">
        <v>536</v>
      </c>
      <c r="I1957" s="437">
        <v>5.0</v>
      </c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</row>
    <row r="1958" hidden="1">
      <c r="A1958" s="25"/>
      <c r="B1958" s="26"/>
      <c r="C1958" s="26"/>
      <c r="D1958" s="7"/>
      <c r="E1958" s="7"/>
      <c r="F1958" s="435">
        <v>45551.0</v>
      </c>
      <c r="G1958" s="278" t="s">
        <v>697</v>
      </c>
      <c r="H1958" s="436" t="s">
        <v>918</v>
      </c>
      <c r="I1958" s="437">
        <v>3.0</v>
      </c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</row>
    <row r="1959" hidden="1">
      <c r="A1959" s="25"/>
      <c r="B1959" s="26"/>
      <c r="C1959" s="26"/>
      <c r="D1959" s="7"/>
      <c r="E1959" s="7"/>
      <c r="F1959" s="435">
        <v>45551.0</v>
      </c>
      <c r="G1959" s="278" t="s">
        <v>697</v>
      </c>
      <c r="H1959" s="436" t="s">
        <v>916</v>
      </c>
      <c r="I1959" s="437">
        <v>4.0</v>
      </c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</row>
    <row r="1960" hidden="1">
      <c r="A1960" s="25"/>
      <c r="B1960" s="26"/>
      <c r="C1960" s="26"/>
      <c r="D1960" s="7"/>
      <c r="E1960" s="7"/>
      <c r="F1960" s="435">
        <v>45551.0</v>
      </c>
      <c r="G1960" s="278" t="s">
        <v>697</v>
      </c>
      <c r="H1960" s="436" t="s">
        <v>921</v>
      </c>
      <c r="I1960" s="441">
        <v>5.0</v>
      </c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</row>
    <row r="1961" hidden="1">
      <c r="A1961" s="25"/>
      <c r="B1961" s="26"/>
      <c r="C1961" s="26"/>
      <c r="D1961" s="7"/>
      <c r="E1961" s="7"/>
      <c r="F1961" s="435">
        <v>45551.0</v>
      </c>
      <c r="G1961" s="278" t="s">
        <v>697</v>
      </c>
      <c r="H1961" s="436" t="s">
        <v>387</v>
      </c>
      <c r="I1961" s="437">
        <v>4.0</v>
      </c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</row>
    <row r="1962" hidden="1">
      <c r="A1962" s="25"/>
      <c r="B1962" s="26"/>
      <c r="C1962" s="26"/>
      <c r="D1962" s="7"/>
      <c r="E1962" s="7"/>
      <c r="F1962" s="435">
        <v>45551.0</v>
      </c>
      <c r="G1962" s="278" t="s">
        <v>716</v>
      </c>
      <c r="H1962" s="436" t="s">
        <v>536</v>
      </c>
      <c r="I1962" s="437">
        <v>4.0</v>
      </c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</row>
    <row r="1963" hidden="1">
      <c r="A1963" s="25"/>
      <c r="B1963" s="26"/>
      <c r="C1963" s="26"/>
      <c r="D1963" s="7"/>
      <c r="E1963" s="7"/>
      <c r="F1963" s="435">
        <v>45551.0</v>
      </c>
      <c r="G1963" s="278" t="s">
        <v>716</v>
      </c>
      <c r="H1963" s="436" t="s">
        <v>918</v>
      </c>
      <c r="I1963" s="437">
        <v>3.0</v>
      </c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</row>
    <row r="1964" hidden="1">
      <c r="A1964" s="25"/>
      <c r="B1964" s="26"/>
      <c r="C1964" s="26"/>
      <c r="D1964" s="7"/>
      <c r="E1964" s="7"/>
      <c r="F1964" s="435">
        <v>45551.0</v>
      </c>
      <c r="G1964" s="278" t="s">
        <v>716</v>
      </c>
      <c r="H1964" s="436" t="s">
        <v>916</v>
      </c>
      <c r="I1964" s="437">
        <v>4.0</v>
      </c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</row>
    <row r="1965" hidden="1">
      <c r="A1965" s="25"/>
      <c r="B1965" s="26"/>
      <c r="C1965" s="26"/>
      <c r="D1965" s="7"/>
      <c r="E1965" s="7"/>
      <c r="F1965" s="435">
        <v>45551.0</v>
      </c>
      <c r="G1965" s="278" t="s">
        <v>716</v>
      </c>
      <c r="H1965" s="436" t="s">
        <v>921</v>
      </c>
      <c r="I1965" s="437">
        <v>2.0</v>
      </c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</row>
    <row r="1966" hidden="1">
      <c r="A1966" s="25"/>
      <c r="B1966" s="26"/>
      <c r="C1966" s="26"/>
      <c r="D1966" s="7"/>
      <c r="E1966" s="7"/>
      <c r="F1966" s="435">
        <v>45551.0</v>
      </c>
      <c r="G1966" s="278" t="s">
        <v>716</v>
      </c>
      <c r="H1966" s="436" t="s">
        <v>387</v>
      </c>
      <c r="I1966" s="437">
        <v>3.0</v>
      </c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</row>
    <row r="1967" hidden="1">
      <c r="A1967" s="25"/>
      <c r="B1967" s="26"/>
      <c r="C1967" s="26"/>
      <c r="D1967" s="7"/>
      <c r="E1967" s="7"/>
      <c r="F1967" s="435">
        <v>45552.0</v>
      </c>
      <c r="G1967" s="278" t="s">
        <v>697</v>
      </c>
      <c r="H1967" s="436" t="s">
        <v>536</v>
      </c>
      <c r="I1967" s="437">
        <v>3.0</v>
      </c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</row>
    <row r="1968" hidden="1">
      <c r="A1968" s="25"/>
      <c r="B1968" s="26"/>
      <c r="C1968" s="26"/>
      <c r="D1968" s="7"/>
      <c r="E1968" s="7"/>
      <c r="F1968" s="435">
        <v>45552.0</v>
      </c>
      <c r="G1968" s="278" t="s">
        <v>697</v>
      </c>
      <c r="H1968" s="436" t="s">
        <v>918</v>
      </c>
      <c r="I1968" s="437">
        <v>5.0</v>
      </c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</row>
    <row r="1969" hidden="1">
      <c r="A1969" s="25"/>
      <c r="B1969" s="26"/>
      <c r="C1969" s="26"/>
      <c r="D1969" s="7"/>
      <c r="E1969" s="7"/>
      <c r="F1969" s="435">
        <v>45552.0</v>
      </c>
      <c r="G1969" s="278" t="s">
        <v>697</v>
      </c>
      <c r="H1969" s="436" t="s">
        <v>916</v>
      </c>
      <c r="I1969" s="437">
        <v>2.0</v>
      </c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</row>
    <row r="1970" hidden="1">
      <c r="A1970" s="25"/>
      <c r="B1970" s="26"/>
      <c r="C1970" s="26"/>
      <c r="D1970" s="7"/>
      <c r="E1970" s="7"/>
      <c r="F1970" s="435">
        <v>45552.0</v>
      </c>
      <c r="G1970" s="278" t="s">
        <v>697</v>
      </c>
      <c r="H1970" s="436" t="s">
        <v>921</v>
      </c>
      <c r="I1970" s="437">
        <v>5.0</v>
      </c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</row>
    <row r="1971" hidden="1">
      <c r="A1971" s="25"/>
      <c r="B1971" s="26"/>
      <c r="C1971" s="26"/>
      <c r="D1971" s="7"/>
      <c r="E1971" s="7"/>
      <c r="F1971" s="435">
        <v>45552.0</v>
      </c>
      <c r="G1971" s="278" t="s">
        <v>697</v>
      </c>
      <c r="H1971" s="436" t="s">
        <v>387</v>
      </c>
      <c r="I1971" s="441">
        <v>5.0</v>
      </c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</row>
    <row r="1972" hidden="1">
      <c r="A1972" s="25"/>
      <c r="B1972" s="26"/>
      <c r="C1972" s="26"/>
      <c r="D1972" s="7"/>
      <c r="E1972" s="7"/>
      <c r="F1972" s="435">
        <v>45553.0</v>
      </c>
      <c r="G1972" s="278" t="s">
        <v>716</v>
      </c>
      <c r="H1972" s="436" t="s">
        <v>536</v>
      </c>
      <c r="I1972" s="437">
        <v>1.0</v>
      </c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</row>
    <row r="1973" hidden="1">
      <c r="A1973" s="25"/>
      <c r="B1973" s="26"/>
      <c r="C1973" s="26"/>
      <c r="D1973" s="7"/>
      <c r="E1973" s="7"/>
      <c r="F1973" s="435">
        <v>45553.0</v>
      </c>
      <c r="G1973" s="278" t="s">
        <v>716</v>
      </c>
      <c r="H1973" s="436" t="s">
        <v>918</v>
      </c>
      <c r="I1973" s="437">
        <v>1.0</v>
      </c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</row>
    <row r="1974" hidden="1">
      <c r="A1974" s="25"/>
      <c r="B1974" s="26"/>
      <c r="C1974" s="26"/>
      <c r="D1974" s="7"/>
      <c r="E1974" s="7"/>
      <c r="F1974" s="435">
        <v>45553.0</v>
      </c>
      <c r="G1974" s="278" t="s">
        <v>716</v>
      </c>
      <c r="H1974" s="436" t="s">
        <v>916</v>
      </c>
      <c r="I1974" s="437">
        <v>3.0</v>
      </c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</row>
    <row r="1975" hidden="1">
      <c r="A1975" s="25"/>
      <c r="B1975" s="26"/>
      <c r="C1975" s="26"/>
      <c r="D1975" s="7"/>
      <c r="E1975" s="7"/>
      <c r="F1975" s="435">
        <v>45553.0</v>
      </c>
      <c r="G1975" s="278" t="s">
        <v>716</v>
      </c>
      <c r="H1975" s="436" t="s">
        <v>921</v>
      </c>
      <c r="I1975" s="437">
        <v>5.0</v>
      </c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</row>
    <row r="1976" hidden="1">
      <c r="A1976" s="25"/>
      <c r="B1976" s="26"/>
      <c r="C1976" s="26"/>
      <c r="D1976" s="7"/>
      <c r="E1976" s="7"/>
      <c r="F1976" s="435">
        <v>45553.0</v>
      </c>
      <c r="G1976" s="278" t="s">
        <v>716</v>
      </c>
      <c r="H1976" s="436" t="s">
        <v>387</v>
      </c>
      <c r="I1976" s="437">
        <v>3.0</v>
      </c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</row>
    <row r="1977" hidden="1">
      <c r="A1977" s="25"/>
      <c r="B1977" s="26"/>
      <c r="C1977" s="26"/>
      <c r="D1977" s="7"/>
      <c r="E1977" s="7"/>
      <c r="F1977" s="435">
        <v>45553.0</v>
      </c>
      <c r="G1977" s="278" t="s">
        <v>707</v>
      </c>
      <c r="H1977" s="436" t="s">
        <v>536</v>
      </c>
      <c r="I1977" s="437">
        <v>1.0</v>
      </c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</row>
    <row r="1978" hidden="1">
      <c r="A1978" s="25"/>
      <c r="B1978" s="26"/>
      <c r="C1978" s="26"/>
      <c r="D1978" s="7"/>
      <c r="E1978" s="7"/>
      <c r="F1978" s="435">
        <v>45553.0</v>
      </c>
      <c r="G1978" s="278" t="s">
        <v>707</v>
      </c>
      <c r="H1978" s="436" t="s">
        <v>918</v>
      </c>
      <c r="I1978" s="437">
        <v>2.0</v>
      </c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</row>
    <row r="1979" hidden="1">
      <c r="A1979" s="25"/>
      <c r="B1979" s="26"/>
      <c r="C1979" s="26"/>
      <c r="D1979" s="7"/>
      <c r="E1979" s="7"/>
      <c r="F1979" s="435">
        <v>45553.0</v>
      </c>
      <c r="G1979" s="278" t="s">
        <v>707</v>
      </c>
      <c r="H1979" s="436" t="s">
        <v>916</v>
      </c>
      <c r="I1979" s="437">
        <v>4.0</v>
      </c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</row>
    <row r="1980" hidden="1">
      <c r="A1980" s="25"/>
      <c r="B1980" s="26"/>
      <c r="C1980" s="26"/>
      <c r="D1980" s="7"/>
      <c r="E1980" s="7"/>
      <c r="F1980" s="435">
        <v>45553.0</v>
      </c>
      <c r="G1980" s="278" t="s">
        <v>707</v>
      </c>
      <c r="H1980" s="436" t="s">
        <v>921</v>
      </c>
      <c r="I1980" s="437">
        <v>2.0</v>
      </c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</row>
    <row r="1981" hidden="1">
      <c r="A1981" s="25"/>
      <c r="B1981" s="26"/>
      <c r="C1981" s="26"/>
      <c r="D1981" s="7"/>
      <c r="E1981" s="7"/>
      <c r="F1981" s="435">
        <v>45553.0</v>
      </c>
      <c r="G1981" s="278" t="s">
        <v>707</v>
      </c>
      <c r="H1981" s="436" t="s">
        <v>387</v>
      </c>
      <c r="I1981" s="437">
        <v>5.0</v>
      </c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</row>
    <row r="1982" hidden="1">
      <c r="A1982" s="25"/>
      <c r="B1982" s="26"/>
      <c r="C1982" s="26"/>
      <c r="D1982" s="7"/>
      <c r="E1982" s="7"/>
      <c r="F1982" s="435">
        <v>45554.0</v>
      </c>
      <c r="G1982" s="278" t="s">
        <v>716</v>
      </c>
      <c r="H1982" s="436" t="s">
        <v>536</v>
      </c>
      <c r="I1982" s="437">
        <v>2.0</v>
      </c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</row>
    <row r="1983" hidden="1">
      <c r="A1983" s="25"/>
      <c r="B1983" s="26"/>
      <c r="C1983" s="26"/>
      <c r="D1983" s="7"/>
      <c r="E1983" s="7"/>
      <c r="F1983" s="435">
        <v>45554.0</v>
      </c>
      <c r="G1983" s="278" t="s">
        <v>716</v>
      </c>
      <c r="H1983" s="436" t="s">
        <v>918</v>
      </c>
      <c r="I1983" s="437">
        <v>3.0</v>
      </c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</row>
    <row r="1984" hidden="1">
      <c r="A1984" s="25"/>
      <c r="B1984" s="26"/>
      <c r="C1984" s="26"/>
      <c r="D1984" s="7"/>
      <c r="E1984" s="7"/>
      <c r="F1984" s="435">
        <v>45554.0</v>
      </c>
      <c r="G1984" s="278" t="s">
        <v>716</v>
      </c>
      <c r="H1984" s="436" t="s">
        <v>916</v>
      </c>
      <c r="I1984" s="437">
        <v>1.0</v>
      </c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</row>
    <row r="1985" hidden="1">
      <c r="A1985" s="25"/>
      <c r="B1985" s="26"/>
      <c r="C1985" s="26"/>
      <c r="D1985" s="7"/>
      <c r="E1985" s="7"/>
      <c r="F1985" s="435">
        <v>45554.0</v>
      </c>
      <c r="G1985" s="278" t="s">
        <v>716</v>
      </c>
      <c r="H1985" s="436" t="s">
        <v>921</v>
      </c>
      <c r="I1985" s="437">
        <v>4.0</v>
      </c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</row>
    <row r="1986" hidden="1">
      <c r="A1986" s="25"/>
      <c r="B1986" s="26"/>
      <c r="C1986" s="26"/>
      <c r="D1986" s="7"/>
      <c r="E1986" s="7"/>
      <c r="F1986" s="435">
        <v>45554.0</v>
      </c>
      <c r="G1986" s="278" t="s">
        <v>716</v>
      </c>
      <c r="H1986" s="436" t="s">
        <v>387</v>
      </c>
      <c r="I1986" s="437">
        <v>1.0</v>
      </c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</row>
    <row r="1987" hidden="1">
      <c r="A1987" s="25"/>
      <c r="B1987" s="26"/>
      <c r="C1987" s="26"/>
      <c r="D1987" s="7"/>
      <c r="E1987" s="7"/>
      <c r="F1987" s="435">
        <v>45555.0</v>
      </c>
      <c r="G1987" s="278" t="s">
        <v>704</v>
      </c>
      <c r="H1987" s="436" t="s">
        <v>536</v>
      </c>
      <c r="I1987" s="437">
        <v>3.0</v>
      </c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</row>
    <row r="1988" hidden="1">
      <c r="A1988" s="25"/>
      <c r="B1988" s="26"/>
      <c r="C1988" s="26"/>
      <c r="D1988" s="7"/>
      <c r="E1988" s="7"/>
      <c r="F1988" s="435">
        <v>45555.0</v>
      </c>
      <c r="G1988" s="278" t="s">
        <v>704</v>
      </c>
      <c r="H1988" s="436" t="s">
        <v>918</v>
      </c>
      <c r="I1988" s="437">
        <v>2.0</v>
      </c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</row>
    <row r="1989" hidden="1">
      <c r="A1989" s="25"/>
      <c r="B1989" s="26"/>
      <c r="C1989" s="26"/>
      <c r="D1989" s="7"/>
      <c r="E1989" s="7"/>
      <c r="F1989" s="435">
        <v>45555.0</v>
      </c>
      <c r="G1989" s="278" t="s">
        <v>704</v>
      </c>
      <c r="H1989" s="436" t="s">
        <v>916</v>
      </c>
      <c r="I1989" s="437">
        <v>1.0</v>
      </c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</row>
    <row r="1990" hidden="1">
      <c r="A1990" s="25"/>
      <c r="B1990" s="26"/>
      <c r="C1990" s="26"/>
      <c r="D1990" s="7"/>
      <c r="E1990" s="7"/>
      <c r="F1990" s="435">
        <v>45555.0</v>
      </c>
      <c r="G1990" s="278" t="s">
        <v>704</v>
      </c>
      <c r="H1990" s="436" t="s">
        <v>921</v>
      </c>
      <c r="I1990" s="437">
        <v>5.0</v>
      </c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</row>
    <row r="1991" hidden="1">
      <c r="A1991" s="25"/>
      <c r="B1991" s="26"/>
      <c r="C1991" s="26"/>
      <c r="D1991" s="7"/>
      <c r="E1991" s="7"/>
      <c r="F1991" s="435">
        <v>45555.0</v>
      </c>
      <c r="G1991" s="278" t="s">
        <v>704</v>
      </c>
      <c r="H1991" s="436" t="s">
        <v>387</v>
      </c>
      <c r="I1991" s="437">
        <v>1.0</v>
      </c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</row>
    <row r="1992" hidden="1">
      <c r="A1992" s="25"/>
      <c r="B1992" s="26"/>
      <c r="C1992" s="26"/>
      <c r="D1992" s="7"/>
      <c r="E1992" s="7"/>
      <c r="F1992" s="435">
        <v>45557.0</v>
      </c>
      <c r="G1992" s="278" t="s">
        <v>704</v>
      </c>
      <c r="H1992" s="436" t="s">
        <v>536</v>
      </c>
      <c r="I1992" s="437">
        <v>2.0</v>
      </c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</row>
    <row r="1993" hidden="1">
      <c r="A1993" s="25"/>
      <c r="B1993" s="26"/>
      <c r="C1993" s="26"/>
      <c r="D1993" s="7"/>
      <c r="E1993" s="7"/>
      <c r="F1993" s="435">
        <v>45557.0</v>
      </c>
      <c r="G1993" s="278" t="s">
        <v>704</v>
      </c>
      <c r="H1993" s="436" t="s">
        <v>918</v>
      </c>
      <c r="I1993" s="437">
        <v>1.0</v>
      </c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</row>
    <row r="1994" hidden="1">
      <c r="A1994" s="25"/>
      <c r="B1994" s="26"/>
      <c r="C1994" s="26"/>
      <c r="D1994" s="7"/>
      <c r="E1994" s="7"/>
      <c r="F1994" s="435">
        <v>45557.0</v>
      </c>
      <c r="G1994" s="278" t="s">
        <v>704</v>
      </c>
      <c r="H1994" s="436" t="s">
        <v>916</v>
      </c>
      <c r="I1994" s="437">
        <v>4.0</v>
      </c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</row>
    <row r="1995" hidden="1">
      <c r="A1995" s="25"/>
      <c r="B1995" s="26"/>
      <c r="C1995" s="26"/>
      <c r="D1995" s="7"/>
      <c r="E1995" s="7"/>
      <c r="F1995" s="435">
        <v>45557.0</v>
      </c>
      <c r="G1995" s="278" t="s">
        <v>704</v>
      </c>
      <c r="H1995" s="436" t="s">
        <v>921</v>
      </c>
      <c r="I1995" s="437">
        <v>5.0</v>
      </c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</row>
    <row r="1996" hidden="1">
      <c r="A1996" s="25"/>
      <c r="B1996" s="26"/>
      <c r="C1996" s="26"/>
      <c r="D1996" s="7"/>
      <c r="E1996" s="7"/>
      <c r="F1996" s="435">
        <v>45557.0</v>
      </c>
      <c r="G1996" s="278" t="s">
        <v>704</v>
      </c>
      <c r="H1996" s="436" t="s">
        <v>387</v>
      </c>
      <c r="I1996" s="437">
        <v>2.0</v>
      </c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</row>
    <row r="1997" hidden="1">
      <c r="A1997" s="25"/>
      <c r="B1997" s="26"/>
      <c r="C1997" s="26"/>
      <c r="D1997" s="7"/>
      <c r="E1997" s="7"/>
      <c r="F1997" s="435">
        <v>45557.0</v>
      </c>
      <c r="G1997" s="278" t="s">
        <v>697</v>
      </c>
      <c r="H1997" s="436" t="s">
        <v>536</v>
      </c>
      <c r="I1997" s="437">
        <v>1.0</v>
      </c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</row>
    <row r="1998" hidden="1">
      <c r="A1998" s="25"/>
      <c r="B1998" s="26"/>
      <c r="C1998" s="26"/>
      <c r="D1998" s="7"/>
      <c r="E1998" s="7"/>
      <c r="F1998" s="435">
        <v>45557.0</v>
      </c>
      <c r="G1998" s="278" t="s">
        <v>697</v>
      </c>
      <c r="H1998" s="436" t="s">
        <v>536</v>
      </c>
      <c r="I1998" s="437">
        <v>1.0</v>
      </c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</row>
    <row r="1999" hidden="1">
      <c r="A1999" s="25"/>
      <c r="B1999" s="26"/>
      <c r="C1999" s="26"/>
      <c r="D1999" s="7"/>
      <c r="E1999" s="7"/>
      <c r="F1999" s="435">
        <v>45557.0</v>
      </c>
      <c r="G1999" s="278" t="s">
        <v>697</v>
      </c>
      <c r="H1999" s="436" t="s">
        <v>918</v>
      </c>
      <c r="I1999" s="437">
        <v>3.0</v>
      </c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</row>
    <row r="2000" hidden="1">
      <c r="A2000" s="25"/>
      <c r="B2000" s="26"/>
      <c r="C2000" s="26"/>
      <c r="D2000" s="7"/>
      <c r="E2000" s="7"/>
      <c r="F2000" s="435">
        <v>45557.0</v>
      </c>
      <c r="G2000" s="278" t="s">
        <v>697</v>
      </c>
      <c r="H2000" s="436" t="s">
        <v>918</v>
      </c>
      <c r="I2000" s="437">
        <v>1.0</v>
      </c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</row>
    <row r="2001" hidden="1">
      <c r="A2001" s="25"/>
      <c r="B2001" s="26"/>
      <c r="C2001" s="26"/>
      <c r="D2001" s="7"/>
      <c r="E2001" s="7"/>
      <c r="F2001" s="435">
        <v>45557.0</v>
      </c>
      <c r="G2001" s="278" t="s">
        <v>697</v>
      </c>
      <c r="H2001" s="436" t="s">
        <v>916</v>
      </c>
      <c r="I2001" s="437">
        <v>5.0</v>
      </c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</row>
    <row r="2002" hidden="1">
      <c r="A2002" s="25"/>
      <c r="B2002" s="26"/>
      <c r="C2002" s="26"/>
      <c r="D2002" s="7"/>
      <c r="E2002" s="7"/>
      <c r="F2002" s="435">
        <v>45557.0</v>
      </c>
      <c r="G2002" s="278" t="s">
        <v>697</v>
      </c>
      <c r="H2002" s="436" t="s">
        <v>916</v>
      </c>
      <c r="I2002" s="437">
        <v>1.0</v>
      </c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</row>
    <row r="2003" hidden="1">
      <c r="A2003" s="25"/>
      <c r="B2003" s="26"/>
      <c r="C2003" s="26"/>
      <c r="D2003" s="7"/>
      <c r="E2003" s="7"/>
      <c r="F2003" s="435">
        <v>45557.0</v>
      </c>
      <c r="G2003" s="278" t="s">
        <v>697</v>
      </c>
      <c r="H2003" s="436" t="s">
        <v>921</v>
      </c>
      <c r="I2003" s="437">
        <v>3.0</v>
      </c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</row>
    <row r="2004" hidden="1">
      <c r="A2004" s="25"/>
      <c r="B2004" s="26"/>
      <c r="C2004" s="26"/>
      <c r="D2004" s="7"/>
      <c r="E2004" s="7"/>
      <c r="F2004" s="435">
        <v>45557.0</v>
      </c>
      <c r="G2004" s="278" t="s">
        <v>697</v>
      </c>
      <c r="H2004" s="436" t="s">
        <v>921</v>
      </c>
      <c r="I2004" s="441">
        <v>5.0</v>
      </c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</row>
    <row r="2005" hidden="1">
      <c r="A2005" s="25"/>
      <c r="B2005" s="26"/>
      <c r="C2005" s="26"/>
      <c r="D2005" s="7"/>
      <c r="E2005" s="7"/>
      <c r="F2005" s="435">
        <v>45557.0</v>
      </c>
      <c r="G2005" s="278" t="s">
        <v>697</v>
      </c>
      <c r="H2005" s="436" t="s">
        <v>387</v>
      </c>
      <c r="I2005" s="437">
        <v>4.0</v>
      </c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</row>
    <row r="2006" hidden="1">
      <c r="A2006" s="25"/>
      <c r="B2006" s="26"/>
      <c r="C2006" s="26"/>
      <c r="D2006" s="7"/>
      <c r="E2006" s="7"/>
      <c r="F2006" s="435">
        <v>45557.0</v>
      </c>
      <c r="G2006" s="278" t="s">
        <v>697</v>
      </c>
      <c r="H2006" s="436" t="s">
        <v>387</v>
      </c>
      <c r="I2006" s="437">
        <v>2.0</v>
      </c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</row>
    <row r="2007" hidden="1">
      <c r="A2007" s="25"/>
      <c r="B2007" s="26"/>
      <c r="C2007" s="26"/>
      <c r="D2007" s="7"/>
      <c r="E2007" s="7"/>
      <c r="F2007" s="435">
        <v>45557.0</v>
      </c>
      <c r="G2007" s="278" t="s">
        <v>716</v>
      </c>
      <c r="H2007" s="436" t="s">
        <v>536</v>
      </c>
      <c r="I2007" s="437">
        <v>5.0</v>
      </c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</row>
    <row r="2008" hidden="1">
      <c r="A2008" s="25"/>
      <c r="B2008" s="26"/>
      <c r="C2008" s="26"/>
      <c r="D2008" s="7"/>
      <c r="E2008" s="7"/>
      <c r="F2008" s="435">
        <v>45557.0</v>
      </c>
      <c r="G2008" s="278" t="s">
        <v>716</v>
      </c>
      <c r="H2008" s="436" t="s">
        <v>918</v>
      </c>
      <c r="I2008" s="437">
        <v>2.0</v>
      </c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</row>
    <row r="2009" hidden="1">
      <c r="A2009" s="25"/>
      <c r="B2009" s="26"/>
      <c r="C2009" s="26"/>
      <c r="D2009" s="7"/>
      <c r="E2009" s="7"/>
      <c r="F2009" s="435">
        <v>45557.0</v>
      </c>
      <c r="G2009" s="278" t="s">
        <v>716</v>
      </c>
      <c r="H2009" s="436" t="s">
        <v>916</v>
      </c>
      <c r="I2009" s="437">
        <v>5.0</v>
      </c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</row>
    <row r="2010" hidden="1">
      <c r="A2010" s="25"/>
      <c r="B2010" s="26"/>
      <c r="C2010" s="26"/>
      <c r="D2010" s="7"/>
      <c r="E2010" s="7"/>
      <c r="F2010" s="435">
        <v>45557.0</v>
      </c>
      <c r="G2010" s="278" t="s">
        <v>716</v>
      </c>
      <c r="H2010" s="436" t="s">
        <v>921</v>
      </c>
      <c r="I2010" s="437">
        <v>4.0</v>
      </c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</row>
    <row r="2011" hidden="1">
      <c r="A2011" s="25"/>
      <c r="B2011" s="26"/>
      <c r="C2011" s="26"/>
      <c r="D2011" s="7"/>
      <c r="E2011" s="7"/>
      <c r="F2011" s="435">
        <v>45557.0</v>
      </c>
      <c r="G2011" s="278" t="s">
        <v>716</v>
      </c>
      <c r="H2011" s="436" t="s">
        <v>387</v>
      </c>
      <c r="I2011" s="437">
        <v>1.0</v>
      </c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</row>
    <row r="2012" hidden="1">
      <c r="A2012" s="25"/>
      <c r="B2012" s="26"/>
      <c r="C2012" s="26"/>
      <c r="D2012" s="7"/>
      <c r="E2012" s="7"/>
      <c r="F2012" s="435">
        <v>45558.0</v>
      </c>
      <c r="G2012" s="278" t="s">
        <v>716</v>
      </c>
      <c r="H2012" s="436" t="s">
        <v>536</v>
      </c>
      <c r="I2012" s="437">
        <v>5.0</v>
      </c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</row>
    <row r="2013" hidden="1">
      <c r="A2013" s="25"/>
      <c r="B2013" s="26"/>
      <c r="C2013" s="26"/>
      <c r="D2013" s="7"/>
      <c r="E2013" s="7"/>
      <c r="F2013" s="435">
        <v>45558.0</v>
      </c>
      <c r="G2013" s="278" t="s">
        <v>716</v>
      </c>
      <c r="H2013" s="436" t="s">
        <v>918</v>
      </c>
      <c r="I2013" s="437">
        <v>5.0</v>
      </c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</row>
    <row r="2014" hidden="1">
      <c r="A2014" s="25"/>
      <c r="B2014" s="26"/>
      <c r="C2014" s="26"/>
      <c r="D2014" s="7"/>
      <c r="E2014" s="7"/>
      <c r="F2014" s="435">
        <v>45558.0</v>
      </c>
      <c r="G2014" s="278" t="s">
        <v>716</v>
      </c>
      <c r="H2014" s="436" t="s">
        <v>916</v>
      </c>
      <c r="I2014" s="437">
        <v>4.0</v>
      </c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</row>
    <row r="2015" hidden="1">
      <c r="A2015" s="25"/>
      <c r="B2015" s="26"/>
      <c r="C2015" s="26"/>
      <c r="D2015" s="7"/>
      <c r="E2015" s="7"/>
      <c r="F2015" s="435">
        <v>45558.0</v>
      </c>
      <c r="G2015" s="278" t="s">
        <v>716</v>
      </c>
      <c r="H2015" s="436" t="s">
        <v>921</v>
      </c>
      <c r="I2015" s="437">
        <v>1.0</v>
      </c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</row>
    <row r="2016" hidden="1">
      <c r="A2016" s="25"/>
      <c r="B2016" s="26"/>
      <c r="C2016" s="26"/>
      <c r="D2016" s="7"/>
      <c r="E2016" s="7"/>
      <c r="F2016" s="435">
        <v>45558.0</v>
      </c>
      <c r="G2016" s="278" t="s">
        <v>716</v>
      </c>
      <c r="H2016" s="436" t="s">
        <v>387</v>
      </c>
      <c r="I2016" s="437">
        <v>3.0</v>
      </c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</row>
    <row r="2017" hidden="1">
      <c r="A2017" s="25"/>
      <c r="B2017" s="26"/>
      <c r="C2017" s="26"/>
      <c r="D2017" s="7"/>
      <c r="E2017" s="7"/>
      <c r="F2017" s="435">
        <v>45559.0</v>
      </c>
      <c r="G2017" s="278" t="s">
        <v>716</v>
      </c>
      <c r="H2017" s="436" t="s">
        <v>536</v>
      </c>
      <c r="I2017" s="437">
        <v>4.0</v>
      </c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</row>
    <row r="2018" hidden="1">
      <c r="A2018" s="25"/>
      <c r="B2018" s="26"/>
      <c r="C2018" s="26"/>
      <c r="D2018" s="7"/>
      <c r="E2018" s="7"/>
      <c r="F2018" s="435">
        <v>45559.0</v>
      </c>
      <c r="G2018" s="278" t="s">
        <v>716</v>
      </c>
      <c r="H2018" s="436" t="s">
        <v>918</v>
      </c>
      <c r="I2018" s="437">
        <v>5.0</v>
      </c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</row>
    <row r="2019" hidden="1">
      <c r="A2019" s="25"/>
      <c r="B2019" s="26"/>
      <c r="C2019" s="26"/>
      <c r="D2019" s="7"/>
      <c r="E2019" s="7"/>
      <c r="F2019" s="435">
        <v>45559.0</v>
      </c>
      <c r="G2019" s="278" t="s">
        <v>716</v>
      </c>
      <c r="H2019" s="436" t="s">
        <v>916</v>
      </c>
      <c r="I2019" s="437">
        <v>4.0</v>
      </c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</row>
    <row r="2020" hidden="1">
      <c r="A2020" s="25"/>
      <c r="B2020" s="26"/>
      <c r="C2020" s="26"/>
      <c r="D2020" s="7"/>
      <c r="E2020" s="7"/>
      <c r="F2020" s="435">
        <v>45559.0</v>
      </c>
      <c r="G2020" s="278" t="s">
        <v>716</v>
      </c>
      <c r="H2020" s="436" t="s">
        <v>921</v>
      </c>
      <c r="I2020" s="437">
        <v>2.0</v>
      </c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</row>
    <row r="2021" hidden="1">
      <c r="A2021" s="25"/>
      <c r="B2021" s="26"/>
      <c r="C2021" s="26"/>
      <c r="D2021" s="7"/>
      <c r="E2021" s="7"/>
      <c r="F2021" s="435">
        <v>45559.0</v>
      </c>
      <c r="G2021" s="278" t="s">
        <v>716</v>
      </c>
      <c r="H2021" s="436" t="s">
        <v>387</v>
      </c>
      <c r="I2021" s="437">
        <v>5.0</v>
      </c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</row>
    <row r="2022" hidden="1">
      <c r="A2022" s="25"/>
      <c r="B2022" s="26"/>
      <c r="C2022" s="26"/>
      <c r="D2022" s="7"/>
      <c r="E2022" s="7"/>
      <c r="F2022" s="435">
        <v>45560.0</v>
      </c>
      <c r="G2022" s="278" t="s">
        <v>697</v>
      </c>
      <c r="H2022" s="436" t="s">
        <v>536</v>
      </c>
      <c r="I2022" s="437">
        <v>2.0</v>
      </c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</row>
    <row r="2023" hidden="1">
      <c r="A2023" s="25"/>
      <c r="B2023" s="26"/>
      <c r="C2023" s="26"/>
      <c r="D2023" s="7"/>
      <c r="E2023" s="7"/>
      <c r="F2023" s="435">
        <v>45560.0</v>
      </c>
      <c r="G2023" s="278" t="s">
        <v>697</v>
      </c>
      <c r="H2023" s="436" t="s">
        <v>918</v>
      </c>
      <c r="I2023" s="441">
        <v>1.0</v>
      </c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</row>
    <row r="2024" hidden="1">
      <c r="A2024" s="25"/>
      <c r="B2024" s="26"/>
      <c r="C2024" s="26"/>
      <c r="D2024" s="7"/>
      <c r="E2024" s="7"/>
      <c r="F2024" s="435">
        <v>45560.0</v>
      </c>
      <c r="G2024" s="278" t="s">
        <v>697</v>
      </c>
      <c r="H2024" s="436" t="s">
        <v>916</v>
      </c>
      <c r="I2024" s="437">
        <v>2.0</v>
      </c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</row>
    <row r="2025" hidden="1">
      <c r="A2025" s="25"/>
      <c r="B2025" s="26"/>
      <c r="C2025" s="26"/>
      <c r="D2025" s="7"/>
      <c r="E2025" s="7"/>
      <c r="F2025" s="435">
        <v>45560.0</v>
      </c>
      <c r="G2025" s="278" t="s">
        <v>697</v>
      </c>
      <c r="H2025" s="436" t="s">
        <v>921</v>
      </c>
      <c r="I2025" s="437">
        <v>3.0</v>
      </c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</row>
    <row r="2026" hidden="1">
      <c r="A2026" s="25"/>
      <c r="B2026" s="26"/>
      <c r="C2026" s="26"/>
      <c r="D2026" s="7"/>
      <c r="E2026" s="7"/>
      <c r="F2026" s="435">
        <v>45560.0</v>
      </c>
      <c r="G2026" s="278" t="s">
        <v>697</v>
      </c>
      <c r="H2026" s="436" t="s">
        <v>387</v>
      </c>
      <c r="I2026" s="437">
        <v>5.0</v>
      </c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</row>
    <row r="2027" hidden="1">
      <c r="A2027" s="25"/>
      <c r="B2027" s="26"/>
      <c r="C2027" s="26"/>
      <c r="D2027" s="7"/>
      <c r="E2027" s="7"/>
      <c r="F2027" s="435">
        <v>45562.0</v>
      </c>
      <c r="G2027" s="278" t="s">
        <v>704</v>
      </c>
      <c r="H2027" s="436" t="s">
        <v>536</v>
      </c>
      <c r="I2027" s="437">
        <v>1.0</v>
      </c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</row>
    <row r="2028" hidden="1">
      <c r="A2028" s="25"/>
      <c r="B2028" s="26"/>
      <c r="C2028" s="26"/>
      <c r="D2028" s="7"/>
      <c r="E2028" s="7"/>
      <c r="F2028" s="435">
        <v>45562.0</v>
      </c>
      <c r="G2028" s="278" t="s">
        <v>704</v>
      </c>
      <c r="H2028" s="436" t="s">
        <v>918</v>
      </c>
      <c r="I2028" s="437">
        <v>3.0</v>
      </c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</row>
    <row r="2029" hidden="1">
      <c r="A2029" s="25"/>
      <c r="B2029" s="26"/>
      <c r="C2029" s="26"/>
      <c r="D2029" s="7"/>
      <c r="E2029" s="7"/>
      <c r="F2029" s="435">
        <v>45562.0</v>
      </c>
      <c r="G2029" s="278" t="s">
        <v>704</v>
      </c>
      <c r="H2029" s="436" t="s">
        <v>916</v>
      </c>
      <c r="I2029" s="437">
        <v>2.0</v>
      </c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</row>
    <row r="2030" hidden="1">
      <c r="A2030" s="25"/>
      <c r="B2030" s="26"/>
      <c r="C2030" s="26"/>
      <c r="D2030" s="7"/>
      <c r="E2030" s="7"/>
      <c r="F2030" s="435">
        <v>45562.0</v>
      </c>
      <c r="G2030" s="278" t="s">
        <v>704</v>
      </c>
      <c r="H2030" s="436" t="s">
        <v>921</v>
      </c>
      <c r="I2030" s="441">
        <v>5.0</v>
      </c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</row>
    <row r="2031" hidden="1">
      <c r="A2031" s="25"/>
      <c r="B2031" s="26"/>
      <c r="C2031" s="26"/>
      <c r="D2031" s="7"/>
      <c r="E2031" s="7"/>
      <c r="F2031" s="435">
        <v>45562.0</v>
      </c>
      <c r="G2031" s="278" t="s">
        <v>704</v>
      </c>
      <c r="H2031" s="436" t="s">
        <v>387</v>
      </c>
      <c r="I2031" s="437">
        <v>1.0</v>
      </c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</row>
    <row r="2032" hidden="1">
      <c r="A2032" s="25"/>
      <c r="B2032" s="26"/>
      <c r="C2032" s="26"/>
      <c r="D2032" s="7"/>
      <c r="E2032" s="7"/>
      <c r="F2032" s="435">
        <v>45562.0</v>
      </c>
      <c r="G2032" s="278" t="s">
        <v>716</v>
      </c>
      <c r="H2032" s="436" t="s">
        <v>536</v>
      </c>
      <c r="I2032" s="437">
        <v>3.0</v>
      </c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</row>
    <row r="2033" hidden="1">
      <c r="A2033" s="25"/>
      <c r="B2033" s="26"/>
      <c r="C2033" s="26"/>
      <c r="D2033" s="7"/>
      <c r="E2033" s="7"/>
      <c r="F2033" s="435">
        <v>45562.0</v>
      </c>
      <c r="G2033" s="278" t="s">
        <v>716</v>
      </c>
      <c r="H2033" s="436" t="s">
        <v>918</v>
      </c>
      <c r="I2033" s="437">
        <v>4.0</v>
      </c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</row>
    <row r="2034" hidden="1">
      <c r="A2034" s="25"/>
      <c r="B2034" s="26"/>
      <c r="C2034" s="26"/>
      <c r="D2034" s="7"/>
      <c r="E2034" s="7"/>
      <c r="F2034" s="435">
        <v>45562.0</v>
      </c>
      <c r="G2034" s="278" t="s">
        <v>716</v>
      </c>
      <c r="H2034" s="436" t="s">
        <v>916</v>
      </c>
      <c r="I2034" s="437">
        <v>4.0</v>
      </c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</row>
    <row r="2035" hidden="1">
      <c r="A2035" s="25"/>
      <c r="B2035" s="26"/>
      <c r="C2035" s="26"/>
      <c r="D2035" s="7"/>
      <c r="E2035" s="7"/>
      <c r="F2035" s="435">
        <v>45562.0</v>
      </c>
      <c r="G2035" s="278" t="s">
        <v>716</v>
      </c>
      <c r="H2035" s="436" t="s">
        <v>921</v>
      </c>
      <c r="I2035" s="437">
        <v>1.0</v>
      </c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</row>
    <row r="2036" hidden="1">
      <c r="A2036" s="25"/>
      <c r="B2036" s="26"/>
      <c r="C2036" s="26"/>
      <c r="D2036" s="7"/>
      <c r="E2036" s="7"/>
      <c r="F2036" s="435">
        <v>45562.0</v>
      </c>
      <c r="G2036" s="278" t="s">
        <v>716</v>
      </c>
      <c r="H2036" s="436" t="s">
        <v>387</v>
      </c>
      <c r="I2036" s="437">
        <v>3.0</v>
      </c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</row>
    <row r="2037" hidden="1">
      <c r="A2037" s="25"/>
      <c r="B2037" s="26"/>
      <c r="C2037" s="26"/>
      <c r="D2037" s="7"/>
      <c r="E2037" s="7"/>
      <c r="F2037" s="435">
        <v>45563.0</v>
      </c>
      <c r="G2037" s="278" t="s">
        <v>697</v>
      </c>
      <c r="H2037" s="436" t="s">
        <v>536</v>
      </c>
      <c r="I2037" s="437">
        <v>2.0</v>
      </c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</row>
    <row r="2038" hidden="1">
      <c r="A2038" s="25"/>
      <c r="B2038" s="26"/>
      <c r="C2038" s="26"/>
      <c r="D2038" s="7"/>
      <c r="E2038" s="7"/>
      <c r="F2038" s="435">
        <v>45563.0</v>
      </c>
      <c r="G2038" s="278" t="s">
        <v>697</v>
      </c>
      <c r="H2038" s="436" t="s">
        <v>918</v>
      </c>
      <c r="I2038" s="437">
        <v>2.0</v>
      </c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</row>
    <row r="2039" hidden="1">
      <c r="A2039" s="25"/>
      <c r="B2039" s="26"/>
      <c r="C2039" s="26"/>
      <c r="D2039" s="7"/>
      <c r="E2039" s="7"/>
      <c r="F2039" s="435">
        <v>45563.0</v>
      </c>
      <c r="G2039" s="278" t="s">
        <v>697</v>
      </c>
      <c r="H2039" s="436" t="s">
        <v>916</v>
      </c>
      <c r="I2039" s="437">
        <v>3.0</v>
      </c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</row>
    <row r="2040" hidden="1">
      <c r="A2040" s="25"/>
      <c r="B2040" s="26"/>
      <c r="C2040" s="26"/>
      <c r="D2040" s="7"/>
      <c r="E2040" s="7"/>
      <c r="F2040" s="435">
        <v>45563.0</v>
      </c>
      <c r="G2040" s="278" t="s">
        <v>697</v>
      </c>
      <c r="H2040" s="436" t="s">
        <v>921</v>
      </c>
      <c r="I2040" s="441">
        <v>5.0</v>
      </c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</row>
    <row r="2041" hidden="1">
      <c r="A2041" s="25"/>
      <c r="B2041" s="26"/>
      <c r="C2041" s="26"/>
      <c r="D2041" s="7"/>
      <c r="E2041" s="7"/>
      <c r="F2041" s="435">
        <v>45563.0</v>
      </c>
      <c r="G2041" s="278" t="s">
        <v>697</v>
      </c>
      <c r="H2041" s="436" t="s">
        <v>387</v>
      </c>
      <c r="I2041" s="441">
        <v>5.0</v>
      </c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</row>
    <row r="2042" hidden="1">
      <c r="A2042" s="25"/>
      <c r="B2042" s="26"/>
      <c r="C2042" s="26"/>
      <c r="D2042" s="7"/>
      <c r="E2042" s="7"/>
      <c r="F2042" s="435">
        <v>45563.0</v>
      </c>
      <c r="G2042" s="278" t="s">
        <v>716</v>
      </c>
      <c r="H2042" s="436" t="s">
        <v>536</v>
      </c>
      <c r="I2042" s="437">
        <v>3.0</v>
      </c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</row>
    <row r="2043" hidden="1">
      <c r="A2043" s="25"/>
      <c r="B2043" s="26"/>
      <c r="C2043" s="26"/>
      <c r="D2043" s="7"/>
      <c r="E2043" s="7"/>
      <c r="F2043" s="435">
        <v>45563.0</v>
      </c>
      <c r="G2043" s="278" t="s">
        <v>716</v>
      </c>
      <c r="H2043" s="436" t="s">
        <v>918</v>
      </c>
      <c r="I2043" s="437">
        <v>1.0</v>
      </c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</row>
    <row r="2044" hidden="1">
      <c r="A2044" s="25"/>
      <c r="B2044" s="26"/>
      <c r="C2044" s="26"/>
      <c r="D2044" s="7"/>
      <c r="E2044" s="7"/>
      <c r="F2044" s="435">
        <v>45563.0</v>
      </c>
      <c r="G2044" s="278" t="s">
        <v>716</v>
      </c>
      <c r="H2044" s="436" t="s">
        <v>916</v>
      </c>
      <c r="I2044" s="437">
        <v>5.0</v>
      </c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</row>
    <row r="2045" hidden="1">
      <c r="A2045" s="25"/>
      <c r="B2045" s="26"/>
      <c r="C2045" s="26"/>
      <c r="D2045" s="7"/>
      <c r="E2045" s="7"/>
      <c r="F2045" s="435">
        <v>45563.0</v>
      </c>
      <c r="G2045" s="278" t="s">
        <v>716</v>
      </c>
      <c r="H2045" s="436" t="s">
        <v>921</v>
      </c>
      <c r="I2045" s="437">
        <v>3.0</v>
      </c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</row>
    <row r="2046" hidden="1">
      <c r="A2046" s="25"/>
      <c r="B2046" s="26"/>
      <c r="C2046" s="26"/>
      <c r="D2046" s="7"/>
      <c r="E2046" s="7"/>
      <c r="F2046" s="435">
        <v>45563.0</v>
      </c>
      <c r="G2046" s="278" t="s">
        <v>716</v>
      </c>
      <c r="H2046" s="436" t="s">
        <v>387</v>
      </c>
      <c r="I2046" s="437">
        <v>2.0</v>
      </c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</row>
    <row r="2047" hidden="1">
      <c r="A2047" s="25"/>
      <c r="B2047" s="26"/>
      <c r="C2047" s="26"/>
      <c r="D2047" s="7"/>
      <c r="E2047" s="7"/>
      <c r="F2047" s="435">
        <v>45565.0</v>
      </c>
      <c r="G2047" s="278" t="s">
        <v>704</v>
      </c>
      <c r="H2047" s="436" t="s">
        <v>536</v>
      </c>
      <c r="I2047" s="437">
        <v>1.0</v>
      </c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</row>
    <row r="2048" hidden="1">
      <c r="A2048" s="25"/>
      <c r="B2048" s="26"/>
      <c r="C2048" s="26"/>
      <c r="D2048" s="7"/>
      <c r="E2048" s="7"/>
      <c r="F2048" s="435">
        <v>45565.0</v>
      </c>
      <c r="G2048" s="278" t="s">
        <v>704</v>
      </c>
      <c r="H2048" s="436" t="s">
        <v>918</v>
      </c>
      <c r="I2048" s="437">
        <v>5.0</v>
      </c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</row>
    <row r="2049" hidden="1">
      <c r="A2049" s="25"/>
      <c r="B2049" s="26"/>
      <c r="C2049" s="26"/>
      <c r="D2049" s="7"/>
      <c r="E2049" s="7"/>
      <c r="F2049" s="435">
        <v>45565.0</v>
      </c>
      <c r="G2049" s="278" t="s">
        <v>704</v>
      </c>
      <c r="H2049" s="436" t="s">
        <v>916</v>
      </c>
      <c r="I2049" s="437">
        <v>5.0</v>
      </c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</row>
    <row r="2050" hidden="1">
      <c r="A2050" s="25"/>
      <c r="B2050" s="26"/>
      <c r="C2050" s="26"/>
      <c r="D2050" s="7"/>
      <c r="E2050" s="7"/>
      <c r="F2050" s="435">
        <v>45565.0</v>
      </c>
      <c r="G2050" s="278" t="s">
        <v>704</v>
      </c>
      <c r="H2050" s="436" t="s">
        <v>921</v>
      </c>
      <c r="I2050" s="441">
        <v>5.0</v>
      </c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</row>
    <row r="2051" hidden="1">
      <c r="A2051" s="25"/>
      <c r="B2051" s="26"/>
      <c r="C2051" s="26"/>
      <c r="D2051" s="7"/>
      <c r="E2051" s="7"/>
      <c r="F2051" s="435">
        <v>45565.0</v>
      </c>
      <c r="G2051" s="278" t="s">
        <v>704</v>
      </c>
      <c r="H2051" s="436" t="s">
        <v>387</v>
      </c>
      <c r="I2051" s="437">
        <v>5.0</v>
      </c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</row>
    <row r="2052" hidden="1">
      <c r="A2052" s="25"/>
      <c r="B2052" s="26"/>
      <c r="C2052" s="26"/>
      <c r="D2052" s="7"/>
      <c r="E2052" s="7"/>
      <c r="F2052" s="435">
        <v>45569.0</v>
      </c>
      <c r="G2052" s="278" t="s">
        <v>704</v>
      </c>
      <c r="H2052" s="436" t="s">
        <v>536</v>
      </c>
      <c r="I2052" s="441">
        <v>2.0</v>
      </c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</row>
    <row r="2053" hidden="1">
      <c r="A2053" s="25"/>
      <c r="B2053" s="26"/>
      <c r="C2053" s="26"/>
      <c r="D2053" s="7"/>
      <c r="E2053" s="7"/>
      <c r="F2053" s="435">
        <v>45569.0</v>
      </c>
      <c r="G2053" s="278" t="s">
        <v>704</v>
      </c>
      <c r="H2053" s="436" t="s">
        <v>918</v>
      </c>
      <c r="I2053" s="437">
        <v>5.0</v>
      </c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</row>
    <row r="2054" hidden="1">
      <c r="A2054" s="25"/>
      <c r="B2054" s="26"/>
      <c r="C2054" s="26"/>
      <c r="D2054" s="7"/>
      <c r="E2054" s="7"/>
      <c r="F2054" s="435">
        <v>45569.0</v>
      </c>
      <c r="G2054" s="278" t="s">
        <v>704</v>
      </c>
      <c r="H2054" s="436" t="s">
        <v>916</v>
      </c>
      <c r="I2054" s="437">
        <v>1.0</v>
      </c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</row>
    <row r="2055" hidden="1">
      <c r="A2055" s="25"/>
      <c r="B2055" s="26"/>
      <c r="C2055" s="26"/>
      <c r="D2055" s="7"/>
      <c r="E2055" s="7"/>
      <c r="F2055" s="435">
        <v>45569.0</v>
      </c>
      <c r="G2055" s="278" t="s">
        <v>704</v>
      </c>
      <c r="H2055" s="436" t="s">
        <v>921</v>
      </c>
      <c r="I2055" s="437">
        <v>4.0</v>
      </c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</row>
    <row r="2056" hidden="1">
      <c r="A2056" s="25"/>
      <c r="B2056" s="26"/>
      <c r="C2056" s="26"/>
      <c r="D2056" s="7"/>
      <c r="E2056" s="7"/>
      <c r="F2056" s="435">
        <v>45569.0</v>
      </c>
      <c r="G2056" s="278" t="s">
        <v>704</v>
      </c>
      <c r="H2056" s="436" t="s">
        <v>387</v>
      </c>
      <c r="I2056" s="437">
        <v>4.0</v>
      </c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</row>
    <row r="2057" hidden="1">
      <c r="A2057" s="25"/>
      <c r="B2057" s="26"/>
      <c r="C2057" s="26"/>
      <c r="D2057" s="7"/>
      <c r="E2057" s="7"/>
      <c r="F2057" s="435">
        <v>45569.0</v>
      </c>
      <c r="G2057" s="278" t="s">
        <v>697</v>
      </c>
      <c r="H2057" s="436" t="s">
        <v>536</v>
      </c>
      <c r="I2057" s="437">
        <v>5.0</v>
      </c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</row>
    <row r="2058" hidden="1">
      <c r="A2058" s="25"/>
      <c r="B2058" s="26"/>
      <c r="C2058" s="26"/>
      <c r="D2058" s="7"/>
      <c r="E2058" s="7"/>
      <c r="F2058" s="435">
        <v>45569.0</v>
      </c>
      <c r="G2058" s="278" t="s">
        <v>697</v>
      </c>
      <c r="H2058" s="436" t="s">
        <v>918</v>
      </c>
      <c r="I2058" s="441">
        <v>1.0</v>
      </c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</row>
    <row r="2059" hidden="1">
      <c r="A2059" s="25"/>
      <c r="B2059" s="26"/>
      <c r="C2059" s="26"/>
      <c r="D2059" s="7"/>
      <c r="E2059" s="7"/>
      <c r="F2059" s="435">
        <v>45569.0</v>
      </c>
      <c r="G2059" s="278" t="s">
        <v>697</v>
      </c>
      <c r="H2059" s="436" t="s">
        <v>916</v>
      </c>
      <c r="I2059" s="437">
        <v>4.0</v>
      </c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</row>
    <row r="2060" hidden="1">
      <c r="A2060" s="25"/>
      <c r="B2060" s="26"/>
      <c r="C2060" s="26"/>
      <c r="D2060" s="7"/>
      <c r="E2060" s="7"/>
      <c r="F2060" s="435">
        <v>45569.0</v>
      </c>
      <c r="G2060" s="278" t="s">
        <v>697</v>
      </c>
      <c r="H2060" s="436" t="s">
        <v>921</v>
      </c>
      <c r="I2060" s="437">
        <v>2.0</v>
      </c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</row>
    <row r="2061" hidden="1">
      <c r="A2061" s="25"/>
      <c r="B2061" s="26"/>
      <c r="C2061" s="26"/>
      <c r="D2061" s="7"/>
      <c r="E2061" s="7"/>
      <c r="F2061" s="435">
        <v>45569.0</v>
      </c>
      <c r="G2061" s="278" t="s">
        <v>697</v>
      </c>
      <c r="H2061" s="436" t="s">
        <v>387</v>
      </c>
      <c r="I2061" s="441">
        <v>5.0</v>
      </c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</row>
    <row r="2062" hidden="1">
      <c r="A2062" s="25"/>
      <c r="B2062" s="26"/>
      <c r="C2062" s="26"/>
      <c r="D2062" s="7"/>
      <c r="E2062" s="7"/>
      <c r="F2062" s="435">
        <v>45569.0</v>
      </c>
      <c r="G2062" s="278" t="s">
        <v>707</v>
      </c>
      <c r="H2062" s="436" t="s">
        <v>536</v>
      </c>
      <c r="I2062" s="437">
        <v>1.0</v>
      </c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</row>
    <row r="2063" hidden="1">
      <c r="A2063" s="25"/>
      <c r="B2063" s="26"/>
      <c r="C2063" s="26"/>
      <c r="D2063" s="7"/>
      <c r="E2063" s="7"/>
      <c r="F2063" s="435">
        <v>45569.0</v>
      </c>
      <c r="G2063" s="278" t="s">
        <v>707</v>
      </c>
      <c r="H2063" s="436" t="s">
        <v>918</v>
      </c>
      <c r="I2063" s="437">
        <v>3.0</v>
      </c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</row>
    <row r="2064" hidden="1">
      <c r="A2064" s="25"/>
      <c r="B2064" s="26"/>
      <c r="C2064" s="26"/>
      <c r="D2064" s="7"/>
      <c r="E2064" s="7"/>
      <c r="F2064" s="435">
        <v>45569.0</v>
      </c>
      <c r="G2064" s="278" t="s">
        <v>707</v>
      </c>
      <c r="H2064" s="436" t="s">
        <v>916</v>
      </c>
      <c r="I2064" s="437">
        <v>4.0</v>
      </c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</row>
    <row r="2065" hidden="1">
      <c r="A2065" s="25"/>
      <c r="B2065" s="26"/>
      <c r="C2065" s="26"/>
      <c r="D2065" s="7"/>
      <c r="E2065" s="7"/>
      <c r="F2065" s="435">
        <v>45569.0</v>
      </c>
      <c r="G2065" s="278" t="s">
        <v>707</v>
      </c>
      <c r="H2065" s="436" t="s">
        <v>921</v>
      </c>
      <c r="I2065" s="437">
        <v>5.0</v>
      </c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</row>
    <row r="2066" hidden="1">
      <c r="A2066" s="25"/>
      <c r="B2066" s="26"/>
      <c r="C2066" s="26"/>
      <c r="D2066" s="7"/>
      <c r="E2066" s="7"/>
      <c r="F2066" s="435">
        <v>45569.0</v>
      </c>
      <c r="G2066" s="278" t="s">
        <v>707</v>
      </c>
      <c r="H2066" s="436" t="s">
        <v>387</v>
      </c>
      <c r="I2066" s="437">
        <v>3.0</v>
      </c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</row>
    <row r="2067" hidden="1">
      <c r="A2067" s="25"/>
      <c r="B2067" s="26"/>
      <c r="C2067" s="26"/>
      <c r="D2067" s="7"/>
      <c r="E2067" s="7"/>
      <c r="F2067" s="435">
        <v>45571.0</v>
      </c>
      <c r="G2067" s="278" t="s">
        <v>716</v>
      </c>
      <c r="H2067" s="436" t="s">
        <v>536</v>
      </c>
      <c r="I2067" s="437">
        <v>2.0</v>
      </c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</row>
    <row r="2068" hidden="1">
      <c r="A2068" s="25"/>
      <c r="B2068" s="26"/>
      <c r="C2068" s="26"/>
      <c r="D2068" s="7"/>
      <c r="E2068" s="7"/>
      <c r="F2068" s="435">
        <v>45571.0</v>
      </c>
      <c r="G2068" s="278" t="s">
        <v>716</v>
      </c>
      <c r="H2068" s="436" t="s">
        <v>918</v>
      </c>
      <c r="I2068" s="437">
        <v>3.0</v>
      </c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</row>
    <row r="2069" hidden="1">
      <c r="A2069" s="25"/>
      <c r="B2069" s="26"/>
      <c r="C2069" s="26"/>
      <c r="D2069" s="7"/>
      <c r="E2069" s="7"/>
      <c r="F2069" s="435">
        <v>45571.0</v>
      </c>
      <c r="G2069" s="278" t="s">
        <v>716</v>
      </c>
      <c r="H2069" s="436" t="s">
        <v>916</v>
      </c>
      <c r="I2069" s="437">
        <v>5.0</v>
      </c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</row>
    <row r="2070" hidden="1">
      <c r="A2070" s="25"/>
      <c r="B2070" s="26"/>
      <c r="C2070" s="26"/>
      <c r="D2070" s="7"/>
      <c r="E2070" s="7"/>
      <c r="F2070" s="435">
        <v>45571.0</v>
      </c>
      <c r="G2070" s="278" t="s">
        <v>716</v>
      </c>
      <c r="H2070" s="436" t="s">
        <v>921</v>
      </c>
      <c r="I2070" s="437">
        <v>2.0</v>
      </c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</row>
    <row r="2071" hidden="1">
      <c r="A2071" s="25"/>
      <c r="B2071" s="26"/>
      <c r="C2071" s="26"/>
      <c r="D2071" s="7"/>
      <c r="E2071" s="7"/>
      <c r="F2071" s="435">
        <v>45571.0</v>
      </c>
      <c r="G2071" s="278" t="s">
        <v>716</v>
      </c>
      <c r="H2071" s="436" t="s">
        <v>387</v>
      </c>
      <c r="I2071" s="437">
        <v>2.0</v>
      </c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</row>
    <row r="2072" hidden="1">
      <c r="A2072" s="25"/>
      <c r="B2072" s="26"/>
      <c r="C2072" s="26"/>
      <c r="D2072" s="7"/>
      <c r="E2072" s="7"/>
      <c r="F2072" s="435">
        <v>45573.0</v>
      </c>
      <c r="G2072" s="278" t="s">
        <v>697</v>
      </c>
      <c r="H2072" s="436" t="s">
        <v>536</v>
      </c>
      <c r="I2072" s="437">
        <v>1.0</v>
      </c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</row>
    <row r="2073" hidden="1">
      <c r="A2073" s="25"/>
      <c r="B2073" s="26"/>
      <c r="C2073" s="26"/>
      <c r="D2073" s="7"/>
      <c r="E2073" s="7"/>
      <c r="F2073" s="435">
        <v>45573.0</v>
      </c>
      <c r="G2073" s="278" t="s">
        <v>697</v>
      </c>
      <c r="H2073" s="436" t="s">
        <v>918</v>
      </c>
      <c r="I2073" s="441">
        <v>1.0</v>
      </c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</row>
    <row r="2074" hidden="1">
      <c r="A2074" s="25"/>
      <c r="B2074" s="26"/>
      <c r="C2074" s="26"/>
      <c r="D2074" s="7"/>
      <c r="E2074" s="7"/>
      <c r="F2074" s="435">
        <v>45573.0</v>
      </c>
      <c r="G2074" s="278" t="s">
        <v>697</v>
      </c>
      <c r="H2074" s="436" t="s">
        <v>916</v>
      </c>
      <c r="I2074" s="437">
        <v>1.0</v>
      </c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</row>
    <row r="2075" hidden="1">
      <c r="A2075" s="25"/>
      <c r="B2075" s="26"/>
      <c r="C2075" s="26"/>
      <c r="D2075" s="7"/>
      <c r="E2075" s="7"/>
      <c r="F2075" s="435">
        <v>45573.0</v>
      </c>
      <c r="G2075" s="278" t="s">
        <v>697</v>
      </c>
      <c r="H2075" s="436" t="s">
        <v>921</v>
      </c>
      <c r="I2075" s="441">
        <v>5.0</v>
      </c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</row>
    <row r="2076" hidden="1">
      <c r="A2076" s="25"/>
      <c r="B2076" s="26"/>
      <c r="C2076" s="26"/>
      <c r="D2076" s="7"/>
      <c r="E2076" s="7"/>
      <c r="F2076" s="435">
        <v>45573.0</v>
      </c>
      <c r="G2076" s="278" t="s">
        <v>697</v>
      </c>
      <c r="H2076" s="436" t="s">
        <v>387</v>
      </c>
      <c r="I2076" s="437">
        <v>5.0</v>
      </c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</row>
    <row r="2077" hidden="1">
      <c r="A2077" s="25"/>
      <c r="B2077" s="26"/>
      <c r="C2077" s="26"/>
      <c r="D2077" s="7"/>
      <c r="E2077" s="7"/>
      <c r="F2077" s="435">
        <v>45574.0</v>
      </c>
      <c r="G2077" s="278" t="s">
        <v>704</v>
      </c>
      <c r="H2077" s="436" t="s">
        <v>536</v>
      </c>
      <c r="I2077" s="441">
        <v>2.0</v>
      </c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</row>
    <row r="2078" hidden="1">
      <c r="A2078" s="25"/>
      <c r="B2078" s="26"/>
      <c r="C2078" s="26"/>
      <c r="D2078" s="7"/>
      <c r="E2078" s="7"/>
      <c r="F2078" s="435">
        <v>45574.0</v>
      </c>
      <c r="G2078" s="278" t="s">
        <v>704</v>
      </c>
      <c r="H2078" s="436" t="s">
        <v>918</v>
      </c>
      <c r="I2078" s="437">
        <v>4.0</v>
      </c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</row>
    <row r="2079" hidden="1">
      <c r="A2079" s="25"/>
      <c r="B2079" s="26"/>
      <c r="C2079" s="26"/>
      <c r="D2079" s="7"/>
      <c r="E2079" s="7"/>
      <c r="F2079" s="435">
        <v>45574.0</v>
      </c>
      <c r="G2079" s="278" t="s">
        <v>704</v>
      </c>
      <c r="H2079" s="436" t="s">
        <v>916</v>
      </c>
      <c r="I2079" s="437">
        <v>2.0</v>
      </c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</row>
    <row r="2080" hidden="1">
      <c r="A2080" s="25"/>
      <c r="B2080" s="26"/>
      <c r="C2080" s="26"/>
      <c r="D2080" s="7"/>
      <c r="E2080" s="7"/>
      <c r="F2080" s="435">
        <v>45574.0</v>
      </c>
      <c r="G2080" s="278" t="s">
        <v>704</v>
      </c>
      <c r="H2080" s="436" t="s">
        <v>921</v>
      </c>
      <c r="I2080" s="437">
        <v>4.0</v>
      </c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</row>
    <row r="2081" hidden="1">
      <c r="A2081" s="25"/>
      <c r="B2081" s="26"/>
      <c r="C2081" s="26"/>
      <c r="D2081" s="7"/>
      <c r="E2081" s="7"/>
      <c r="F2081" s="435">
        <v>45574.0</v>
      </c>
      <c r="G2081" s="278" t="s">
        <v>704</v>
      </c>
      <c r="H2081" s="436" t="s">
        <v>387</v>
      </c>
      <c r="I2081" s="437">
        <v>5.0</v>
      </c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</row>
    <row r="2082" hidden="1">
      <c r="A2082" s="25"/>
      <c r="B2082" s="26"/>
      <c r="C2082" s="26"/>
      <c r="D2082" s="7"/>
      <c r="E2082" s="7"/>
      <c r="F2082" s="435">
        <v>45574.0</v>
      </c>
      <c r="G2082" s="278" t="s">
        <v>697</v>
      </c>
      <c r="H2082" s="436" t="s">
        <v>536</v>
      </c>
      <c r="I2082" s="437">
        <v>2.0</v>
      </c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</row>
    <row r="2083" hidden="1">
      <c r="A2083" s="25"/>
      <c r="B2083" s="26"/>
      <c r="C2083" s="26"/>
      <c r="D2083" s="7"/>
      <c r="E2083" s="7"/>
      <c r="F2083" s="435">
        <v>45574.0</v>
      </c>
      <c r="G2083" s="278" t="s">
        <v>697</v>
      </c>
      <c r="H2083" s="436" t="s">
        <v>918</v>
      </c>
      <c r="I2083" s="441">
        <v>1.0</v>
      </c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</row>
    <row r="2084" hidden="1">
      <c r="A2084" s="25"/>
      <c r="B2084" s="26"/>
      <c r="C2084" s="26"/>
      <c r="D2084" s="7"/>
      <c r="E2084" s="7"/>
      <c r="F2084" s="435">
        <v>45574.0</v>
      </c>
      <c r="G2084" s="278" t="s">
        <v>697</v>
      </c>
      <c r="H2084" s="436" t="s">
        <v>916</v>
      </c>
      <c r="I2084" s="437">
        <v>5.0</v>
      </c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</row>
    <row r="2085" hidden="1">
      <c r="A2085" s="25"/>
      <c r="B2085" s="26"/>
      <c r="C2085" s="26"/>
      <c r="D2085" s="7"/>
      <c r="E2085" s="7"/>
      <c r="F2085" s="435">
        <v>45574.0</v>
      </c>
      <c r="G2085" s="278" t="s">
        <v>697</v>
      </c>
      <c r="H2085" s="436" t="s">
        <v>921</v>
      </c>
      <c r="I2085" s="441">
        <v>5.0</v>
      </c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</row>
    <row r="2086" hidden="1">
      <c r="A2086" s="25"/>
      <c r="B2086" s="26"/>
      <c r="C2086" s="26"/>
      <c r="D2086" s="7"/>
      <c r="E2086" s="7"/>
      <c r="F2086" s="435">
        <v>45574.0</v>
      </c>
      <c r="G2086" s="278" t="s">
        <v>697</v>
      </c>
      <c r="H2086" s="436" t="s">
        <v>387</v>
      </c>
      <c r="I2086" s="441">
        <v>5.0</v>
      </c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</row>
    <row r="2087" hidden="1">
      <c r="A2087" s="25"/>
      <c r="B2087" s="26"/>
      <c r="C2087" s="26"/>
      <c r="D2087" s="7"/>
      <c r="E2087" s="7"/>
      <c r="F2087" s="435">
        <v>45574.0</v>
      </c>
      <c r="G2087" s="278" t="s">
        <v>716</v>
      </c>
      <c r="H2087" s="436" t="s">
        <v>536</v>
      </c>
      <c r="I2087" s="437">
        <v>2.0</v>
      </c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</row>
    <row r="2088" hidden="1">
      <c r="A2088" s="25"/>
      <c r="B2088" s="26"/>
      <c r="C2088" s="26"/>
      <c r="D2088" s="7"/>
      <c r="E2088" s="7"/>
      <c r="F2088" s="435">
        <v>45574.0</v>
      </c>
      <c r="G2088" s="278" t="s">
        <v>716</v>
      </c>
      <c r="H2088" s="436" t="s">
        <v>918</v>
      </c>
      <c r="I2088" s="437">
        <v>2.0</v>
      </c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</row>
    <row r="2089" hidden="1">
      <c r="A2089" s="25"/>
      <c r="B2089" s="26"/>
      <c r="C2089" s="26"/>
      <c r="D2089" s="7"/>
      <c r="E2089" s="7"/>
      <c r="F2089" s="435">
        <v>45574.0</v>
      </c>
      <c r="G2089" s="278" t="s">
        <v>716</v>
      </c>
      <c r="H2089" s="436" t="s">
        <v>916</v>
      </c>
      <c r="I2089" s="437">
        <v>2.0</v>
      </c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</row>
    <row r="2090" hidden="1">
      <c r="A2090" s="25"/>
      <c r="B2090" s="26"/>
      <c r="C2090" s="26"/>
      <c r="D2090" s="7"/>
      <c r="E2090" s="7"/>
      <c r="F2090" s="435">
        <v>45574.0</v>
      </c>
      <c r="G2090" s="278" t="s">
        <v>716</v>
      </c>
      <c r="H2090" s="436" t="s">
        <v>921</v>
      </c>
      <c r="I2090" s="437">
        <v>4.0</v>
      </c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</row>
    <row r="2091">
      <c r="A2091" s="25"/>
      <c r="B2091" s="26"/>
      <c r="C2091" s="26"/>
      <c r="D2091" s="7"/>
      <c r="E2091" s="7"/>
      <c r="F2091" s="435">
        <v>45574.0</v>
      </c>
      <c r="G2091" s="278" t="s">
        <v>716</v>
      </c>
      <c r="H2091" s="436" t="s">
        <v>387</v>
      </c>
      <c r="I2091" s="437">
        <v>2.0</v>
      </c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</row>
    <row r="2092">
      <c r="A2092" s="25"/>
      <c r="B2092" s="26"/>
      <c r="C2092" s="26"/>
      <c r="D2092" s="7"/>
      <c r="E2092" s="7"/>
      <c r="F2092" s="7"/>
      <c r="G2092" s="7"/>
      <c r="H2092" s="7"/>
      <c r="I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</row>
  </sheetData>
  <mergeCells count="2180">
    <mergeCell ref="BB33:BD33"/>
    <mergeCell ref="BB34:BD34"/>
    <mergeCell ref="BB35:BD35"/>
    <mergeCell ref="BB36:BD36"/>
    <mergeCell ref="BB37:BD37"/>
    <mergeCell ref="BB38:BD38"/>
    <mergeCell ref="BB39:BD39"/>
    <mergeCell ref="BA61:BD61"/>
    <mergeCell ref="BA62:BD62"/>
    <mergeCell ref="BA63:BD63"/>
    <mergeCell ref="BA64:BD64"/>
    <mergeCell ref="BA65:BD65"/>
    <mergeCell ref="BB40:BD40"/>
    <mergeCell ref="BB41:BD41"/>
    <mergeCell ref="BB47:BD47"/>
    <mergeCell ref="BA57:BD57"/>
    <mergeCell ref="BA58:BD58"/>
    <mergeCell ref="BA59:BD59"/>
    <mergeCell ref="BA60:BD60"/>
    <mergeCell ref="F6:F7"/>
    <mergeCell ref="G6:Z6"/>
    <mergeCell ref="AA6:AD7"/>
    <mergeCell ref="AF6:AF7"/>
    <mergeCell ref="AG6:AZ6"/>
    <mergeCell ref="BA6:BD7"/>
    <mergeCell ref="BA8:BD8"/>
    <mergeCell ref="AA8:AD8"/>
    <mergeCell ref="AA9:AD9"/>
    <mergeCell ref="AA10:AD10"/>
    <mergeCell ref="AA11:AD11"/>
    <mergeCell ref="AA12:AD12"/>
    <mergeCell ref="AA13:AD13"/>
    <mergeCell ref="AA14:AD14"/>
    <mergeCell ref="BA9:BD9"/>
    <mergeCell ref="BA10:BD10"/>
    <mergeCell ref="BA11:BD11"/>
    <mergeCell ref="BA12:BD12"/>
    <mergeCell ref="BA13:BD13"/>
    <mergeCell ref="BA14:BD14"/>
    <mergeCell ref="BA15:BD15"/>
    <mergeCell ref="AA15:AD15"/>
    <mergeCell ref="AA21:AD21"/>
    <mergeCell ref="AA22:AD22"/>
    <mergeCell ref="AA23:AD23"/>
    <mergeCell ref="AA24:AD24"/>
    <mergeCell ref="AA25:AD25"/>
    <mergeCell ref="AA26:AD26"/>
    <mergeCell ref="AA32:AD32"/>
    <mergeCell ref="AB33:AD33"/>
    <mergeCell ref="AB34:AD34"/>
    <mergeCell ref="AB35:AD35"/>
    <mergeCell ref="AB36:AD36"/>
    <mergeCell ref="AB37:AD37"/>
    <mergeCell ref="AB38:AD38"/>
    <mergeCell ref="BB42:BD42"/>
    <mergeCell ref="BB43:BD43"/>
    <mergeCell ref="BB44:BD44"/>
    <mergeCell ref="BB45:BD45"/>
    <mergeCell ref="BB46:BD46"/>
    <mergeCell ref="BA21:BD21"/>
    <mergeCell ref="BA22:BD22"/>
    <mergeCell ref="BA23:BD23"/>
    <mergeCell ref="BA24:BD24"/>
    <mergeCell ref="BA25:BD25"/>
    <mergeCell ref="BA26:BD26"/>
    <mergeCell ref="BA32:BD32"/>
    <mergeCell ref="AB39:AD39"/>
    <mergeCell ref="AB40:AD40"/>
    <mergeCell ref="AB41:AD41"/>
    <mergeCell ref="AB42:AD42"/>
    <mergeCell ref="AB43:AD43"/>
    <mergeCell ref="AB44:AD44"/>
    <mergeCell ref="AB45:AD45"/>
    <mergeCell ref="AB46:AD46"/>
    <mergeCell ref="AB47:AD47"/>
    <mergeCell ref="AA57:AD57"/>
    <mergeCell ref="AA58:AD58"/>
    <mergeCell ref="AA59:AD59"/>
    <mergeCell ref="AA60:AD60"/>
    <mergeCell ref="AA61:AD61"/>
    <mergeCell ref="AA62:AD62"/>
    <mergeCell ref="AA63:AD63"/>
    <mergeCell ref="AA64:AD64"/>
    <mergeCell ref="AA65:AD65"/>
    <mergeCell ref="G68:K68"/>
    <mergeCell ref="G69:K69"/>
    <mergeCell ref="F71:G71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Q94:R94"/>
    <mergeCell ref="Q95:R95"/>
    <mergeCell ref="Q96:R96"/>
    <mergeCell ref="Q97:R97"/>
    <mergeCell ref="X96:Y96"/>
    <mergeCell ref="X97:Y97"/>
    <mergeCell ref="G87:I87"/>
    <mergeCell ref="G88:I88"/>
    <mergeCell ref="I94:J94"/>
    <mergeCell ref="K94:L94"/>
    <mergeCell ref="X94:Y94"/>
    <mergeCell ref="K95:L95"/>
    <mergeCell ref="X95:Y95"/>
    <mergeCell ref="Q98:R98"/>
    <mergeCell ref="X98:Y98"/>
    <mergeCell ref="I99:J99"/>
    <mergeCell ref="K99:L99"/>
    <mergeCell ref="Q99:R99"/>
    <mergeCell ref="X99:Y99"/>
    <mergeCell ref="I100:J100"/>
    <mergeCell ref="K100:L100"/>
    <mergeCell ref="Q100:R100"/>
    <mergeCell ref="X100:Y100"/>
    <mergeCell ref="I101:J101"/>
    <mergeCell ref="K101:L101"/>
    <mergeCell ref="Q101:R101"/>
    <mergeCell ref="X101:Y101"/>
    <mergeCell ref="I95:J95"/>
    <mergeCell ref="I96:J96"/>
    <mergeCell ref="K96:L96"/>
    <mergeCell ref="I97:J97"/>
    <mergeCell ref="K97:L97"/>
    <mergeCell ref="I98:J98"/>
    <mergeCell ref="K98:L98"/>
    <mergeCell ref="X104:Y104"/>
    <mergeCell ref="X105:Y105"/>
    <mergeCell ref="I102:J102"/>
    <mergeCell ref="K102:L102"/>
    <mergeCell ref="Q102:R102"/>
    <mergeCell ref="X102:Y102"/>
    <mergeCell ref="K103:L103"/>
    <mergeCell ref="Q103:R103"/>
    <mergeCell ref="X103:Y103"/>
    <mergeCell ref="I103:J103"/>
    <mergeCell ref="I104:J104"/>
    <mergeCell ref="K104:L104"/>
    <mergeCell ref="Q104:R104"/>
    <mergeCell ref="I105:J105"/>
    <mergeCell ref="K105:L105"/>
    <mergeCell ref="Q105:R105"/>
    <mergeCell ref="I106:J106"/>
    <mergeCell ref="K106:L106"/>
    <mergeCell ref="Q106:R106"/>
    <mergeCell ref="X106:Y106"/>
    <mergeCell ref="K107:L107"/>
    <mergeCell ref="Q107:R107"/>
    <mergeCell ref="X107:Y107"/>
    <mergeCell ref="X108:Y108"/>
    <mergeCell ref="X109:Y109"/>
    <mergeCell ref="X110:Y110"/>
    <mergeCell ref="I107:J107"/>
    <mergeCell ref="I108:J108"/>
    <mergeCell ref="K108:L108"/>
    <mergeCell ref="Q108:R108"/>
    <mergeCell ref="I109:J109"/>
    <mergeCell ref="K109:L109"/>
    <mergeCell ref="Q109:R109"/>
    <mergeCell ref="I110:J110"/>
    <mergeCell ref="K110:L110"/>
    <mergeCell ref="Q110:R110"/>
    <mergeCell ref="I111:J111"/>
    <mergeCell ref="K111:L111"/>
    <mergeCell ref="I112:J112"/>
    <mergeCell ref="K112:L112"/>
    <mergeCell ref="K117:L117"/>
    <mergeCell ref="K118:L118"/>
    <mergeCell ref="K139:L139"/>
    <mergeCell ref="K140:L140"/>
    <mergeCell ref="K132:L132"/>
    <mergeCell ref="K133:L133"/>
    <mergeCell ref="K134:L134"/>
    <mergeCell ref="K135:L135"/>
    <mergeCell ref="K136:L136"/>
    <mergeCell ref="K137:L137"/>
    <mergeCell ref="K138:L138"/>
    <mergeCell ref="I113:J113"/>
    <mergeCell ref="K113:L113"/>
    <mergeCell ref="I114:J114"/>
    <mergeCell ref="K114:L114"/>
    <mergeCell ref="I115:J115"/>
    <mergeCell ref="K115:L115"/>
    <mergeCell ref="K116:L116"/>
    <mergeCell ref="I116:J116"/>
    <mergeCell ref="I117:J117"/>
    <mergeCell ref="I118:J118"/>
    <mergeCell ref="I119:J119"/>
    <mergeCell ref="K119:L119"/>
    <mergeCell ref="I120:J120"/>
    <mergeCell ref="K120:L120"/>
    <mergeCell ref="I121:J121"/>
    <mergeCell ref="K121:L121"/>
    <mergeCell ref="I122:J122"/>
    <mergeCell ref="K122:L122"/>
    <mergeCell ref="I123:J123"/>
    <mergeCell ref="K123:L123"/>
    <mergeCell ref="K124:L124"/>
    <mergeCell ref="I124:J124"/>
    <mergeCell ref="I125:J125"/>
    <mergeCell ref="I126:J126"/>
    <mergeCell ref="I127:J127"/>
    <mergeCell ref="I128:J128"/>
    <mergeCell ref="I129:J129"/>
    <mergeCell ref="I130:J130"/>
    <mergeCell ref="K125:L125"/>
    <mergeCell ref="K126:L126"/>
    <mergeCell ref="K127:L127"/>
    <mergeCell ref="K128:L128"/>
    <mergeCell ref="K129:L129"/>
    <mergeCell ref="K130:L130"/>
    <mergeCell ref="K131:L131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K141:L141"/>
    <mergeCell ref="I142:J142"/>
    <mergeCell ref="K142:L142"/>
    <mergeCell ref="K255:L255"/>
    <mergeCell ref="K256:L256"/>
    <mergeCell ref="K248:L248"/>
    <mergeCell ref="K249:L249"/>
    <mergeCell ref="K250:L250"/>
    <mergeCell ref="K251:L251"/>
    <mergeCell ref="K252:L252"/>
    <mergeCell ref="K253:L253"/>
    <mergeCell ref="K254:L254"/>
    <mergeCell ref="I230:J230"/>
    <mergeCell ref="K230:L230"/>
    <mergeCell ref="I231:J231"/>
    <mergeCell ref="K231:L231"/>
    <mergeCell ref="I232:J232"/>
    <mergeCell ref="K232:L232"/>
    <mergeCell ref="K233:L233"/>
    <mergeCell ref="I233:J233"/>
    <mergeCell ref="I234:J234"/>
    <mergeCell ref="I235:J235"/>
    <mergeCell ref="I236:J236"/>
    <mergeCell ref="I237:J237"/>
    <mergeCell ref="I238:J238"/>
    <mergeCell ref="I239:J239"/>
    <mergeCell ref="K234:L234"/>
    <mergeCell ref="K235:L235"/>
    <mergeCell ref="K236:L236"/>
    <mergeCell ref="K237:L237"/>
    <mergeCell ref="K238:L238"/>
    <mergeCell ref="K239:L239"/>
    <mergeCell ref="K240:L240"/>
    <mergeCell ref="I240:J240"/>
    <mergeCell ref="I241:J241"/>
    <mergeCell ref="I242:J242"/>
    <mergeCell ref="I243:J243"/>
    <mergeCell ref="I244:J244"/>
    <mergeCell ref="I245:J245"/>
    <mergeCell ref="I246:J246"/>
    <mergeCell ref="K241:L241"/>
    <mergeCell ref="K242:L242"/>
    <mergeCell ref="K243:L243"/>
    <mergeCell ref="K244:L244"/>
    <mergeCell ref="K245:L245"/>
    <mergeCell ref="K246:L246"/>
    <mergeCell ref="K247:L247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K257:L257"/>
    <mergeCell ref="I258:J258"/>
    <mergeCell ref="K258:L258"/>
    <mergeCell ref="K284:L284"/>
    <mergeCell ref="K285:L285"/>
    <mergeCell ref="K277:L277"/>
    <mergeCell ref="K278:L278"/>
    <mergeCell ref="K279:L279"/>
    <mergeCell ref="K280:L280"/>
    <mergeCell ref="K281:L281"/>
    <mergeCell ref="K282:L282"/>
    <mergeCell ref="K283:L283"/>
    <mergeCell ref="I259:J259"/>
    <mergeCell ref="K259:L259"/>
    <mergeCell ref="I260:J260"/>
    <mergeCell ref="K260:L260"/>
    <mergeCell ref="I261:J261"/>
    <mergeCell ref="K261:L261"/>
    <mergeCell ref="K262:L262"/>
    <mergeCell ref="I262:J262"/>
    <mergeCell ref="I263:J263"/>
    <mergeCell ref="I264:J264"/>
    <mergeCell ref="I265:J265"/>
    <mergeCell ref="I266:J266"/>
    <mergeCell ref="I267:J267"/>
    <mergeCell ref="I268:J268"/>
    <mergeCell ref="K263:L263"/>
    <mergeCell ref="K264:L264"/>
    <mergeCell ref="K265:L265"/>
    <mergeCell ref="K266:L266"/>
    <mergeCell ref="K267:L267"/>
    <mergeCell ref="K268:L268"/>
    <mergeCell ref="K269:L269"/>
    <mergeCell ref="I269:J269"/>
    <mergeCell ref="I270:J270"/>
    <mergeCell ref="I271:J271"/>
    <mergeCell ref="I272:J272"/>
    <mergeCell ref="I273:J273"/>
    <mergeCell ref="I274:J274"/>
    <mergeCell ref="I275:J275"/>
    <mergeCell ref="K270:L270"/>
    <mergeCell ref="K271:L271"/>
    <mergeCell ref="K272:L272"/>
    <mergeCell ref="K273:L273"/>
    <mergeCell ref="K274:L274"/>
    <mergeCell ref="K275:L275"/>
    <mergeCell ref="K276:L276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K286:L286"/>
    <mergeCell ref="I287:J287"/>
    <mergeCell ref="K287:L287"/>
    <mergeCell ref="K313:L313"/>
    <mergeCell ref="K314:L314"/>
    <mergeCell ref="K306:L306"/>
    <mergeCell ref="K307:L307"/>
    <mergeCell ref="K308:L308"/>
    <mergeCell ref="K309:L309"/>
    <mergeCell ref="K310:L310"/>
    <mergeCell ref="K311:L311"/>
    <mergeCell ref="K312:L312"/>
    <mergeCell ref="I288:J288"/>
    <mergeCell ref="K288:L288"/>
    <mergeCell ref="I289:J289"/>
    <mergeCell ref="K289:L289"/>
    <mergeCell ref="I290:J290"/>
    <mergeCell ref="K290:L290"/>
    <mergeCell ref="K291:L291"/>
    <mergeCell ref="I291:J291"/>
    <mergeCell ref="I292:J292"/>
    <mergeCell ref="I293:J293"/>
    <mergeCell ref="I294:J294"/>
    <mergeCell ref="I295:J295"/>
    <mergeCell ref="I296:J296"/>
    <mergeCell ref="I297:J297"/>
    <mergeCell ref="K292:L292"/>
    <mergeCell ref="K293:L293"/>
    <mergeCell ref="K294:L294"/>
    <mergeCell ref="K295:L295"/>
    <mergeCell ref="K296:L296"/>
    <mergeCell ref="K297:L297"/>
    <mergeCell ref="K298:L298"/>
    <mergeCell ref="I298:J298"/>
    <mergeCell ref="I299:J299"/>
    <mergeCell ref="I300:J300"/>
    <mergeCell ref="I301:J301"/>
    <mergeCell ref="I302:J302"/>
    <mergeCell ref="I303:J303"/>
    <mergeCell ref="I304:J304"/>
    <mergeCell ref="K299:L299"/>
    <mergeCell ref="K300:L300"/>
    <mergeCell ref="K301:L301"/>
    <mergeCell ref="K302:L302"/>
    <mergeCell ref="K303:L303"/>
    <mergeCell ref="K304:L304"/>
    <mergeCell ref="K305:L305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K315:L315"/>
    <mergeCell ref="I316:J316"/>
    <mergeCell ref="K316:L316"/>
    <mergeCell ref="K342:L342"/>
    <mergeCell ref="K343:L343"/>
    <mergeCell ref="K335:L335"/>
    <mergeCell ref="K336:L336"/>
    <mergeCell ref="K337:L337"/>
    <mergeCell ref="K338:L338"/>
    <mergeCell ref="K339:L339"/>
    <mergeCell ref="K340:L340"/>
    <mergeCell ref="K341:L341"/>
    <mergeCell ref="I317:J317"/>
    <mergeCell ref="K317:L317"/>
    <mergeCell ref="I318:J318"/>
    <mergeCell ref="K318:L318"/>
    <mergeCell ref="I319:J319"/>
    <mergeCell ref="K319:L319"/>
    <mergeCell ref="K320:L320"/>
    <mergeCell ref="I320:J320"/>
    <mergeCell ref="I321:J321"/>
    <mergeCell ref="I322:J322"/>
    <mergeCell ref="I323:J323"/>
    <mergeCell ref="I324:J324"/>
    <mergeCell ref="I325:J325"/>
    <mergeCell ref="I326:J326"/>
    <mergeCell ref="K321:L321"/>
    <mergeCell ref="K322:L322"/>
    <mergeCell ref="K323:L323"/>
    <mergeCell ref="K324:L324"/>
    <mergeCell ref="K325:L325"/>
    <mergeCell ref="K326:L326"/>
    <mergeCell ref="K327:L327"/>
    <mergeCell ref="I327:J327"/>
    <mergeCell ref="I328:J328"/>
    <mergeCell ref="I329:J329"/>
    <mergeCell ref="I330:J330"/>
    <mergeCell ref="I331:J331"/>
    <mergeCell ref="I332:J332"/>
    <mergeCell ref="I333:J333"/>
    <mergeCell ref="K328:L328"/>
    <mergeCell ref="K329:L329"/>
    <mergeCell ref="K330:L330"/>
    <mergeCell ref="K331:L331"/>
    <mergeCell ref="K332:L332"/>
    <mergeCell ref="K333:L333"/>
    <mergeCell ref="K334:L334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K344:L344"/>
    <mergeCell ref="I345:J345"/>
    <mergeCell ref="K345:L345"/>
    <mergeCell ref="K371:L371"/>
    <mergeCell ref="K372:L372"/>
    <mergeCell ref="K364:L364"/>
    <mergeCell ref="K365:L365"/>
    <mergeCell ref="K366:L366"/>
    <mergeCell ref="K367:L367"/>
    <mergeCell ref="K368:L368"/>
    <mergeCell ref="K369:L369"/>
    <mergeCell ref="K370:L370"/>
    <mergeCell ref="I346:J346"/>
    <mergeCell ref="K346:L346"/>
    <mergeCell ref="I347:J347"/>
    <mergeCell ref="K347:L347"/>
    <mergeCell ref="I348:J348"/>
    <mergeCell ref="K348:L348"/>
    <mergeCell ref="K349:L349"/>
    <mergeCell ref="I349:J349"/>
    <mergeCell ref="I350:J350"/>
    <mergeCell ref="I351:J351"/>
    <mergeCell ref="I352:J352"/>
    <mergeCell ref="I353:J353"/>
    <mergeCell ref="I354:J354"/>
    <mergeCell ref="I355:J355"/>
    <mergeCell ref="K350:L350"/>
    <mergeCell ref="K351:L351"/>
    <mergeCell ref="K352:L352"/>
    <mergeCell ref="K353:L353"/>
    <mergeCell ref="K354:L354"/>
    <mergeCell ref="K355:L355"/>
    <mergeCell ref="K356:L356"/>
    <mergeCell ref="I356:J356"/>
    <mergeCell ref="I357:J357"/>
    <mergeCell ref="I358:J358"/>
    <mergeCell ref="I359:J359"/>
    <mergeCell ref="I360:J360"/>
    <mergeCell ref="I361:J361"/>
    <mergeCell ref="I362:J362"/>
    <mergeCell ref="K357:L357"/>
    <mergeCell ref="K358:L358"/>
    <mergeCell ref="K359:L359"/>
    <mergeCell ref="K360:L360"/>
    <mergeCell ref="K361:L361"/>
    <mergeCell ref="K362:L362"/>
    <mergeCell ref="K363:L363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K373:L373"/>
    <mergeCell ref="I374:J374"/>
    <mergeCell ref="K374:L374"/>
    <mergeCell ref="K400:L400"/>
    <mergeCell ref="K401:L401"/>
    <mergeCell ref="K393:L393"/>
    <mergeCell ref="K394:L394"/>
    <mergeCell ref="K395:L395"/>
    <mergeCell ref="K396:L396"/>
    <mergeCell ref="K397:L397"/>
    <mergeCell ref="K398:L398"/>
    <mergeCell ref="K399:L399"/>
    <mergeCell ref="I375:J375"/>
    <mergeCell ref="K375:L375"/>
    <mergeCell ref="I376:J376"/>
    <mergeCell ref="K376:L376"/>
    <mergeCell ref="I377:J377"/>
    <mergeCell ref="K377:L377"/>
    <mergeCell ref="K378:L378"/>
    <mergeCell ref="I378:J378"/>
    <mergeCell ref="I379:J379"/>
    <mergeCell ref="I380:J380"/>
    <mergeCell ref="I381:J381"/>
    <mergeCell ref="I382:J382"/>
    <mergeCell ref="I383:J383"/>
    <mergeCell ref="I384:J384"/>
    <mergeCell ref="K379:L379"/>
    <mergeCell ref="K380:L380"/>
    <mergeCell ref="K381:L381"/>
    <mergeCell ref="K382:L382"/>
    <mergeCell ref="K383:L383"/>
    <mergeCell ref="K384:L384"/>
    <mergeCell ref="K385:L385"/>
    <mergeCell ref="I385:J385"/>
    <mergeCell ref="I386:J386"/>
    <mergeCell ref="I387:J387"/>
    <mergeCell ref="I388:J388"/>
    <mergeCell ref="I389:J389"/>
    <mergeCell ref="I390:J390"/>
    <mergeCell ref="I391:J391"/>
    <mergeCell ref="K386:L386"/>
    <mergeCell ref="K387:L387"/>
    <mergeCell ref="K388:L388"/>
    <mergeCell ref="K389:L389"/>
    <mergeCell ref="K390:L390"/>
    <mergeCell ref="K391:L391"/>
    <mergeCell ref="K392:L392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K402:L402"/>
    <mergeCell ref="I403:J403"/>
    <mergeCell ref="K403:L403"/>
    <mergeCell ref="K429:L429"/>
    <mergeCell ref="K430:L430"/>
    <mergeCell ref="K422:L422"/>
    <mergeCell ref="K423:L423"/>
    <mergeCell ref="K424:L424"/>
    <mergeCell ref="K425:L425"/>
    <mergeCell ref="K426:L426"/>
    <mergeCell ref="K427:L427"/>
    <mergeCell ref="K428:L428"/>
    <mergeCell ref="I404:J404"/>
    <mergeCell ref="K404:L404"/>
    <mergeCell ref="I405:J405"/>
    <mergeCell ref="K405:L405"/>
    <mergeCell ref="I406:J406"/>
    <mergeCell ref="K406:L406"/>
    <mergeCell ref="K407:L407"/>
    <mergeCell ref="I407:J407"/>
    <mergeCell ref="I408:J408"/>
    <mergeCell ref="I409:J409"/>
    <mergeCell ref="I410:J410"/>
    <mergeCell ref="I411:J411"/>
    <mergeCell ref="I412:J412"/>
    <mergeCell ref="I413:J413"/>
    <mergeCell ref="K408:L408"/>
    <mergeCell ref="K409:L409"/>
    <mergeCell ref="K410:L410"/>
    <mergeCell ref="K411:L411"/>
    <mergeCell ref="K412:L412"/>
    <mergeCell ref="K413:L413"/>
    <mergeCell ref="K414:L414"/>
    <mergeCell ref="I414:J414"/>
    <mergeCell ref="I415:J415"/>
    <mergeCell ref="I416:J416"/>
    <mergeCell ref="I417:J417"/>
    <mergeCell ref="I418:J418"/>
    <mergeCell ref="I419:J419"/>
    <mergeCell ref="I420:J420"/>
    <mergeCell ref="K415:L415"/>
    <mergeCell ref="K416:L416"/>
    <mergeCell ref="K417:L417"/>
    <mergeCell ref="K418:L418"/>
    <mergeCell ref="K419:L419"/>
    <mergeCell ref="K420:L420"/>
    <mergeCell ref="K421:L421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K431:L431"/>
    <mergeCell ref="I432:J432"/>
    <mergeCell ref="K432:L432"/>
    <mergeCell ref="K458:L458"/>
    <mergeCell ref="K459:L459"/>
    <mergeCell ref="K451:L451"/>
    <mergeCell ref="K452:L452"/>
    <mergeCell ref="K453:L453"/>
    <mergeCell ref="K454:L454"/>
    <mergeCell ref="K455:L455"/>
    <mergeCell ref="K456:L456"/>
    <mergeCell ref="K457:L457"/>
    <mergeCell ref="I433:J433"/>
    <mergeCell ref="K433:L433"/>
    <mergeCell ref="I434:J434"/>
    <mergeCell ref="K434:L434"/>
    <mergeCell ref="I435:J435"/>
    <mergeCell ref="K435:L435"/>
    <mergeCell ref="K436:L436"/>
    <mergeCell ref="I436:J436"/>
    <mergeCell ref="I437:J437"/>
    <mergeCell ref="I438:J438"/>
    <mergeCell ref="I439:J439"/>
    <mergeCell ref="I440:J440"/>
    <mergeCell ref="I441:J441"/>
    <mergeCell ref="I442:J442"/>
    <mergeCell ref="K437:L437"/>
    <mergeCell ref="K438:L438"/>
    <mergeCell ref="K439:L439"/>
    <mergeCell ref="K440:L440"/>
    <mergeCell ref="K441:L441"/>
    <mergeCell ref="K442:L442"/>
    <mergeCell ref="K443:L443"/>
    <mergeCell ref="I443:J443"/>
    <mergeCell ref="I444:J444"/>
    <mergeCell ref="I445:J445"/>
    <mergeCell ref="I446:J446"/>
    <mergeCell ref="I447:J447"/>
    <mergeCell ref="I448:J448"/>
    <mergeCell ref="I449:J449"/>
    <mergeCell ref="K444:L444"/>
    <mergeCell ref="K445:L445"/>
    <mergeCell ref="K446:L446"/>
    <mergeCell ref="K447:L447"/>
    <mergeCell ref="K448:L448"/>
    <mergeCell ref="K449:L449"/>
    <mergeCell ref="K450:L450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K460:L460"/>
    <mergeCell ref="I461:J461"/>
    <mergeCell ref="K461:L461"/>
    <mergeCell ref="K487:L487"/>
    <mergeCell ref="K488:L488"/>
    <mergeCell ref="K480:L480"/>
    <mergeCell ref="K481:L481"/>
    <mergeCell ref="K482:L482"/>
    <mergeCell ref="K483:L483"/>
    <mergeCell ref="K484:L484"/>
    <mergeCell ref="K485:L485"/>
    <mergeCell ref="K486:L486"/>
    <mergeCell ref="I462:J462"/>
    <mergeCell ref="K462:L462"/>
    <mergeCell ref="I463:J463"/>
    <mergeCell ref="K463:L463"/>
    <mergeCell ref="I464:J464"/>
    <mergeCell ref="K464:L464"/>
    <mergeCell ref="K465:L465"/>
    <mergeCell ref="I465:J465"/>
    <mergeCell ref="I466:J466"/>
    <mergeCell ref="I467:J467"/>
    <mergeCell ref="I468:J468"/>
    <mergeCell ref="I469:J469"/>
    <mergeCell ref="I470:J470"/>
    <mergeCell ref="I471:J471"/>
    <mergeCell ref="K466:L466"/>
    <mergeCell ref="K467:L467"/>
    <mergeCell ref="K468:L468"/>
    <mergeCell ref="K469:L469"/>
    <mergeCell ref="K470:L470"/>
    <mergeCell ref="K471:L471"/>
    <mergeCell ref="K472:L472"/>
    <mergeCell ref="I472:J472"/>
    <mergeCell ref="I473:J473"/>
    <mergeCell ref="I474:J474"/>
    <mergeCell ref="I475:J475"/>
    <mergeCell ref="I476:J476"/>
    <mergeCell ref="I477:J477"/>
    <mergeCell ref="I478:J478"/>
    <mergeCell ref="K473:L473"/>
    <mergeCell ref="K474:L474"/>
    <mergeCell ref="K475:L475"/>
    <mergeCell ref="K476:L476"/>
    <mergeCell ref="K477:L477"/>
    <mergeCell ref="K478:L478"/>
    <mergeCell ref="K479:L479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K489:L489"/>
    <mergeCell ref="I490:J490"/>
    <mergeCell ref="K490:L490"/>
    <mergeCell ref="K516:L516"/>
    <mergeCell ref="K517:L517"/>
    <mergeCell ref="K509:L509"/>
    <mergeCell ref="K510:L510"/>
    <mergeCell ref="K511:L511"/>
    <mergeCell ref="K512:L512"/>
    <mergeCell ref="K513:L513"/>
    <mergeCell ref="K514:L514"/>
    <mergeCell ref="K515:L515"/>
    <mergeCell ref="I491:J491"/>
    <mergeCell ref="K491:L491"/>
    <mergeCell ref="I492:J492"/>
    <mergeCell ref="K492:L492"/>
    <mergeCell ref="I493:J493"/>
    <mergeCell ref="K493:L493"/>
    <mergeCell ref="K494:L494"/>
    <mergeCell ref="I494:J494"/>
    <mergeCell ref="I495:J495"/>
    <mergeCell ref="I496:J496"/>
    <mergeCell ref="I497:J497"/>
    <mergeCell ref="I498:J498"/>
    <mergeCell ref="I499:J499"/>
    <mergeCell ref="I500:J500"/>
    <mergeCell ref="K495:L495"/>
    <mergeCell ref="K496:L496"/>
    <mergeCell ref="K497:L497"/>
    <mergeCell ref="K498:L498"/>
    <mergeCell ref="K499:L499"/>
    <mergeCell ref="K500:L500"/>
    <mergeCell ref="K501:L501"/>
    <mergeCell ref="I501:J501"/>
    <mergeCell ref="I502:J502"/>
    <mergeCell ref="I503:J503"/>
    <mergeCell ref="I504:J504"/>
    <mergeCell ref="I505:J505"/>
    <mergeCell ref="I506:J506"/>
    <mergeCell ref="I507:J507"/>
    <mergeCell ref="K502:L502"/>
    <mergeCell ref="K503:L503"/>
    <mergeCell ref="K504:L504"/>
    <mergeCell ref="K505:L505"/>
    <mergeCell ref="K506:L506"/>
    <mergeCell ref="K507:L507"/>
    <mergeCell ref="K508:L508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K518:L518"/>
    <mergeCell ref="I519:J519"/>
    <mergeCell ref="K519:L519"/>
    <mergeCell ref="K545:L545"/>
    <mergeCell ref="K546:L546"/>
    <mergeCell ref="K538:L538"/>
    <mergeCell ref="K539:L539"/>
    <mergeCell ref="K540:L540"/>
    <mergeCell ref="K541:L541"/>
    <mergeCell ref="K542:L542"/>
    <mergeCell ref="K543:L543"/>
    <mergeCell ref="K544:L544"/>
    <mergeCell ref="I520:J520"/>
    <mergeCell ref="K520:L520"/>
    <mergeCell ref="I521:J521"/>
    <mergeCell ref="K521:L521"/>
    <mergeCell ref="I522:J522"/>
    <mergeCell ref="K522:L522"/>
    <mergeCell ref="K523:L523"/>
    <mergeCell ref="I523:J523"/>
    <mergeCell ref="I524:J524"/>
    <mergeCell ref="I525:J525"/>
    <mergeCell ref="I526:J526"/>
    <mergeCell ref="I527:J527"/>
    <mergeCell ref="I528:J528"/>
    <mergeCell ref="I529:J529"/>
    <mergeCell ref="K524:L524"/>
    <mergeCell ref="K525:L525"/>
    <mergeCell ref="K526:L526"/>
    <mergeCell ref="K527:L527"/>
    <mergeCell ref="K528:L528"/>
    <mergeCell ref="K529:L529"/>
    <mergeCell ref="K530:L530"/>
    <mergeCell ref="I530:J530"/>
    <mergeCell ref="I531:J531"/>
    <mergeCell ref="I532:J532"/>
    <mergeCell ref="I533:J533"/>
    <mergeCell ref="I534:J534"/>
    <mergeCell ref="I535:J535"/>
    <mergeCell ref="I536:J536"/>
    <mergeCell ref="K531:L531"/>
    <mergeCell ref="K532:L532"/>
    <mergeCell ref="K533:L533"/>
    <mergeCell ref="K534:L534"/>
    <mergeCell ref="K535:L535"/>
    <mergeCell ref="K536:L536"/>
    <mergeCell ref="K537:L537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K547:L547"/>
    <mergeCell ref="I548:J548"/>
    <mergeCell ref="K548:L548"/>
    <mergeCell ref="K574:L574"/>
    <mergeCell ref="K575:L575"/>
    <mergeCell ref="K567:L567"/>
    <mergeCell ref="K568:L568"/>
    <mergeCell ref="K569:L569"/>
    <mergeCell ref="K570:L570"/>
    <mergeCell ref="K571:L571"/>
    <mergeCell ref="K572:L572"/>
    <mergeCell ref="K573:L573"/>
    <mergeCell ref="I549:J549"/>
    <mergeCell ref="K549:L549"/>
    <mergeCell ref="I550:J550"/>
    <mergeCell ref="K550:L550"/>
    <mergeCell ref="I551:J551"/>
    <mergeCell ref="K551:L551"/>
    <mergeCell ref="K552:L552"/>
    <mergeCell ref="I552:J552"/>
    <mergeCell ref="I553:J553"/>
    <mergeCell ref="I554:J554"/>
    <mergeCell ref="I555:J555"/>
    <mergeCell ref="I556:J556"/>
    <mergeCell ref="I557:J557"/>
    <mergeCell ref="I558:J558"/>
    <mergeCell ref="K553:L553"/>
    <mergeCell ref="K554:L554"/>
    <mergeCell ref="K555:L555"/>
    <mergeCell ref="K556:L556"/>
    <mergeCell ref="K557:L557"/>
    <mergeCell ref="K558:L558"/>
    <mergeCell ref="K559:L559"/>
    <mergeCell ref="I559:J559"/>
    <mergeCell ref="I560:J560"/>
    <mergeCell ref="I561:J561"/>
    <mergeCell ref="I562:J562"/>
    <mergeCell ref="I563:J563"/>
    <mergeCell ref="I564:J564"/>
    <mergeCell ref="I565:J565"/>
    <mergeCell ref="K560:L560"/>
    <mergeCell ref="K561:L561"/>
    <mergeCell ref="K562:L562"/>
    <mergeCell ref="K563:L563"/>
    <mergeCell ref="K564:L564"/>
    <mergeCell ref="K565:L565"/>
    <mergeCell ref="K566:L566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K576:L576"/>
    <mergeCell ref="I577:J577"/>
    <mergeCell ref="K577:L577"/>
    <mergeCell ref="K603:L603"/>
    <mergeCell ref="K604:L604"/>
    <mergeCell ref="K596:L596"/>
    <mergeCell ref="K597:L597"/>
    <mergeCell ref="K598:L598"/>
    <mergeCell ref="K599:L599"/>
    <mergeCell ref="K600:L600"/>
    <mergeCell ref="K601:L601"/>
    <mergeCell ref="K602:L602"/>
    <mergeCell ref="I578:J578"/>
    <mergeCell ref="K578:L578"/>
    <mergeCell ref="I579:J579"/>
    <mergeCell ref="K579:L579"/>
    <mergeCell ref="I580:J580"/>
    <mergeCell ref="K580:L580"/>
    <mergeCell ref="K581:L581"/>
    <mergeCell ref="I581:J581"/>
    <mergeCell ref="I582:J582"/>
    <mergeCell ref="I583:J583"/>
    <mergeCell ref="I584:J584"/>
    <mergeCell ref="I585:J585"/>
    <mergeCell ref="I586:J586"/>
    <mergeCell ref="I587:J587"/>
    <mergeCell ref="K582:L582"/>
    <mergeCell ref="K583:L583"/>
    <mergeCell ref="K584:L584"/>
    <mergeCell ref="K585:L585"/>
    <mergeCell ref="K586:L586"/>
    <mergeCell ref="K587:L587"/>
    <mergeCell ref="K588:L588"/>
    <mergeCell ref="I588:J588"/>
    <mergeCell ref="I589:J589"/>
    <mergeCell ref="I590:J590"/>
    <mergeCell ref="I591:J591"/>
    <mergeCell ref="I592:J592"/>
    <mergeCell ref="I593:J593"/>
    <mergeCell ref="I594:J594"/>
    <mergeCell ref="K589:L589"/>
    <mergeCell ref="K590:L590"/>
    <mergeCell ref="K591:L591"/>
    <mergeCell ref="K592:L592"/>
    <mergeCell ref="K593:L593"/>
    <mergeCell ref="K594:L594"/>
    <mergeCell ref="K595:L595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K605:L605"/>
    <mergeCell ref="I606:J606"/>
    <mergeCell ref="K606:L606"/>
    <mergeCell ref="K632:L632"/>
    <mergeCell ref="K633:L633"/>
    <mergeCell ref="K625:L625"/>
    <mergeCell ref="K626:L626"/>
    <mergeCell ref="K627:L627"/>
    <mergeCell ref="K628:L628"/>
    <mergeCell ref="K629:L629"/>
    <mergeCell ref="K630:L630"/>
    <mergeCell ref="K631:L631"/>
    <mergeCell ref="I607:J607"/>
    <mergeCell ref="K607:L607"/>
    <mergeCell ref="I608:J608"/>
    <mergeCell ref="K608:L608"/>
    <mergeCell ref="I609:J609"/>
    <mergeCell ref="K609:L609"/>
    <mergeCell ref="K610:L610"/>
    <mergeCell ref="I610:J610"/>
    <mergeCell ref="I611:J611"/>
    <mergeCell ref="I612:J612"/>
    <mergeCell ref="I613:J613"/>
    <mergeCell ref="I614:J614"/>
    <mergeCell ref="I615:J615"/>
    <mergeCell ref="I616:J616"/>
    <mergeCell ref="K611:L611"/>
    <mergeCell ref="K612:L612"/>
    <mergeCell ref="K613:L613"/>
    <mergeCell ref="K614:L614"/>
    <mergeCell ref="K615:L615"/>
    <mergeCell ref="K616:L616"/>
    <mergeCell ref="K617:L617"/>
    <mergeCell ref="I617:J617"/>
    <mergeCell ref="I618:J618"/>
    <mergeCell ref="I619:J619"/>
    <mergeCell ref="I620:J620"/>
    <mergeCell ref="I621:J621"/>
    <mergeCell ref="I622:J622"/>
    <mergeCell ref="I623:J623"/>
    <mergeCell ref="K618:L618"/>
    <mergeCell ref="K619:L619"/>
    <mergeCell ref="K620:L620"/>
    <mergeCell ref="K621:L621"/>
    <mergeCell ref="K622:L622"/>
    <mergeCell ref="K623:L623"/>
    <mergeCell ref="K624:L624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K634:L634"/>
    <mergeCell ref="I635:J635"/>
    <mergeCell ref="K635:L635"/>
    <mergeCell ref="K661:L661"/>
    <mergeCell ref="K662:L662"/>
    <mergeCell ref="K654:L654"/>
    <mergeCell ref="K655:L655"/>
    <mergeCell ref="K656:L656"/>
    <mergeCell ref="K657:L657"/>
    <mergeCell ref="K658:L658"/>
    <mergeCell ref="K659:L659"/>
    <mergeCell ref="K660:L660"/>
    <mergeCell ref="I636:J636"/>
    <mergeCell ref="K636:L636"/>
    <mergeCell ref="I637:J637"/>
    <mergeCell ref="K637:L637"/>
    <mergeCell ref="I638:J638"/>
    <mergeCell ref="K638:L638"/>
    <mergeCell ref="K639:L639"/>
    <mergeCell ref="I639:J639"/>
    <mergeCell ref="I640:J640"/>
    <mergeCell ref="I641:J641"/>
    <mergeCell ref="I642:J642"/>
    <mergeCell ref="I643:J643"/>
    <mergeCell ref="I644:J644"/>
    <mergeCell ref="I645:J645"/>
    <mergeCell ref="K640:L640"/>
    <mergeCell ref="K641:L641"/>
    <mergeCell ref="K642:L642"/>
    <mergeCell ref="K643:L643"/>
    <mergeCell ref="K644:L644"/>
    <mergeCell ref="K645:L645"/>
    <mergeCell ref="K646:L646"/>
    <mergeCell ref="I646:J646"/>
    <mergeCell ref="I647:J647"/>
    <mergeCell ref="I648:J648"/>
    <mergeCell ref="I649:J649"/>
    <mergeCell ref="I650:J650"/>
    <mergeCell ref="I651:J651"/>
    <mergeCell ref="I652:J652"/>
    <mergeCell ref="K647:L647"/>
    <mergeCell ref="K648:L648"/>
    <mergeCell ref="K649:L649"/>
    <mergeCell ref="K650:L650"/>
    <mergeCell ref="K651:L651"/>
    <mergeCell ref="K652:L652"/>
    <mergeCell ref="K653:L653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K663:L663"/>
    <mergeCell ref="I664:J664"/>
    <mergeCell ref="K664:L664"/>
    <mergeCell ref="K690:L690"/>
    <mergeCell ref="K691:L691"/>
    <mergeCell ref="K683:L683"/>
    <mergeCell ref="K684:L684"/>
    <mergeCell ref="K685:L685"/>
    <mergeCell ref="K686:L686"/>
    <mergeCell ref="K687:L687"/>
    <mergeCell ref="K688:L688"/>
    <mergeCell ref="K689:L689"/>
    <mergeCell ref="I665:J665"/>
    <mergeCell ref="K665:L665"/>
    <mergeCell ref="I666:J666"/>
    <mergeCell ref="K666:L666"/>
    <mergeCell ref="I667:J667"/>
    <mergeCell ref="K667:L667"/>
    <mergeCell ref="K668:L668"/>
    <mergeCell ref="I668:J668"/>
    <mergeCell ref="I669:J669"/>
    <mergeCell ref="I670:J670"/>
    <mergeCell ref="I671:J671"/>
    <mergeCell ref="I672:J672"/>
    <mergeCell ref="I673:J673"/>
    <mergeCell ref="I674:J674"/>
    <mergeCell ref="K669:L669"/>
    <mergeCell ref="K670:L670"/>
    <mergeCell ref="K671:L671"/>
    <mergeCell ref="K672:L672"/>
    <mergeCell ref="K673:L673"/>
    <mergeCell ref="K674:L674"/>
    <mergeCell ref="K675:L675"/>
    <mergeCell ref="I675:J675"/>
    <mergeCell ref="I676:J676"/>
    <mergeCell ref="I677:J677"/>
    <mergeCell ref="I678:J678"/>
    <mergeCell ref="I679:J679"/>
    <mergeCell ref="I680:J680"/>
    <mergeCell ref="I681:J681"/>
    <mergeCell ref="K676:L676"/>
    <mergeCell ref="K677:L677"/>
    <mergeCell ref="K678:L678"/>
    <mergeCell ref="K679:L679"/>
    <mergeCell ref="K680:L680"/>
    <mergeCell ref="K681:L681"/>
    <mergeCell ref="K682:L682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K692:L692"/>
    <mergeCell ref="I693:J693"/>
    <mergeCell ref="K693:L693"/>
    <mergeCell ref="K719:L719"/>
    <mergeCell ref="K720:L720"/>
    <mergeCell ref="K712:L712"/>
    <mergeCell ref="K713:L713"/>
    <mergeCell ref="K714:L714"/>
    <mergeCell ref="K715:L715"/>
    <mergeCell ref="K716:L716"/>
    <mergeCell ref="K717:L717"/>
    <mergeCell ref="K718:L718"/>
    <mergeCell ref="I694:J694"/>
    <mergeCell ref="K694:L694"/>
    <mergeCell ref="I695:J695"/>
    <mergeCell ref="K695:L695"/>
    <mergeCell ref="I696:J696"/>
    <mergeCell ref="K696:L696"/>
    <mergeCell ref="K697:L697"/>
    <mergeCell ref="I697:J697"/>
    <mergeCell ref="I698:J698"/>
    <mergeCell ref="I699:J699"/>
    <mergeCell ref="I700:J700"/>
    <mergeCell ref="I701:J701"/>
    <mergeCell ref="I702:J702"/>
    <mergeCell ref="I703:J703"/>
    <mergeCell ref="K698:L698"/>
    <mergeCell ref="K699:L699"/>
    <mergeCell ref="K700:L700"/>
    <mergeCell ref="K701:L701"/>
    <mergeCell ref="K702:L702"/>
    <mergeCell ref="K703:L703"/>
    <mergeCell ref="K704:L704"/>
    <mergeCell ref="I704:J704"/>
    <mergeCell ref="I705:J705"/>
    <mergeCell ref="I706:J706"/>
    <mergeCell ref="I707:J707"/>
    <mergeCell ref="I708:J708"/>
    <mergeCell ref="I709:J709"/>
    <mergeCell ref="I710:J710"/>
    <mergeCell ref="K705:L705"/>
    <mergeCell ref="K706:L706"/>
    <mergeCell ref="K707:L707"/>
    <mergeCell ref="K708:L708"/>
    <mergeCell ref="K709:L709"/>
    <mergeCell ref="K710:L710"/>
    <mergeCell ref="K711:L711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K721:L721"/>
    <mergeCell ref="I722:J722"/>
    <mergeCell ref="K722:L722"/>
    <mergeCell ref="K748:L748"/>
    <mergeCell ref="K749:L749"/>
    <mergeCell ref="K741:L741"/>
    <mergeCell ref="K742:L742"/>
    <mergeCell ref="K743:L743"/>
    <mergeCell ref="K744:L744"/>
    <mergeCell ref="K745:L745"/>
    <mergeCell ref="K746:L746"/>
    <mergeCell ref="K747:L747"/>
    <mergeCell ref="I723:J723"/>
    <mergeCell ref="K723:L723"/>
    <mergeCell ref="I724:J724"/>
    <mergeCell ref="K724:L724"/>
    <mergeCell ref="I725:J725"/>
    <mergeCell ref="K725:L725"/>
    <mergeCell ref="K726:L726"/>
    <mergeCell ref="I726:J726"/>
    <mergeCell ref="I727:J727"/>
    <mergeCell ref="I728:J728"/>
    <mergeCell ref="I729:J729"/>
    <mergeCell ref="I730:J730"/>
    <mergeCell ref="I731:J731"/>
    <mergeCell ref="I732:J732"/>
    <mergeCell ref="K727:L727"/>
    <mergeCell ref="K728:L728"/>
    <mergeCell ref="K729:L729"/>
    <mergeCell ref="K730:L730"/>
    <mergeCell ref="K731:L731"/>
    <mergeCell ref="K732:L732"/>
    <mergeCell ref="K733:L733"/>
    <mergeCell ref="I733:J733"/>
    <mergeCell ref="I734:J734"/>
    <mergeCell ref="I735:J735"/>
    <mergeCell ref="I736:J736"/>
    <mergeCell ref="I737:J737"/>
    <mergeCell ref="I738:J738"/>
    <mergeCell ref="I739:J739"/>
    <mergeCell ref="K734:L734"/>
    <mergeCell ref="K735:L735"/>
    <mergeCell ref="K736:L736"/>
    <mergeCell ref="K737:L737"/>
    <mergeCell ref="K738:L738"/>
    <mergeCell ref="K739:L739"/>
    <mergeCell ref="K740:L740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K750:L750"/>
    <mergeCell ref="I751:J751"/>
    <mergeCell ref="K751:L751"/>
    <mergeCell ref="K777:L777"/>
    <mergeCell ref="K778:L778"/>
    <mergeCell ref="K770:L770"/>
    <mergeCell ref="K771:L771"/>
    <mergeCell ref="K772:L772"/>
    <mergeCell ref="K773:L773"/>
    <mergeCell ref="K774:L774"/>
    <mergeCell ref="K775:L775"/>
    <mergeCell ref="K776:L776"/>
    <mergeCell ref="I752:J752"/>
    <mergeCell ref="K752:L752"/>
    <mergeCell ref="I753:J753"/>
    <mergeCell ref="K753:L753"/>
    <mergeCell ref="I754:J754"/>
    <mergeCell ref="K754:L754"/>
    <mergeCell ref="K755:L755"/>
    <mergeCell ref="I755:J755"/>
    <mergeCell ref="I756:J756"/>
    <mergeCell ref="I757:J757"/>
    <mergeCell ref="I758:J758"/>
    <mergeCell ref="I759:J759"/>
    <mergeCell ref="I760:J760"/>
    <mergeCell ref="I761:J761"/>
    <mergeCell ref="K756:L756"/>
    <mergeCell ref="K757:L757"/>
    <mergeCell ref="K758:L758"/>
    <mergeCell ref="K759:L759"/>
    <mergeCell ref="K760:L760"/>
    <mergeCell ref="K761:L761"/>
    <mergeCell ref="K762:L762"/>
    <mergeCell ref="I762:J762"/>
    <mergeCell ref="I763:J763"/>
    <mergeCell ref="I764:J764"/>
    <mergeCell ref="I765:J765"/>
    <mergeCell ref="I766:J766"/>
    <mergeCell ref="I767:J767"/>
    <mergeCell ref="I768:J768"/>
    <mergeCell ref="K763:L763"/>
    <mergeCell ref="K764:L764"/>
    <mergeCell ref="K765:L765"/>
    <mergeCell ref="K766:L766"/>
    <mergeCell ref="K767:L767"/>
    <mergeCell ref="K768:L768"/>
    <mergeCell ref="K769:L769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K779:L779"/>
    <mergeCell ref="I780:J780"/>
    <mergeCell ref="K780:L780"/>
    <mergeCell ref="K806:L806"/>
    <mergeCell ref="K807:L807"/>
    <mergeCell ref="K799:L799"/>
    <mergeCell ref="K800:L800"/>
    <mergeCell ref="K801:L801"/>
    <mergeCell ref="K802:L802"/>
    <mergeCell ref="K803:L803"/>
    <mergeCell ref="K804:L804"/>
    <mergeCell ref="K805:L805"/>
    <mergeCell ref="I781:J781"/>
    <mergeCell ref="K781:L781"/>
    <mergeCell ref="I782:J782"/>
    <mergeCell ref="K782:L782"/>
    <mergeCell ref="I783:J783"/>
    <mergeCell ref="K783:L783"/>
    <mergeCell ref="K784:L784"/>
    <mergeCell ref="I784:J784"/>
    <mergeCell ref="I785:J785"/>
    <mergeCell ref="I786:J786"/>
    <mergeCell ref="I787:J787"/>
    <mergeCell ref="I788:J788"/>
    <mergeCell ref="I789:J789"/>
    <mergeCell ref="I790:J790"/>
    <mergeCell ref="K785:L785"/>
    <mergeCell ref="K786:L786"/>
    <mergeCell ref="K787:L787"/>
    <mergeCell ref="K788:L788"/>
    <mergeCell ref="K789:L789"/>
    <mergeCell ref="K790:L790"/>
    <mergeCell ref="K791:L791"/>
    <mergeCell ref="I791:J791"/>
    <mergeCell ref="I792:J792"/>
    <mergeCell ref="I793:J793"/>
    <mergeCell ref="I794:J794"/>
    <mergeCell ref="I795:J795"/>
    <mergeCell ref="I796:J796"/>
    <mergeCell ref="I797:J797"/>
    <mergeCell ref="K792:L792"/>
    <mergeCell ref="K793:L793"/>
    <mergeCell ref="K794:L794"/>
    <mergeCell ref="K795:L795"/>
    <mergeCell ref="K796:L796"/>
    <mergeCell ref="K797:L797"/>
    <mergeCell ref="K798:L798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K808:L808"/>
    <mergeCell ref="I809:J809"/>
    <mergeCell ref="K809:L809"/>
    <mergeCell ref="K1038:L1038"/>
    <mergeCell ref="K1039:L1039"/>
    <mergeCell ref="K1031:L1031"/>
    <mergeCell ref="K1032:L1032"/>
    <mergeCell ref="K1033:L1033"/>
    <mergeCell ref="K1034:L1034"/>
    <mergeCell ref="K1035:L1035"/>
    <mergeCell ref="K1036:L1036"/>
    <mergeCell ref="K1037:L1037"/>
    <mergeCell ref="I1013:J1013"/>
    <mergeCell ref="K1013:L1013"/>
    <mergeCell ref="I1014:J1014"/>
    <mergeCell ref="K1014:L1014"/>
    <mergeCell ref="I1015:J1015"/>
    <mergeCell ref="K1015:L1015"/>
    <mergeCell ref="K1016:L1016"/>
    <mergeCell ref="I1016:J1016"/>
    <mergeCell ref="I1017:J1017"/>
    <mergeCell ref="I1018:J1018"/>
    <mergeCell ref="I1019:J1019"/>
    <mergeCell ref="I1020:J1020"/>
    <mergeCell ref="I1021:J1021"/>
    <mergeCell ref="I1022:J1022"/>
    <mergeCell ref="K1017:L1017"/>
    <mergeCell ref="K1018:L1018"/>
    <mergeCell ref="K1019:L1019"/>
    <mergeCell ref="K1020:L1020"/>
    <mergeCell ref="K1021:L1021"/>
    <mergeCell ref="K1022:L1022"/>
    <mergeCell ref="K1023:L1023"/>
    <mergeCell ref="I1023:J1023"/>
    <mergeCell ref="I1024:J1024"/>
    <mergeCell ref="I1025:J1025"/>
    <mergeCell ref="I1026:J1026"/>
    <mergeCell ref="I1027:J1027"/>
    <mergeCell ref="I1028:J1028"/>
    <mergeCell ref="I1029:J1029"/>
    <mergeCell ref="K1024:L1024"/>
    <mergeCell ref="K1025:L1025"/>
    <mergeCell ref="K1026:L1026"/>
    <mergeCell ref="K1027:L1027"/>
    <mergeCell ref="K1028:L1028"/>
    <mergeCell ref="K1029:L1029"/>
    <mergeCell ref="K1030:L1030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K1040:L1040"/>
    <mergeCell ref="I1041:J1041"/>
    <mergeCell ref="K1041:L1041"/>
    <mergeCell ref="K1067:L1067"/>
    <mergeCell ref="K1068:L1068"/>
    <mergeCell ref="K1060:L1060"/>
    <mergeCell ref="K1061:L1061"/>
    <mergeCell ref="K1062:L1062"/>
    <mergeCell ref="K1063:L1063"/>
    <mergeCell ref="K1064:L1064"/>
    <mergeCell ref="K1065:L1065"/>
    <mergeCell ref="K1066:L1066"/>
    <mergeCell ref="I1042:J1042"/>
    <mergeCell ref="K1042:L1042"/>
    <mergeCell ref="I1043:J1043"/>
    <mergeCell ref="K1043:L1043"/>
    <mergeCell ref="I1044:J1044"/>
    <mergeCell ref="K1044:L1044"/>
    <mergeCell ref="K1045:L1045"/>
    <mergeCell ref="I1045:J1045"/>
    <mergeCell ref="I1046:J1046"/>
    <mergeCell ref="I1047:J1047"/>
    <mergeCell ref="I1048:J1048"/>
    <mergeCell ref="I1049:J1049"/>
    <mergeCell ref="I1050:J1050"/>
    <mergeCell ref="I1051:J1051"/>
    <mergeCell ref="K1046:L1046"/>
    <mergeCell ref="K1047:L1047"/>
    <mergeCell ref="K1048:L1048"/>
    <mergeCell ref="K1049:L1049"/>
    <mergeCell ref="K1050:L1050"/>
    <mergeCell ref="K1051:L1051"/>
    <mergeCell ref="K1052:L1052"/>
    <mergeCell ref="I1052:J1052"/>
    <mergeCell ref="I1053:J1053"/>
    <mergeCell ref="I1054:J1054"/>
    <mergeCell ref="I1055:J1055"/>
    <mergeCell ref="I1056:J1056"/>
    <mergeCell ref="I1057:J1057"/>
    <mergeCell ref="I1058:J1058"/>
    <mergeCell ref="K1053:L1053"/>
    <mergeCell ref="K1054:L1054"/>
    <mergeCell ref="K1055:L1055"/>
    <mergeCell ref="K1056:L1056"/>
    <mergeCell ref="K1057:L1057"/>
    <mergeCell ref="K1058:L1058"/>
    <mergeCell ref="K1059:L1059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K1069:L1069"/>
    <mergeCell ref="I1070:J1070"/>
    <mergeCell ref="K1070:L1070"/>
    <mergeCell ref="K168:L168"/>
    <mergeCell ref="K169:L169"/>
    <mergeCell ref="K161:L161"/>
    <mergeCell ref="K162:L162"/>
    <mergeCell ref="K163:L163"/>
    <mergeCell ref="K164:L164"/>
    <mergeCell ref="K165:L165"/>
    <mergeCell ref="K166:L166"/>
    <mergeCell ref="K167:L167"/>
    <mergeCell ref="I143:J143"/>
    <mergeCell ref="K143:L143"/>
    <mergeCell ref="I144:J144"/>
    <mergeCell ref="K144:L144"/>
    <mergeCell ref="I145:J145"/>
    <mergeCell ref="K145:L145"/>
    <mergeCell ref="K146:L146"/>
    <mergeCell ref="I146:J146"/>
    <mergeCell ref="I147:J147"/>
    <mergeCell ref="I148:J148"/>
    <mergeCell ref="I149:J149"/>
    <mergeCell ref="I150:J150"/>
    <mergeCell ref="I151:J151"/>
    <mergeCell ref="I152:J152"/>
    <mergeCell ref="K147:L147"/>
    <mergeCell ref="K148:L148"/>
    <mergeCell ref="K149:L149"/>
    <mergeCell ref="K150:L150"/>
    <mergeCell ref="K151:L151"/>
    <mergeCell ref="K152:L152"/>
    <mergeCell ref="K153:L153"/>
    <mergeCell ref="I153:J153"/>
    <mergeCell ref="I154:J154"/>
    <mergeCell ref="I155:J155"/>
    <mergeCell ref="I156:J156"/>
    <mergeCell ref="I157:J157"/>
    <mergeCell ref="I158:J158"/>
    <mergeCell ref="I159:J159"/>
    <mergeCell ref="K154:L154"/>
    <mergeCell ref="K155:L155"/>
    <mergeCell ref="K156:L156"/>
    <mergeCell ref="K157:L157"/>
    <mergeCell ref="K158:L158"/>
    <mergeCell ref="K159:L159"/>
    <mergeCell ref="K160:L160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K170:L170"/>
    <mergeCell ref="I171:J171"/>
    <mergeCell ref="K171:L171"/>
    <mergeCell ref="K197:L197"/>
    <mergeCell ref="K198:L198"/>
    <mergeCell ref="K190:L190"/>
    <mergeCell ref="K191:L191"/>
    <mergeCell ref="K192:L192"/>
    <mergeCell ref="K193:L193"/>
    <mergeCell ref="K194:L194"/>
    <mergeCell ref="K195:L195"/>
    <mergeCell ref="K196:L196"/>
    <mergeCell ref="I172:J172"/>
    <mergeCell ref="K172:L172"/>
    <mergeCell ref="I173:J173"/>
    <mergeCell ref="K173:L173"/>
    <mergeCell ref="I174:J174"/>
    <mergeCell ref="K174:L174"/>
    <mergeCell ref="K175:L175"/>
    <mergeCell ref="I175:J175"/>
    <mergeCell ref="I176:J176"/>
    <mergeCell ref="I177:J177"/>
    <mergeCell ref="I178:J178"/>
    <mergeCell ref="I179:J179"/>
    <mergeCell ref="I180:J180"/>
    <mergeCell ref="I181:J181"/>
    <mergeCell ref="K176:L176"/>
    <mergeCell ref="K177:L177"/>
    <mergeCell ref="K178:L178"/>
    <mergeCell ref="K179:L179"/>
    <mergeCell ref="K180:L180"/>
    <mergeCell ref="K181:L181"/>
    <mergeCell ref="K182:L182"/>
    <mergeCell ref="I182:J182"/>
    <mergeCell ref="I183:J183"/>
    <mergeCell ref="I184:J184"/>
    <mergeCell ref="I185:J185"/>
    <mergeCell ref="I186:J186"/>
    <mergeCell ref="I187:J187"/>
    <mergeCell ref="I188:J188"/>
    <mergeCell ref="K183:L183"/>
    <mergeCell ref="K184:L184"/>
    <mergeCell ref="K185:L185"/>
    <mergeCell ref="K186:L186"/>
    <mergeCell ref="K187:L187"/>
    <mergeCell ref="K188:L188"/>
    <mergeCell ref="K189:L189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K199:L199"/>
    <mergeCell ref="I200:J200"/>
    <mergeCell ref="K200:L200"/>
    <mergeCell ref="K226:L226"/>
    <mergeCell ref="K227:L227"/>
    <mergeCell ref="K219:L219"/>
    <mergeCell ref="K220:L220"/>
    <mergeCell ref="K221:L221"/>
    <mergeCell ref="K222:L222"/>
    <mergeCell ref="K223:L223"/>
    <mergeCell ref="K224:L224"/>
    <mergeCell ref="K225:L225"/>
    <mergeCell ref="I201:J201"/>
    <mergeCell ref="K201:L201"/>
    <mergeCell ref="I202:J202"/>
    <mergeCell ref="K202:L202"/>
    <mergeCell ref="I203:J203"/>
    <mergeCell ref="K203:L203"/>
    <mergeCell ref="K204:L204"/>
    <mergeCell ref="I204:J204"/>
    <mergeCell ref="I205:J205"/>
    <mergeCell ref="I206:J206"/>
    <mergeCell ref="I207:J207"/>
    <mergeCell ref="I208:J208"/>
    <mergeCell ref="I209:J209"/>
    <mergeCell ref="I210:J210"/>
    <mergeCell ref="K205:L205"/>
    <mergeCell ref="K206:L206"/>
    <mergeCell ref="K207:L207"/>
    <mergeCell ref="K208:L208"/>
    <mergeCell ref="K209:L209"/>
    <mergeCell ref="K210:L210"/>
    <mergeCell ref="K211:L211"/>
    <mergeCell ref="I211:J211"/>
    <mergeCell ref="I212:J212"/>
    <mergeCell ref="I213:J213"/>
    <mergeCell ref="I214:J214"/>
    <mergeCell ref="I215:J215"/>
    <mergeCell ref="I216:J216"/>
    <mergeCell ref="I217:J217"/>
    <mergeCell ref="K212:L212"/>
    <mergeCell ref="K213:L213"/>
    <mergeCell ref="K214:L214"/>
    <mergeCell ref="K215:L215"/>
    <mergeCell ref="K216:L216"/>
    <mergeCell ref="K217:L217"/>
    <mergeCell ref="K218:L218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K228:L228"/>
    <mergeCell ref="I229:J229"/>
    <mergeCell ref="K229:L229"/>
    <mergeCell ref="I1071:J1071"/>
    <mergeCell ref="K1071:L1071"/>
    <mergeCell ref="I1072:J1072"/>
    <mergeCell ref="K1072:L1072"/>
    <mergeCell ref="I1073:J1073"/>
    <mergeCell ref="K1073:L1073"/>
    <mergeCell ref="K1074:L1074"/>
    <mergeCell ref="I1074:J1074"/>
    <mergeCell ref="I1075:J1075"/>
    <mergeCell ref="I1076:J1076"/>
    <mergeCell ref="I1077:J1077"/>
    <mergeCell ref="I1078:J1078"/>
    <mergeCell ref="I1079:J1079"/>
    <mergeCell ref="I1080:J1080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75:L1075"/>
    <mergeCell ref="K1076:L1076"/>
    <mergeCell ref="K1077:L1077"/>
    <mergeCell ref="K1078:L1078"/>
    <mergeCell ref="K1079:L1079"/>
    <mergeCell ref="K1080:L1080"/>
    <mergeCell ref="K1081:L1081"/>
    <mergeCell ref="I1088:J1088"/>
    <mergeCell ref="I1089:J1089"/>
    <mergeCell ref="I1081:J1081"/>
    <mergeCell ref="I1082:J1082"/>
    <mergeCell ref="I1083:J1083"/>
    <mergeCell ref="I1084:J1084"/>
    <mergeCell ref="I1085:J1085"/>
    <mergeCell ref="I1086:J1086"/>
    <mergeCell ref="I1087:J1087"/>
    <mergeCell ref="K835:L835"/>
    <mergeCell ref="K836:L836"/>
    <mergeCell ref="K828:L828"/>
    <mergeCell ref="K829:L829"/>
    <mergeCell ref="K830:L830"/>
    <mergeCell ref="K831:L831"/>
    <mergeCell ref="K832:L832"/>
    <mergeCell ref="K833:L833"/>
    <mergeCell ref="K834:L834"/>
    <mergeCell ref="I810:J810"/>
    <mergeCell ref="K810:L810"/>
    <mergeCell ref="I811:J811"/>
    <mergeCell ref="K811:L811"/>
    <mergeCell ref="I812:J812"/>
    <mergeCell ref="K812:L812"/>
    <mergeCell ref="K813:L813"/>
    <mergeCell ref="I813:J813"/>
    <mergeCell ref="I814:J814"/>
    <mergeCell ref="I815:J815"/>
    <mergeCell ref="I816:J816"/>
    <mergeCell ref="I817:J817"/>
    <mergeCell ref="I818:J818"/>
    <mergeCell ref="I819:J819"/>
    <mergeCell ref="K814:L814"/>
    <mergeCell ref="K815:L815"/>
    <mergeCell ref="K816:L816"/>
    <mergeCell ref="K817:L817"/>
    <mergeCell ref="K818:L818"/>
    <mergeCell ref="K819:L819"/>
    <mergeCell ref="K820:L820"/>
    <mergeCell ref="I820:J820"/>
    <mergeCell ref="I821:J821"/>
    <mergeCell ref="I822:J822"/>
    <mergeCell ref="I823:J823"/>
    <mergeCell ref="I824:J824"/>
    <mergeCell ref="I825:J825"/>
    <mergeCell ref="I826:J826"/>
    <mergeCell ref="K821:L821"/>
    <mergeCell ref="K822:L822"/>
    <mergeCell ref="K823:L823"/>
    <mergeCell ref="K824:L824"/>
    <mergeCell ref="K825:L825"/>
    <mergeCell ref="K826:L826"/>
    <mergeCell ref="K827:L827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K837:L837"/>
    <mergeCell ref="I838:J838"/>
    <mergeCell ref="K838:L838"/>
    <mergeCell ref="K864:L864"/>
    <mergeCell ref="K865:L865"/>
    <mergeCell ref="K857:L857"/>
    <mergeCell ref="K858:L858"/>
    <mergeCell ref="K859:L859"/>
    <mergeCell ref="K860:L860"/>
    <mergeCell ref="K861:L861"/>
    <mergeCell ref="K862:L862"/>
    <mergeCell ref="K863:L863"/>
    <mergeCell ref="I839:J839"/>
    <mergeCell ref="K839:L839"/>
    <mergeCell ref="I840:J840"/>
    <mergeCell ref="K840:L840"/>
    <mergeCell ref="I841:J841"/>
    <mergeCell ref="K841:L841"/>
    <mergeCell ref="K842:L842"/>
    <mergeCell ref="I842:J842"/>
    <mergeCell ref="I843:J843"/>
    <mergeCell ref="I844:J844"/>
    <mergeCell ref="I845:J845"/>
    <mergeCell ref="I846:J846"/>
    <mergeCell ref="I847:J847"/>
    <mergeCell ref="I848:J848"/>
    <mergeCell ref="K843:L843"/>
    <mergeCell ref="K844:L844"/>
    <mergeCell ref="K845:L845"/>
    <mergeCell ref="K846:L846"/>
    <mergeCell ref="K847:L847"/>
    <mergeCell ref="K848:L848"/>
    <mergeCell ref="K849:L849"/>
    <mergeCell ref="I849:J849"/>
    <mergeCell ref="I850:J850"/>
    <mergeCell ref="I851:J851"/>
    <mergeCell ref="I852:J852"/>
    <mergeCell ref="I853:J853"/>
    <mergeCell ref="I854:J854"/>
    <mergeCell ref="I855:J855"/>
    <mergeCell ref="K850:L850"/>
    <mergeCell ref="K851:L851"/>
    <mergeCell ref="K852:L852"/>
    <mergeCell ref="K853:L853"/>
    <mergeCell ref="K854:L854"/>
    <mergeCell ref="K855:L855"/>
    <mergeCell ref="K856:L856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K866:L866"/>
    <mergeCell ref="I867:J867"/>
    <mergeCell ref="K867:L867"/>
    <mergeCell ref="K893:L893"/>
    <mergeCell ref="K894:L894"/>
    <mergeCell ref="K886:L886"/>
    <mergeCell ref="K887:L887"/>
    <mergeCell ref="K888:L888"/>
    <mergeCell ref="K889:L889"/>
    <mergeCell ref="K890:L890"/>
    <mergeCell ref="K891:L891"/>
    <mergeCell ref="K892:L892"/>
    <mergeCell ref="I868:J868"/>
    <mergeCell ref="K868:L868"/>
    <mergeCell ref="I869:J869"/>
    <mergeCell ref="K869:L869"/>
    <mergeCell ref="I870:J870"/>
    <mergeCell ref="K870:L870"/>
    <mergeCell ref="K871:L871"/>
    <mergeCell ref="I871:J871"/>
    <mergeCell ref="I872:J872"/>
    <mergeCell ref="I873:J873"/>
    <mergeCell ref="I874:J874"/>
    <mergeCell ref="I875:J875"/>
    <mergeCell ref="I876:J876"/>
    <mergeCell ref="I877:J877"/>
    <mergeCell ref="K872:L872"/>
    <mergeCell ref="K873:L873"/>
    <mergeCell ref="K874:L874"/>
    <mergeCell ref="K875:L875"/>
    <mergeCell ref="K876:L876"/>
    <mergeCell ref="K877:L877"/>
    <mergeCell ref="K878:L878"/>
    <mergeCell ref="I878:J878"/>
    <mergeCell ref="I879:J879"/>
    <mergeCell ref="I880:J880"/>
    <mergeCell ref="I881:J881"/>
    <mergeCell ref="I882:J882"/>
    <mergeCell ref="I883:J883"/>
    <mergeCell ref="I884:J884"/>
    <mergeCell ref="K879:L879"/>
    <mergeCell ref="K880:L880"/>
    <mergeCell ref="K881:L881"/>
    <mergeCell ref="K882:L882"/>
    <mergeCell ref="K883:L883"/>
    <mergeCell ref="K884:L884"/>
    <mergeCell ref="K885:L885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K895:L895"/>
    <mergeCell ref="I896:J896"/>
    <mergeCell ref="K896:L896"/>
    <mergeCell ref="K922:L922"/>
    <mergeCell ref="K923:L923"/>
    <mergeCell ref="K915:L915"/>
    <mergeCell ref="K916:L916"/>
    <mergeCell ref="K917:L917"/>
    <mergeCell ref="K918:L918"/>
    <mergeCell ref="K919:L919"/>
    <mergeCell ref="K920:L920"/>
    <mergeCell ref="K921:L921"/>
    <mergeCell ref="I897:J897"/>
    <mergeCell ref="K897:L897"/>
    <mergeCell ref="I898:J898"/>
    <mergeCell ref="K898:L898"/>
    <mergeCell ref="I899:J899"/>
    <mergeCell ref="K899:L899"/>
    <mergeCell ref="K900:L900"/>
    <mergeCell ref="I900:J900"/>
    <mergeCell ref="I901:J901"/>
    <mergeCell ref="I902:J902"/>
    <mergeCell ref="I903:J903"/>
    <mergeCell ref="I904:J904"/>
    <mergeCell ref="I905:J905"/>
    <mergeCell ref="I906:J906"/>
    <mergeCell ref="K901:L901"/>
    <mergeCell ref="K902:L902"/>
    <mergeCell ref="K903:L903"/>
    <mergeCell ref="K904:L904"/>
    <mergeCell ref="K905:L905"/>
    <mergeCell ref="K906:L906"/>
    <mergeCell ref="K907:L907"/>
    <mergeCell ref="I907:J907"/>
    <mergeCell ref="I908:J908"/>
    <mergeCell ref="I909:J909"/>
    <mergeCell ref="I910:J910"/>
    <mergeCell ref="I911:J911"/>
    <mergeCell ref="I912:J912"/>
    <mergeCell ref="I913:J913"/>
    <mergeCell ref="K908:L908"/>
    <mergeCell ref="K909:L909"/>
    <mergeCell ref="K910:L910"/>
    <mergeCell ref="K911:L911"/>
    <mergeCell ref="K912:L912"/>
    <mergeCell ref="K913:L913"/>
    <mergeCell ref="K914:L914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K924:L924"/>
    <mergeCell ref="I925:J925"/>
    <mergeCell ref="K925:L925"/>
    <mergeCell ref="K951:L951"/>
    <mergeCell ref="K952:L952"/>
    <mergeCell ref="K944:L944"/>
    <mergeCell ref="K945:L945"/>
    <mergeCell ref="K946:L946"/>
    <mergeCell ref="K947:L947"/>
    <mergeCell ref="K948:L948"/>
    <mergeCell ref="K949:L949"/>
    <mergeCell ref="K950:L950"/>
    <mergeCell ref="I926:J926"/>
    <mergeCell ref="K926:L926"/>
    <mergeCell ref="I927:J927"/>
    <mergeCell ref="K927:L927"/>
    <mergeCell ref="I928:J928"/>
    <mergeCell ref="K928:L928"/>
    <mergeCell ref="K929:L929"/>
    <mergeCell ref="I929:J929"/>
    <mergeCell ref="I930:J930"/>
    <mergeCell ref="I931:J931"/>
    <mergeCell ref="I932:J932"/>
    <mergeCell ref="I933:J933"/>
    <mergeCell ref="I934:J934"/>
    <mergeCell ref="I935:J935"/>
    <mergeCell ref="K930:L930"/>
    <mergeCell ref="K931:L931"/>
    <mergeCell ref="K932:L932"/>
    <mergeCell ref="K933:L933"/>
    <mergeCell ref="K934:L934"/>
    <mergeCell ref="K935:L935"/>
    <mergeCell ref="K936:L936"/>
    <mergeCell ref="I936:J936"/>
    <mergeCell ref="I937:J937"/>
    <mergeCell ref="I938:J938"/>
    <mergeCell ref="I939:J939"/>
    <mergeCell ref="I940:J940"/>
    <mergeCell ref="I941:J941"/>
    <mergeCell ref="I942:J942"/>
    <mergeCell ref="K937:L937"/>
    <mergeCell ref="K938:L938"/>
    <mergeCell ref="K939:L939"/>
    <mergeCell ref="K940:L940"/>
    <mergeCell ref="K941:L941"/>
    <mergeCell ref="K942:L942"/>
    <mergeCell ref="K943:L943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K953:L953"/>
    <mergeCell ref="I954:J954"/>
    <mergeCell ref="K954:L954"/>
    <mergeCell ref="K980:L980"/>
    <mergeCell ref="K981:L981"/>
    <mergeCell ref="K973:L973"/>
    <mergeCell ref="K974:L974"/>
    <mergeCell ref="K975:L975"/>
    <mergeCell ref="K976:L976"/>
    <mergeCell ref="K977:L977"/>
    <mergeCell ref="K978:L978"/>
    <mergeCell ref="K979:L979"/>
    <mergeCell ref="I955:J955"/>
    <mergeCell ref="K955:L955"/>
    <mergeCell ref="I956:J956"/>
    <mergeCell ref="K956:L956"/>
    <mergeCell ref="I957:J957"/>
    <mergeCell ref="K957:L957"/>
    <mergeCell ref="K958:L958"/>
    <mergeCell ref="I958:J958"/>
    <mergeCell ref="I959:J959"/>
    <mergeCell ref="I960:J960"/>
    <mergeCell ref="I961:J961"/>
    <mergeCell ref="I962:J962"/>
    <mergeCell ref="I963:J963"/>
    <mergeCell ref="I964:J964"/>
    <mergeCell ref="K959:L959"/>
    <mergeCell ref="K960:L960"/>
    <mergeCell ref="K961:L961"/>
    <mergeCell ref="K962:L962"/>
    <mergeCell ref="K963:L963"/>
    <mergeCell ref="K964:L964"/>
    <mergeCell ref="K965:L965"/>
    <mergeCell ref="I965:J965"/>
    <mergeCell ref="I966:J966"/>
    <mergeCell ref="I967:J967"/>
    <mergeCell ref="I968:J968"/>
    <mergeCell ref="I969:J969"/>
    <mergeCell ref="I970:J970"/>
    <mergeCell ref="I971:J971"/>
    <mergeCell ref="K966:L966"/>
    <mergeCell ref="K967:L967"/>
    <mergeCell ref="K968:L968"/>
    <mergeCell ref="K969:L969"/>
    <mergeCell ref="K970:L970"/>
    <mergeCell ref="K971:L971"/>
    <mergeCell ref="K972:L972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K982:L982"/>
    <mergeCell ref="I983:J983"/>
    <mergeCell ref="K983:L983"/>
    <mergeCell ref="I984:J984"/>
    <mergeCell ref="K984:L984"/>
    <mergeCell ref="I985:J985"/>
    <mergeCell ref="K985:L985"/>
    <mergeCell ref="I986:J986"/>
    <mergeCell ref="K986:L986"/>
    <mergeCell ref="K987:L987"/>
    <mergeCell ref="I987:J987"/>
    <mergeCell ref="I988:J988"/>
    <mergeCell ref="I989:J989"/>
    <mergeCell ref="I990:J990"/>
    <mergeCell ref="I991:J991"/>
    <mergeCell ref="I992:J992"/>
    <mergeCell ref="I993:J993"/>
    <mergeCell ref="K988:L988"/>
    <mergeCell ref="K989:L989"/>
    <mergeCell ref="K990:L990"/>
    <mergeCell ref="K991:L991"/>
    <mergeCell ref="K992:L992"/>
    <mergeCell ref="K993:L993"/>
    <mergeCell ref="K994:L994"/>
    <mergeCell ref="I994:J994"/>
    <mergeCell ref="I995:J995"/>
    <mergeCell ref="I996:J996"/>
    <mergeCell ref="I997:J997"/>
    <mergeCell ref="I998:J998"/>
    <mergeCell ref="I999:J999"/>
    <mergeCell ref="I1000:J1000"/>
    <mergeCell ref="K995:L995"/>
    <mergeCell ref="K996:L996"/>
    <mergeCell ref="K997:L997"/>
    <mergeCell ref="K998:L998"/>
    <mergeCell ref="K999:L999"/>
    <mergeCell ref="K1000:L1000"/>
    <mergeCell ref="K1001:L1001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K1011:L1011"/>
    <mergeCell ref="I1012:J1012"/>
    <mergeCell ref="K1012:L1012"/>
    <mergeCell ref="Q1116:R1116"/>
    <mergeCell ref="Q1117:R1117"/>
    <mergeCell ref="Q1118:R1118"/>
    <mergeCell ref="Q1119:R1119"/>
    <mergeCell ref="Q1120:R1120"/>
    <mergeCell ref="Q1109:R1109"/>
    <mergeCell ref="Q1110:R1110"/>
    <mergeCell ref="Q1111:R1111"/>
    <mergeCell ref="Q1112:R1112"/>
    <mergeCell ref="Q1113:R1113"/>
    <mergeCell ref="Q1114:R1114"/>
    <mergeCell ref="Q1115:R1115"/>
    <mergeCell ref="K1002:L1002"/>
    <mergeCell ref="K1003:L1003"/>
    <mergeCell ref="K1004:L1004"/>
    <mergeCell ref="K1005:L1005"/>
    <mergeCell ref="K1006:L1006"/>
    <mergeCell ref="K1007:L1007"/>
    <mergeCell ref="K1008:L1008"/>
    <mergeCell ref="W1097:X1097"/>
    <mergeCell ref="W1098:X1098"/>
    <mergeCell ref="K1009:L1009"/>
    <mergeCell ref="K1010:L1010"/>
    <mergeCell ref="T1095:U1095"/>
    <mergeCell ref="Q1096:R1096"/>
    <mergeCell ref="W1096:X1096"/>
    <mergeCell ref="Q1097:R1097"/>
    <mergeCell ref="Q1098:R1098"/>
    <mergeCell ref="Q1099:R1099"/>
    <mergeCell ref="W1099:X1099"/>
    <mergeCell ref="Q1100:R1100"/>
    <mergeCell ref="W1100:X1100"/>
    <mergeCell ref="Q1101:R1101"/>
    <mergeCell ref="W1101:X1101"/>
    <mergeCell ref="W1102:X1102"/>
    <mergeCell ref="Q1102:R1102"/>
    <mergeCell ref="Q1103:R1103"/>
    <mergeCell ref="Q1104:R1104"/>
    <mergeCell ref="Q1105:R1105"/>
    <mergeCell ref="Q1106:R1106"/>
    <mergeCell ref="Q1107:R1107"/>
    <mergeCell ref="Q1108:R1108"/>
    <mergeCell ref="W1103:X1103"/>
    <mergeCell ref="W1104:X1104"/>
    <mergeCell ref="W1105:X1105"/>
    <mergeCell ref="W1106:X1106"/>
    <mergeCell ref="W1107:X1107"/>
    <mergeCell ref="W1108:X1108"/>
    <mergeCell ref="W1109:X1109"/>
    <mergeCell ref="W1117:X1117"/>
    <mergeCell ref="W1118:X1118"/>
    <mergeCell ref="W1119:X1119"/>
    <mergeCell ref="W1120:X1120"/>
    <mergeCell ref="W1110:X1110"/>
    <mergeCell ref="W1111:X1111"/>
    <mergeCell ref="W1112:X1112"/>
    <mergeCell ref="W1113:X1113"/>
    <mergeCell ref="W1114:X1114"/>
    <mergeCell ref="W1115:X1115"/>
    <mergeCell ref="W1116:X1116"/>
  </mergeCells>
  <hyperlinks>
    <hyperlink r:id="rId3" ref="B22"/>
  </hyperlinks>
  <drawing r:id="rId4"/>
  <extLst>
    <ext uri="{05C60535-1F16-4fd2-B633-F4F36F0B64E0}">
      <x14:sparklineGroups>
        <x14:sparklineGroup displayEmptyCellsAs="gap">
          <x14:colorSeries rgb="FF262E32"/>
          <x14:sparklines>
            <x14:sparkline>
              <xm:f>'Spark lines'!G22:Z22</xm:f>
              <xm:sqref>AA22</xm:sqref>
            </x14:sparkline>
          </x14:sparklines>
        </x14:sparklineGroup>
        <x14:sparklineGroup displayEmptyCellsAs="gap">
          <x14:colorSeries rgb="FFFFFFFF"/>
          <x14:sparklines>
            <x14:sparkline>
              <xm:f>'Spark lines'!AG22:AZ22</xm:f>
              <xm:sqref>BA22</xm:sqref>
            </x14:sparkline>
          </x14:sparklines>
        </x14:sparklineGroup>
        <x14:sparklineGroup displayEmptyCellsAs="gap">
          <x14:colorSeries rgb="FF262E32"/>
          <x14:sparklines>
            <x14:sparkline>
              <xm:f>'Spark lines'!G23:Z23</xm:f>
              <xm:sqref>AA23</xm:sqref>
            </x14:sparkline>
          </x14:sparklines>
        </x14:sparklineGroup>
        <x14:sparklineGroup displayEmptyCellsAs="gap">
          <x14:colorSeries rgb="FFFFFFFF"/>
          <x14:sparklines>
            <x14:sparkline>
              <xm:f>'Spark lines'!AG23:AZ23</xm:f>
              <xm:sqref>BA23</xm:sqref>
            </x14:sparkline>
          </x14:sparklines>
        </x14:sparklineGroup>
        <x14:sparklineGroup displayEmptyCellsAs="gap">
          <x14:colorSeries rgb="FF262E32"/>
          <x14:sparklines>
            <x14:sparkline>
              <xm:f>'Spark lines'!G24:Z24</xm:f>
              <xm:sqref>AA24</xm:sqref>
            </x14:sparkline>
          </x14:sparklines>
        </x14:sparklineGroup>
        <x14:sparklineGroup displayEmptyCellsAs="gap">
          <x14:colorSeries rgb="FFFFFFFF"/>
          <x14:sparklines>
            <x14:sparkline>
              <xm:f>'Spark lines'!AG24:AZ24</xm:f>
              <xm:sqref>BA24</xm:sqref>
            </x14:sparkline>
          </x14:sparklines>
        </x14:sparklineGroup>
        <x14:sparklineGroup displayEmptyCellsAs="gap">
          <x14:colorSeries rgb="FF262E32"/>
          <x14:sparklines>
            <x14:sparkline>
              <xm:f>'Spark lines'!G25:Z25</xm:f>
              <xm:sqref>AA25</xm:sqref>
            </x14:sparkline>
          </x14:sparklines>
        </x14:sparklineGroup>
        <x14:sparklineGroup displayEmptyCellsAs="gap">
          <x14:colorSeries rgb="FFFFFFFF"/>
          <x14:sparklines>
            <x14:sparkline>
              <xm:f>'Spark lines'!AG25:AZ25</xm:f>
              <xm:sqref>BA25</xm:sqref>
            </x14:sparkline>
          </x14:sparklines>
        </x14:sparklineGroup>
        <x14:sparklineGroup displayEmptyCellsAs="gap">
          <x14:colorSeries rgb="FF262E32"/>
          <x14:sparklines>
            <x14:sparkline>
              <xm:f>'Spark lines'!G26:Z26</xm:f>
              <xm:sqref>AA26</xm:sqref>
            </x14:sparkline>
          </x14:sparklines>
        </x14:sparklineGroup>
        <x14:sparklineGroup displayEmptyCellsAs="gap">
          <x14:colorSeries rgb="FFFFFFFF"/>
          <x14:sparklines>
            <x14:sparkline>
              <xm:f>'Spark lines'!AG26:AZ26</xm:f>
              <xm:sqref>BA26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lines'!G48</xm:f>
              <xm:sqref>G49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lines'!H48</xm:f>
              <xm:sqref>H49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lines'!I48</xm:f>
              <xm:sqref>I49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lines'!J48</xm:f>
              <xm:sqref>J49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lines'!K48</xm:f>
              <xm:sqref>K49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lines'!L48</xm:f>
              <xm:sqref>L49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lines'!M48</xm:f>
              <xm:sqref>M49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lines'!N48</xm:f>
              <xm:sqref>N49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lines'!O48</xm:f>
              <xm:sqref>O49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lines'!P48</xm:f>
              <xm:sqref>P49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lines'!Q48</xm:f>
              <xm:sqref>Q49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lines'!R48</xm:f>
              <xm:sqref>R49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lines'!S48</xm:f>
              <xm:sqref>S49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lines'!T48</xm:f>
              <xm:sqref>T49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lines'!U48</xm:f>
              <xm:sqref>U49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lines'!V48</xm:f>
              <xm:sqref>V49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lines'!W48</xm:f>
              <xm:sqref>W49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lines'!X48</xm:f>
              <xm:sqref>X49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lines'!Y48</xm:f>
              <xm:sqref>Y49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lines'!Z48</xm:f>
              <xm:sqref>Z49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lines'!AG48</xm:f>
              <xm:sqref>AG49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lines'!AH48</xm:f>
              <xm:sqref>AH49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lines'!AI48</xm:f>
              <xm:sqref>AI49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lines'!AJ48</xm:f>
              <xm:sqref>AJ49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lines'!AK48</xm:f>
              <xm:sqref>AK49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lines'!AL48</xm:f>
              <xm:sqref>AL49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lines'!AM48</xm:f>
              <xm:sqref>AM49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lines'!AN48</xm:f>
              <xm:sqref>AN49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lines'!AO48</xm:f>
              <xm:sqref>AO49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lines'!AP48</xm:f>
              <xm:sqref>AP49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lines'!AQ48</xm:f>
              <xm:sqref>AQ49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lines'!AR48</xm:f>
              <xm:sqref>AR49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lines'!AS48</xm:f>
              <xm:sqref>AS49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lines'!AT48</xm:f>
              <xm:sqref>AT49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lines'!AU48</xm:f>
              <xm:sqref>AU49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lines'!AV48</xm:f>
              <xm:sqref>AV49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lines'!AW48</xm:f>
              <xm:sqref>AW49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lines'!AX48</xm:f>
              <xm:sqref>AX49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lines'!AY48</xm:f>
              <xm:sqref>AY49</xm:sqref>
            </x14:sparkline>
          </x14:sparklines>
        </x14:sparklineGroup>
        <x14:sparklineGroup manualMax="1.0" manualMin="0.0" type="column" displayEmptyCellsAs="gap" minAxisType="custom" maxAxisType="custom">
          <x14:colorSeries rgb="FF3053FF"/>
          <x14:sparklines>
            <x14:sparkline>
              <xm:f>'Spark lines'!AZ48</xm:f>
              <xm:sqref>AZ49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lines'!G58:Z58</xm:f>
              <xm:sqref>AA58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lines'!AG58:AZ58</xm:f>
              <xm:sqref>BA58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lines'!G59:Z59</xm:f>
              <xm:sqref>AA59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lines'!AG59:AZ59</xm:f>
              <xm:sqref>BA59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lines'!G60:Z60</xm:f>
              <xm:sqref>AA60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lines'!AG60:AZ60</xm:f>
              <xm:sqref>BA60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lines'!G61:Z61</xm:f>
              <xm:sqref>AA61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lines'!AG61:AZ61</xm:f>
              <xm:sqref>BA61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lines'!G62:Z62</xm:f>
              <xm:sqref>AA62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lines'!AG62:AZ62</xm:f>
              <xm:sqref>BA62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lines'!G63:Z63</xm:f>
              <xm:sqref>AA63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lines'!AG63:AZ63</xm:f>
              <xm:sqref>BA63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lines'!G64:Z64</xm:f>
              <xm:sqref>AA64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lines'!AG64:AZ64</xm:f>
              <xm:sqref>BA64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lines'!G65:Z65</xm:f>
              <xm:sqref>AA65</xm:sqref>
            </x14:sparkline>
          </x14:sparklines>
        </x14:sparklineGroup>
        <x14:sparklineGroup type="column" displayEmptyCellsAs="gap" high="1" low="1" negative="1">
          <x14:colorSeries rgb="FF3053FF"/>
          <x14:colorNegative rgb="FFFA7272"/>
          <x14:colorHigh rgb="FF133D04"/>
          <x14:colorLow rgb="FF8B1212"/>
          <x14:sparklines>
            <x14:sparkline>
              <xm:f>'Spark lines'!AG65:AZ65</xm:f>
              <xm:sqref>BA65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63" width="3.88"/>
    <col customWidth="1" min="64" max="64" width="8.88"/>
    <col customWidth="1" min="65" max="65" width="22.13"/>
    <col customWidth="1" min="66" max="66" width="7.0"/>
    <col customWidth="1" min="67" max="67" width="7.25"/>
    <col customWidth="1" min="68" max="68" width="11.25"/>
    <col customWidth="1" min="69" max="69" width="3.88"/>
  </cols>
  <sheetData>
    <row r="1">
      <c r="A1" s="25"/>
      <c r="B1" s="26"/>
      <c r="C1" s="26"/>
    </row>
    <row r="2">
      <c r="A2" s="25"/>
      <c r="B2" s="28" t="s">
        <v>13</v>
      </c>
      <c r="C2" s="28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Q2" s="130"/>
    </row>
    <row r="3">
      <c r="A3" s="25"/>
      <c r="B3" s="31"/>
      <c r="C3" s="31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Q3" s="130"/>
    </row>
    <row r="4">
      <c r="A4" s="25"/>
      <c r="B4" s="35" t="s">
        <v>16</v>
      </c>
      <c r="C4" s="36"/>
      <c r="E4" s="129" t="s">
        <v>664</v>
      </c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1"/>
      <c r="R4" s="241"/>
      <c r="S4" s="241"/>
      <c r="T4" s="241"/>
      <c r="U4" s="241"/>
      <c r="V4" s="241"/>
      <c r="W4" s="241"/>
      <c r="X4" s="242"/>
      <c r="Y4" s="242"/>
      <c r="Z4" s="242"/>
      <c r="AA4" s="242"/>
      <c r="AB4" s="242"/>
      <c r="AC4" s="239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L4" s="41" t="s">
        <v>665</v>
      </c>
      <c r="BM4" s="33"/>
      <c r="BN4" s="33"/>
      <c r="BO4" s="34"/>
      <c r="BQ4" s="130"/>
    </row>
    <row r="5">
      <c r="A5" s="25"/>
      <c r="B5" s="37" t="s">
        <v>664</v>
      </c>
      <c r="C5" s="38"/>
      <c r="E5" s="243" t="str">
        <f t="array" ref="E5:N14">LET(a,10*10,x,SEQUENCE(10,10),BYROW(x,LAMBDA(y,BYCOL(y,LAMBDA(z,IFS(z&lt;=BP6*a,BL6,z&lt;=BP7*a,BL7,1,BL8))))))</f>
        <v>😡</v>
      </c>
      <c r="F5" s="243" t="s">
        <v>666</v>
      </c>
      <c r="G5" s="243" t="s">
        <v>666</v>
      </c>
      <c r="H5" s="243" t="s">
        <v>666</v>
      </c>
      <c r="I5" s="243" t="s">
        <v>666</v>
      </c>
      <c r="J5" s="243" t="s">
        <v>666</v>
      </c>
      <c r="K5" s="243" t="s">
        <v>666</v>
      </c>
      <c r="L5" s="243" t="s">
        <v>666</v>
      </c>
      <c r="M5" s="243" t="s">
        <v>666</v>
      </c>
      <c r="N5" s="243" t="s">
        <v>666</v>
      </c>
      <c r="O5" s="239"/>
      <c r="P5" s="239"/>
      <c r="Q5" s="242"/>
      <c r="R5" s="244" t="str">
        <f t="array" ref="R5:AA14">LET(a,10*10,x,SEQUENCE(10,10),BYROW(x,LAMBDA(y,BYCOL(y,LAMBDA(z,IFS(z&lt;=BP6*a,BL6,z&lt;=BP7*a,BL7,1,BL8))))))</f>
        <v>😡</v>
      </c>
      <c r="S5" s="244" t="s">
        <v>666</v>
      </c>
      <c r="T5" s="244" t="s">
        <v>666</v>
      </c>
      <c r="U5" s="244" t="s">
        <v>666</v>
      </c>
      <c r="V5" s="244" t="s">
        <v>666</v>
      </c>
      <c r="W5" s="244" t="s">
        <v>666</v>
      </c>
      <c r="X5" s="244" t="s">
        <v>666</v>
      </c>
      <c r="Y5" s="244" t="s">
        <v>666</v>
      </c>
      <c r="Z5" s="244" t="s">
        <v>666</v>
      </c>
      <c r="AA5" s="244" t="s">
        <v>666</v>
      </c>
      <c r="AB5" s="242"/>
      <c r="AC5" s="239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L5" s="245" t="s">
        <v>428</v>
      </c>
      <c r="BM5" s="34"/>
      <c r="BN5" s="246" t="s">
        <v>354</v>
      </c>
      <c r="BO5" s="106" t="s">
        <v>667</v>
      </c>
      <c r="BP5" s="106" t="s">
        <v>445</v>
      </c>
      <c r="BQ5" s="130"/>
    </row>
    <row r="6">
      <c r="A6" s="25"/>
      <c r="B6" s="37" t="s">
        <v>668</v>
      </c>
      <c r="C6" s="38"/>
      <c r="E6" s="247" t="s">
        <v>669</v>
      </c>
      <c r="F6" s="247" t="s">
        <v>669</v>
      </c>
      <c r="G6" s="247" t="s">
        <v>669</v>
      </c>
      <c r="H6" s="247" t="s">
        <v>669</v>
      </c>
      <c r="I6" s="247" t="s">
        <v>669</v>
      </c>
      <c r="J6" s="247" t="s">
        <v>669</v>
      </c>
      <c r="K6" s="247" t="s">
        <v>669</v>
      </c>
      <c r="L6" s="247" t="s">
        <v>669</v>
      </c>
      <c r="M6" s="247" t="s">
        <v>669</v>
      </c>
      <c r="N6" s="247" t="s">
        <v>669</v>
      </c>
      <c r="O6" s="239"/>
      <c r="P6" s="239"/>
      <c r="Q6" s="242"/>
      <c r="R6" s="244" t="s">
        <v>669</v>
      </c>
      <c r="S6" s="244" t="s">
        <v>669</v>
      </c>
      <c r="T6" s="244" t="s">
        <v>669</v>
      </c>
      <c r="U6" s="244" t="s">
        <v>669</v>
      </c>
      <c r="V6" s="244" t="s">
        <v>669</v>
      </c>
      <c r="W6" s="244" t="s">
        <v>669</v>
      </c>
      <c r="X6" s="244" t="s">
        <v>669</v>
      </c>
      <c r="Y6" s="244" t="s">
        <v>669</v>
      </c>
      <c r="Z6" s="244" t="s">
        <v>669</v>
      </c>
      <c r="AA6" s="244" t="s">
        <v>669</v>
      </c>
      <c r="AB6" s="242"/>
      <c r="AC6" s="239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L6" s="248" t="s">
        <v>666</v>
      </c>
      <c r="BM6" s="250" t="s">
        <v>549</v>
      </c>
      <c r="BN6" s="251">
        <v>23.0</v>
      </c>
      <c r="BO6" s="253">
        <f t="shared" ref="BO6:BO8" si="1">BN6/sum($BN$6:$BN$8)</f>
        <v>0.1055045872</v>
      </c>
      <c r="BP6" s="253">
        <f t="shared" ref="BP6:BP8" si="2">sum(BO$6:BO6)</f>
        <v>0.1055045872</v>
      </c>
      <c r="BQ6" s="130"/>
    </row>
    <row r="7">
      <c r="A7" s="39"/>
      <c r="B7" s="37" t="s">
        <v>673</v>
      </c>
      <c r="C7" s="40"/>
      <c r="E7" s="247" t="s">
        <v>669</v>
      </c>
      <c r="F7" s="247" t="s">
        <v>669</v>
      </c>
      <c r="G7" s="247" t="s">
        <v>669</v>
      </c>
      <c r="H7" s="247" t="s">
        <v>669</v>
      </c>
      <c r="I7" s="247" t="s">
        <v>669</v>
      </c>
      <c r="J7" s="247" t="s">
        <v>669</v>
      </c>
      <c r="K7" s="247" t="s">
        <v>669</v>
      </c>
      <c r="L7" s="247" t="s">
        <v>676</v>
      </c>
      <c r="M7" s="247" t="s">
        <v>676</v>
      </c>
      <c r="N7" s="247" t="s">
        <v>676</v>
      </c>
      <c r="O7" s="239"/>
      <c r="P7" s="239"/>
      <c r="Q7" s="242"/>
      <c r="R7" s="244" t="s">
        <v>669</v>
      </c>
      <c r="S7" s="244" t="s">
        <v>669</v>
      </c>
      <c r="T7" s="244" t="s">
        <v>669</v>
      </c>
      <c r="U7" s="244" t="s">
        <v>669</v>
      </c>
      <c r="V7" s="244" t="s">
        <v>669</v>
      </c>
      <c r="W7" s="244" t="s">
        <v>669</v>
      </c>
      <c r="X7" s="244" t="s">
        <v>669</v>
      </c>
      <c r="Y7" s="244" t="s">
        <v>676</v>
      </c>
      <c r="Z7" s="244" t="s">
        <v>676</v>
      </c>
      <c r="AA7" s="244" t="s">
        <v>676</v>
      </c>
      <c r="AB7" s="242"/>
      <c r="AC7" s="239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L7" s="248" t="s">
        <v>669</v>
      </c>
      <c r="BM7" s="250" t="s">
        <v>682</v>
      </c>
      <c r="BN7" s="251">
        <v>38.0</v>
      </c>
      <c r="BO7" s="253">
        <f t="shared" si="1"/>
        <v>0.1743119266</v>
      </c>
      <c r="BP7" s="253">
        <f t="shared" si="2"/>
        <v>0.2798165138</v>
      </c>
      <c r="BQ7" s="130"/>
    </row>
    <row r="8">
      <c r="A8" s="25"/>
      <c r="B8" s="37"/>
      <c r="C8" s="43"/>
      <c r="E8" s="247" t="s">
        <v>676</v>
      </c>
      <c r="F8" s="247" t="s">
        <v>676</v>
      </c>
      <c r="G8" s="247" t="s">
        <v>676</v>
      </c>
      <c r="H8" s="247" t="s">
        <v>676</v>
      </c>
      <c r="I8" s="247" t="s">
        <v>676</v>
      </c>
      <c r="J8" s="247" t="s">
        <v>676</v>
      </c>
      <c r="K8" s="247" t="s">
        <v>676</v>
      </c>
      <c r="L8" s="247" t="s">
        <v>676</v>
      </c>
      <c r="M8" s="247" t="s">
        <v>676</v>
      </c>
      <c r="N8" s="247" t="s">
        <v>676</v>
      </c>
      <c r="O8" s="239"/>
      <c r="P8" s="239"/>
      <c r="Q8" s="242"/>
      <c r="R8" s="244" t="s">
        <v>676</v>
      </c>
      <c r="S8" s="244" t="s">
        <v>676</v>
      </c>
      <c r="T8" s="244" t="s">
        <v>676</v>
      </c>
      <c r="U8" s="244" t="s">
        <v>676</v>
      </c>
      <c r="V8" s="244" t="s">
        <v>676</v>
      </c>
      <c r="W8" s="244" t="s">
        <v>676</v>
      </c>
      <c r="X8" s="244" t="s">
        <v>676</v>
      </c>
      <c r="Y8" s="244" t="s">
        <v>676</v>
      </c>
      <c r="Z8" s="244" t="s">
        <v>676</v>
      </c>
      <c r="AA8" s="244" t="s">
        <v>676</v>
      </c>
      <c r="AB8" s="242"/>
      <c r="AC8" s="239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L8" s="248" t="s">
        <v>676</v>
      </c>
      <c r="BM8" s="250" t="s">
        <v>546</v>
      </c>
      <c r="BN8" s="251">
        <v>157.0</v>
      </c>
      <c r="BO8" s="253">
        <f t="shared" si="1"/>
        <v>0.7201834862</v>
      </c>
      <c r="BP8" s="253">
        <f t="shared" si="2"/>
        <v>1</v>
      </c>
      <c r="BQ8" s="130"/>
    </row>
    <row r="9">
      <c r="A9" s="25"/>
      <c r="B9" s="37"/>
      <c r="C9" s="43"/>
      <c r="E9" s="247" t="s">
        <v>676</v>
      </c>
      <c r="F9" s="247" t="s">
        <v>676</v>
      </c>
      <c r="G9" s="247" t="s">
        <v>676</v>
      </c>
      <c r="H9" s="247" t="s">
        <v>676</v>
      </c>
      <c r="I9" s="247" t="s">
        <v>676</v>
      </c>
      <c r="J9" s="247" t="s">
        <v>676</v>
      </c>
      <c r="K9" s="247" t="s">
        <v>676</v>
      </c>
      <c r="L9" s="247" t="s">
        <v>676</v>
      </c>
      <c r="M9" s="247" t="s">
        <v>676</v>
      </c>
      <c r="N9" s="247" t="s">
        <v>676</v>
      </c>
      <c r="O9" s="239"/>
      <c r="P9" s="239"/>
      <c r="Q9" s="242"/>
      <c r="R9" s="244" t="s">
        <v>676</v>
      </c>
      <c r="S9" s="244" t="s">
        <v>676</v>
      </c>
      <c r="T9" s="244" t="s">
        <v>676</v>
      </c>
      <c r="U9" s="244" t="s">
        <v>676</v>
      </c>
      <c r="V9" s="244" t="s">
        <v>676</v>
      </c>
      <c r="W9" s="244" t="s">
        <v>676</v>
      </c>
      <c r="X9" s="244" t="s">
        <v>676</v>
      </c>
      <c r="Y9" s="244" t="s">
        <v>676</v>
      </c>
      <c r="Z9" s="244" t="s">
        <v>676</v>
      </c>
      <c r="AA9" s="244" t="s">
        <v>676</v>
      </c>
      <c r="AB9" s="242"/>
      <c r="AC9" s="239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Q9" s="130"/>
    </row>
    <row r="10">
      <c r="A10" s="25"/>
      <c r="B10" s="47"/>
      <c r="C10" s="43"/>
      <c r="E10" s="247" t="s">
        <v>676</v>
      </c>
      <c r="F10" s="247" t="s">
        <v>676</v>
      </c>
      <c r="G10" s="247" t="s">
        <v>676</v>
      </c>
      <c r="H10" s="247" t="s">
        <v>676</v>
      </c>
      <c r="I10" s="247" t="s">
        <v>676</v>
      </c>
      <c r="J10" s="247" t="s">
        <v>676</v>
      </c>
      <c r="K10" s="247" t="s">
        <v>676</v>
      </c>
      <c r="L10" s="247" t="s">
        <v>676</v>
      </c>
      <c r="M10" s="247" t="s">
        <v>676</v>
      </c>
      <c r="N10" s="247" t="s">
        <v>676</v>
      </c>
      <c r="O10" s="239"/>
      <c r="P10" s="239"/>
      <c r="Q10" s="242"/>
      <c r="R10" s="244" t="s">
        <v>676</v>
      </c>
      <c r="S10" s="244" t="s">
        <v>676</v>
      </c>
      <c r="T10" s="244" t="s">
        <v>676</v>
      </c>
      <c r="U10" s="244" t="s">
        <v>676</v>
      </c>
      <c r="V10" s="244" t="s">
        <v>676</v>
      </c>
      <c r="W10" s="244" t="s">
        <v>676</v>
      </c>
      <c r="X10" s="244" t="s">
        <v>676</v>
      </c>
      <c r="Y10" s="244" t="s">
        <v>676</v>
      </c>
      <c r="Z10" s="244" t="s">
        <v>676</v>
      </c>
      <c r="AA10" s="244" t="s">
        <v>676</v>
      </c>
      <c r="AB10" s="242"/>
      <c r="AC10" s="239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Q10" s="130"/>
    </row>
    <row r="11">
      <c r="A11" s="25"/>
      <c r="B11" s="47"/>
      <c r="C11" s="43"/>
      <c r="E11" s="247" t="s">
        <v>676</v>
      </c>
      <c r="F11" s="247" t="s">
        <v>676</v>
      </c>
      <c r="G11" s="247" t="s">
        <v>676</v>
      </c>
      <c r="H11" s="247" t="s">
        <v>676</v>
      </c>
      <c r="I11" s="247" t="s">
        <v>676</v>
      </c>
      <c r="J11" s="247" t="s">
        <v>676</v>
      </c>
      <c r="K11" s="247" t="s">
        <v>676</v>
      </c>
      <c r="L11" s="247" t="s">
        <v>676</v>
      </c>
      <c r="M11" s="247" t="s">
        <v>676</v>
      </c>
      <c r="N11" s="247" t="s">
        <v>676</v>
      </c>
      <c r="O11" s="239"/>
      <c r="P11" s="239"/>
      <c r="Q11" s="242"/>
      <c r="R11" s="244" t="s">
        <v>676</v>
      </c>
      <c r="S11" s="244" t="s">
        <v>676</v>
      </c>
      <c r="T11" s="244" t="s">
        <v>676</v>
      </c>
      <c r="U11" s="244" t="s">
        <v>676</v>
      </c>
      <c r="V11" s="244" t="s">
        <v>676</v>
      </c>
      <c r="W11" s="244" t="s">
        <v>676</v>
      </c>
      <c r="X11" s="244" t="s">
        <v>676</v>
      </c>
      <c r="Y11" s="244" t="s">
        <v>676</v>
      </c>
      <c r="Z11" s="244" t="s">
        <v>676</v>
      </c>
      <c r="AA11" s="244" t="s">
        <v>676</v>
      </c>
      <c r="AB11" s="242"/>
      <c r="AC11" s="239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Q11" s="130"/>
    </row>
    <row r="12">
      <c r="A12" s="25"/>
      <c r="B12" s="48"/>
      <c r="C12" s="48"/>
      <c r="E12" s="247" t="s">
        <v>676</v>
      </c>
      <c r="F12" s="247" t="s">
        <v>676</v>
      </c>
      <c r="G12" s="247" t="s">
        <v>676</v>
      </c>
      <c r="H12" s="247" t="s">
        <v>676</v>
      </c>
      <c r="I12" s="247" t="s">
        <v>676</v>
      </c>
      <c r="J12" s="247" t="s">
        <v>676</v>
      </c>
      <c r="K12" s="247" t="s">
        <v>676</v>
      </c>
      <c r="L12" s="247" t="s">
        <v>676</v>
      </c>
      <c r="M12" s="247" t="s">
        <v>676</v>
      </c>
      <c r="N12" s="247" t="s">
        <v>676</v>
      </c>
      <c r="O12" s="239"/>
      <c r="P12" s="239"/>
      <c r="Q12" s="242"/>
      <c r="R12" s="244" t="s">
        <v>676</v>
      </c>
      <c r="S12" s="244" t="s">
        <v>676</v>
      </c>
      <c r="T12" s="244" t="s">
        <v>676</v>
      </c>
      <c r="U12" s="244" t="s">
        <v>676</v>
      </c>
      <c r="V12" s="244" t="s">
        <v>676</v>
      </c>
      <c r="W12" s="244" t="s">
        <v>676</v>
      </c>
      <c r="X12" s="244" t="s">
        <v>676</v>
      </c>
      <c r="Y12" s="244" t="s">
        <v>676</v>
      </c>
      <c r="Z12" s="244" t="s">
        <v>676</v>
      </c>
      <c r="AA12" s="244" t="s">
        <v>676</v>
      </c>
      <c r="AB12" s="242"/>
      <c r="AC12" s="239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Q12" s="130"/>
    </row>
    <row r="13">
      <c r="A13" s="25"/>
      <c r="B13" s="48"/>
      <c r="C13" s="48"/>
      <c r="E13" s="247" t="s">
        <v>676</v>
      </c>
      <c r="F13" s="247" t="s">
        <v>676</v>
      </c>
      <c r="G13" s="247" t="s">
        <v>676</v>
      </c>
      <c r="H13" s="247" t="s">
        <v>676</v>
      </c>
      <c r="I13" s="247" t="s">
        <v>676</v>
      </c>
      <c r="J13" s="247" t="s">
        <v>676</v>
      </c>
      <c r="K13" s="247" t="s">
        <v>676</v>
      </c>
      <c r="L13" s="247" t="s">
        <v>676</v>
      </c>
      <c r="M13" s="247" t="s">
        <v>676</v>
      </c>
      <c r="N13" s="247" t="s">
        <v>676</v>
      </c>
      <c r="O13" s="239"/>
      <c r="P13" s="239"/>
      <c r="Q13" s="242"/>
      <c r="R13" s="244" t="s">
        <v>676</v>
      </c>
      <c r="S13" s="244" t="s">
        <v>676</v>
      </c>
      <c r="T13" s="244" t="s">
        <v>676</v>
      </c>
      <c r="U13" s="244" t="s">
        <v>676</v>
      </c>
      <c r="V13" s="244" t="s">
        <v>676</v>
      </c>
      <c r="W13" s="244" t="s">
        <v>676</v>
      </c>
      <c r="X13" s="244" t="s">
        <v>676</v>
      </c>
      <c r="Y13" s="244" t="s">
        <v>676</v>
      </c>
      <c r="Z13" s="244" t="s">
        <v>676</v>
      </c>
      <c r="AA13" s="244" t="s">
        <v>676</v>
      </c>
      <c r="AB13" s="242"/>
      <c r="AC13" s="239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Q13" s="130"/>
    </row>
    <row r="14">
      <c r="A14" s="25"/>
      <c r="B14" s="48"/>
      <c r="C14" s="48"/>
      <c r="E14" s="247" t="s">
        <v>676</v>
      </c>
      <c r="F14" s="247" t="s">
        <v>676</v>
      </c>
      <c r="G14" s="247" t="s">
        <v>676</v>
      </c>
      <c r="H14" s="247" t="s">
        <v>676</v>
      </c>
      <c r="I14" s="247" t="s">
        <v>676</v>
      </c>
      <c r="J14" s="247" t="s">
        <v>676</v>
      </c>
      <c r="K14" s="247" t="s">
        <v>676</v>
      </c>
      <c r="L14" s="247" t="s">
        <v>676</v>
      </c>
      <c r="M14" s="247" t="s">
        <v>676</v>
      </c>
      <c r="N14" s="247" t="s">
        <v>676</v>
      </c>
      <c r="O14" s="239"/>
      <c r="P14" s="239"/>
      <c r="Q14" s="242"/>
      <c r="R14" s="244" t="s">
        <v>676</v>
      </c>
      <c r="S14" s="244" t="s">
        <v>676</v>
      </c>
      <c r="T14" s="244" t="s">
        <v>676</v>
      </c>
      <c r="U14" s="244" t="s">
        <v>676</v>
      </c>
      <c r="V14" s="244" t="s">
        <v>676</v>
      </c>
      <c r="W14" s="244" t="s">
        <v>676</v>
      </c>
      <c r="X14" s="244" t="s">
        <v>676</v>
      </c>
      <c r="Y14" s="244" t="s">
        <v>676</v>
      </c>
      <c r="Z14" s="244" t="s">
        <v>676</v>
      </c>
      <c r="AA14" s="244" t="s">
        <v>676</v>
      </c>
      <c r="AB14" s="242"/>
      <c r="AC14" s="239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Q14" s="130"/>
    </row>
    <row r="15">
      <c r="A15" s="25"/>
      <c r="B15" s="48"/>
      <c r="C15" s="48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39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Q15" s="130"/>
    </row>
    <row r="16">
      <c r="A16" s="25"/>
      <c r="B16" s="51" t="s">
        <v>32</v>
      </c>
      <c r="C16" s="48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Q16" s="130"/>
    </row>
    <row r="17">
      <c r="A17" s="25"/>
      <c r="B17" s="53"/>
      <c r="C17" s="48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Q17" s="130"/>
    </row>
    <row r="18" ht="30.0" customHeight="1">
      <c r="A18" s="25"/>
      <c r="B18" s="25"/>
      <c r="C18" s="48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Q18" s="130"/>
    </row>
    <row r="19">
      <c r="A19" s="25"/>
      <c r="B19" s="54"/>
      <c r="C19" s="50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Q19" s="130"/>
    </row>
    <row r="20">
      <c r="A20" s="25"/>
      <c r="B20" s="54" t="s">
        <v>33</v>
      </c>
      <c r="C20" s="52"/>
      <c r="E20" s="129" t="s">
        <v>668</v>
      </c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174"/>
      <c r="AE20" s="174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7"/>
      <c r="BB20" s="277"/>
      <c r="BC20" s="277"/>
      <c r="BD20" s="277"/>
      <c r="BE20" s="277"/>
      <c r="BF20" s="277"/>
      <c r="BG20" s="174"/>
      <c r="BH20" s="174"/>
      <c r="BI20" s="174"/>
      <c r="BQ20" s="130"/>
    </row>
    <row r="21">
      <c r="A21" s="25"/>
      <c r="B21" s="55" t="s">
        <v>3</v>
      </c>
      <c r="C21" s="51"/>
      <c r="D21" s="162"/>
      <c r="E21" s="285" t="str">
        <f t="array" ref="E21:AC45">LET(a,25*25,x,SEQUENCE(25,25),BYROW(x,LAMBDA(y,BYCOL(y,LAMBDA(z,IFS(z&lt;=BP24*a,BL24,z&lt;=BP25*a,BL25,z&lt;=BP26*a,BL26,z&lt;=BP27*a,BL27,1,BL28))))))</f>
        <v>😭</v>
      </c>
      <c r="F21" s="285" t="s">
        <v>703</v>
      </c>
      <c r="G21" s="285" t="s">
        <v>703</v>
      </c>
      <c r="H21" s="285" t="s">
        <v>703</v>
      </c>
      <c r="I21" s="285" t="s">
        <v>703</v>
      </c>
      <c r="J21" s="285" t="s">
        <v>703</v>
      </c>
      <c r="K21" s="285" t="s">
        <v>703</v>
      </c>
      <c r="L21" s="285" t="s">
        <v>703</v>
      </c>
      <c r="M21" s="285" t="s">
        <v>703</v>
      </c>
      <c r="N21" s="285" t="s">
        <v>703</v>
      </c>
      <c r="O21" s="285" t="s">
        <v>703</v>
      </c>
      <c r="P21" s="285" t="s">
        <v>703</v>
      </c>
      <c r="Q21" s="285" t="s">
        <v>703</v>
      </c>
      <c r="R21" s="285" t="s">
        <v>703</v>
      </c>
      <c r="S21" s="285" t="s">
        <v>703</v>
      </c>
      <c r="T21" s="285" t="s">
        <v>703</v>
      </c>
      <c r="U21" s="285" t="s">
        <v>703</v>
      </c>
      <c r="V21" s="285" t="s">
        <v>703</v>
      </c>
      <c r="W21" s="285" t="s">
        <v>703</v>
      </c>
      <c r="X21" s="285" t="s">
        <v>703</v>
      </c>
      <c r="Y21" s="285" t="s">
        <v>703</v>
      </c>
      <c r="Z21" s="285" t="s">
        <v>703</v>
      </c>
      <c r="AA21" s="285" t="s">
        <v>703</v>
      </c>
      <c r="AB21" s="285" t="s">
        <v>703</v>
      </c>
      <c r="AC21" s="285" t="s">
        <v>703</v>
      </c>
      <c r="AD21" s="174"/>
      <c r="AE21" s="174"/>
      <c r="AF21" s="277"/>
      <c r="AG21" s="286" t="str">
        <f t="array" ref="AG21:BE45">LET(a,25*25,x,SEQUENCE(25,25),BYROW(x,LAMBDA(y,BYCOL(y,LAMBDA(z,IFS(z&lt;=BP24*a,BL24,z&lt;=BP25*a,BL25,z&lt;=BP26*a,BL26,z&lt;=BP27*a,BL27,1,BL28))))))</f>
        <v>😭</v>
      </c>
      <c r="AH21" s="286" t="s">
        <v>703</v>
      </c>
      <c r="AI21" s="287" t="s">
        <v>703</v>
      </c>
      <c r="AJ21" s="286" t="s">
        <v>703</v>
      </c>
      <c r="AK21" s="286" t="s">
        <v>703</v>
      </c>
      <c r="AL21" s="286" t="s">
        <v>703</v>
      </c>
      <c r="AM21" s="286" t="s">
        <v>703</v>
      </c>
      <c r="AN21" s="286" t="s">
        <v>703</v>
      </c>
      <c r="AO21" s="286" t="s">
        <v>703</v>
      </c>
      <c r="AP21" s="286" t="s">
        <v>703</v>
      </c>
      <c r="AQ21" s="286" t="s">
        <v>703</v>
      </c>
      <c r="AR21" s="286" t="s">
        <v>703</v>
      </c>
      <c r="AS21" s="286" t="s">
        <v>703</v>
      </c>
      <c r="AT21" s="286" t="s">
        <v>703</v>
      </c>
      <c r="AU21" s="286" t="s">
        <v>703</v>
      </c>
      <c r="AV21" s="286" t="s">
        <v>703</v>
      </c>
      <c r="AW21" s="286" t="s">
        <v>703</v>
      </c>
      <c r="AX21" s="286" t="s">
        <v>703</v>
      </c>
      <c r="AY21" s="286" t="s">
        <v>703</v>
      </c>
      <c r="AZ21" s="286" t="s">
        <v>703</v>
      </c>
      <c r="BA21" s="286" t="s">
        <v>703</v>
      </c>
      <c r="BB21" s="286" t="s">
        <v>703</v>
      </c>
      <c r="BC21" s="286" t="s">
        <v>703</v>
      </c>
      <c r="BD21" s="286" t="s">
        <v>703</v>
      </c>
      <c r="BE21" s="286" t="s">
        <v>703</v>
      </c>
      <c r="BF21" s="277"/>
      <c r="BG21" s="174"/>
      <c r="BH21" s="174"/>
      <c r="BI21" s="174"/>
      <c r="BQ21" s="289"/>
    </row>
    <row r="22">
      <c r="A22" s="25"/>
      <c r="B22" s="53"/>
      <c r="C22" s="53"/>
      <c r="D22" s="162"/>
      <c r="E22" s="285" t="s">
        <v>703</v>
      </c>
      <c r="F22" s="285" t="s">
        <v>703</v>
      </c>
      <c r="G22" s="285" t="s">
        <v>703</v>
      </c>
      <c r="H22" s="285" t="s">
        <v>703</v>
      </c>
      <c r="I22" s="285" t="s">
        <v>703</v>
      </c>
      <c r="J22" s="285" t="s">
        <v>703</v>
      </c>
      <c r="K22" s="285" t="s">
        <v>703</v>
      </c>
      <c r="L22" s="285" t="s">
        <v>703</v>
      </c>
      <c r="M22" s="285" t="s">
        <v>703</v>
      </c>
      <c r="N22" s="285" t="s">
        <v>703</v>
      </c>
      <c r="O22" s="285" t="s">
        <v>703</v>
      </c>
      <c r="P22" s="285" t="s">
        <v>703</v>
      </c>
      <c r="Q22" s="285" t="s">
        <v>703</v>
      </c>
      <c r="R22" s="285" t="s">
        <v>703</v>
      </c>
      <c r="S22" s="285" t="s">
        <v>703</v>
      </c>
      <c r="T22" s="285" t="s">
        <v>703</v>
      </c>
      <c r="U22" s="285" t="s">
        <v>703</v>
      </c>
      <c r="V22" s="285" t="s">
        <v>703</v>
      </c>
      <c r="W22" s="285" t="s">
        <v>703</v>
      </c>
      <c r="X22" s="285" t="s">
        <v>703</v>
      </c>
      <c r="Y22" s="285" t="s">
        <v>703</v>
      </c>
      <c r="Z22" s="285" t="s">
        <v>703</v>
      </c>
      <c r="AA22" s="285" t="s">
        <v>703</v>
      </c>
      <c r="AB22" s="285" t="s">
        <v>703</v>
      </c>
      <c r="AC22" s="285" t="s">
        <v>703</v>
      </c>
      <c r="AD22" s="174"/>
      <c r="AE22" s="174"/>
      <c r="AF22" s="277"/>
      <c r="AG22" s="286" t="s">
        <v>703</v>
      </c>
      <c r="AH22" s="286" t="s">
        <v>703</v>
      </c>
      <c r="AI22" s="286" t="s">
        <v>703</v>
      </c>
      <c r="AJ22" s="286" t="s">
        <v>703</v>
      </c>
      <c r="AK22" s="286" t="s">
        <v>703</v>
      </c>
      <c r="AL22" s="286" t="s">
        <v>703</v>
      </c>
      <c r="AM22" s="286" t="s">
        <v>703</v>
      </c>
      <c r="AN22" s="286" t="s">
        <v>703</v>
      </c>
      <c r="AO22" s="286" t="s">
        <v>703</v>
      </c>
      <c r="AP22" s="286" t="s">
        <v>703</v>
      </c>
      <c r="AQ22" s="286" t="s">
        <v>703</v>
      </c>
      <c r="AR22" s="286" t="s">
        <v>703</v>
      </c>
      <c r="AS22" s="286" t="s">
        <v>703</v>
      </c>
      <c r="AT22" s="286" t="s">
        <v>703</v>
      </c>
      <c r="AU22" s="286" t="s">
        <v>703</v>
      </c>
      <c r="AV22" s="286" t="s">
        <v>703</v>
      </c>
      <c r="AW22" s="286" t="s">
        <v>703</v>
      </c>
      <c r="AX22" s="286" t="s">
        <v>703</v>
      </c>
      <c r="AY22" s="286" t="s">
        <v>703</v>
      </c>
      <c r="AZ22" s="286" t="s">
        <v>703</v>
      </c>
      <c r="BA22" s="286" t="s">
        <v>703</v>
      </c>
      <c r="BB22" s="286" t="s">
        <v>703</v>
      </c>
      <c r="BC22" s="286" t="s">
        <v>703</v>
      </c>
      <c r="BD22" s="286" t="s">
        <v>703</v>
      </c>
      <c r="BE22" s="286" t="s">
        <v>703</v>
      </c>
      <c r="BF22" s="277"/>
      <c r="BG22" s="174"/>
      <c r="BH22" s="174"/>
      <c r="BI22" s="174"/>
      <c r="BL22" s="41" t="s">
        <v>718</v>
      </c>
      <c r="BM22" s="33"/>
      <c r="BN22" s="33"/>
      <c r="BO22" s="34"/>
      <c r="BQ22" s="130"/>
    </row>
    <row r="23">
      <c r="A23" s="25"/>
      <c r="B23" s="53"/>
      <c r="C23" s="53"/>
      <c r="D23" s="162"/>
      <c r="E23" s="285" t="s">
        <v>703</v>
      </c>
      <c r="F23" s="285" t="s">
        <v>703</v>
      </c>
      <c r="G23" s="285" t="s">
        <v>703</v>
      </c>
      <c r="H23" s="285" t="s">
        <v>703</v>
      </c>
      <c r="I23" s="285" t="s">
        <v>703</v>
      </c>
      <c r="J23" s="285" t="s">
        <v>703</v>
      </c>
      <c r="K23" s="285" t="s">
        <v>703</v>
      </c>
      <c r="L23" s="285" t="s">
        <v>703</v>
      </c>
      <c r="M23" s="285" t="s">
        <v>703</v>
      </c>
      <c r="N23" s="285" t="s">
        <v>703</v>
      </c>
      <c r="O23" s="285" t="s">
        <v>703</v>
      </c>
      <c r="P23" s="285" t="s">
        <v>703</v>
      </c>
      <c r="Q23" s="285" t="s">
        <v>703</v>
      </c>
      <c r="R23" s="285" t="s">
        <v>703</v>
      </c>
      <c r="S23" s="285" t="s">
        <v>703</v>
      </c>
      <c r="T23" s="285" t="s">
        <v>703</v>
      </c>
      <c r="U23" s="285" t="s">
        <v>703</v>
      </c>
      <c r="V23" s="285" t="s">
        <v>703</v>
      </c>
      <c r="W23" s="285" t="s">
        <v>703</v>
      </c>
      <c r="X23" s="285" t="s">
        <v>703</v>
      </c>
      <c r="Y23" s="285" t="s">
        <v>703</v>
      </c>
      <c r="Z23" s="285" t="s">
        <v>703</v>
      </c>
      <c r="AA23" s="285" t="s">
        <v>703</v>
      </c>
      <c r="AB23" s="285" t="s">
        <v>703</v>
      </c>
      <c r="AC23" s="285" t="s">
        <v>703</v>
      </c>
      <c r="AD23" s="174"/>
      <c r="AE23" s="174"/>
      <c r="AF23" s="277"/>
      <c r="AG23" s="286" t="s">
        <v>703</v>
      </c>
      <c r="AH23" s="286" t="s">
        <v>703</v>
      </c>
      <c r="AI23" s="286" t="s">
        <v>703</v>
      </c>
      <c r="AJ23" s="286" t="s">
        <v>703</v>
      </c>
      <c r="AK23" s="286" t="s">
        <v>703</v>
      </c>
      <c r="AL23" s="286" t="s">
        <v>703</v>
      </c>
      <c r="AM23" s="286" t="s">
        <v>703</v>
      </c>
      <c r="AN23" s="286" t="s">
        <v>703</v>
      </c>
      <c r="AO23" s="286" t="s">
        <v>703</v>
      </c>
      <c r="AP23" s="286" t="s">
        <v>703</v>
      </c>
      <c r="AQ23" s="286" t="s">
        <v>703</v>
      </c>
      <c r="AR23" s="286" t="s">
        <v>703</v>
      </c>
      <c r="AS23" s="286" t="s">
        <v>703</v>
      </c>
      <c r="AT23" s="286" t="s">
        <v>703</v>
      </c>
      <c r="AU23" s="286" t="s">
        <v>703</v>
      </c>
      <c r="AV23" s="286" t="s">
        <v>703</v>
      </c>
      <c r="AW23" s="286" t="s">
        <v>703</v>
      </c>
      <c r="AX23" s="286" t="s">
        <v>703</v>
      </c>
      <c r="AY23" s="286" t="s">
        <v>703</v>
      </c>
      <c r="AZ23" s="286" t="s">
        <v>703</v>
      </c>
      <c r="BA23" s="286" t="s">
        <v>703</v>
      </c>
      <c r="BB23" s="286" t="s">
        <v>703</v>
      </c>
      <c r="BC23" s="286" t="s">
        <v>703</v>
      </c>
      <c r="BD23" s="286" t="s">
        <v>703</v>
      </c>
      <c r="BE23" s="286" t="s">
        <v>703</v>
      </c>
      <c r="BF23" s="277"/>
      <c r="BG23" s="174"/>
      <c r="BH23" s="174"/>
      <c r="BI23" s="174"/>
      <c r="BL23" s="245" t="s">
        <v>428</v>
      </c>
      <c r="BM23" s="34"/>
      <c r="BN23" s="246" t="s">
        <v>354</v>
      </c>
      <c r="BO23" s="106" t="s">
        <v>667</v>
      </c>
      <c r="BP23" s="106" t="s">
        <v>445</v>
      </c>
      <c r="BQ23" s="130"/>
    </row>
    <row r="24">
      <c r="A24" s="25"/>
      <c r="B24" s="54"/>
      <c r="C24" s="54"/>
      <c r="D24" s="162"/>
      <c r="E24" s="285" t="s">
        <v>703</v>
      </c>
      <c r="F24" s="285" t="s">
        <v>703</v>
      </c>
      <c r="G24" s="285" t="s">
        <v>703</v>
      </c>
      <c r="H24" s="285" t="s">
        <v>703</v>
      </c>
      <c r="I24" s="285" t="s">
        <v>703</v>
      </c>
      <c r="J24" s="285" t="s">
        <v>722</v>
      </c>
      <c r="K24" s="285" t="s">
        <v>722</v>
      </c>
      <c r="L24" s="285" t="s">
        <v>722</v>
      </c>
      <c r="M24" s="285" t="s">
        <v>722</v>
      </c>
      <c r="N24" s="285" t="s">
        <v>722</v>
      </c>
      <c r="O24" s="285" t="s">
        <v>722</v>
      </c>
      <c r="P24" s="285" t="s">
        <v>722</v>
      </c>
      <c r="Q24" s="285" t="s">
        <v>722</v>
      </c>
      <c r="R24" s="285" t="s">
        <v>722</v>
      </c>
      <c r="S24" s="285" t="s">
        <v>722</v>
      </c>
      <c r="T24" s="285" t="s">
        <v>722</v>
      </c>
      <c r="U24" s="285" t="s">
        <v>722</v>
      </c>
      <c r="V24" s="285" t="s">
        <v>722</v>
      </c>
      <c r="W24" s="285" t="s">
        <v>722</v>
      </c>
      <c r="X24" s="285" t="s">
        <v>722</v>
      </c>
      <c r="Y24" s="285" t="s">
        <v>722</v>
      </c>
      <c r="Z24" s="285" t="s">
        <v>722</v>
      </c>
      <c r="AA24" s="285" t="s">
        <v>722</v>
      </c>
      <c r="AB24" s="285" t="s">
        <v>722</v>
      </c>
      <c r="AC24" s="285" t="s">
        <v>722</v>
      </c>
      <c r="AD24" s="239"/>
      <c r="AE24" s="239"/>
      <c r="AF24" s="242"/>
      <c r="AG24" s="286" t="s">
        <v>703</v>
      </c>
      <c r="AH24" s="286" t="s">
        <v>703</v>
      </c>
      <c r="AI24" s="286" t="s">
        <v>703</v>
      </c>
      <c r="AJ24" s="286" t="s">
        <v>703</v>
      </c>
      <c r="AK24" s="286" t="s">
        <v>703</v>
      </c>
      <c r="AL24" s="286" t="s">
        <v>722</v>
      </c>
      <c r="AM24" s="286" t="s">
        <v>722</v>
      </c>
      <c r="AN24" s="286" t="s">
        <v>722</v>
      </c>
      <c r="AO24" s="286" t="s">
        <v>722</v>
      </c>
      <c r="AP24" s="286" t="s">
        <v>722</v>
      </c>
      <c r="AQ24" s="286" t="s">
        <v>722</v>
      </c>
      <c r="AR24" s="286" t="s">
        <v>722</v>
      </c>
      <c r="AS24" s="286" t="s">
        <v>722</v>
      </c>
      <c r="AT24" s="286" t="s">
        <v>722</v>
      </c>
      <c r="AU24" s="286" t="s">
        <v>722</v>
      </c>
      <c r="AV24" s="286" t="s">
        <v>722</v>
      </c>
      <c r="AW24" s="286" t="s">
        <v>722</v>
      </c>
      <c r="AX24" s="286" t="s">
        <v>722</v>
      </c>
      <c r="AY24" s="286" t="s">
        <v>722</v>
      </c>
      <c r="AZ24" s="286" t="s">
        <v>722</v>
      </c>
      <c r="BA24" s="286" t="s">
        <v>722</v>
      </c>
      <c r="BB24" s="286" t="s">
        <v>722</v>
      </c>
      <c r="BC24" s="286" t="s">
        <v>722</v>
      </c>
      <c r="BD24" s="286" t="s">
        <v>722</v>
      </c>
      <c r="BE24" s="286" t="s">
        <v>722</v>
      </c>
      <c r="BF24" s="242"/>
      <c r="BG24" s="239"/>
      <c r="BH24" s="239"/>
      <c r="BI24" s="239"/>
      <c r="BL24" s="248" t="s">
        <v>703</v>
      </c>
      <c r="BM24" s="250" t="s">
        <v>726</v>
      </c>
      <c r="BN24" s="251">
        <v>128.0</v>
      </c>
      <c r="BO24" s="253">
        <f t="shared" ref="BO24:BO28" si="3">BN24/SUM($BN$24:$BN$28)</f>
        <v>0.128</v>
      </c>
      <c r="BP24" s="253">
        <f t="shared" ref="BP24:BP28" si="4">SUM(BO$24:BO24)</f>
        <v>0.128</v>
      </c>
      <c r="BQ24" s="130"/>
    </row>
    <row r="25">
      <c r="A25" s="25"/>
      <c r="B25" s="56"/>
      <c r="C25" s="53"/>
      <c r="D25" s="162"/>
      <c r="E25" s="285" t="s">
        <v>722</v>
      </c>
      <c r="F25" s="285" t="s">
        <v>722</v>
      </c>
      <c r="G25" s="285" t="s">
        <v>722</v>
      </c>
      <c r="H25" s="285" t="s">
        <v>722</v>
      </c>
      <c r="I25" s="285" t="s">
        <v>722</v>
      </c>
      <c r="J25" s="285" t="s">
        <v>722</v>
      </c>
      <c r="K25" s="285" t="s">
        <v>722</v>
      </c>
      <c r="L25" s="285" t="s">
        <v>722</v>
      </c>
      <c r="M25" s="285" t="s">
        <v>722</v>
      </c>
      <c r="N25" s="285" t="s">
        <v>722</v>
      </c>
      <c r="O25" s="285" t="s">
        <v>722</v>
      </c>
      <c r="P25" s="285" t="s">
        <v>722</v>
      </c>
      <c r="Q25" s="285" t="s">
        <v>722</v>
      </c>
      <c r="R25" s="285" t="s">
        <v>722</v>
      </c>
      <c r="S25" s="285" t="s">
        <v>722</v>
      </c>
      <c r="T25" s="285" t="s">
        <v>722</v>
      </c>
      <c r="U25" s="285" t="s">
        <v>722</v>
      </c>
      <c r="V25" s="285" t="s">
        <v>722</v>
      </c>
      <c r="W25" s="285" t="s">
        <v>722</v>
      </c>
      <c r="X25" s="285" t="s">
        <v>722</v>
      </c>
      <c r="Y25" s="285" t="s">
        <v>722</v>
      </c>
      <c r="Z25" s="285" t="s">
        <v>722</v>
      </c>
      <c r="AA25" s="285" t="s">
        <v>722</v>
      </c>
      <c r="AB25" s="285" t="s">
        <v>722</v>
      </c>
      <c r="AC25" s="285" t="s">
        <v>722</v>
      </c>
      <c r="AD25" s="174"/>
      <c r="AE25" s="174"/>
      <c r="AF25" s="277"/>
      <c r="AG25" s="286" t="s">
        <v>722</v>
      </c>
      <c r="AH25" s="286" t="s">
        <v>722</v>
      </c>
      <c r="AI25" s="286" t="s">
        <v>722</v>
      </c>
      <c r="AJ25" s="286" t="s">
        <v>722</v>
      </c>
      <c r="AK25" s="286" t="s">
        <v>722</v>
      </c>
      <c r="AL25" s="286" t="s">
        <v>722</v>
      </c>
      <c r="AM25" s="286" t="s">
        <v>722</v>
      </c>
      <c r="AN25" s="286" t="s">
        <v>722</v>
      </c>
      <c r="AO25" s="286" t="s">
        <v>722</v>
      </c>
      <c r="AP25" s="286" t="s">
        <v>722</v>
      </c>
      <c r="AQ25" s="286" t="s">
        <v>722</v>
      </c>
      <c r="AR25" s="286" t="s">
        <v>722</v>
      </c>
      <c r="AS25" s="286" t="s">
        <v>722</v>
      </c>
      <c r="AT25" s="286" t="s">
        <v>722</v>
      </c>
      <c r="AU25" s="286" t="s">
        <v>722</v>
      </c>
      <c r="AV25" s="286" t="s">
        <v>722</v>
      </c>
      <c r="AW25" s="286" t="s">
        <v>722</v>
      </c>
      <c r="AX25" s="286" t="s">
        <v>722</v>
      </c>
      <c r="AY25" s="286" t="s">
        <v>722</v>
      </c>
      <c r="AZ25" s="286" t="s">
        <v>722</v>
      </c>
      <c r="BA25" s="286" t="s">
        <v>722</v>
      </c>
      <c r="BB25" s="286" t="s">
        <v>722</v>
      </c>
      <c r="BC25" s="286" t="s">
        <v>722</v>
      </c>
      <c r="BD25" s="286" t="s">
        <v>722</v>
      </c>
      <c r="BE25" s="286" t="s">
        <v>722</v>
      </c>
      <c r="BF25" s="277"/>
      <c r="BG25" s="174"/>
      <c r="BH25" s="174"/>
      <c r="BI25" s="174"/>
      <c r="BL25" s="248" t="s">
        <v>722</v>
      </c>
      <c r="BM25" s="250" t="s">
        <v>728</v>
      </c>
      <c r="BN25" s="251">
        <v>120.0</v>
      </c>
      <c r="BO25" s="253">
        <f t="shared" si="3"/>
        <v>0.12</v>
      </c>
      <c r="BP25" s="253">
        <f t="shared" si="4"/>
        <v>0.248</v>
      </c>
      <c r="BQ25" s="130"/>
    </row>
    <row r="26">
      <c r="A26" s="25"/>
      <c r="B26" s="53"/>
      <c r="C26" s="53"/>
      <c r="D26" s="174"/>
      <c r="E26" s="285" t="s">
        <v>722</v>
      </c>
      <c r="F26" s="285" t="s">
        <v>722</v>
      </c>
      <c r="G26" s="285" t="s">
        <v>722</v>
      </c>
      <c r="H26" s="285" t="s">
        <v>722</v>
      </c>
      <c r="I26" s="285" t="s">
        <v>722</v>
      </c>
      <c r="J26" s="285" t="s">
        <v>722</v>
      </c>
      <c r="K26" s="285" t="s">
        <v>722</v>
      </c>
      <c r="L26" s="285" t="s">
        <v>722</v>
      </c>
      <c r="M26" s="285" t="s">
        <v>722</v>
      </c>
      <c r="N26" s="285" t="s">
        <v>722</v>
      </c>
      <c r="O26" s="285" t="s">
        <v>722</v>
      </c>
      <c r="P26" s="285" t="s">
        <v>722</v>
      </c>
      <c r="Q26" s="285" t="s">
        <v>722</v>
      </c>
      <c r="R26" s="285" t="s">
        <v>722</v>
      </c>
      <c r="S26" s="285" t="s">
        <v>722</v>
      </c>
      <c r="T26" s="285" t="s">
        <v>722</v>
      </c>
      <c r="U26" s="285" t="s">
        <v>722</v>
      </c>
      <c r="V26" s="285" t="s">
        <v>722</v>
      </c>
      <c r="W26" s="285" t="s">
        <v>722</v>
      </c>
      <c r="X26" s="285" t="s">
        <v>722</v>
      </c>
      <c r="Y26" s="285" t="s">
        <v>722</v>
      </c>
      <c r="Z26" s="285" t="s">
        <v>722</v>
      </c>
      <c r="AA26" s="285" t="s">
        <v>722</v>
      </c>
      <c r="AB26" s="285" t="s">
        <v>722</v>
      </c>
      <c r="AC26" s="285" t="s">
        <v>722</v>
      </c>
      <c r="AD26" s="174"/>
      <c r="AE26" s="174"/>
      <c r="AF26" s="277"/>
      <c r="AG26" s="286" t="s">
        <v>722</v>
      </c>
      <c r="AH26" s="286" t="s">
        <v>722</v>
      </c>
      <c r="AI26" s="286" t="s">
        <v>722</v>
      </c>
      <c r="AJ26" s="286" t="s">
        <v>722</v>
      </c>
      <c r="AK26" s="286" t="s">
        <v>722</v>
      </c>
      <c r="AL26" s="286" t="s">
        <v>722</v>
      </c>
      <c r="AM26" s="286" t="s">
        <v>722</v>
      </c>
      <c r="AN26" s="286" t="s">
        <v>722</v>
      </c>
      <c r="AO26" s="286" t="s">
        <v>722</v>
      </c>
      <c r="AP26" s="286" t="s">
        <v>722</v>
      </c>
      <c r="AQ26" s="286" t="s">
        <v>722</v>
      </c>
      <c r="AR26" s="286" t="s">
        <v>722</v>
      </c>
      <c r="AS26" s="286" t="s">
        <v>722</v>
      </c>
      <c r="AT26" s="286" t="s">
        <v>722</v>
      </c>
      <c r="AU26" s="286" t="s">
        <v>722</v>
      </c>
      <c r="AV26" s="286" t="s">
        <v>722</v>
      </c>
      <c r="AW26" s="286" t="s">
        <v>722</v>
      </c>
      <c r="AX26" s="286" t="s">
        <v>722</v>
      </c>
      <c r="AY26" s="286" t="s">
        <v>722</v>
      </c>
      <c r="AZ26" s="286" t="s">
        <v>722</v>
      </c>
      <c r="BA26" s="286" t="s">
        <v>722</v>
      </c>
      <c r="BB26" s="286" t="s">
        <v>722</v>
      </c>
      <c r="BC26" s="286" t="s">
        <v>722</v>
      </c>
      <c r="BD26" s="286" t="s">
        <v>722</v>
      </c>
      <c r="BE26" s="286" t="s">
        <v>722</v>
      </c>
      <c r="BF26" s="277"/>
      <c r="BG26" s="174"/>
      <c r="BH26" s="174"/>
      <c r="BI26" s="174"/>
      <c r="BL26" s="248" t="s">
        <v>735</v>
      </c>
      <c r="BM26" s="250" t="s">
        <v>736</v>
      </c>
      <c r="BN26" s="301">
        <v>141.0</v>
      </c>
      <c r="BO26" s="253">
        <f t="shared" si="3"/>
        <v>0.141</v>
      </c>
      <c r="BP26" s="253">
        <f t="shared" si="4"/>
        <v>0.389</v>
      </c>
      <c r="BQ26" s="130"/>
    </row>
    <row r="27">
      <c r="A27" s="25"/>
      <c r="B27" s="56"/>
      <c r="C27" s="53"/>
      <c r="E27" s="285" t="s">
        <v>722</v>
      </c>
      <c r="F27" s="285" t="s">
        <v>722</v>
      </c>
      <c r="G27" s="285" t="s">
        <v>722</v>
      </c>
      <c r="H27" s="285" t="s">
        <v>722</v>
      </c>
      <c r="I27" s="285" t="s">
        <v>722</v>
      </c>
      <c r="J27" s="285" t="s">
        <v>735</v>
      </c>
      <c r="K27" s="285" t="s">
        <v>735</v>
      </c>
      <c r="L27" s="285" t="s">
        <v>735</v>
      </c>
      <c r="M27" s="285" t="s">
        <v>735</v>
      </c>
      <c r="N27" s="285" t="s">
        <v>735</v>
      </c>
      <c r="O27" s="285" t="s">
        <v>735</v>
      </c>
      <c r="P27" s="285" t="s">
        <v>735</v>
      </c>
      <c r="Q27" s="285" t="s">
        <v>735</v>
      </c>
      <c r="R27" s="285" t="s">
        <v>735</v>
      </c>
      <c r="S27" s="285" t="s">
        <v>735</v>
      </c>
      <c r="T27" s="285" t="s">
        <v>735</v>
      </c>
      <c r="U27" s="285" t="s">
        <v>735</v>
      </c>
      <c r="V27" s="285" t="s">
        <v>735</v>
      </c>
      <c r="W27" s="285" t="s">
        <v>735</v>
      </c>
      <c r="X27" s="285" t="s">
        <v>735</v>
      </c>
      <c r="Y27" s="285" t="s">
        <v>735</v>
      </c>
      <c r="Z27" s="285" t="s">
        <v>735</v>
      </c>
      <c r="AA27" s="285" t="s">
        <v>735</v>
      </c>
      <c r="AB27" s="285" t="s">
        <v>735</v>
      </c>
      <c r="AC27" s="285" t="s">
        <v>735</v>
      </c>
      <c r="AD27" s="130"/>
      <c r="AE27" s="130"/>
      <c r="AF27" s="286"/>
      <c r="AG27" s="286" t="s">
        <v>722</v>
      </c>
      <c r="AH27" s="286" t="s">
        <v>722</v>
      </c>
      <c r="AI27" s="286" t="s">
        <v>722</v>
      </c>
      <c r="AJ27" s="286" t="s">
        <v>722</v>
      </c>
      <c r="AK27" s="286" t="s">
        <v>722</v>
      </c>
      <c r="AL27" s="286" t="s">
        <v>735</v>
      </c>
      <c r="AM27" s="286" t="s">
        <v>735</v>
      </c>
      <c r="AN27" s="286" t="s">
        <v>735</v>
      </c>
      <c r="AO27" s="286" t="s">
        <v>735</v>
      </c>
      <c r="AP27" s="286" t="s">
        <v>735</v>
      </c>
      <c r="AQ27" s="286" t="s">
        <v>735</v>
      </c>
      <c r="AR27" s="286" t="s">
        <v>735</v>
      </c>
      <c r="AS27" s="286" t="s">
        <v>735</v>
      </c>
      <c r="AT27" s="286" t="s">
        <v>735</v>
      </c>
      <c r="AU27" s="286" t="s">
        <v>735</v>
      </c>
      <c r="AV27" s="286" t="s">
        <v>735</v>
      </c>
      <c r="AW27" s="286" t="s">
        <v>735</v>
      </c>
      <c r="AX27" s="286" t="s">
        <v>735</v>
      </c>
      <c r="AY27" s="286" t="s">
        <v>735</v>
      </c>
      <c r="AZ27" s="286" t="s">
        <v>735</v>
      </c>
      <c r="BA27" s="286" t="s">
        <v>735</v>
      </c>
      <c r="BB27" s="286" t="s">
        <v>735</v>
      </c>
      <c r="BC27" s="286" t="s">
        <v>735</v>
      </c>
      <c r="BD27" s="286" t="s">
        <v>735</v>
      </c>
      <c r="BE27" s="286" t="s">
        <v>735</v>
      </c>
      <c r="BF27" s="286"/>
      <c r="BG27" s="130"/>
      <c r="BH27" s="130"/>
      <c r="BI27" s="130"/>
      <c r="BL27" s="248" t="s">
        <v>738</v>
      </c>
      <c r="BM27" s="250" t="s">
        <v>739</v>
      </c>
      <c r="BN27" s="301">
        <v>131.0</v>
      </c>
      <c r="BO27" s="253">
        <f t="shared" si="3"/>
        <v>0.131</v>
      </c>
      <c r="BP27" s="253">
        <f t="shared" si="4"/>
        <v>0.52</v>
      </c>
      <c r="BQ27" s="130"/>
    </row>
    <row r="28">
      <c r="A28" s="25"/>
      <c r="B28" s="53"/>
      <c r="C28" s="53"/>
      <c r="E28" s="285" t="s">
        <v>735</v>
      </c>
      <c r="F28" s="285" t="s">
        <v>735</v>
      </c>
      <c r="G28" s="285" t="s">
        <v>735</v>
      </c>
      <c r="H28" s="285" t="s">
        <v>735</v>
      </c>
      <c r="I28" s="285" t="s">
        <v>735</v>
      </c>
      <c r="J28" s="285" t="s">
        <v>735</v>
      </c>
      <c r="K28" s="285" t="s">
        <v>735</v>
      </c>
      <c r="L28" s="285" t="s">
        <v>735</v>
      </c>
      <c r="M28" s="285" t="s">
        <v>735</v>
      </c>
      <c r="N28" s="285" t="s">
        <v>735</v>
      </c>
      <c r="O28" s="285" t="s">
        <v>735</v>
      </c>
      <c r="P28" s="285" t="s">
        <v>735</v>
      </c>
      <c r="Q28" s="285" t="s">
        <v>735</v>
      </c>
      <c r="R28" s="285" t="s">
        <v>735</v>
      </c>
      <c r="S28" s="285" t="s">
        <v>735</v>
      </c>
      <c r="T28" s="285" t="s">
        <v>735</v>
      </c>
      <c r="U28" s="285" t="s">
        <v>735</v>
      </c>
      <c r="V28" s="285" t="s">
        <v>735</v>
      </c>
      <c r="W28" s="285" t="s">
        <v>735</v>
      </c>
      <c r="X28" s="285" t="s">
        <v>735</v>
      </c>
      <c r="Y28" s="285" t="s">
        <v>735</v>
      </c>
      <c r="Z28" s="285" t="s">
        <v>735</v>
      </c>
      <c r="AA28" s="285" t="s">
        <v>735</v>
      </c>
      <c r="AB28" s="285" t="s">
        <v>735</v>
      </c>
      <c r="AC28" s="285" t="s">
        <v>735</v>
      </c>
      <c r="AD28" s="130"/>
      <c r="AE28" s="130"/>
      <c r="AF28" s="286"/>
      <c r="AG28" s="286" t="s">
        <v>735</v>
      </c>
      <c r="AH28" s="286" t="s">
        <v>735</v>
      </c>
      <c r="AI28" s="286" t="s">
        <v>735</v>
      </c>
      <c r="AJ28" s="286" t="s">
        <v>735</v>
      </c>
      <c r="AK28" s="286" t="s">
        <v>735</v>
      </c>
      <c r="AL28" s="286" t="s">
        <v>735</v>
      </c>
      <c r="AM28" s="286" t="s">
        <v>735</v>
      </c>
      <c r="AN28" s="286" t="s">
        <v>735</v>
      </c>
      <c r="AO28" s="286" t="s">
        <v>735</v>
      </c>
      <c r="AP28" s="286" t="s">
        <v>735</v>
      </c>
      <c r="AQ28" s="286" t="s">
        <v>735</v>
      </c>
      <c r="AR28" s="286" t="s">
        <v>735</v>
      </c>
      <c r="AS28" s="286" t="s">
        <v>735</v>
      </c>
      <c r="AT28" s="286" t="s">
        <v>735</v>
      </c>
      <c r="AU28" s="286" t="s">
        <v>735</v>
      </c>
      <c r="AV28" s="286" t="s">
        <v>735</v>
      </c>
      <c r="AW28" s="286" t="s">
        <v>735</v>
      </c>
      <c r="AX28" s="286" t="s">
        <v>735</v>
      </c>
      <c r="AY28" s="286" t="s">
        <v>735</v>
      </c>
      <c r="AZ28" s="286" t="s">
        <v>735</v>
      </c>
      <c r="BA28" s="286" t="s">
        <v>735</v>
      </c>
      <c r="BB28" s="286" t="s">
        <v>735</v>
      </c>
      <c r="BC28" s="286" t="s">
        <v>735</v>
      </c>
      <c r="BD28" s="286" t="s">
        <v>735</v>
      </c>
      <c r="BE28" s="286" t="s">
        <v>735</v>
      </c>
      <c r="BF28" s="286"/>
      <c r="BG28" s="130"/>
      <c r="BH28" s="130"/>
      <c r="BI28" s="130"/>
      <c r="BL28" s="248" t="s">
        <v>741</v>
      </c>
      <c r="BM28" s="250" t="s">
        <v>742</v>
      </c>
      <c r="BN28" s="251">
        <v>480.0</v>
      </c>
      <c r="BO28" s="253">
        <f t="shared" si="3"/>
        <v>0.48</v>
      </c>
      <c r="BP28" s="253">
        <f t="shared" si="4"/>
        <v>1</v>
      </c>
      <c r="BQ28" s="130"/>
    </row>
    <row r="29">
      <c r="A29" s="25"/>
      <c r="B29" s="56"/>
      <c r="C29" s="56"/>
      <c r="E29" s="285" t="s">
        <v>735</v>
      </c>
      <c r="F29" s="285" t="s">
        <v>735</v>
      </c>
      <c r="G29" s="285" t="s">
        <v>735</v>
      </c>
      <c r="H29" s="285" t="s">
        <v>735</v>
      </c>
      <c r="I29" s="285" t="s">
        <v>735</v>
      </c>
      <c r="J29" s="285" t="s">
        <v>735</v>
      </c>
      <c r="K29" s="285" t="s">
        <v>735</v>
      </c>
      <c r="L29" s="285" t="s">
        <v>735</v>
      </c>
      <c r="M29" s="285" t="s">
        <v>735</v>
      </c>
      <c r="N29" s="285" t="s">
        <v>735</v>
      </c>
      <c r="O29" s="285" t="s">
        <v>735</v>
      </c>
      <c r="P29" s="285" t="s">
        <v>735</v>
      </c>
      <c r="Q29" s="285" t="s">
        <v>735</v>
      </c>
      <c r="R29" s="285" t="s">
        <v>735</v>
      </c>
      <c r="S29" s="285" t="s">
        <v>735</v>
      </c>
      <c r="T29" s="285" t="s">
        <v>735</v>
      </c>
      <c r="U29" s="285" t="s">
        <v>735</v>
      </c>
      <c r="V29" s="285" t="s">
        <v>735</v>
      </c>
      <c r="W29" s="285" t="s">
        <v>735</v>
      </c>
      <c r="X29" s="285" t="s">
        <v>735</v>
      </c>
      <c r="Y29" s="285" t="s">
        <v>735</v>
      </c>
      <c r="Z29" s="285" t="s">
        <v>735</v>
      </c>
      <c r="AA29" s="285" t="s">
        <v>735</v>
      </c>
      <c r="AB29" s="285" t="s">
        <v>735</v>
      </c>
      <c r="AC29" s="285" t="s">
        <v>735</v>
      </c>
      <c r="AD29" s="130"/>
      <c r="AE29" s="130"/>
      <c r="AF29" s="286"/>
      <c r="AG29" s="286" t="s">
        <v>735</v>
      </c>
      <c r="AH29" s="286" t="s">
        <v>735</v>
      </c>
      <c r="AI29" s="286" t="s">
        <v>735</v>
      </c>
      <c r="AJ29" s="286" t="s">
        <v>735</v>
      </c>
      <c r="AK29" s="286" t="s">
        <v>735</v>
      </c>
      <c r="AL29" s="286" t="s">
        <v>735</v>
      </c>
      <c r="AM29" s="286" t="s">
        <v>735</v>
      </c>
      <c r="AN29" s="286" t="s">
        <v>735</v>
      </c>
      <c r="AO29" s="286" t="s">
        <v>735</v>
      </c>
      <c r="AP29" s="286" t="s">
        <v>735</v>
      </c>
      <c r="AQ29" s="286" t="s">
        <v>735</v>
      </c>
      <c r="AR29" s="286" t="s">
        <v>735</v>
      </c>
      <c r="AS29" s="286" t="s">
        <v>735</v>
      </c>
      <c r="AT29" s="286" t="s">
        <v>735</v>
      </c>
      <c r="AU29" s="286" t="s">
        <v>735</v>
      </c>
      <c r="AV29" s="286" t="s">
        <v>735</v>
      </c>
      <c r="AW29" s="286" t="s">
        <v>735</v>
      </c>
      <c r="AX29" s="286" t="s">
        <v>735</v>
      </c>
      <c r="AY29" s="286" t="s">
        <v>735</v>
      </c>
      <c r="AZ29" s="286" t="s">
        <v>735</v>
      </c>
      <c r="BA29" s="286" t="s">
        <v>735</v>
      </c>
      <c r="BB29" s="286" t="s">
        <v>735</v>
      </c>
      <c r="BC29" s="286" t="s">
        <v>735</v>
      </c>
      <c r="BD29" s="286" t="s">
        <v>735</v>
      </c>
      <c r="BE29" s="286" t="s">
        <v>735</v>
      </c>
      <c r="BF29" s="286"/>
      <c r="BG29" s="130"/>
      <c r="BH29" s="130"/>
      <c r="BI29" s="130"/>
      <c r="BQ29" s="130"/>
    </row>
    <row r="30">
      <c r="A30" s="25"/>
      <c r="B30" s="26"/>
      <c r="C30" s="26"/>
      <c r="E30" s="285" t="s">
        <v>735</v>
      </c>
      <c r="F30" s="285" t="s">
        <v>735</v>
      </c>
      <c r="G30" s="285" t="s">
        <v>735</v>
      </c>
      <c r="H30" s="285" t="s">
        <v>735</v>
      </c>
      <c r="I30" s="285" t="s">
        <v>735</v>
      </c>
      <c r="J30" s="285" t="s">
        <v>735</v>
      </c>
      <c r="K30" s="285" t="s">
        <v>735</v>
      </c>
      <c r="L30" s="285" t="s">
        <v>735</v>
      </c>
      <c r="M30" s="285" t="s">
        <v>735</v>
      </c>
      <c r="N30" s="285" t="s">
        <v>735</v>
      </c>
      <c r="O30" s="285" t="s">
        <v>735</v>
      </c>
      <c r="P30" s="285" t="s">
        <v>735</v>
      </c>
      <c r="Q30" s="285" t="s">
        <v>735</v>
      </c>
      <c r="R30" s="285" t="s">
        <v>735</v>
      </c>
      <c r="S30" s="285" t="s">
        <v>735</v>
      </c>
      <c r="T30" s="285" t="s">
        <v>735</v>
      </c>
      <c r="U30" s="285" t="s">
        <v>735</v>
      </c>
      <c r="V30" s="285" t="s">
        <v>735</v>
      </c>
      <c r="W30" s="285" t="s">
        <v>738</v>
      </c>
      <c r="X30" s="285" t="s">
        <v>738</v>
      </c>
      <c r="Y30" s="285" t="s">
        <v>738</v>
      </c>
      <c r="Z30" s="285" t="s">
        <v>738</v>
      </c>
      <c r="AA30" s="285" t="s">
        <v>738</v>
      </c>
      <c r="AB30" s="285" t="s">
        <v>738</v>
      </c>
      <c r="AC30" s="285" t="s">
        <v>738</v>
      </c>
      <c r="AD30" s="130"/>
      <c r="AE30" s="130"/>
      <c r="AF30" s="286"/>
      <c r="AG30" s="286" t="s">
        <v>735</v>
      </c>
      <c r="AH30" s="286" t="s">
        <v>735</v>
      </c>
      <c r="AI30" s="286" t="s">
        <v>735</v>
      </c>
      <c r="AJ30" s="286" t="s">
        <v>735</v>
      </c>
      <c r="AK30" s="286" t="s">
        <v>735</v>
      </c>
      <c r="AL30" s="286" t="s">
        <v>735</v>
      </c>
      <c r="AM30" s="286" t="s">
        <v>735</v>
      </c>
      <c r="AN30" s="286" t="s">
        <v>735</v>
      </c>
      <c r="AO30" s="286" t="s">
        <v>735</v>
      </c>
      <c r="AP30" s="286" t="s">
        <v>735</v>
      </c>
      <c r="AQ30" s="286" t="s">
        <v>735</v>
      </c>
      <c r="AR30" s="286" t="s">
        <v>735</v>
      </c>
      <c r="AS30" s="286" t="s">
        <v>735</v>
      </c>
      <c r="AT30" s="286" t="s">
        <v>735</v>
      </c>
      <c r="AU30" s="286" t="s">
        <v>735</v>
      </c>
      <c r="AV30" s="286" t="s">
        <v>735</v>
      </c>
      <c r="AW30" s="286" t="s">
        <v>735</v>
      </c>
      <c r="AX30" s="286" t="s">
        <v>735</v>
      </c>
      <c r="AY30" s="286" t="s">
        <v>738</v>
      </c>
      <c r="AZ30" s="286" t="s">
        <v>738</v>
      </c>
      <c r="BA30" s="286" t="s">
        <v>738</v>
      </c>
      <c r="BB30" s="286" t="s">
        <v>738</v>
      </c>
      <c r="BC30" s="286" t="s">
        <v>738</v>
      </c>
      <c r="BD30" s="286" t="s">
        <v>738</v>
      </c>
      <c r="BE30" s="286" t="s">
        <v>738</v>
      </c>
      <c r="BF30" s="286"/>
      <c r="BG30" s="130"/>
      <c r="BH30" s="130"/>
      <c r="BI30" s="130"/>
      <c r="BQ30" s="130"/>
    </row>
    <row r="31">
      <c r="A31" s="25"/>
      <c r="B31" s="26"/>
      <c r="C31" s="26"/>
      <c r="E31" s="285" t="s">
        <v>738</v>
      </c>
      <c r="F31" s="285" t="s">
        <v>738</v>
      </c>
      <c r="G31" s="285" t="s">
        <v>738</v>
      </c>
      <c r="H31" s="285" t="s">
        <v>738</v>
      </c>
      <c r="I31" s="285" t="s">
        <v>738</v>
      </c>
      <c r="J31" s="285" t="s">
        <v>738</v>
      </c>
      <c r="K31" s="285" t="s">
        <v>738</v>
      </c>
      <c r="L31" s="285" t="s">
        <v>738</v>
      </c>
      <c r="M31" s="285" t="s">
        <v>738</v>
      </c>
      <c r="N31" s="285" t="s">
        <v>738</v>
      </c>
      <c r="O31" s="285" t="s">
        <v>738</v>
      </c>
      <c r="P31" s="285" t="s">
        <v>738</v>
      </c>
      <c r="Q31" s="285" t="s">
        <v>738</v>
      </c>
      <c r="R31" s="285" t="s">
        <v>738</v>
      </c>
      <c r="S31" s="285" t="s">
        <v>738</v>
      </c>
      <c r="T31" s="285" t="s">
        <v>738</v>
      </c>
      <c r="U31" s="285" t="s">
        <v>738</v>
      </c>
      <c r="V31" s="285" t="s">
        <v>738</v>
      </c>
      <c r="W31" s="285" t="s">
        <v>738</v>
      </c>
      <c r="X31" s="285" t="s">
        <v>738</v>
      </c>
      <c r="Y31" s="285" t="s">
        <v>738</v>
      </c>
      <c r="Z31" s="285" t="s">
        <v>738</v>
      </c>
      <c r="AA31" s="285" t="s">
        <v>738</v>
      </c>
      <c r="AB31" s="285" t="s">
        <v>738</v>
      </c>
      <c r="AC31" s="285" t="s">
        <v>738</v>
      </c>
      <c r="AD31" s="130"/>
      <c r="AE31" s="130"/>
      <c r="AF31" s="286"/>
      <c r="AG31" s="286" t="s">
        <v>738</v>
      </c>
      <c r="AH31" s="286" t="s">
        <v>738</v>
      </c>
      <c r="AI31" s="286" t="s">
        <v>738</v>
      </c>
      <c r="AJ31" s="286" t="s">
        <v>738</v>
      </c>
      <c r="AK31" s="286" t="s">
        <v>738</v>
      </c>
      <c r="AL31" s="286" t="s">
        <v>738</v>
      </c>
      <c r="AM31" s="286" t="s">
        <v>738</v>
      </c>
      <c r="AN31" s="286" t="s">
        <v>738</v>
      </c>
      <c r="AO31" s="286" t="s">
        <v>738</v>
      </c>
      <c r="AP31" s="286" t="s">
        <v>738</v>
      </c>
      <c r="AQ31" s="286" t="s">
        <v>738</v>
      </c>
      <c r="AR31" s="286" t="s">
        <v>738</v>
      </c>
      <c r="AS31" s="286" t="s">
        <v>738</v>
      </c>
      <c r="AT31" s="286" t="s">
        <v>738</v>
      </c>
      <c r="AU31" s="286" t="s">
        <v>738</v>
      </c>
      <c r="AV31" s="286" t="s">
        <v>738</v>
      </c>
      <c r="AW31" s="286" t="s">
        <v>738</v>
      </c>
      <c r="AX31" s="286" t="s">
        <v>738</v>
      </c>
      <c r="AY31" s="286" t="s">
        <v>738</v>
      </c>
      <c r="AZ31" s="286" t="s">
        <v>738</v>
      </c>
      <c r="BA31" s="286" t="s">
        <v>738</v>
      </c>
      <c r="BB31" s="286" t="s">
        <v>738</v>
      </c>
      <c r="BC31" s="286" t="s">
        <v>738</v>
      </c>
      <c r="BD31" s="286" t="s">
        <v>738</v>
      </c>
      <c r="BE31" s="286" t="s">
        <v>738</v>
      </c>
      <c r="BF31" s="286"/>
      <c r="BG31" s="130"/>
      <c r="BH31" s="130"/>
      <c r="BI31" s="130"/>
      <c r="BQ31" s="130"/>
    </row>
    <row r="32">
      <c r="A32" s="25"/>
      <c r="B32" s="26"/>
      <c r="C32" s="26"/>
      <c r="E32" s="309" t="s">
        <v>738</v>
      </c>
      <c r="F32" s="285" t="s">
        <v>738</v>
      </c>
      <c r="G32" s="285" t="s">
        <v>738</v>
      </c>
      <c r="H32" s="285" t="s">
        <v>738</v>
      </c>
      <c r="I32" s="285" t="s">
        <v>738</v>
      </c>
      <c r="J32" s="285" t="s">
        <v>738</v>
      </c>
      <c r="K32" s="285" t="s">
        <v>738</v>
      </c>
      <c r="L32" s="285" t="s">
        <v>738</v>
      </c>
      <c r="M32" s="285" t="s">
        <v>738</v>
      </c>
      <c r="N32" s="285" t="s">
        <v>738</v>
      </c>
      <c r="O32" s="285" t="s">
        <v>738</v>
      </c>
      <c r="P32" s="285" t="s">
        <v>738</v>
      </c>
      <c r="Q32" s="285" t="s">
        <v>738</v>
      </c>
      <c r="R32" s="285" t="s">
        <v>738</v>
      </c>
      <c r="S32" s="285" t="s">
        <v>738</v>
      </c>
      <c r="T32" s="285" t="s">
        <v>738</v>
      </c>
      <c r="U32" s="285" t="s">
        <v>738</v>
      </c>
      <c r="V32" s="285" t="s">
        <v>738</v>
      </c>
      <c r="W32" s="285" t="s">
        <v>738</v>
      </c>
      <c r="X32" s="285" t="s">
        <v>738</v>
      </c>
      <c r="Y32" s="285" t="s">
        <v>738</v>
      </c>
      <c r="Z32" s="285" t="s">
        <v>738</v>
      </c>
      <c r="AA32" s="285" t="s">
        <v>738</v>
      </c>
      <c r="AB32" s="285" t="s">
        <v>738</v>
      </c>
      <c r="AC32" s="285" t="s">
        <v>738</v>
      </c>
      <c r="AD32" s="130"/>
      <c r="AE32" s="130"/>
      <c r="AF32" s="286"/>
      <c r="AG32" s="277" t="s">
        <v>738</v>
      </c>
      <c r="AH32" s="286" t="s">
        <v>738</v>
      </c>
      <c r="AI32" s="286" t="s">
        <v>738</v>
      </c>
      <c r="AJ32" s="286" t="s">
        <v>738</v>
      </c>
      <c r="AK32" s="286" t="s">
        <v>738</v>
      </c>
      <c r="AL32" s="286" t="s">
        <v>738</v>
      </c>
      <c r="AM32" s="286" t="s">
        <v>738</v>
      </c>
      <c r="AN32" s="286" t="s">
        <v>738</v>
      </c>
      <c r="AO32" s="286" t="s">
        <v>738</v>
      </c>
      <c r="AP32" s="286" t="s">
        <v>738</v>
      </c>
      <c r="AQ32" s="286" t="s">
        <v>738</v>
      </c>
      <c r="AR32" s="286" t="s">
        <v>738</v>
      </c>
      <c r="AS32" s="286" t="s">
        <v>738</v>
      </c>
      <c r="AT32" s="286" t="s">
        <v>738</v>
      </c>
      <c r="AU32" s="286" t="s">
        <v>738</v>
      </c>
      <c r="AV32" s="286" t="s">
        <v>738</v>
      </c>
      <c r="AW32" s="286" t="s">
        <v>738</v>
      </c>
      <c r="AX32" s="286" t="s">
        <v>738</v>
      </c>
      <c r="AY32" s="286" t="s">
        <v>738</v>
      </c>
      <c r="AZ32" s="286" t="s">
        <v>738</v>
      </c>
      <c r="BA32" s="286" t="s">
        <v>738</v>
      </c>
      <c r="BB32" s="286" t="s">
        <v>738</v>
      </c>
      <c r="BC32" s="286" t="s">
        <v>738</v>
      </c>
      <c r="BD32" s="286" t="s">
        <v>738</v>
      </c>
      <c r="BE32" s="286" t="s">
        <v>738</v>
      </c>
      <c r="BF32" s="286"/>
      <c r="BG32" s="130"/>
      <c r="BH32" s="130"/>
      <c r="BI32" s="130"/>
      <c r="BQ32" s="130"/>
    </row>
    <row r="33">
      <c r="A33" s="25"/>
      <c r="B33" s="26"/>
      <c r="C33" s="26"/>
      <c r="E33" s="309" t="s">
        <v>738</v>
      </c>
      <c r="F33" s="285" t="s">
        <v>738</v>
      </c>
      <c r="G33" s="285" t="s">
        <v>738</v>
      </c>
      <c r="H33" s="285" t="s">
        <v>738</v>
      </c>
      <c r="I33" s="285" t="s">
        <v>738</v>
      </c>
      <c r="J33" s="285" t="s">
        <v>738</v>
      </c>
      <c r="K33" s="285" t="s">
        <v>738</v>
      </c>
      <c r="L33" s="285" t="s">
        <v>738</v>
      </c>
      <c r="M33" s="285" t="s">
        <v>738</v>
      </c>
      <c r="N33" s="285" t="s">
        <v>738</v>
      </c>
      <c r="O33" s="285" t="s">
        <v>738</v>
      </c>
      <c r="P33" s="285" t="s">
        <v>738</v>
      </c>
      <c r="Q33" s="285" t="s">
        <v>738</v>
      </c>
      <c r="R33" s="285" t="s">
        <v>738</v>
      </c>
      <c r="S33" s="285" t="s">
        <v>738</v>
      </c>
      <c r="T33" s="285" t="s">
        <v>738</v>
      </c>
      <c r="U33" s="285" t="s">
        <v>738</v>
      </c>
      <c r="V33" s="285" t="s">
        <v>738</v>
      </c>
      <c r="W33" s="285" t="s">
        <v>738</v>
      </c>
      <c r="X33" s="285" t="s">
        <v>738</v>
      </c>
      <c r="Y33" s="285" t="s">
        <v>738</v>
      </c>
      <c r="Z33" s="285" t="s">
        <v>738</v>
      </c>
      <c r="AA33" s="285" t="s">
        <v>738</v>
      </c>
      <c r="AB33" s="285" t="s">
        <v>738</v>
      </c>
      <c r="AC33" s="285" t="s">
        <v>738</v>
      </c>
      <c r="AD33" s="130"/>
      <c r="AE33" s="130"/>
      <c r="AF33" s="286"/>
      <c r="AG33" s="277" t="s">
        <v>738</v>
      </c>
      <c r="AH33" s="286" t="s">
        <v>738</v>
      </c>
      <c r="AI33" s="286" t="s">
        <v>738</v>
      </c>
      <c r="AJ33" s="286" t="s">
        <v>738</v>
      </c>
      <c r="AK33" s="286" t="s">
        <v>738</v>
      </c>
      <c r="AL33" s="286" t="s">
        <v>738</v>
      </c>
      <c r="AM33" s="286" t="s">
        <v>738</v>
      </c>
      <c r="AN33" s="286" t="s">
        <v>738</v>
      </c>
      <c r="AO33" s="286" t="s">
        <v>738</v>
      </c>
      <c r="AP33" s="286" t="s">
        <v>738</v>
      </c>
      <c r="AQ33" s="286" t="s">
        <v>738</v>
      </c>
      <c r="AR33" s="286" t="s">
        <v>738</v>
      </c>
      <c r="AS33" s="286" t="s">
        <v>738</v>
      </c>
      <c r="AT33" s="286" t="s">
        <v>738</v>
      </c>
      <c r="AU33" s="286" t="s">
        <v>738</v>
      </c>
      <c r="AV33" s="286" t="s">
        <v>738</v>
      </c>
      <c r="AW33" s="286" t="s">
        <v>738</v>
      </c>
      <c r="AX33" s="286" t="s">
        <v>738</v>
      </c>
      <c r="AY33" s="286" t="s">
        <v>738</v>
      </c>
      <c r="AZ33" s="286" t="s">
        <v>738</v>
      </c>
      <c r="BA33" s="286" t="s">
        <v>738</v>
      </c>
      <c r="BB33" s="286" t="s">
        <v>738</v>
      </c>
      <c r="BC33" s="286" t="s">
        <v>738</v>
      </c>
      <c r="BD33" s="286" t="s">
        <v>738</v>
      </c>
      <c r="BE33" s="286" t="s">
        <v>738</v>
      </c>
      <c r="BF33" s="286"/>
      <c r="BG33" s="130"/>
      <c r="BH33" s="130"/>
      <c r="BI33" s="130"/>
      <c r="BQ33" s="130"/>
    </row>
    <row r="34">
      <c r="A34" s="25"/>
      <c r="B34" s="26"/>
      <c r="C34" s="26"/>
      <c r="E34" s="309" t="s">
        <v>741</v>
      </c>
      <c r="F34" s="285" t="s">
        <v>741</v>
      </c>
      <c r="G34" s="285" t="s">
        <v>741</v>
      </c>
      <c r="H34" s="285" t="s">
        <v>741</v>
      </c>
      <c r="I34" s="285" t="s">
        <v>741</v>
      </c>
      <c r="J34" s="285" t="s">
        <v>741</v>
      </c>
      <c r="K34" s="285" t="s">
        <v>741</v>
      </c>
      <c r="L34" s="285" t="s">
        <v>741</v>
      </c>
      <c r="M34" s="285" t="s">
        <v>741</v>
      </c>
      <c r="N34" s="285" t="s">
        <v>741</v>
      </c>
      <c r="O34" s="285" t="s">
        <v>741</v>
      </c>
      <c r="P34" s="285" t="s">
        <v>741</v>
      </c>
      <c r="Q34" s="285" t="s">
        <v>741</v>
      </c>
      <c r="R34" s="285" t="s">
        <v>741</v>
      </c>
      <c r="S34" s="285" t="s">
        <v>741</v>
      </c>
      <c r="T34" s="285" t="s">
        <v>741</v>
      </c>
      <c r="U34" s="285" t="s">
        <v>741</v>
      </c>
      <c r="V34" s="285" t="s">
        <v>741</v>
      </c>
      <c r="W34" s="285" t="s">
        <v>741</v>
      </c>
      <c r="X34" s="285" t="s">
        <v>741</v>
      </c>
      <c r="Y34" s="285" t="s">
        <v>741</v>
      </c>
      <c r="Z34" s="285" t="s">
        <v>741</v>
      </c>
      <c r="AA34" s="285" t="s">
        <v>741</v>
      </c>
      <c r="AB34" s="285" t="s">
        <v>741</v>
      </c>
      <c r="AC34" s="285" t="s">
        <v>741</v>
      </c>
      <c r="AD34" s="130"/>
      <c r="AE34" s="130"/>
      <c r="AF34" s="286"/>
      <c r="AG34" s="277" t="s">
        <v>741</v>
      </c>
      <c r="AH34" s="286" t="s">
        <v>741</v>
      </c>
      <c r="AI34" s="286" t="s">
        <v>741</v>
      </c>
      <c r="AJ34" s="286" t="s">
        <v>741</v>
      </c>
      <c r="AK34" s="286" t="s">
        <v>741</v>
      </c>
      <c r="AL34" s="286" t="s">
        <v>741</v>
      </c>
      <c r="AM34" s="286" t="s">
        <v>741</v>
      </c>
      <c r="AN34" s="286" t="s">
        <v>741</v>
      </c>
      <c r="AO34" s="286" t="s">
        <v>741</v>
      </c>
      <c r="AP34" s="286" t="s">
        <v>741</v>
      </c>
      <c r="AQ34" s="286" t="s">
        <v>741</v>
      </c>
      <c r="AR34" s="286" t="s">
        <v>741</v>
      </c>
      <c r="AS34" s="286" t="s">
        <v>741</v>
      </c>
      <c r="AT34" s="286" t="s">
        <v>741</v>
      </c>
      <c r="AU34" s="286" t="s">
        <v>741</v>
      </c>
      <c r="AV34" s="286" t="s">
        <v>741</v>
      </c>
      <c r="AW34" s="286" t="s">
        <v>741</v>
      </c>
      <c r="AX34" s="286" t="s">
        <v>741</v>
      </c>
      <c r="AY34" s="286" t="s">
        <v>741</v>
      </c>
      <c r="AZ34" s="286" t="s">
        <v>741</v>
      </c>
      <c r="BA34" s="286" t="s">
        <v>741</v>
      </c>
      <c r="BB34" s="286" t="s">
        <v>741</v>
      </c>
      <c r="BC34" s="286" t="s">
        <v>741</v>
      </c>
      <c r="BD34" s="286" t="s">
        <v>741</v>
      </c>
      <c r="BE34" s="286" t="s">
        <v>741</v>
      </c>
      <c r="BF34" s="286"/>
      <c r="BG34" s="130"/>
      <c r="BH34" s="130"/>
      <c r="BI34" s="130"/>
      <c r="BQ34" s="130"/>
    </row>
    <row r="35">
      <c r="A35" s="25"/>
      <c r="B35" s="26"/>
      <c r="C35" s="26"/>
      <c r="E35" s="309" t="s">
        <v>741</v>
      </c>
      <c r="F35" s="285" t="s">
        <v>741</v>
      </c>
      <c r="G35" s="285" t="s">
        <v>741</v>
      </c>
      <c r="H35" s="285" t="s">
        <v>741</v>
      </c>
      <c r="I35" s="285" t="s">
        <v>741</v>
      </c>
      <c r="J35" s="285" t="s">
        <v>741</v>
      </c>
      <c r="K35" s="285" t="s">
        <v>741</v>
      </c>
      <c r="L35" s="285" t="s">
        <v>741</v>
      </c>
      <c r="M35" s="285" t="s">
        <v>741</v>
      </c>
      <c r="N35" s="285" t="s">
        <v>741</v>
      </c>
      <c r="O35" s="285" t="s">
        <v>741</v>
      </c>
      <c r="P35" s="285" t="s">
        <v>741</v>
      </c>
      <c r="Q35" s="285" t="s">
        <v>741</v>
      </c>
      <c r="R35" s="285" t="s">
        <v>741</v>
      </c>
      <c r="S35" s="285" t="s">
        <v>741</v>
      </c>
      <c r="T35" s="285" t="s">
        <v>741</v>
      </c>
      <c r="U35" s="285" t="s">
        <v>741</v>
      </c>
      <c r="V35" s="285" t="s">
        <v>741</v>
      </c>
      <c r="W35" s="285" t="s">
        <v>741</v>
      </c>
      <c r="X35" s="285" t="s">
        <v>741</v>
      </c>
      <c r="Y35" s="285" t="s">
        <v>741</v>
      </c>
      <c r="Z35" s="285" t="s">
        <v>741</v>
      </c>
      <c r="AA35" s="285" t="s">
        <v>741</v>
      </c>
      <c r="AB35" s="285" t="s">
        <v>741</v>
      </c>
      <c r="AC35" s="285" t="s">
        <v>741</v>
      </c>
      <c r="AD35" s="130"/>
      <c r="AE35" s="130"/>
      <c r="AF35" s="286"/>
      <c r="AG35" s="277" t="s">
        <v>741</v>
      </c>
      <c r="AH35" s="286" t="s">
        <v>741</v>
      </c>
      <c r="AI35" s="286" t="s">
        <v>741</v>
      </c>
      <c r="AJ35" s="286" t="s">
        <v>741</v>
      </c>
      <c r="AK35" s="286" t="s">
        <v>741</v>
      </c>
      <c r="AL35" s="286" t="s">
        <v>741</v>
      </c>
      <c r="AM35" s="286" t="s">
        <v>741</v>
      </c>
      <c r="AN35" s="286" t="s">
        <v>741</v>
      </c>
      <c r="AO35" s="286" t="s">
        <v>741</v>
      </c>
      <c r="AP35" s="286" t="s">
        <v>741</v>
      </c>
      <c r="AQ35" s="286" t="s">
        <v>741</v>
      </c>
      <c r="AR35" s="286" t="s">
        <v>741</v>
      </c>
      <c r="AS35" s="286" t="s">
        <v>741</v>
      </c>
      <c r="AT35" s="286" t="s">
        <v>741</v>
      </c>
      <c r="AU35" s="286" t="s">
        <v>741</v>
      </c>
      <c r="AV35" s="286" t="s">
        <v>741</v>
      </c>
      <c r="AW35" s="286" t="s">
        <v>741</v>
      </c>
      <c r="AX35" s="286" t="s">
        <v>741</v>
      </c>
      <c r="AY35" s="286" t="s">
        <v>741</v>
      </c>
      <c r="AZ35" s="286" t="s">
        <v>741</v>
      </c>
      <c r="BA35" s="286" t="s">
        <v>741</v>
      </c>
      <c r="BB35" s="286" t="s">
        <v>741</v>
      </c>
      <c r="BC35" s="286" t="s">
        <v>741</v>
      </c>
      <c r="BD35" s="286" t="s">
        <v>741</v>
      </c>
      <c r="BE35" s="286" t="s">
        <v>741</v>
      </c>
      <c r="BF35" s="286"/>
      <c r="BG35" s="130"/>
      <c r="BH35" s="130"/>
      <c r="BI35" s="130"/>
      <c r="BQ35" s="130"/>
    </row>
    <row r="36">
      <c r="A36" s="25"/>
      <c r="B36" s="26"/>
      <c r="C36" s="26"/>
      <c r="E36" s="309" t="s">
        <v>741</v>
      </c>
      <c r="F36" s="285" t="s">
        <v>741</v>
      </c>
      <c r="G36" s="285" t="s">
        <v>741</v>
      </c>
      <c r="H36" s="285" t="s">
        <v>741</v>
      </c>
      <c r="I36" s="285" t="s">
        <v>741</v>
      </c>
      <c r="J36" s="285" t="s">
        <v>741</v>
      </c>
      <c r="K36" s="285" t="s">
        <v>741</v>
      </c>
      <c r="L36" s="285" t="s">
        <v>741</v>
      </c>
      <c r="M36" s="285" t="s">
        <v>741</v>
      </c>
      <c r="N36" s="285" t="s">
        <v>741</v>
      </c>
      <c r="O36" s="285" t="s">
        <v>741</v>
      </c>
      <c r="P36" s="285" t="s">
        <v>741</v>
      </c>
      <c r="Q36" s="285" t="s">
        <v>741</v>
      </c>
      <c r="R36" s="285" t="s">
        <v>741</v>
      </c>
      <c r="S36" s="285" t="s">
        <v>741</v>
      </c>
      <c r="T36" s="285" t="s">
        <v>741</v>
      </c>
      <c r="U36" s="285" t="s">
        <v>741</v>
      </c>
      <c r="V36" s="285" t="s">
        <v>741</v>
      </c>
      <c r="W36" s="285" t="s">
        <v>741</v>
      </c>
      <c r="X36" s="285" t="s">
        <v>741</v>
      </c>
      <c r="Y36" s="285" t="s">
        <v>741</v>
      </c>
      <c r="Z36" s="285" t="s">
        <v>741</v>
      </c>
      <c r="AA36" s="285" t="s">
        <v>741</v>
      </c>
      <c r="AB36" s="285" t="s">
        <v>741</v>
      </c>
      <c r="AC36" s="285" t="s">
        <v>741</v>
      </c>
      <c r="AD36" s="130"/>
      <c r="AE36" s="130"/>
      <c r="AF36" s="286"/>
      <c r="AG36" s="277" t="s">
        <v>741</v>
      </c>
      <c r="AH36" s="286" t="s">
        <v>741</v>
      </c>
      <c r="AI36" s="286" t="s">
        <v>741</v>
      </c>
      <c r="AJ36" s="286" t="s">
        <v>741</v>
      </c>
      <c r="AK36" s="286" t="s">
        <v>741</v>
      </c>
      <c r="AL36" s="286" t="s">
        <v>741</v>
      </c>
      <c r="AM36" s="286" t="s">
        <v>741</v>
      </c>
      <c r="AN36" s="286" t="s">
        <v>741</v>
      </c>
      <c r="AO36" s="286" t="s">
        <v>741</v>
      </c>
      <c r="AP36" s="286" t="s">
        <v>741</v>
      </c>
      <c r="AQ36" s="286" t="s">
        <v>741</v>
      </c>
      <c r="AR36" s="286" t="s">
        <v>741</v>
      </c>
      <c r="AS36" s="286" t="s">
        <v>741</v>
      </c>
      <c r="AT36" s="286" t="s">
        <v>741</v>
      </c>
      <c r="AU36" s="286" t="s">
        <v>741</v>
      </c>
      <c r="AV36" s="286" t="s">
        <v>741</v>
      </c>
      <c r="AW36" s="286" t="s">
        <v>741</v>
      </c>
      <c r="AX36" s="286" t="s">
        <v>741</v>
      </c>
      <c r="AY36" s="286" t="s">
        <v>741</v>
      </c>
      <c r="AZ36" s="286" t="s">
        <v>741</v>
      </c>
      <c r="BA36" s="286" t="s">
        <v>741</v>
      </c>
      <c r="BB36" s="286" t="s">
        <v>741</v>
      </c>
      <c r="BC36" s="286" t="s">
        <v>741</v>
      </c>
      <c r="BD36" s="286" t="s">
        <v>741</v>
      </c>
      <c r="BE36" s="286" t="s">
        <v>741</v>
      </c>
      <c r="BF36" s="286"/>
      <c r="BG36" s="130"/>
      <c r="BH36" s="130"/>
      <c r="BI36" s="130"/>
      <c r="BQ36" s="130"/>
    </row>
    <row r="37">
      <c r="A37" s="25"/>
      <c r="B37" s="26"/>
      <c r="C37" s="26"/>
      <c r="E37" s="309" t="s">
        <v>741</v>
      </c>
      <c r="F37" s="285" t="s">
        <v>741</v>
      </c>
      <c r="G37" s="285" t="s">
        <v>741</v>
      </c>
      <c r="H37" s="285" t="s">
        <v>741</v>
      </c>
      <c r="I37" s="285" t="s">
        <v>741</v>
      </c>
      <c r="J37" s="285" t="s">
        <v>741</v>
      </c>
      <c r="K37" s="285" t="s">
        <v>741</v>
      </c>
      <c r="L37" s="285" t="s">
        <v>741</v>
      </c>
      <c r="M37" s="285" t="s">
        <v>741</v>
      </c>
      <c r="N37" s="285" t="s">
        <v>741</v>
      </c>
      <c r="O37" s="285" t="s">
        <v>741</v>
      </c>
      <c r="P37" s="285" t="s">
        <v>741</v>
      </c>
      <c r="Q37" s="285" t="s">
        <v>741</v>
      </c>
      <c r="R37" s="285" t="s">
        <v>741</v>
      </c>
      <c r="S37" s="285" t="s">
        <v>741</v>
      </c>
      <c r="T37" s="285" t="s">
        <v>741</v>
      </c>
      <c r="U37" s="285" t="s">
        <v>741</v>
      </c>
      <c r="V37" s="285" t="s">
        <v>741</v>
      </c>
      <c r="W37" s="285" t="s">
        <v>741</v>
      </c>
      <c r="X37" s="285" t="s">
        <v>741</v>
      </c>
      <c r="Y37" s="285" t="s">
        <v>741</v>
      </c>
      <c r="Z37" s="285" t="s">
        <v>741</v>
      </c>
      <c r="AA37" s="285" t="s">
        <v>741</v>
      </c>
      <c r="AB37" s="285" t="s">
        <v>741</v>
      </c>
      <c r="AC37" s="285" t="s">
        <v>741</v>
      </c>
      <c r="AD37" s="130"/>
      <c r="AE37" s="130"/>
      <c r="AF37" s="286"/>
      <c r="AG37" s="277" t="s">
        <v>741</v>
      </c>
      <c r="AH37" s="286" t="s">
        <v>741</v>
      </c>
      <c r="AI37" s="286" t="s">
        <v>741</v>
      </c>
      <c r="AJ37" s="286" t="s">
        <v>741</v>
      </c>
      <c r="AK37" s="286" t="s">
        <v>741</v>
      </c>
      <c r="AL37" s="286" t="s">
        <v>741</v>
      </c>
      <c r="AM37" s="286" t="s">
        <v>741</v>
      </c>
      <c r="AN37" s="286" t="s">
        <v>741</v>
      </c>
      <c r="AO37" s="286" t="s">
        <v>741</v>
      </c>
      <c r="AP37" s="286" t="s">
        <v>741</v>
      </c>
      <c r="AQ37" s="286" t="s">
        <v>741</v>
      </c>
      <c r="AR37" s="286" t="s">
        <v>741</v>
      </c>
      <c r="AS37" s="286" t="s">
        <v>741</v>
      </c>
      <c r="AT37" s="286" t="s">
        <v>741</v>
      </c>
      <c r="AU37" s="286" t="s">
        <v>741</v>
      </c>
      <c r="AV37" s="286" t="s">
        <v>741</v>
      </c>
      <c r="AW37" s="286" t="s">
        <v>741</v>
      </c>
      <c r="AX37" s="286" t="s">
        <v>741</v>
      </c>
      <c r="AY37" s="286" t="s">
        <v>741</v>
      </c>
      <c r="AZ37" s="286" t="s">
        <v>741</v>
      </c>
      <c r="BA37" s="286" t="s">
        <v>741</v>
      </c>
      <c r="BB37" s="286" t="s">
        <v>741</v>
      </c>
      <c r="BC37" s="286" t="s">
        <v>741</v>
      </c>
      <c r="BD37" s="286" t="s">
        <v>741</v>
      </c>
      <c r="BE37" s="286" t="s">
        <v>741</v>
      </c>
      <c r="BF37" s="286"/>
      <c r="BG37" s="130"/>
      <c r="BH37" s="130"/>
      <c r="BI37" s="130"/>
      <c r="BQ37" s="130"/>
    </row>
    <row r="38">
      <c r="A38" s="25"/>
      <c r="B38" s="26"/>
      <c r="C38" s="26"/>
      <c r="E38" s="309" t="s">
        <v>741</v>
      </c>
      <c r="F38" s="285" t="s">
        <v>741</v>
      </c>
      <c r="G38" s="285" t="s">
        <v>741</v>
      </c>
      <c r="H38" s="285" t="s">
        <v>741</v>
      </c>
      <c r="I38" s="285" t="s">
        <v>741</v>
      </c>
      <c r="J38" s="285" t="s">
        <v>741</v>
      </c>
      <c r="K38" s="285" t="s">
        <v>741</v>
      </c>
      <c r="L38" s="285" t="s">
        <v>741</v>
      </c>
      <c r="M38" s="285" t="s">
        <v>741</v>
      </c>
      <c r="N38" s="285" t="s">
        <v>741</v>
      </c>
      <c r="O38" s="285" t="s">
        <v>741</v>
      </c>
      <c r="P38" s="285" t="s">
        <v>741</v>
      </c>
      <c r="Q38" s="285" t="s">
        <v>741</v>
      </c>
      <c r="R38" s="285" t="s">
        <v>741</v>
      </c>
      <c r="S38" s="285" t="s">
        <v>741</v>
      </c>
      <c r="T38" s="285" t="s">
        <v>741</v>
      </c>
      <c r="U38" s="285" t="s">
        <v>741</v>
      </c>
      <c r="V38" s="285" t="s">
        <v>741</v>
      </c>
      <c r="W38" s="285" t="s">
        <v>741</v>
      </c>
      <c r="X38" s="285" t="s">
        <v>741</v>
      </c>
      <c r="Y38" s="285" t="s">
        <v>741</v>
      </c>
      <c r="Z38" s="285" t="s">
        <v>741</v>
      </c>
      <c r="AA38" s="285" t="s">
        <v>741</v>
      </c>
      <c r="AB38" s="285" t="s">
        <v>741</v>
      </c>
      <c r="AC38" s="285" t="s">
        <v>741</v>
      </c>
      <c r="AD38" s="174"/>
      <c r="AE38" s="174"/>
      <c r="AF38" s="277"/>
      <c r="AG38" s="277" t="s">
        <v>741</v>
      </c>
      <c r="AH38" s="286" t="s">
        <v>741</v>
      </c>
      <c r="AI38" s="286" t="s">
        <v>741</v>
      </c>
      <c r="AJ38" s="286" t="s">
        <v>741</v>
      </c>
      <c r="AK38" s="286" t="s">
        <v>741</v>
      </c>
      <c r="AL38" s="286" t="s">
        <v>741</v>
      </c>
      <c r="AM38" s="286" t="s">
        <v>741</v>
      </c>
      <c r="AN38" s="286" t="s">
        <v>741</v>
      </c>
      <c r="AO38" s="286" t="s">
        <v>741</v>
      </c>
      <c r="AP38" s="286" t="s">
        <v>741</v>
      </c>
      <c r="AQ38" s="286" t="s">
        <v>741</v>
      </c>
      <c r="AR38" s="286" t="s">
        <v>741</v>
      </c>
      <c r="AS38" s="286" t="s">
        <v>741</v>
      </c>
      <c r="AT38" s="286" t="s">
        <v>741</v>
      </c>
      <c r="AU38" s="286" t="s">
        <v>741</v>
      </c>
      <c r="AV38" s="286" t="s">
        <v>741</v>
      </c>
      <c r="AW38" s="286" t="s">
        <v>741</v>
      </c>
      <c r="AX38" s="286" t="s">
        <v>741</v>
      </c>
      <c r="AY38" s="286" t="s">
        <v>741</v>
      </c>
      <c r="AZ38" s="286" t="s">
        <v>741</v>
      </c>
      <c r="BA38" s="286" t="s">
        <v>741</v>
      </c>
      <c r="BB38" s="286" t="s">
        <v>741</v>
      </c>
      <c r="BC38" s="286" t="s">
        <v>741</v>
      </c>
      <c r="BD38" s="286" t="s">
        <v>741</v>
      </c>
      <c r="BE38" s="286" t="s">
        <v>741</v>
      </c>
      <c r="BF38" s="277"/>
      <c r="BG38" s="174"/>
      <c r="BH38" s="174"/>
      <c r="BI38" s="174"/>
      <c r="BQ38" s="130"/>
    </row>
    <row r="39">
      <c r="A39" s="25"/>
      <c r="B39" s="26"/>
      <c r="C39" s="26"/>
      <c r="E39" s="309" t="s">
        <v>741</v>
      </c>
      <c r="F39" s="285" t="s">
        <v>741</v>
      </c>
      <c r="G39" s="285" t="s">
        <v>741</v>
      </c>
      <c r="H39" s="285" t="s">
        <v>741</v>
      </c>
      <c r="I39" s="285" t="s">
        <v>741</v>
      </c>
      <c r="J39" s="285" t="s">
        <v>741</v>
      </c>
      <c r="K39" s="285" t="s">
        <v>741</v>
      </c>
      <c r="L39" s="285" t="s">
        <v>741</v>
      </c>
      <c r="M39" s="285" t="s">
        <v>741</v>
      </c>
      <c r="N39" s="285" t="s">
        <v>741</v>
      </c>
      <c r="O39" s="285" t="s">
        <v>741</v>
      </c>
      <c r="P39" s="285" t="s">
        <v>741</v>
      </c>
      <c r="Q39" s="285" t="s">
        <v>741</v>
      </c>
      <c r="R39" s="285" t="s">
        <v>741</v>
      </c>
      <c r="S39" s="285" t="s">
        <v>741</v>
      </c>
      <c r="T39" s="285" t="s">
        <v>741</v>
      </c>
      <c r="U39" s="285" t="s">
        <v>741</v>
      </c>
      <c r="V39" s="285" t="s">
        <v>741</v>
      </c>
      <c r="W39" s="285" t="s">
        <v>741</v>
      </c>
      <c r="X39" s="285" t="s">
        <v>741</v>
      </c>
      <c r="Y39" s="285" t="s">
        <v>741</v>
      </c>
      <c r="Z39" s="285" t="s">
        <v>741</v>
      </c>
      <c r="AA39" s="285" t="s">
        <v>741</v>
      </c>
      <c r="AB39" s="285" t="s">
        <v>741</v>
      </c>
      <c r="AC39" s="285" t="s">
        <v>741</v>
      </c>
      <c r="AD39" s="174"/>
      <c r="AE39" s="174"/>
      <c r="AF39" s="277"/>
      <c r="AG39" s="277" t="s">
        <v>741</v>
      </c>
      <c r="AH39" s="286" t="s">
        <v>741</v>
      </c>
      <c r="AI39" s="286" t="s">
        <v>741</v>
      </c>
      <c r="AJ39" s="286" t="s">
        <v>741</v>
      </c>
      <c r="AK39" s="286" t="s">
        <v>741</v>
      </c>
      <c r="AL39" s="286" t="s">
        <v>741</v>
      </c>
      <c r="AM39" s="286" t="s">
        <v>741</v>
      </c>
      <c r="AN39" s="286" t="s">
        <v>741</v>
      </c>
      <c r="AO39" s="286" t="s">
        <v>741</v>
      </c>
      <c r="AP39" s="286" t="s">
        <v>741</v>
      </c>
      <c r="AQ39" s="286" t="s">
        <v>741</v>
      </c>
      <c r="AR39" s="286" t="s">
        <v>741</v>
      </c>
      <c r="AS39" s="286" t="s">
        <v>741</v>
      </c>
      <c r="AT39" s="286" t="s">
        <v>741</v>
      </c>
      <c r="AU39" s="286" t="s">
        <v>741</v>
      </c>
      <c r="AV39" s="286" t="s">
        <v>741</v>
      </c>
      <c r="AW39" s="286" t="s">
        <v>741</v>
      </c>
      <c r="AX39" s="286" t="s">
        <v>741</v>
      </c>
      <c r="AY39" s="286" t="s">
        <v>741</v>
      </c>
      <c r="AZ39" s="286" t="s">
        <v>741</v>
      </c>
      <c r="BA39" s="286" t="s">
        <v>741</v>
      </c>
      <c r="BB39" s="286" t="s">
        <v>741</v>
      </c>
      <c r="BC39" s="286" t="s">
        <v>741</v>
      </c>
      <c r="BD39" s="286" t="s">
        <v>741</v>
      </c>
      <c r="BE39" s="286" t="s">
        <v>741</v>
      </c>
      <c r="BF39" s="277"/>
      <c r="BG39" s="174"/>
      <c r="BH39" s="174"/>
      <c r="BI39" s="174"/>
      <c r="BQ39" s="130"/>
    </row>
    <row r="40">
      <c r="A40" s="25"/>
      <c r="B40" s="26"/>
      <c r="C40" s="26"/>
      <c r="E40" s="309" t="s">
        <v>741</v>
      </c>
      <c r="F40" s="285" t="s">
        <v>741</v>
      </c>
      <c r="G40" s="285" t="s">
        <v>741</v>
      </c>
      <c r="H40" s="285" t="s">
        <v>741</v>
      </c>
      <c r="I40" s="285" t="s">
        <v>741</v>
      </c>
      <c r="J40" s="285" t="s">
        <v>741</v>
      </c>
      <c r="K40" s="285" t="s">
        <v>741</v>
      </c>
      <c r="L40" s="285" t="s">
        <v>741</v>
      </c>
      <c r="M40" s="285" t="s">
        <v>741</v>
      </c>
      <c r="N40" s="285" t="s">
        <v>741</v>
      </c>
      <c r="O40" s="285" t="s">
        <v>741</v>
      </c>
      <c r="P40" s="285" t="s">
        <v>741</v>
      </c>
      <c r="Q40" s="285" t="s">
        <v>741</v>
      </c>
      <c r="R40" s="285" t="s">
        <v>741</v>
      </c>
      <c r="S40" s="285" t="s">
        <v>741</v>
      </c>
      <c r="T40" s="285" t="s">
        <v>741</v>
      </c>
      <c r="U40" s="285" t="s">
        <v>741</v>
      </c>
      <c r="V40" s="285" t="s">
        <v>741</v>
      </c>
      <c r="W40" s="285" t="s">
        <v>741</v>
      </c>
      <c r="X40" s="285" t="s">
        <v>741</v>
      </c>
      <c r="Y40" s="285" t="s">
        <v>741</v>
      </c>
      <c r="Z40" s="285" t="s">
        <v>741</v>
      </c>
      <c r="AA40" s="285" t="s">
        <v>741</v>
      </c>
      <c r="AB40" s="285" t="s">
        <v>741</v>
      </c>
      <c r="AC40" s="285" t="s">
        <v>741</v>
      </c>
      <c r="AD40" s="174"/>
      <c r="AE40" s="174"/>
      <c r="AF40" s="277"/>
      <c r="AG40" s="277" t="s">
        <v>741</v>
      </c>
      <c r="AH40" s="286" t="s">
        <v>741</v>
      </c>
      <c r="AI40" s="286" t="s">
        <v>741</v>
      </c>
      <c r="AJ40" s="286" t="s">
        <v>741</v>
      </c>
      <c r="AK40" s="286" t="s">
        <v>741</v>
      </c>
      <c r="AL40" s="286" t="s">
        <v>741</v>
      </c>
      <c r="AM40" s="286" t="s">
        <v>741</v>
      </c>
      <c r="AN40" s="286" t="s">
        <v>741</v>
      </c>
      <c r="AO40" s="286" t="s">
        <v>741</v>
      </c>
      <c r="AP40" s="286" t="s">
        <v>741</v>
      </c>
      <c r="AQ40" s="286" t="s">
        <v>741</v>
      </c>
      <c r="AR40" s="286" t="s">
        <v>741</v>
      </c>
      <c r="AS40" s="286" t="s">
        <v>741</v>
      </c>
      <c r="AT40" s="286" t="s">
        <v>741</v>
      </c>
      <c r="AU40" s="286" t="s">
        <v>741</v>
      </c>
      <c r="AV40" s="286" t="s">
        <v>741</v>
      </c>
      <c r="AW40" s="286" t="s">
        <v>741</v>
      </c>
      <c r="AX40" s="286" t="s">
        <v>741</v>
      </c>
      <c r="AY40" s="286" t="s">
        <v>741</v>
      </c>
      <c r="AZ40" s="286" t="s">
        <v>741</v>
      </c>
      <c r="BA40" s="286" t="s">
        <v>741</v>
      </c>
      <c r="BB40" s="286" t="s">
        <v>741</v>
      </c>
      <c r="BC40" s="286" t="s">
        <v>741</v>
      </c>
      <c r="BD40" s="286" t="s">
        <v>741</v>
      </c>
      <c r="BE40" s="286" t="s">
        <v>741</v>
      </c>
      <c r="BF40" s="277"/>
      <c r="BG40" s="174"/>
      <c r="BH40" s="174"/>
      <c r="BI40" s="174"/>
      <c r="BQ40" s="130"/>
    </row>
    <row r="41">
      <c r="A41" s="25"/>
      <c r="B41" s="26"/>
      <c r="C41" s="26"/>
      <c r="E41" s="309" t="s">
        <v>741</v>
      </c>
      <c r="F41" s="285" t="s">
        <v>741</v>
      </c>
      <c r="G41" s="285" t="s">
        <v>741</v>
      </c>
      <c r="H41" s="285" t="s">
        <v>741</v>
      </c>
      <c r="I41" s="285" t="s">
        <v>741</v>
      </c>
      <c r="J41" s="285" t="s">
        <v>741</v>
      </c>
      <c r="K41" s="285" t="s">
        <v>741</v>
      </c>
      <c r="L41" s="285" t="s">
        <v>741</v>
      </c>
      <c r="M41" s="285" t="s">
        <v>741</v>
      </c>
      <c r="N41" s="285" t="s">
        <v>741</v>
      </c>
      <c r="O41" s="285" t="s">
        <v>741</v>
      </c>
      <c r="P41" s="285" t="s">
        <v>741</v>
      </c>
      <c r="Q41" s="285" t="s">
        <v>741</v>
      </c>
      <c r="R41" s="285" t="s">
        <v>741</v>
      </c>
      <c r="S41" s="285" t="s">
        <v>741</v>
      </c>
      <c r="T41" s="285" t="s">
        <v>741</v>
      </c>
      <c r="U41" s="285" t="s">
        <v>741</v>
      </c>
      <c r="V41" s="285" t="s">
        <v>741</v>
      </c>
      <c r="W41" s="285" t="s">
        <v>741</v>
      </c>
      <c r="X41" s="285" t="s">
        <v>741</v>
      </c>
      <c r="Y41" s="285" t="s">
        <v>741</v>
      </c>
      <c r="Z41" s="285" t="s">
        <v>741</v>
      </c>
      <c r="AA41" s="285" t="s">
        <v>741</v>
      </c>
      <c r="AB41" s="285" t="s">
        <v>741</v>
      </c>
      <c r="AC41" s="285" t="s">
        <v>741</v>
      </c>
      <c r="AD41" s="174"/>
      <c r="AE41" s="174"/>
      <c r="AF41" s="277"/>
      <c r="AG41" s="277" t="s">
        <v>741</v>
      </c>
      <c r="AH41" s="286" t="s">
        <v>741</v>
      </c>
      <c r="AI41" s="286" t="s">
        <v>741</v>
      </c>
      <c r="AJ41" s="286" t="s">
        <v>741</v>
      </c>
      <c r="AK41" s="286" t="s">
        <v>741</v>
      </c>
      <c r="AL41" s="286" t="s">
        <v>741</v>
      </c>
      <c r="AM41" s="286" t="s">
        <v>741</v>
      </c>
      <c r="AN41" s="286" t="s">
        <v>741</v>
      </c>
      <c r="AO41" s="286" t="s">
        <v>741</v>
      </c>
      <c r="AP41" s="286" t="s">
        <v>741</v>
      </c>
      <c r="AQ41" s="286" t="s">
        <v>741</v>
      </c>
      <c r="AR41" s="286" t="s">
        <v>741</v>
      </c>
      <c r="AS41" s="286" t="s">
        <v>741</v>
      </c>
      <c r="AT41" s="286" t="s">
        <v>741</v>
      </c>
      <c r="AU41" s="286" t="s">
        <v>741</v>
      </c>
      <c r="AV41" s="286" t="s">
        <v>741</v>
      </c>
      <c r="AW41" s="286" t="s">
        <v>741</v>
      </c>
      <c r="AX41" s="286" t="s">
        <v>741</v>
      </c>
      <c r="AY41" s="286" t="s">
        <v>741</v>
      </c>
      <c r="AZ41" s="286" t="s">
        <v>741</v>
      </c>
      <c r="BA41" s="286" t="s">
        <v>741</v>
      </c>
      <c r="BB41" s="286" t="s">
        <v>741</v>
      </c>
      <c r="BC41" s="286" t="s">
        <v>741</v>
      </c>
      <c r="BD41" s="286" t="s">
        <v>741</v>
      </c>
      <c r="BE41" s="286" t="s">
        <v>741</v>
      </c>
      <c r="BF41" s="277"/>
      <c r="BG41" s="174"/>
      <c r="BH41" s="174"/>
      <c r="BI41" s="174"/>
      <c r="BQ41" s="130"/>
    </row>
    <row r="42">
      <c r="A42" s="25"/>
      <c r="B42" s="26"/>
      <c r="C42" s="26"/>
      <c r="E42" s="309" t="s">
        <v>741</v>
      </c>
      <c r="F42" s="285" t="s">
        <v>741</v>
      </c>
      <c r="G42" s="285" t="s">
        <v>741</v>
      </c>
      <c r="H42" s="285" t="s">
        <v>741</v>
      </c>
      <c r="I42" s="285" t="s">
        <v>741</v>
      </c>
      <c r="J42" s="285" t="s">
        <v>741</v>
      </c>
      <c r="K42" s="285" t="s">
        <v>741</v>
      </c>
      <c r="L42" s="285" t="s">
        <v>741</v>
      </c>
      <c r="M42" s="285" t="s">
        <v>741</v>
      </c>
      <c r="N42" s="285" t="s">
        <v>741</v>
      </c>
      <c r="O42" s="285" t="s">
        <v>741</v>
      </c>
      <c r="P42" s="285" t="s">
        <v>741</v>
      </c>
      <c r="Q42" s="285" t="s">
        <v>741</v>
      </c>
      <c r="R42" s="285" t="s">
        <v>741</v>
      </c>
      <c r="S42" s="285" t="s">
        <v>741</v>
      </c>
      <c r="T42" s="285" t="s">
        <v>741</v>
      </c>
      <c r="U42" s="285" t="s">
        <v>741</v>
      </c>
      <c r="V42" s="285" t="s">
        <v>741</v>
      </c>
      <c r="W42" s="285" t="s">
        <v>741</v>
      </c>
      <c r="X42" s="285" t="s">
        <v>741</v>
      </c>
      <c r="Y42" s="285" t="s">
        <v>741</v>
      </c>
      <c r="Z42" s="285" t="s">
        <v>741</v>
      </c>
      <c r="AA42" s="285" t="s">
        <v>741</v>
      </c>
      <c r="AB42" s="285" t="s">
        <v>741</v>
      </c>
      <c r="AC42" s="285" t="s">
        <v>741</v>
      </c>
      <c r="AD42" s="174"/>
      <c r="AE42" s="174"/>
      <c r="AF42" s="277"/>
      <c r="AG42" s="277" t="s">
        <v>741</v>
      </c>
      <c r="AH42" s="286" t="s">
        <v>741</v>
      </c>
      <c r="AI42" s="286" t="s">
        <v>741</v>
      </c>
      <c r="AJ42" s="286" t="s">
        <v>741</v>
      </c>
      <c r="AK42" s="286" t="s">
        <v>741</v>
      </c>
      <c r="AL42" s="286" t="s">
        <v>741</v>
      </c>
      <c r="AM42" s="286" t="s">
        <v>741</v>
      </c>
      <c r="AN42" s="286" t="s">
        <v>741</v>
      </c>
      <c r="AO42" s="286" t="s">
        <v>741</v>
      </c>
      <c r="AP42" s="286" t="s">
        <v>741</v>
      </c>
      <c r="AQ42" s="286" t="s">
        <v>741</v>
      </c>
      <c r="AR42" s="286" t="s">
        <v>741</v>
      </c>
      <c r="AS42" s="286" t="s">
        <v>741</v>
      </c>
      <c r="AT42" s="286" t="s">
        <v>741</v>
      </c>
      <c r="AU42" s="286" t="s">
        <v>741</v>
      </c>
      <c r="AV42" s="286" t="s">
        <v>741</v>
      </c>
      <c r="AW42" s="286" t="s">
        <v>741</v>
      </c>
      <c r="AX42" s="286" t="s">
        <v>741</v>
      </c>
      <c r="AY42" s="286" t="s">
        <v>741</v>
      </c>
      <c r="AZ42" s="286" t="s">
        <v>741</v>
      </c>
      <c r="BA42" s="286" t="s">
        <v>741</v>
      </c>
      <c r="BB42" s="286" t="s">
        <v>741</v>
      </c>
      <c r="BC42" s="286" t="s">
        <v>741</v>
      </c>
      <c r="BD42" s="286" t="s">
        <v>741</v>
      </c>
      <c r="BE42" s="286" t="s">
        <v>741</v>
      </c>
      <c r="BF42" s="277"/>
      <c r="BG42" s="174"/>
      <c r="BH42" s="174"/>
      <c r="BI42" s="174"/>
      <c r="BQ42" s="130"/>
    </row>
    <row r="43">
      <c r="A43" s="25"/>
      <c r="B43" s="26"/>
      <c r="C43" s="26"/>
      <c r="E43" s="309" t="s">
        <v>741</v>
      </c>
      <c r="F43" s="285" t="s">
        <v>741</v>
      </c>
      <c r="G43" s="285" t="s">
        <v>741</v>
      </c>
      <c r="H43" s="285" t="s">
        <v>741</v>
      </c>
      <c r="I43" s="285" t="s">
        <v>741</v>
      </c>
      <c r="J43" s="285" t="s">
        <v>741</v>
      </c>
      <c r="K43" s="285" t="s">
        <v>741</v>
      </c>
      <c r="L43" s="285" t="s">
        <v>741</v>
      </c>
      <c r="M43" s="285" t="s">
        <v>741</v>
      </c>
      <c r="N43" s="285" t="s">
        <v>741</v>
      </c>
      <c r="O43" s="285" t="s">
        <v>741</v>
      </c>
      <c r="P43" s="285" t="s">
        <v>741</v>
      </c>
      <c r="Q43" s="285" t="s">
        <v>741</v>
      </c>
      <c r="R43" s="285" t="s">
        <v>741</v>
      </c>
      <c r="S43" s="285" t="s">
        <v>741</v>
      </c>
      <c r="T43" s="285" t="s">
        <v>741</v>
      </c>
      <c r="U43" s="285" t="s">
        <v>741</v>
      </c>
      <c r="V43" s="285" t="s">
        <v>741</v>
      </c>
      <c r="W43" s="285" t="s">
        <v>741</v>
      </c>
      <c r="X43" s="285" t="s">
        <v>741</v>
      </c>
      <c r="Y43" s="285" t="s">
        <v>741</v>
      </c>
      <c r="Z43" s="285" t="s">
        <v>741</v>
      </c>
      <c r="AA43" s="285" t="s">
        <v>741</v>
      </c>
      <c r="AB43" s="285" t="s">
        <v>741</v>
      </c>
      <c r="AC43" s="285" t="s">
        <v>741</v>
      </c>
      <c r="AD43" s="174"/>
      <c r="AE43" s="174"/>
      <c r="AF43" s="277"/>
      <c r="AG43" s="277" t="s">
        <v>741</v>
      </c>
      <c r="AH43" s="286" t="s">
        <v>741</v>
      </c>
      <c r="AI43" s="286" t="s">
        <v>741</v>
      </c>
      <c r="AJ43" s="286" t="s">
        <v>741</v>
      </c>
      <c r="AK43" s="286" t="s">
        <v>741</v>
      </c>
      <c r="AL43" s="286" t="s">
        <v>741</v>
      </c>
      <c r="AM43" s="286" t="s">
        <v>741</v>
      </c>
      <c r="AN43" s="286" t="s">
        <v>741</v>
      </c>
      <c r="AO43" s="286" t="s">
        <v>741</v>
      </c>
      <c r="AP43" s="286" t="s">
        <v>741</v>
      </c>
      <c r="AQ43" s="286" t="s">
        <v>741</v>
      </c>
      <c r="AR43" s="286" t="s">
        <v>741</v>
      </c>
      <c r="AS43" s="286" t="s">
        <v>741</v>
      </c>
      <c r="AT43" s="286" t="s">
        <v>741</v>
      </c>
      <c r="AU43" s="286" t="s">
        <v>741</v>
      </c>
      <c r="AV43" s="286" t="s">
        <v>741</v>
      </c>
      <c r="AW43" s="286" t="s">
        <v>741</v>
      </c>
      <c r="AX43" s="286" t="s">
        <v>741</v>
      </c>
      <c r="AY43" s="286" t="s">
        <v>741</v>
      </c>
      <c r="AZ43" s="286" t="s">
        <v>741</v>
      </c>
      <c r="BA43" s="286" t="s">
        <v>741</v>
      </c>
      <c r="BB43" s="286" t="s">
        <v>741</v>
      </c>
      <c r="BC43" s="286" t="s">
        <v>741</v>
      </c>
      <c r="BD43" s="286" t="s">
        <v>741</v>
      </c>
      <c r="BE43" s="286" t="s">
        <v>741</v>
      </c>
      <c r="BF43" s="277"/>
      <c r="BG43" s="174"/>
      <c r="BH43" s="174"/>
      <c r="BI43" s="174"/>
      <c r="BQ43" s="130"/>
    </row>
    <row r="44">
      <c r="A44" s="25"/>
      <c r="B44" s="26"/>
      <c r="C44" s="26"/>
      <c r="E44" s="309" t="s">
        <v>741</v>
      </c>
      <c r="F44" s="285" t="s">
        <v>741</v>
      </c>
      <c r="G44" s="285" t="s">
        <v>741</v>
      </c>
      <c r="H44" s="285" t="s">
        <v>741</v>
      </c>
      <c r="I44" s="285" t="s">
        <v>741</v>
      </c>
      <c r="J44" s="285" t="s">
        <v>741</v>
      </c>
      <c r="K44" s="285" t="s">
        <v>741</v>
      </c>
      <c r="L44" s="285" t="s">
        <v>741</v>
      </c>
      <c r="M44" s="285" t="s">
        <v>741</v>
      </c>
      <c r="N44" s="285" t="s">
        <v>741</v>
      </c>
      <c r="O44" s="285" t="s">
        <v>741</v>
      </c>
      <c r="P44" s="285" t="s">
        <v>741</v>
      </c>
      <c r="Q44" s="285" t="s">
        <v>741</v>
      </c>
      <c r="R44" s="285" t="s">
        <v>741</v>
      </c>
      <c r="S44" s="285" t="s">
        <v>741</v>
      </c>
      <c r="T44" s="285" t="s">
        <v>741</v>
      </c>
      <c r="U44" s="285" t="s">
        <v>741</v>
      </c>
      <c r="V44" s="285" t="s">
        <v>741</v>
      </c>
      <c r="W44" s="285" t="s">
        <v>741</v>
      </c>
      <c r="X44" s="285" t="s">
        <v>741</v>
      </c>
      <c r="Y44" s="285" t="s">
        <v>741</v>
      </c>
      <c r="Z44" s="285" t="s">
        <v>741</v>
      </c>
      <c r="AA44" s="285" t="s">
        <v>741</v>
      </c>
      <c r="AB44" s="285" t="s">
        <v>741</v>
      </c>
      <c r="AC44" s="285" t="s">
        <v>741</v>
      </c>
      <c r="AD44" s="174"/>
      <c r="AE44" s="174"/>
      <c r="AF44" s="277"/>
      <c r="AG44" s="277" t="s">
        <v>741</v>
      </c>
      <c r="AH44" s="286" t="s">
        <v>741</v>
      </c>
      <c r="AI44" s="286" t="s">
        <v>741</v>
      </c>
      <c r="AJ44" s="286" t="s">
        <v>741</v>
      </c>
      <c r="AK44" s="286" t="s">
        <v>741</v>
      </c>
      <c r="AL44" s="286" t="s">
        <v>741</v>
      </c>
      <c r="AM44" s="286" t="s">
        <v>741</v>
      </c>
      <c r="AN44" s="286" t="s">
        <v>741</v>
      </c>
      <c r="AO44" s="286" t="s">
        <v>741</v>
      </c>
      <c r="AP44" s="286" t="s">
        <v>741</v>
      </c>
      <c r="AQ44" s="286" t="s">
        <v>741</v>
      </c>
      <c r="AR44" s="286" t="s">
        <v>741</v>
      </c>
      <c r="AS44" s="286" t="s">
        <v>741</v>
      </c>
      <c r="AT44" s="286" t="s">
        <v>741</v>
      </c>
      <c r="AU44" s="286" t="s">
        <v>741</v>
      </c>
      <c r="AV44" s="286" t="s">
        <v>741</v>
      </c>
      <c r="AW44" s="286" t="s">
        <v>741</v>
      </c>
      <c r="AX44" s="286" t="s">
        <v>741</v>
      </c>
      <c r="AY44" s="286" t="s">
        <v>741</v>
      </c>
      <c r="AZ44" s="286" t="s">
        <v>741</v>
      </c>
      <c r="BA44" s="286" t="s">
        <v>741</v>
      </c>
      <c r="BB44" s="286" t="s">
        <v>741</v>
      </c>
      <c r="BC44" s="286" t="s">
        <v>741</v>
      </c>
      <c r="BD44" s="286" t="s">
        <v>741</v>
      </c>
      <c r="BE44" s="286" t="s">
        <v>741</v>
      </c>
      <c r="BF44" s="277"/>
      <c r="BG44" s="174"/>
      <c r="BH44" s="174"/>
      <c r="BI44" s="174"/>
      <c r="BQ44" s="130"/>
    </row>
    <row r="45">
      <c r="A45" s="25"/>
      <c r="B45" s="26"/>
      <c r="C45" s="26"/>
      <c r="E45" s="309" t="s">
        <v>741</v>
      </c>
      <c r="F45" s="285" t="s">
        <v>741</v>
      </c>
      <c r="G45" s="285" t="s">
        <v>741</v>
      </c>
      <c r="H45" s="285" t="s">
        <v>741</v>
      </c>
      <c r="I45" s="285" t="s">
        <v>741</v>
      </c>
      <c r="J45" s="285" t="s">
        <v>741</v>
      </c>
      <c r="K45" s="285" t="s">
        <v>741</v>
      </c>
      <c r="L45" s="285" t="s">
        <v>741</v>
      </c>
      <c r="M45" s="285" t="s">
        <v>741</v>
      </c>
      <c r="N45" s="285" t="s">
        <v>741</v>
      </c>
      <c r="O45" s="285" t="s">
        <v>741</v>
      </c>
      <c r="P45" s="285" t="s">
        <v>741</v>
      </c>
      <c r="Q45" s="285" t="s">
        <v>741</v>
      </c>
      <c r="R45" s="285" t="s">
        <v>741</v>
      </c>
      <c r="S45" s="285" t="s">
        <v>741</v>
      </c>
      <c r="T45" s="285" t="s">
        <v>741</v>
      </c>
      <c r="U45" s="285" t="s">
        <v>741</v>
      </c>
      <c r="V45" s="285" t="s">
        <v>741</v>
      </c>
      <c r="W45" s="285" t="s">
        <v>741</v>
      </c>
      <c r="X45" s="285" t="s">
        <v>741</v>
      </c>
      <c r="Y45" s="285" t="s">
        <v>741</v>
      </c>
      <c r="Z45" s="285" t="s">
        <v>741</v>
      </c>
      <c r="AA45" s="285" t="s">
        <v>741</v>
      </c>
      <c r="AB45" s="285" t="s">
        <v>741</v>
      </c>
      <c r="AC45" s="285" t="s">
        <v>741</v>
      </c>
      <c r="AD45" s="174"/>
      <c r="AE45" s="174"/>
      <c r="AF45" s="277"/>
      <c r="AG45" s="277" t="s">
        <v>741</v>
      </c>
      <c r="AH45" s="286" t="s">
        <v>741</v>
      </c>
      <c r="AI45" s="286" t="s">
        <v>741</v>
      </c>
      <c r="AJ45" s="286" t="s">
        <v>741</v>
      </c>
      <c r="AK45" s="286" t="s">
        <v>741</v>
      </c>
      <c r="AL45" s="286" t="s">
        <v>741</v>
      </c>
      <c r="AM45" s="286" t="s">
        <v>741</v>
      </c>
      <c r="AN45" s="286" t="s">
        <v>741</v>
      </c>
      <c r="AO45" s="286" t="s">
        <v>741</v>
      </c>
      <c r="AP45" s="286" t="s">
        <v>741</v>
      </c>
      <c r="AQ45" s="286" t="s">
        <v>741</v>
      </c>
      <c r="AR45" s="286" t="s">
        <v>741</v>
      </c>
      <c r="AS45" s="286" t="s">
        <v>741</v>
      </c>
      <c r="AT45" s="286" t="s">
        <v>741</v>
      </c>
      <c r="AU45" s="286" t="s">
        <v>741</v>
      </c>
      <c r="AV45" s="286" t="s">
        <v>741</v>
      </c>
      <c r="AW45" s="286" t="s">
        <v>741</v>
      </c>
      <c r="AX45" s="286" t="s">
        <v>741</v>
      </c>
      <c r="AY45" s="286" t="s">
        <v>741</v>
      </c>
      <c r="AZ45" s="286" t="s">
        <v>741</v>
      </c>
      <c r="BA45" s="286" t="s">
        <v>741</v>
      </c>
      <c r="BB45" s="286" t="s">
        <v>741</v>
      </c>
      <c r="BC45" s="286" t="s">
        <v>741</v>
      </c>
      <c r="BD45" s="286" t="s">
        <v>741</v>
      </c>
      <c r="BE45" s="286" t="s">
        <v>741</v>
      </c>
      <c r="BF45" s="277"/>
      <c r="BG45" s="174"/>
      <c r="BH45" s="174"/>
      <c r="BI45" s="174"/>
      <c r="BQ45" s="130"/>
    </row>
    <row r="46">
      <c r="A46" s="25"/>
      <c r="B46" s="26"/>
      <c r="C46" s="26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74"/>
      <c r="AC46" s="174"/>
      <c r="AD46" s="174"/>
      <c r="AE46" s="174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277"/>
      <c r="AR46" s="277"/>
      <c r="AS46" s="277"/>
      <c r="AT46" s="277"/>
      <c r="AU46" s="277"/>
      <c r="AV46" s="277"/>
      <c r="AW46" s="277"/>
      <c r="AX46" s="277"/>
      <c r="AY46" s="277"/>
      <c r="AZ46" s="277"/>
      <c r="BA46" s="277"/>
      <c r="BB46" s="277"/>
      <c r="BC46" s="277"/>
      <c r="BD46" s="277"/>
      <c r="BE46" s="277"/>
      <c r="BF46" s="277"/>
      <c r="BG46" s="174"/>
      <c r="BH46" s="174"/>
      <c r="BI46" s="174"/>
      <c r="BN46" s="310"/>
      <c r="BQ46" s="130"/>
    </row>
    <row r="47">
      <c r="A47" s="25"/>
      <c r="B47" s="26"/>
      <c r="C47" s="26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4"/>
      <c r="BI47" s="174"/>
      <c r="BN47" s="310"/>
      <c r="BQ47" s="130"/>
    </row>
    <row r="48">
      <c r="A48" s="25"/>
      <c r="B48" s="26"/>
      <c r="C48" s="26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74"/>
      <c r="BG48" s="174"/>
      <c r="BH48" s="174"/>
      <c r="BI48" s="174"/>
      <c r="BN48" s="310"/>
      <c r="BQ48" s="130"/>
    </row>
    <row r="49">
      <c r="A49" s="25"/>
      <c r="B49" s="26"/>
      <c r="C49" s="26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  <c r="BI49" s="174"/>
      <c r="BN49" s="310"/>
      <c r="BQ49" s="130"/>
    </row>
    <row r="50">
      <c r="A50" s="25"/>
      <c r="B50" s="26"/>
      <c r="C50" s="26"/>
      <c r="D50" s="208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L50" s="208"/>
      <c r="BM50" s="208"/>
      <c r="BN50" s="322"/>
      <c r="BO50" s="208"/>
      <c r="BP50" s="208"/>
      <c r="BQ50" s="208"/>
    </row>
    <row r="51">
      <c r="A51" s="25"/>
      <c r="B51" s="26"/>
      <c r="C51" s="26"/>
      <c r="D51" s="75"/>
      <c r="BL51" s="41" t="s">
        <v>783</v>
      </c>
      <c r="BM51" s="33"/>
      <c r="BN51" s="33"/>
      <c r="BO51" s="34"/>
      <c r="BP51" s="75"/>
      <c r="BQ51" s="75"/>
    </row>
    <row r="52">
      <c r="A52" s="25"/>
      <c r="B52" s="60"/>
      <c r="C52" s="60"/>
      <c r="D52" s="208"/>
      <c r="E52" s="129" t="s">
        <v>673</v>
      </c>
      <c r="BL52" s="255" t="s">
        <v>662</v>
      </c>
      <c r="BM52" s="255" t="s">
        <v>784</v>
      </c>
      <c r="BN52" s="323" t="s">
        <v>785</v>
      </c>
      <c r="BO52" s="324" t="str">
        <f t="array" ref="BO52:BO418">{"Level";BYROW(BN53:BN418,LAMBDA(x,IFERROR(IF(x="",,VLOOKUP(x,$E$55:$J$59,5,1)),"")))}</f>
        <v>Level</v>
      </c>
      <c r="BP52" s="75"/>
      <c r="BQ52" s="75"/>
    </row>
    <row r="53">
      <c r="A53" s="25"/>
      <c r="B53" s="31"/>
      <c r="C53" s="31"/>
      <c r="D53" s="208"/>
      <c r="BL53" s="325">
        <v>45292.0</v>
      </c>
      <c r="BM53" s="326"/>
      <c r="BN53" s="327"/>
      <c r="BO53" s="328"/>
      <c r="BP53" s="75"/>
      <c r="BQ53" s="75"/>
    </row>
    <row r="54">
      <c r="A54" s="25"/>
      <c r="B54" s="31"/>
      <c r="C54" s="31"/>
      <c r="D54" s="208"/>
      <c r="E54" s="329" t="s">
        <v>786</v>
      </c>
      <c r="G54" s="330" t="s">
        <v>787</v>
      </c>
      <c r="H54" s="75"/>
      <c r="I54" s="208"/>
      <c r="J54" s="75"/>
      <c r="K54" s="208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L54" s="325">
        <v>45293.0</v>
      </c>
      <c r="BM54" s="326"/>
      <c r="BN54" s="327"/>
      <c r="BO54" s="328"/>
      <c r="BP54" s="75"/>
      <c r="BQ54" s="75"/>
    </row>
    <row r="55">
      <c r="A55" s="25"/>
      <c r="B55" s="61"/>
      <c r="C55" s="61"/>
      <c r="D55" s="208"/>
      <c r="E55" s="331" t="s">
        <v>788</v>
      </c>
      <c r="F55" s="34"/>
      <c r="G55" s="332" t="s">
        <v>789</v>
      </c>
      <c r="H55" s="34"/>
      <c r="I55" s="331" t="s">
        <v>545</v>
      </c>
      <c r="J55" s="34"/>
      <c r="K55" s="208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L55" s="325">
        <v>45294.0</v>
      </c>
      <c r="BM55" s="333" t="s">
        <v>790</v>
      </c>
      <c r="BN55" s="120">
        <v>73.0</v>
      </c>
      <c r="BO55" s="334">
        <v>3.0</v>
      </c>
      <c r="BP55" s="75"/>
      <c r="BQ55" s="75"/>
    </row>
    <row r="56">
      <c r="A56" s="25"/>
      <c r="B56" s="26"/>
      <c r="C56" s="26"/>
      <c r="D56" s="208"/>
      <c r="E56" s="335">
        <v>0.0</v>
      </c>
      <c r="F56" s="34"/>
      <c r="G56" s="335">
        <v>33.0</v>
      </c>
      <c r="H56" s="34"/>
      <c r="I56" s="336">
        <v>1.0</v>
      </c>
      <c r="J56" s="34"/>
      <c r="K56" s="208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L56" s="325">
        <v>45295.0</v>
      </c>
      <c r="BM56" s="326"/>
      <c r="BN56" s="327"/>
      <c r="BO56" s="328"/>
      <c r="BP56" s="75"/>
      <c r="BQ56" s="75"/>
    </row>
    <row r="57">
      <c r="A57" s="25"/>
      <c r="B57" s="26"/>
      <c r="C57" s="26"/>
      <c r="D57" s="208"/>
      <c r="E57" s="337">
        <v>34.0</v>
      </c>
      <c r="F57" s="34"/>
      <c r="G57" s="337">
        <v>66.0</v>
      </c>
      <c r="H57" s="34"/>
      <c r="I57" s="338">
        <v>2.0</v>
      </c>
      <c r="J57" s="34"/>
      <c r="K57" s="208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L57" s="325">
        <v>45296.0</v>
      </c>
      <c r="BM57" s="326"/>
      <c r="BN57" s="327"/>
      <c r="BO57" s="328"/>
      <c r="BP57" s="208"/>
      <c r="BQ57" s="208"/>
    </row>
    <row r="58">
      <c r="A58" s="25"/>
      <c r="B58" s="26"/>
      <c r="C58" s="26"/>
      <c r="D58" s="208"/>
      <c r="E58" s="340">
        <v>67.0</v>
      </c>
      <c r="F58" s="34"/>
      <c r="G58" s="340">
        <v>100.0</v>
      </c>
      <c r="H58" s="34"/>
      <c r="I58" s="341">
        <v>3.0</v>
      </c>
      <c r="J58" s="34"/>
      <c r="K58" s="208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L58" s="325">
        <v>45297.0</v>
      </c>
      <c r="BM58" s="333" t="s">
        <v>797</v>
      </c>
      <c r="BN58" s="120">
        <v>79.0</v>
      </c>
      <c r="BO58" s="334">
        <v>3.0</v>
      </c>
      <c r="BP58" s="208"/>
      <c r="BQ58" s="208"/>
    </row>
    <row r="59">
      <c r="A59" s="25"/>
      <c r="B59" s="26"/>
      <c r="C59" s="26"/>
      <c r="D59" s="208"/>
      <c r="E59" s="345">
        <v>101.0</v>
      </c>
      <c r="F59" s="34"/>
      <c r="G59" s="345" t="s">
        <v>799</v>
      </c>
      <c r="H59" s="34"/>
      <c r="I59" s="347">
        <v>4.0</v>
      </c>
      <c r="J59" s="34"/>
      <c r="K59" s="208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L59" s="325">
        <v>45298.0</v>
      </c>
      <c r="BM59" s="333" t="s">
        <v>800</v>
      </c>
      <c r="BN59" s="120">
        <v>914.0</v>
      </c>
      <c r="BO59" s="334">
        <v>4.0</v>
      </c>
      <c r="BP59" s="208"/>
      <c r="BQ59" s="208"/>
    </row>
    <row r="60">
      <c r="A60" s="25"/>
      <c r="B60" s="26"/>
      <c r="C60" s="26"/>
      <c r="D60" s="20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L60" s="325">
        <v>45299.0</v>
      </c>
      <c r="BM60" s="333" t="s">
        <v>801</v>
      </c>
      <c r="BN60" s="120">
        <v>11.0</v>
      </c>
      <c r="BO60" s="334">
        <v>1.0</v>
      </c>
      <c r="BP60" s="208"/>
      <c r="BQ60" s="208"/>
    </row>
    <row r="61">
      <c r="A61" s="25"/>
      <c r="B61" s="26"/>
      <c r="C61" s="26"/>
      <c r="D61" s="208"/>
      <c r="E61" s="348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49"/>
      <c r="AE61" s="349"/>
      <c r="AF61" s="349"/>
      <c r="AG61" s="349"/>
      <c r="AH61" s="349"/>
      <c r="AI61" s="349"/>
      <c r="AJ61" s="349"/>
      <c r="AK61" s="349"/>
      <c r="AL61" s="349"/>
      <c r="AM61" s="349"/>
      <c r="AN61" s="349"/>
      <c r="AO61" s="349"/>
      <c r="AP61" s="349"/>
      <c r="AQ61" s="349"/>
      <c r="AR61" s="349"/>
      <c r="AS61" s="349"/>
      <c r="AT61" s="349"/>
      <c r="AU61" s="349"/>
      <c r="AV61" s="349"/>
      <c r="AW61" s="349"/>
      <c r="AX61" s="349"/>
      <c r="AY61" s="349"/>
      <c r="AZ61" s="349"/>
      <c r="BA61" s="349"/>
      <c r="BB61" s="349"/>
      <c r="BC61" s="349"/>
      <c r="BD61" s="349"/>
      <c r="BE61" s="349"/>
      <c r="BF61" s="349"/>
      <c r="BG61" s="349"/>
      <c r="BH61" s="349"/>
      <c r="BI61" s="350"/>
      <c r="BL61" s="325">
        <v>45300.0</v>
      </c>
      <c r="BM61" s="333" t="s">
        <v>802</v>
      </c>
      <c r="BN61" s="120">
        <v>282.0</v>
      </c>
      <c r="BO61" s="334">
        <v>4.0</v>
      </c>
      <c r="BP61" s="208"/>
      <c r="BQ61" s="208"/>
    </row>
    <row r="62">
      <c r="A62" s="25"/>
      <c r="B62" s="26"/>
      <c r="C62" s="26"/>
      <c r="D62" s="208"/>
      <c r="E62" s="351"/>
      <c r="F62" s="75"/>
      <c r="G62" s="75"/>
      <c r="H62" s="352" t="str">
        <f>IFERROR(__xludf.DUMMYFUNCTION("LET(x,TEXT(MAX(H64:H70),""Mmm""),IF(ISNUMBER(SEARCH(x,JOIN(,$G62:G62))),,x))"),"Jan")</f>
        <v>Jan</v>
      </c>
      <c r="I62" s="352" t="str">
        <f>IFERROR(__xludf.DUMMYFUNCTION("LET(x,TEXT(MAX(I64:I70),""Mmm""),IF(ISNUMBER(SEARCH(x,JOIN(,$G62:H62))),,x))"),"")</f>
        <v/>
      </c>
      <c r="J62" s="352" t="str">
        <f>IFERROR(__xludf.DUMMYFUNCTION("LET(x,TEXT(MAX(J64:J70),""Mmm""),IF(ISNUMBER(SEARCH(x,JOIN(,$G62:I62))),,x))"),"")</f>
        <v/>
      </c>
      <c r="K62" s="352" t="str">
        <f>IFERROR(__xludf.DUMMYFUNCTION("LET(x,TEXT(MAX(K64:K70),""Mmm""),IF(ISNUMBER(SEARCH(x,JOIN(,$G62:J62))),,x))"),"")</f>
        <v/>
      </c>
      <c r="L62" s="352" t="str">
        <f>IFERROR(__xludf.DUMMYFUNCTION("LET(x,TEXT(MAX(L64:L70),""Mmm""),IF(ISNUMBER(SEARCH(x,JOIN(,$G62:K62))),,x))"),"")</f>
        <v/>
      </c>
      <c r="M62" s="352" t="str">
        <f>IFERROR(__xludf.DUMMYFUNCTION("LET(x,TEXT(MAX(M64:M70),""Mmm""),IF(ISNUMBER(SEARCH(x,JOIN(,$G62:L62))),,x))"),"Feb")</f>
        <v>Feb</v>
      </c>
      <c r="N62" s="352" t="str">
        <f>IFERROR(__xludf.DUMMYFUNCTION("LET(x,TEXT(MAX(N64:N70),""Mmm""),IF(ISNUMBER(SEARCH(x,JOIN(,$G62:M62))),,x))"),"")</f>
        <v/>
      </c>
      <c r="O62" s="352" t="str">
        <f>IFERROR(__xludf.DUMMYFUNCTION("LET(x,TEXT(MAX(O64:O70),""Mmm""),IF(ISNUMBER(SEARCH(x,JOIN(,$G62:N62))),,x))"),"")</f>
        <v/>
      </c>
      <c r="P62" s="352" t="str">
        <f>IFERROR(__xludf.DUMMYFUNCTION("LET(x,TEXT(MAX(P64:P70),""Mmm""),IF(ISNUMBER(SEARCH(x,JOIN(,$G62:O62))),,x))"),"")</f>
        <v/>
      </c>
      <c r="Q62" s="352" t="str">
        <f>IFERROR(__xludf.DUMMYFUNCTION("LET(x,TEXT(MAX(Q64:Q70),""Mmm""),IF(ISNUMBER(SEARCH(x,JOIN(,$G62:P62))),,x))"),"Mar")</f>
        <v>Mar</v>
      </c>
      <c r="R62" s="352" t="str">
        <f>IFERROR(__xludf.DUMMYFUNCTION("LET(x,TEXT(MAX(R64:R70),""Mmm""),IF(ISNUMBER(SEARCH(x,JOIN(,$G62:Q62))),,x))"),"")</f>
        <v/>
      </c>
      <c r="S62" s="352" t="str">
        <f>IFERROR(__xludf.DUMMYFUNCTION("LET(x,TEXT(MAX(S64:S70),""Mmm""),IF(ISNUMBER(SEARCH(x,JOIN(,$G62:R62))),,x))"),"")</f>
        <v/>
      </c>
      <c r="T62" s="352" t="str">
        <f>IFERROR(__xludf.DUMMYFUNCTION("LET(x,TEXT(MAX(T64:T70),""Mmm""),IF(ISNUMBER(SEARCH(x,JOIN(,$G62:S62))),,x))"),"")</f>
        <v/>
      </c>
      <c r="U62" s="352" t="str">
        <f>IFERROR(__xludf.DUMMYFUNCTION("LET(x,TEXT(MAX(U64:U70),""Mmm""),IF(ISNUMBER(SEARCH(x,JOIN(,$G62:T62))),,x))"),"Apr")</f>
        <v>Apr</v>
      </c>
      <c r="V62" s="352" t="str">
        <f>IFERROR(__xludf.DUMMYFUNCTION("LET(x,TEXT(MAX(V64:V70),""Mmm""),IF(ISNUMBER(SEARCH(x,JOIN(,$G62:U62))),,x))"),"")</f>
        <v/>
      </c>
      <c r="W62" s="352" t="str">
        <f>IFERROR(__xludf.DUMMYFUNCTION("LET(x,TEXT(MAX(W64:W70),""Mmm""),IF(ISNUMBER(SEARCH(x,JOIN(,$G62:V62))),,x))"),"")</f>
        <v/>
      </c>
      <c r="X62" s="352" t="str">
        <f>IFERROR(__xludf.DUMMYFUNCTION("LET(x,TEXT(MAX(X64:X70),""Mmm""),IF(ISNUMBER(SEARCH(x,JOIN(,$G62:W62))),,x))"),"")</f>
        <v/>
      </c>
      <c r="Y62" s="352" t="str">
        <f>IFERROR(__xludf.DUMMYFUNCTION("LET(x,TEXT(MAX(Y64:Y70),""Mmm""),IF(ISNUMBER(SEARCH(x,JOIN(,$G62:X62))),,x))"),"May")</f>
        <v>May</v>
      </c>
      <c r="Z62" s="352" t="str">
        <f>IFERROR(__xludf.DUMMYFUNCTION("LET(x,TEXT(MAX(Z64:Z70),""Mmm""),IF(ISNUMBER(SEARCH(x,JOIN(,$G62:Y62))),,x))"),"")</f>
        <v/>
      </c>
      <c r="AA62" s="352" t="str">
        <f>IFERROR(__xludf.DUMMYFUNCTION("LET(x,TEXT(MAX(AA64:AA70),""Mmm""),IF(ISNUMBER(SEARCH(x,JOIN(,$G62:Z62))),,x))"),"")</f>
        <v/>
      </c>
      <c r="AB62" s="352" t="str">
        <f>IFERROR(__xludf.DUMMYFUNCTION("LET(x,TEXT(MAX(AB64:AB70),""Mmm""),IF(ISNUMBER(SEARCH(x,JOIN(,$G62:AA62))),,x))"),"")</f>
        <v/>
      </c>
      <c r="AC62" s="352" t="str">
        <f>IFERROR(__xludf.DUMMYFUNCTION("LET(x,TEXT(MAX(AC64:AC70),""Mmm""),IF(ISNUMBER(SEARCH(x,JOIN(,$G62:AB62))),,x))"),"")</f>
        <v/>
      </c>
      <c r="AD62" s="352" t="str">
        <f>IFERROR(__xludf.DUMMYFUNCTION("LET(x,TEXT(MAX(AD64:AD70),""Mmm""),IF(ISNUMBER(SEARCH(x,JOIN(,$G62:AC62))),,x))"),"Jun")</f>
        <v>Jun</v>
      </c>
      <c r="AE62" s="352" t="str">
        <f>IFERROR(__xludf.DUMMYFUNCTION("LET(x,TEXT(MAX(AE64:AE70),""Mmm""),IF(ISNUMBER(SEARCH(x,JOIN(,$G62:AD62))),,x))"),"")</f>
        <v/>
      </c>
      <c r="AF62" s="352" t="str">
        <f>IFERROR(__xludf.DUMMYFUNCTION("LET(x,TEXT(MAX(AF64:AF70),""Mmm""),IF(ISNUMBER(SEARCH(x,JOIN(,$G62:AE62))),,x))"),"")</f>
        <v/>
      </c>
      <c r="AG62" s="352" t="str">
        <f>IFERROR(__xludf.DUMMYFUNCTION("LET(x,TEXT(MAX(AG64:AG70),""Mmm""),IF(ISNUMBER(SEARCH(x,JOIN(,$G62:AF62))),,x))"),"")</f>
        <v/>
      </c>
      <c r="AH62" s="352" t="str">
        <f>IFERROR(__xludf.DUMMYFUNCTION("LET(x,TEXT(MAX(AH64:AH70),""Mmm""),IF(ISNUMBER(SEARCH(x,JOIN(,$G62:AG62))),,x))"),"Jul")</f>
        <v>Jul</v>
      </c>
      <c r="AI62" s="352" t="str">
        <f>IFERROR(__xludf.DUMMYFUNCTION("LET(x,TEXT(MAX(AI64:AI70),""Mmm""),IF(ISNUMBER(SEARCH(x,JOIN(,$G62:AH62))),,x))"),"")</f>
        <v/>
      </c>
      <c r="AJ62" s="352" t="str">
        <f>IFERROR(__xludf.DUMMYFUNCTION("LET(x,TEXT(MAX(AJ64:AJ70),""Mmm""),IF(ISNUMBER(SEARCH(x,JOIN(,$G62:AI62))),,x))"),"")</f>
        <v/>
      </c>
      <c r="AK62" s="352" t="str">
        <f>IFERROR(__xludf.DUMMYFUNCTION("LET(x,TEXT(MAX(AK64:AK70),""Mmm""),IF(ISNUMBER(SEARCH(x,JOIN(,$G62:AJ62))),,x))"),"")</f>
        <v/>
      </c>
      <c r="AL62" s="352" t="str">
        <f>IFERROR(__xludf.DUMMYFUNCTION("LET(x,TEXT(MAX(AL64:AL70),""Mmm""),IF(ISNUMBER(SEARCH(x,JOIN(,$G62:AK62))),,x))"),"Aug")</f>
        <v>Aug</v>
      </c>
      <c r="AM62" s="352" t="str">
        <f>IFERROR(__xludf.DUMMYFUNCTION("LET(x,TEXT(MAX(AM64:AM70),""Mmm""),IF(ISNUMBER(SEARCH(x,JOIN(,$G62:AL62))),,x))"),"")</f>
        <v/>
      </c>
      <c r="AN62" s="352" t="str">
        <f>IFERROR(__xludf.DUMMYFUNCTION("LET(x,TEXT(MAX(AN64:AN70),""Mmm""),IF(ISNUMBER(SEARCH(x,JOIN(,$G62:AM62))),,x))"),"")</f>
        <v/>
      </c>
      <c r="AO62" s="352" t="str">
        <f>IFERROR(__xludf.DUMMYFUNCTION("LET(x,TEXT(MAX(AO64:AO70),""Mmm""),IF(ISNUMBER(SEARCH(x,JOIN(,$G62:AN62))),,x))"),"")</f>
        <v/>
      </c>
      <c r="AP62" s="352" t="str">
        <f>IFERROR(__xludf.DUMMYFUNCTION("LET(x,TEXT(MAX(AP64:AP70),""Mmm""),IF(ISNUMBER(SEARCH(x,JOIN(,$G62:AO62))),,x))"),"")</f>
        <v/>
      </c>
      <c r="AQ62" s="352" t="str">
        <f>IFERROR(__xludf.DUMMYFUNCTION("LET(x,TEXT(MAX(AQ64:AQ70),""Mmm""),IF(ISNUMBER(SEARCH(x,JOIN(,$G62:AP62))),,x))"),"Sep")</f>
        <v>Sep</v>
      </c>
      <c r="AR62" s="352" t="str">
        <f>IFERROR(__xludf.DUMMYFUNCTION("LET(x,TEXT(MAX(AR64:AR70),""Mmm""),IF(ISNUMBER(SEARCH(x,JOIN(,$G62:AQ62))),,x))"),"")</f>
        <v/>
      </c>
      <c r="AS62" s="352" t="str">
        <f>IFERROR(__xludf.DUMMYFUNCTION("LET(x,TEXT(MAX(AS64:AS70),""Mmm""),IF(ISNUMBER(SEARCH(x,JOIN(,$G62:AR62))),,x))"),"")</f>
        <v/>
      </c>
      <c r="AT62" s="352" t="str">
        <f>IFERROR(__xludf.DUMMYFUNCTION("LET(x,TEXT(MAX(AT64:AT70),""Mmm""),IF(ISNUMBER(SEARCH(x,JOIN(,$G62:AS62))),,x))"),"")</f>
        <v/>
      </c>
      <c r="AU62" s="352" t="str">
        <f>IFERROR(__xludf.DUMMYFUNCTION("LET(x,TEXT(MAX(AU64:AU70),""Mmm""),IF(ISNUMBER(SEARCH(x,JOIN(,$G62:AT62))),,x))"),"Oct")</f>
        <v>Oct</v>
      </c>
      <c r="AV62" s="352" t="str">
        <f>IFERROR(__xludf.DUMMYFUNCTION("LET(x,TEXT(MAX(AV64:AV70),""Mmm""),IF(ISNUMBER(SEARCH(x,JOIN(,$G62:AU62))),,x))"),"")</f>
        <v/>
      </c>
      <c r="AW62" s="352" t="str">
        <f>IFERROR(__xludf.DUMMYFUNCTION("LET(x,TEXT(MAX(AW64:AW70),""Mmm""),IF(ISNUMBER(SEARCH(x,JOIN(,$G62:AV62))),,x))"),"")</f>
        <v/>
      </c>
      <c r="AX62" s="352" t="str">
        <f>IFERROR(__xludf.DUMMYFUNCTION("LET(x,TEXT(MAX(AX64:AX70),""Mmm""),IF(ISNUMBER(SEARCH(x,JOIN(,$G62:AW62))),,x))"),"")</f>
        <v/>
      </c>
      <c r="AY62" s="352" t="str">
        <f>IFERROR(__xludf.DUMMYFUNCTION("LET(x,TEXT(MAX(AY64:AY70),""Mmm""),IF(ISNUMBER(SEARCH(x,JOIN(,$G62:AX62))),,x))"),"")</f>
        <v/>
      </c>
      <c r="AZ62" s="352" t="str">
        <f>IFERROR(__xludf.DUMMYFUNCTION("LET(x,TEXT(MAX(AZ64:AZ70),""Mmm""),IF(ISNUMBER(SEARCH(x,JOIN(,$G62:AY62))),,x))"),"Nov")</f>
        <v>Nov</v>
      </c>
      <c r="BA62" s="352" t="str">
        <f>IFERROR(__xludf.DUMMYFUNCTION("LET(x,TEXT(MAX(BA64:BA70),""Mmm""),IF(ISNUMBER(SEARCH(x,JOIN(,$G62:AZ62))),,x))"),"")</f>
        <v/>
      </c>
      <c r="BB62" s="352" t="str">
        <f>IFERROR(__xludf.DUMMYFUNCTION("LET(x,TEXT(MAX(BB64:BB70),""Mmm""),IF(ISNUMBER(SEARCH(x,JOIN(,$G62:BA62))),,x))"),"")</f>
        <v/>
      </c>
      <c r="BC62" s="352" t="str">
        <f>IFERROR(__xludf.DUMMYFUNCTION("LET(x,TEXT(MAX(BC64:BC70),""Mmm""),IF(ISNUMBER(SEARCH(x,JOIN(,$G62:BB62))),,x))"),"")</f>
        <v/>
      </c>
      <c r="BD62" s="352" t="str">
        <f>IFERROR(__xludf.DUMMYFUNCTION("LET(x,TEXT(MAX(BD64:BD70),""Mmm""),IF(ISNUMBER(SEARCH(x,JOIN(,$G62:BC62))),,x))"),"Dec")</f>
        <v>Dec</v>
      </c>
      <c r="BE62" s="352" t="str">
        <f>IFERROR(__xludf.DUMMYFUNCTION("LET(x,TEXT(MAX(BE64:BE70),""Mmm""),IF(ISNUMBER(SEARCH(x,JOIN(,$G62:BD62))),,x))"),"")</f>
        <v/>
      </c>
      <c r="BF62" s="352" t="str">
        <f>IFERROR(__xludf.DUMMYFUNCTION("LET(x,TEXT(MAX(BF64:BF70),""Mmm""),IF(ISNUMBER(SEARCH(x,JOIN(,$G62:BE62))),,x))"),"")</f>
        <v/>
      </c>
      <c r="BG62" s="352" t="str">
        <f>IFERROR(__xludf.DUMMYFUNCTION("LET(x,TEXT(MAX(BG64:BG70),""Mmm""),IF(ISNUMBER(SEARCH(x,JOIN(,$G62:BF62))),,x))"),"")</f>
        <v/>
      </c>
      <c r="BH62" s="352" t="str">
        <f>IFERROR(__xludf.DUMMYFUNCTION("LET(x,TEXT(MAX(BH64:BH70),""Mmm""),IF(ISNUMBER(SEARCH(x,JOIN(,$G62:BG62))),,x))"),"")</f>
        <v/>
      </c>
      <c r="BI62" s="353"/>
      <c r="BL62" s="325">
        <v>45301.0</v>
      </c>
      <c r="BM62" s="326"/>
      <c r="BN62" s="327"/>
      <c r="BO62" s="328"/>
      <c r="BP62" s="208"/>
      <c r="BQ62" s="208"/>
    </row>
    <row r="63">
      <c r="A63" s="25"/>
      <c r="B63" s="26"/>
      <c r="C63" s="26"/>
      <c r="D63" s="208"/>
      <c r="E63" s="351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353"/>
      <c r="BL63" s="325">
        <v>45302.0</v>
      </c>
      <c r="BM63" s="333" t="s">
        <v>803</v>
      </c>
      <c r="BN63" s="120">
        <v>5.0</v>
      </c>
      <c r="BO63" s="334">
        <v>1.0</v>
      </c>
      <c r="BP63" s="208"/>
      <c r="BQ63" s="208"/>
    </row>
    <row r="64">
      <c r="A64" s="25"/>
      <c r="B64" s="26"/>
      <c r="C64" s="26"/>
      <c r="D64" s="208"/>
      <c r="E64" s="351"/>
      <c r="F64" s="75"/>
      <c r="G64" s="75"/>
      <c r="H64" s="354">
        <f t="array" ref="H64:BH70">LET(a,YEAR(TODAY()),x,DATE(a,1,1),y,x-MOD(WEEKDAY(x)-1,7),TRANSPOSE(SEQUENCE(53,7,y)))</f>
        <v>46019</v>
      </c>
      <c r="I64" s="354">
        <v>46026.0</v>
      </c>
      <c r="J64" s="354">
        <v>46033.0</v>
      </c>
      <c r="K64" s="354">
        <v>46040.0</v>
      </c>
      <c r="L64" s="354">
        <v>46047.0</v>
      </c>
      <c r="M64" s="354">
        <v>46054.0</v>
      </c>
      <c r="N64" s="354">
        <v>46061.0</v>
      </c>
      <c r="O64" s="354">
        <v>46068.0</v>
      </c>
      <c r="P64" s="354">
        <v>46075.0</v>
      </c>
      <c r="Q64" s="354">
        <v>46082.0</v>
      </c>
      <c r="R64" s="354">
        <v>46089.0</v>
      </c>
      <c r="S64" s="354">
        <v>46096.0</v>
      </c>
      <c r="T64" s="354">
        <v>46103.0</v>
      </c>
      <c r="U64" s="354">
        <v>46110.0</v>
      </c>
      <c r="V64" s="354">
        <v>46117.0</v>
      </c>
      <c r="W64" s="354">
        <v>46124.0</v>
      </c>
      <c r="X64" s="354">
        <v>46131.0</v>
      </c>
      <c r="Y64" s="354">
        <v>46138.0</v>
      </c>
      <c r="Z64" s="354">
        <v>46145.0</v>
      </c>
      <c r="AA64" s="354">
        <v>46152.0</v>
      </c>
      <c r="AB64" s="354">
        <v>46159.0</v>
      </c>
      <c r="AC64" s="354">
        <v>46166.0</v>
      </c>
      <c r="AD64" s="354">
        <v>46173.0</v>
      </c>
      <c r="AE64" s="354">
        <v>46180.0</v>
      </c>
      <c r="AF64" s="354">
        <v>46187.0</v>
      </c>
      <c r="AG64" s="354">
        <v>46194.0</v>
      </c>
      <c r="AH64" s="354">
        <v>46201.0</v>
      </c>
      <c r="AI64" s="354">
        <v>46208.0</v>
      </c>
      <c r="AJ64" s="354">
        <v>46215.0</v>
      </c>
      <c r="AK64" s="354">
        <v>46222.0</v>
      </c>
      <c r="AL64" s="354">
        <v>46229.0</v>
      </c>
      <c r="AM64" s="354">
        <v>46236.0</v>
      </c>
      <c r="AN64" s="354">
        <v>46243.0</v>
      </c>
      <c r="AO64" s="354">
        <v>46250.0</v>
      </c>
      <c r="AP64" s="354">
        <v>46257.0</v>
      </c>
      <c r="AQ64" s="354">
        <v>46264.0</v>
      </c>
      <c r="AR64" s="354">
        <v>46271.0</v>
      </c>
      <c r="AS64" s="354">
        <v>46278.0</v>
      </c>
      <c r="AT64" s="354">
        <v>46285.0</v>
      </c>
      <c r="AU64" s="354">
        <v>46292.0</v>
      </c>
      <c r="AV64" s="354">
        <v>46299.0</v>
      </c>
      <c r="AW64" s="354">
        <v>46306.0</v>
      </c>
      <c r="AX64" s="354">
        <v>46313.0</v>
      </c>
      <c r="AY64" s="354">
        <v>46320.0</v>
      </c>
      <c r="AZ64" s="354">
        <v>46327.0</v>
      </c>
      <c r="BA64" s="354">
        <v>46334.0</v>
      </c>
      <c r="BB64" s="354">
        <v>46341.0</v>
      </c>
      <c r="BC64" s="354">
        <v>46348.0</v>
      </c>
      <c r="BD64" s="354">
        <v>46355.0</v>
      </c>
      <c r="BE64" s="354">
        <v>46362.0</v>
      </c>
      <c r="BF64" s="354">
        <v>46369.0</v>
      </c>
      <c r="BG64" s="354">
        <v>46376.0</v>
      </c>
      <c r="BH64" s="354">
        <v>46383.0</v>
      </c>
      <c r="BI64" s="353"/>
      <c r="BL64" s="325">
        <v>45303.0</v>
      </c>
      <c r="BM64" s="326"/>
      <c r="BN64" s="327"/>
      <c r="BO64" s="328"/>
      <c r="BP64" s="208"/>
      <c r="BQ64" s="208"/>
    </row>
    <row r="65">
      <c r="A65" s="25"/>
      <c r="B65" s="26"/>
      <c r="C65" s="26"/>
      <c r="D65" s="208"/>
      <c r="E65" s="351"/>
      <c r="F65" s="352" t="s">
        <v>804</v>
      </c>
      <c r="G65" s="75"/>
      <c r="H65" s="354">
        <v>46020.0</v>
      </c>
      <c r="I65" s="354">
        <v>46027.0</v>
      </c>
      <c r="J65" s="354">
        <v>46034.0</v>
      </c>
      <c r="K65" s="354">
        <v>46041.0</v>
      </c>
      <c r="L65" s="354">
        <v>46048.0</v>
      </c>
      <c r="M65" s="354">
        <v>46055.0</v>
      </c>
      <c r="N65" s="354">
        <v>46062.0</v>
      </c>
      <c r="O65" s="354">
        <v>46069.0</v>
      </c>
      <c r="P65" s="354">
        <v>46076.0</v>
      </c>
      <c r="Q65" s="354">
        <v>46083.0</v>
      </c>
      <c r="R65" s="354">
        <v>46090.0</v>
      </c>
      <c r="S65" s="354">
        <v>46097.0</v>
      </c>
      <c r="T65" s="354">
        <v>46104.0</v>
      </c>
      <c r="U65" s="354">
        <v>46111.0</v>
      </c>
      <c r="V65" s="354">
        <v>46118.0</v>
      </c>
      <c r="W65" s="354">
        <v>46125.0</v>
      </c>
      <c r="X65" s="354">
        <v>46132.0</v>
      </c>
      <c r="Y65" s="354">
        <v>46139.0</v>
      </c>
      <c r="Z65" s="354">
        <v>46146.0</v>
      </c>
      <c r="AA65" s="354">
        <v>46153.0</v>
      </c>
      <c r="AB65" s="354">
        <v>46160.0</v>
      </c>
      <c r="AC65" s="354">
        <v>46167.0</v>
      </c>
      <c r="AD65" s="354">
        <v>46174.0</v>
      </c>
      <c r="AE65" s="354">
        <v>46181.0</v>
      </c>
      <c r="AF65" s="354">
        <v>46188.0</v>
      </c>
      <c r="AG65" s="354">
        <v>46195.0</v>
      </c>
      <c r="AH65" s="354">
        <v>46202.0</v>
      </c>
      <c r="AI65" s="354">
        <v>46209.0</v>
      </c>
      <c r="AJ65" s="354">
        <v>46216.0</v>
      </c>
      <c r="AK65" s="354">
        <v>46223.0</v>
      </c>
      <c r="AL65" s="354">
        <v>46230.0</v>
      </c>
      <c r="AM65" s="354">
        <v>46237.0</v>
      </c>
      <c r="AN65" s="354">
        <v>46244.0</v>
      </c>
      <c r="AO65" s="354">
        <v>46251.0</v>
      </c>
      <c r="AP65" s="354">
        <v>46258.0</v>
      </c>
      <c r="AQ65" s="354">
        <v>46265.0</v>
      </c>
      <c r="AR65" s="354">
        <v>46272.0</v>
      </c>
      <c r="AS65" s="354">
        <v>46279.0</v>
      </c>
      <c r="AT65" s="354">
        <v>46286.0</v>
      </c>
      <c r="AU65" s="354">
        <v>46293.0</v>
      </c>
      <c r="AV65" s="354">
        <v>46300.0</v>
      </c>
      <c r="AW65" s="354">
        <v>46307.0</v>
      </c>
      <c r="AX65" s="354">
        <v>46314.0</v>
      </c>
      <c r="AY65" s="354">
        <v>46321.0</v>
      </c>
      <c r="AZ65" s="354">
        <v>46328.0</v>
      </c>
      <c r="BA65" s="354">
        <v>46335.0</v>
      </c>
      <c r="BB65" s="354">
        <v>46342.0</v>
      </c>
      <c r="BC65" s="354">
        <v>46349.0</v>
      </c>
      <c r="BD65" s="354">
        <v>46356.0</v>
      </c>
      <c r="BE65" s="354">
        <v>46363.0</v>
      </c>
      <c r="BF65" s="354">
        <v>46370.0</v>
      </c>
      <c r="BG65" s="354">
        <v>46377.0</v>
      </c>
      <c r="BH65" s="354">
        <v>46384.0</v>
      </c>
      <c r="BI65" s="353"/>
      <c r="BL65" s="325">
        <v>45304.0</v>
      </c>
      <c r="BM65" s="326"/>
      <c r="BN65" s="327"/>
      <c r="BO65" s="328"/>
      <c r="BP65" s="208"/>
      <c r="BQ65" s="208"/>
    </row>
    <row r="66">
      <c r="A66" s="25"/>
      <c r="B66" s="26"/>
      <c r="C66" s="26"/>
      <c r="D66" s="208"/>
      <c r="E66" s="351"/>
      <c r="F66" s="75"/>
      <c r="G66" s="75"/>
      <c r="H66" s="354">
        <v>46021.0</v>
      </c>
      <c r="I66" s="354">
        <v>46028.0</v>
      </c>
      <c r="J66" s="354">
        <v>46035.0</v>
      </c>
      <c r="K66" s="354">
        <v>46042.0</v>
      </c>
      <c r="L66" s="354">
        <v>46049.0</v>
      </c>
      <c r="M66" s="354">
        <v>46056.0</v>
      </c>
      <c r="N66" s="354">
        <v>46063.0</v>
      </c>
      <c r="O66" s="354">
        <v>46070.0</v>
      </c>
      <c r="P66" s="354">
        <v>46077.0</v>
      </c>
      <c r="Q66" s="354">
        <v>46084.0</v>
      </c>
      <c r="R66" s="354">
        <v>46091.0</v>
      </c>
      <c r="S66" s="354">
        <v>46098.0</v>
      </c>
      <c r="T66" s="354">
        <v>46105.0</v>
      </c>
      <c r="U66" s="354">
        <v>46112.0</v>
      </c>
      <c r="V66" s="354">
        <v>46119.0</v>
      </c>
      <c r="W66" s="354">
        <v>46126.0</v>
      </c>
      <c r="X66" s="354">
        <v>46133.0</v>
      </c>
      <c r="Y66" s="354">
        <v>46140.0</v>
      </c>
      <c r="Z66" s="354">
        <v>46147.0</v>
      </c>
      <c r="AA66" s="354">
        <v>46154.0</v>
      </c>
      <c r="AB66" s="354">
        <v>46161.0</v>
      </c>
      <c r="AC66" s="354">
        <v>46168.0</v>
      </c>
      <c r="AD66" s="354">
        <v>46175.0</v>
      </c>
      <c r="AE66" s="354">
        <v>46182.0</v>
      </c>
      <c r="AF66" s="354">
        <v>46189.0</v>
      </c>
      <c r="AG66" s="354">
        <v>46196.0</v>
      </c>
      <c r="AH66" s="354">
        <v>46203.0</v>
      </c>
      <c r="AI66" s="354">
        <v>46210.0</v>
      </c>
      <c r="AJ66" s="354">
        <v>46217.0</v>
      </c>
      <c r="AK66" s="354">
        <v>46224.0</v>
      </c>
      <c r="AL66" s="354">
        <v>46231.0</v>
      </c>
      <c r="AM66" s="354">
        <v>46238.0</v>
      </c>
      <c r="AN66" s="354">
        <v>46245.0</v>
      </c>
      <c r="AO66" s="354">
        <v>46252.0</v>
      </c>
      <c r="AP66" s="354">
        <v>46259.0</v>
      </c>
      <c r="AQ66" s="354">
        <v>46266.0</v>
      </c>
      <c r="AR66" s="354">
        <v>46273.0</v>
      </c>
      <c r="AS66" s="354">
        <v>46280.0</v>
      </c>
      <c r="AT66" s="354">
        <v>46287.0</v>
      </c>
      <c r="AU66" s="354">
        <v>46294.0</v>
      </c>
      <c r="AV66" s="354">
        <v>46301.0</v>
      </c>
      <c r="AW66" s="354">
        <v>46308.0</v>
      </c>
      <c r="AX66" s="354">
        <v>46315.0</v>
      </c>
      <c r="AY66" s="354">
        <v>46322.0</v>
      </c>
      <c r="AZ66" s="354">
        <v>46329.0</v>
      </c>
      <c r="BA66" s="354">
        <v>46336.0</v>
      </c>
      <c r="BB66" s="354">
        <v>46343.0</v>
      </c>
      <c r="BC66" s="354">
        <v>46350.0</v>
      </c>
      <c r="BD66" s="354">
        <v>46357.0</v>
      </c>
      <c r="BE66" s="354">
        <v>46364.0</v>
      </c>
      <c r="BF66" s="354">
        <v>46371.0</v>
      </c>
      <c r="BG66" s="354">
        <v>46378.0</v>
      </c>
      <c r="BH66" s="354">
        <v>46385.0</v>
      </c>
      <c r="BI66" s="353"/>
      <c r="BL66" s="325">
        <v>45305.0</v>
      </c>
      <c r="BM66" s="326"/>
      <c r="BN66" s="327"/>
      <c r="BO66" s="328"/>
      <c r="BP66" s="208"/>
      <c r="BQ66" s="208"/>
    </row>
    <row r="67">
      <c r="A67" s="25"/>
      <c r="B67" s="26"/>
      <c r="C67" s="26"/>
      <c r="D67" s="208"/>
      <c r="E67" s="351"/>
      <c r="F67" s="352" t="s">
        <v>805</v>
      </c>
      <c r="G67" s="75"/>
      <c r="H67" s="354">
        <v>46022.0</v>
      </c>
      <c r="I67" s="354">
        <v>46029.0</v>
      </c>
      <c r="J67" s="354">
        <v>46036.0</v>
      </c>
      <c r="K67" s="354">
        <v>46043.0</v>
      </c>
      <c r="L67" s="354">
        <v>46050.0</v>
      </c>
      <c r="M67" s="354">
        <v>46057.0</v>
      </c>
      <c r="N67" s="354">
        <v>46064.0</v>
      </c>
      <c r="O67" s="354">
        <v>46071.0</v>
      </c>
      <c r="P67" s="354">
        <v>46078.0</v>
      </c>
      <c r="Q67" s="354">
        <v>46085.0</v>
      </c>
      <c r="R67" s="354">
        <v>46092.0</v>
      </c>
      <c r="S67" s="354">
        <v>46099.0</v>
      </c>
      <c r="T67" s="354">
        <v>46106.0</v>
      </c>
      <c r="U67" s="354">
        <v>46113.0</v>
      </c>
      <c r="V67" s="354">
        <v>46120.0</v>
      </c>
      <c r="W67" s="354">
        <v>46127.0</v>
      </c>
      <c r="X67" s="354">
        <v>46134.0</v>
      </c>
      <c r="Y67" s="354">
        <v>46141.0</v>
      </c>
      <c r="Z67" s="354">
        <v>46148.0</v>
      </c>
      <c r="AA67" s="354">
        <v>46155.0</v>
      </c>
      <c r="AB67" s="354">
        <v>46162.0</v>
      </c>
      <c r="AC67" s="354">
        <v>46169.0</v>
      </c>
      <c r="AD67" s="354">
        <v>46176.0</v>
      </c>
      <c r="AE67" s="354">
        <v>46183.0</v>
      </c>
      <c r="AF67" s="354">
        <v>46190.0</v>
      </c>
      <c r="AG67" s="354">
        <v>46197.0</v>
      </c>
      <c r="AH67" s="354">
        <v>46204.0</v>
      </c>
      <c r="AI67" s="354">
        <v>46211.0</v>
      </c>
      <c r="AJ67" s="354">
        <v>46218.0</v>
      </c>
      <c r="AK67" s="354">
        <v>46225.0</v>
      </c>
      <c r="AL67" s="354">
        <v>46232.0</v>
      </c>
      <c r="AM67" s="354">
        <v>46239.0</v>
      </c>
      <c r="AN67" s="354">
        <v>46246.0</v>
      </c>
      <c r="AO67" s="354">
        <v>46253.0</v>
      </c>
      <c r="AP67" s="354">
        <v>46260.0</v>
      </c>
      <c r="AQ67" s="354">
        <v>46267.0</v>
      </c>
      <c r="AR67" s="354">
        <v>46274.0</v>
      </c>
      <c r="AS67" s="354">
        <v>46281.0</v>
      </c>
      <c r="AT67" s="354">
        <v>46288.0</v>
      </c>
      <c r="AU67" s="354">
        <v>46295.0</v>
      </c>
      <c r="AV67" s="354">
        <v>46302.0</v>
      </c>
      <c r="AW67" s="354">
        <v>46309.0</v>
      </c>
      <c r="AX67" s="354">
        <v>46316.0</v>
      </c>
      <c r="AY67" s="354">
        <v>46323.0</v>
      </c>
      <c r="AZ67" s="354">
        <v>46330.0</v>
      </c>
      <c r="BA67" s="354">
        <v>46337.0</v>
      </c>
      <c r="BB67" s="354">
        <v>46344.0</v>
      </c>
      <c r="BC67" s="354">
        <v>46351.0</v>
      </c>
      <c r="BD67" s="354">
        <v>46358.0</v>
      </c>
      <c r="BE67" s="354">
        <v>46365.0</v>
      </c>
      <c r="BF67" s="354">
        <v>46372.0</v>
      </c>
      <c r="BG67" s="354">
        <v>46379.0</v>
      </c>
      <c r="BH67" s="354">
        <v>46386.0</v>
      </c>
      <c r="BI67" s="353"/>
      <c r="BL67" s="325">
        <v>45306.0</v>
      </c>
      <c r="BM67" s="326"/>
      <c r="BN67" s="327"/>
      <c r="BO67" s="328"/>
      <c r="BP67" s="208"/>
      <c r="BQ67" s="208"/>
    </row>
    <row r="68">
      <c r="A68" s="25"/>
      <c r="B68" s="26"/>
      <c r="C68" s="26"/>
      <c r="D68" s="208"/>
      <c r="E68" s="351"/>
      <c r="F68" s="75"/>
      <c r="G68" s="75"/>
      <c r="H68" s="354">
        <v>46023.0</v>
      </c>
      <c r="I68" s="354">
        <v>46030.0</v>
      </c>
      <c r="J68" s="354">
        <v>46037.0</v>
      </c>
      <c r="K68" s="354">
        <v>46044.0</v>
      </c>
      <c r="L68" s="354">
        <v>46051.0</v>
      </c>
      <c r="M68" s="354">
        <v>46058.0</v>
      </c>
      <c r="N68" s="354">
        <v>46065.0</v>
      </c>
      <c r="O68" s="354">
        <v>46072.0</v>
      </c>
      <c r="P68" s="354">
        <v>46079.0</v>
      </c>
      <c r="Q68" s="354">
        <v>46086.0</v>
      </c>
      <c r="R68" s="354">
        <v>46093.0</v>
      </c>
      <c r="S68" s="354">
        <v>46100.0</v>
      </c>
      <c r="T68" s="354">
        <v>46107.0</v>
      </c>
      <c r="U68" s="354">
        <v>46114.0</v>
      </c>
      <c r="V68" s="354">
        <v>46121.0</v>
      </c>
      <c r="W68" s="354">
        <v>46128.0</v>
      </c>
      <c r="X68" s="354">
        <v>46135.0</v>
      </c>
      <c r="Y68" s="354">
        <v>46142.0</v>
      </c>
      <c r="Z68" s="354">
        <v>46149.0</v>
      </c>
      <c r="AA68" s="354">
        <v>46156.0</v>
      </c>
      <c r="AB68" s="354">
        <v>46163.0</v>
      </c>
      <c r="AC68" s="354">
        <v>46170.0</v>
      </c>
      <c r="AD68" s="354">
        <v>46177.0</v>
      </c>
      <c r="AE68" s="354">
        <v>46184.0</v>
      </c>
      <c r="AF68" s="354">
        <v>46191.0</v>
      </c>
      <c r="AG68" s="354">
        <v>46198.0</v>
      </c>
      <c r="AH68" s="354">
        <v>46205.0</v>
      </c>
      <c r="AI68" s="354">
        <v>46212.0</v>
      </c>
      <c r="AJ68" s="354">
        <v>46219.0</v>
      </c>
      <c r="AK68" s="354">
        <v>46226.0</v>
      </c>
      <c r="AL68" s="354">
        <v>46233.0</v>
      </c>
      <c r="AM68" s="354">
        <v>46240.0</v>
      </c>
      <c r="AN68" s="354">
        <v>46247.0</v>
      </c>
      <c r="AO68" s="354">
        <v>46254.0</v>
      </c>
      <c r="AP68" s="354">
        <v>46261.0</v>
      </c>
      <c r="AQ68" s="354">
        <v>46268.0</v>
      </c>
      <c r="AR68" s="354">
        <v>46275.0</v>
      </c>
      <c r="AS68" s="354">
        <v>46282.0</v>
      </c>
      <c r="AT68" s="354">
        <v>46289.0</v>
      </c>
      <c r="AU68" s="354">
        <v>46296.0</v>
      </c>
      <c r="AV68" s="354">
        <v>46303.0</v>
      </c>
      <c r="AW68" s="354">
        <v>46310.0</v>
      </c>
      <c r="AX68" s="354">
        <v>46317.0</v>
      </c>
      <c r="AY68" s="354">
        <v>46324.0</v>
      </c>
      <c r="AZ68" s="354">
        <v>46331.0</v>
      </c>
      <c r="BA68" s="354">
        <v>46338.0</v>
      </c>
      <c r="BB68" s="354">
        <v>46345.0</v>
      </c>
      <c r="BC68" s="354">
        <v>46352.0</v>
      </c>
      <c r="BD68" s="354">
        <v>46359.0</v>
      </c>
      <c r="BE68" s="354">
        <v>46366.0</v>
      </c>
      <c r="BF68" s="354">
        <v>46373.0</v>
      </c>
      <c r="BG68" s="354">
        <v>46380.0</v>
      </c>
      <c r="BH68" s="354">
        <v>46387.0</v>
      </c>
      <c r="BI68" s="353"/>
      <c r="BL68" s="325">
        <v>45307.0</v>
      </c>
      <c r="BM68" s="333" t="s">
        <v>806</v>
      </c>
      <c r="BN68" s="120">
        <v>11.0</v>
      </c>
      <c r="BO68" s="334">
        <v>1.0</v>
      </c>
      <c r="BP68" s="208"/>
      <c r="BQ68" s="208"/>
    </row>
    <row r="69">
      <c r="A69" s="25"/>
      <c r="B69" s="26"/>
      <c r="C69" s="26"/>
      <c r="D69" s="208"/>
      <c r="E69" s="351"/>
      <c r="F69" s="352" t="s">
        <v>807</v>
      </c>
      <c r="G69" s="75"/>
      <c r="H69" s="354">
        <v>46024.0</v>
      </c>
      <c r="I69" s="354">
        <v>46031.0</v>
      </c>
      <c r="J69" s="354">
        <v>46038.0</v>
      </c>
      <c r="K69" s="354">
        <v>46045.0</v>
      </c>
      <c r="L69" s="354">
        <v>46052.0</v>
      </c>
      <c r="M69" s="354">
        <v>46059.0</v>
      </c>
      <c r="N69" s="354">
        <v>46066.0</v>
      </c>
      <c r="O69" s="354">
        <v>46073.0</v>
      </c>
      <c r="P69" s="354">
        <v>46080.0</v>
      </c>
      <c r="Q69" s="354">
        <v>46087.0</v>
      </c>
      <c r="R69" s="354">
        <v>46094.0</v>
      </c>
      <c r="S69" s="354">
        <v>46101.0</v>
      </c>
      <c r="T69" s="354">
        <v>46108.0</v>
      </c>
      <c r="U69" s="354">
        <v>46115.0</v>
      </c>
      <c r="V69" s="354">
        <v>46122.0</v>
      </c>
      <c r="W69" s="354">
        <v>46129.0</v>
      </c>
      <c r="X69" s="354">
        <v>46136.0</v>
      </c>
      <c r="Y69" s="354">
        <v>46143.0</v>
      </c>
      <c r="Z69" s="354">
        <v>46150.0</v>
      </c>
      <c r="AA69" s="354">
        <v>46157.0</v>
      </c>
      <c r="AB69" s="354">
        <v>46164.0</v>
      </c>
      <c r="AC69" s="354">
        <v>46171.0</v>
      </c>
      <c r="AD69" s="354">
        <v>46178.0</v>
      </c>
      <c r="AE69" s="354">
        <v>46185.0</v>
      </c>
      <c r="AF69" s="354">
        <v>46192.0</v>
      </c>
      <c r="AG69" s="354">
        <v>46199.0</v>
      </c>
      <c r="AH69" s="354">
        <v>46206.0</v>
      </c>
      <c r="AI69" s="354">
        <v>46213.0</v>
      </c>
      <c r="AJ69" s="354">
        <v>46220.0</v>
      </c>
      <c r="AK69" s="354">
        <v>46227.0</v>
      </c>
      <c r="AL69" s="354">
        <v>46234.0</v>
      </c>
      <c r="AM69" s="354">
        <v>46241.0</v>
      </c>
      <c r="AN69" s="354">
        <v>46248.0</v>
      </c>
      <c r="AO69" s="354">
        <v>46255.0</v>
      </c>
      <c r="AP69" s="354">
        <v>46262.0</v>
      </c>
      <c r="AQ69" s="354">
        <v>46269.0</v>
      </c>
      <c r="AR69" s="354">
        <v>46276.0</v>
      </c>
      <c r="AS69" s="354">
        <v>46283.0</v>
      </c>
      <c r="AT69" s="354">
        <v>46290.0</v>
      </c>
      <c r="AU69" s="354">
        <v>46297.0</v>
      </c>
      <c r="AV69" s="354">
        <v>46304.0</v>
      </c>
      <c r="AW69" s="354">
        <v>46311.0</v>
      </c>
      <c r="AX69" s="354">
        <v>46318.0</v>
      </c>
      <c r="AY69" s="354">
        <v>46325.0</v>
      </c>
      <c r="AZ69" s="354">
        <v>46332.0</v>
      </c>
      <c r="BA69" s="354">
        <v>46339.0</v>
      </c>
      <c r="BB69" s="354">
        <v>46346.0</v>
      </c>
      <c r="BC69" s="354">
        <v>46353.0</v>
      </c>
      <c r="BD69" s="354">
        <v>46360.0</v>
      </c>
      <c r="BE69" s="354">
        <v>46367.0</v>
      </c>
      <c r="BF69" s="354">
        <v>46374.0</v>
      </c>
      <c r="BG69" s="354">
        <v>46381.0</v>
      </c>
      <c r="BH69" s="354">
        <v>46388.0</v>
      </c>
      <c r="BI69" s="353"/>
      <c r="BL69" s="325">
        <v>45308.0</v>
      </c>
      <c r="BM69" s="326"/>
      <c r="BN69" s="327"/>
      <c r="BO69" s="328"/>
      <c r="BP69" s="208"/>
      <c r="BQ69" s="208"/>
    </row>
    <row r="70">
      <c r="A70" s="25"/>
      <c r="B70" s="26"/>
      <c r="C70" s="26"/>
      <c r="D70" s="208"/>
      <c r="E70" s="351"/>
      <c r="F70" s="75"/>
      <c r="G70" s="75"/>
      <c r="H70" s="354">
        <v>46025.0</v>
      </c>
      <c r="I70" s="354">
        <v>46032.0</v>
      </c>
      <c r="J70" s="354">
        <v>46039.0</v>
      </c>
      <c r="K70" s="354">
        <v>46046.0</v>
      </c>
      <c r="L70" s="354">
        <v>46053.0</v>
      </c>
      <c r="M70" s="354">
        <v>46060.0</v>
      </c>
      <c r="N70" s="354">
        <v>46067.0</v>
      </c>
      <c r="O70" s="354">
        <v>46074.0</v>
      </c>
      <c r="P70" s="354">
        <v>46081.0</v>
      </c>
      <c r="Q70" s="354">
        <v>46088.0</v>
      </c>
      <c r="R70" s="354">
        <v>46095.0</v>
      </c>
      <c r="S70" s="354">
        <v>46102.0</v>
      </c>
      <c r="T70" s="354">
        <v>46109.0</v>
      </c>
      <c r="U70" s="354">
        <v>46116.0</v>
      </c>
      <c r="V70" s="354">
        <v>46123.0</v>
      </c>
      <c r="W70" s="354">
        <v>46130.0</v>
      </c>
      <c r="X70" s="354">
        <v>46137.0</v>
      </c>
      <c r="Y70" s="354">
        <v>46144.0</v>
      </c>
      <c r="Z70" s="354">
        <v>46151.0</v>
      </c>
      <c r="AA70" s="354">
        <v>46158.0</v>
      </c>
      <c r="AB70" s="354">
        <v>46165.0</v>
      </c>
      <c r="AC70" s="354">
        <v>46172.0</v>
      </c>
      <c r="AD70" s="354">
        <v>46179.0</v>
      </c>
      <c r="AE70" s="354">
        <v>46186.0</v>
      </c>
      <c r="AF70" s="354">
        <v>46193.0</v>
      </c>
      <c r="AG70" s="354">
        <v>46200.0</v>
      </c>
      <c r="AH70" s="354">
        <v>46207.0</v>
      </c>
      <c r="AI70" s="354">
        <v>46214.0</v>
      </c>
      <c r="AJ70" s="354">
        <v>46221.0</v>
      </c>
      <c r="AK70" s="354">
        <v>46228.0</v>
      </c>
      <c r="AL70" s="354">
        <v>46235.0</v>
      </c>
      <c r="AM70" s="354">
        <v>46242.0</v>
      </c>
      <c r="AN70" s="354">
        <v>46249.0</v>
      </c>
      <c r="AO70" s="354">
        <v>46256.0</v>
      </c>
      <c r="AP70" s="354">
        <v>46263.0</v>
      </c>
      <c r="AQ70" s="354">
        <v>46270.0</v>
      </c>
      <c r="AR70" s="354">
        <v>46277.0</v>
      </c>
      <c r="AS70" s="354">
        <v>46284.0</v>
      </c>
      <c r="AT70" s="354">
        <v>46291.0</v>
      </c>
      <c r="AU70" s="354">
        <v>46298.0</v>
      </c>
      <c r="AV70" s="354">
        <v>46305.0</v>
      </c>
      <c r="AW70" s="354">
        <v>46312.0</v>
      </c>
      <c r="AX70" s="354">
        <v>46319.0</v>
      </c>
      <c r="AY70" s="354">
        <v>46326.0</v>
      </c>
      <c r="AZ70" s="354">
        <v>46333.0</v>
      </c>
      <c r="BA70" s="354">
        <v>46340.0</v>
      </c>
      <c r="BB70" s="354">
        <v>46347.0</v>
      </c>
      <c r="BC70" s="354">
        <v>46354.0</v>
      </c>
      <c r="BD70" s="354">
        <v>46361.0</v>
      </c>
      <c r="BE70" s="354">
        <v>46368.0</v>
      </c>
      <c r="BF70" s="354">
        <v>46375.0</v>
      </c>
      <c r="BG70" s="354">
        <v>46382.0</v>
      </c>
      <c r="BH70" s="354">
        <v>46389.0</v>
      </c>
      <c r="BI70" s="353"/>
      <c r="BL70" s="325">
        <v>45309.0</v>
      </c>
      <c r="BM70" s="326"/>
      <c r="BN70" s="327"/>
      <c r="BO70" s="328"/>
      <c r="BP70" s="208"/>
      <c r="BQ70" s="208"/>
    </row>
    <row r="71">
      <c r="A71" s="25"/>
      <c r="B71" s="26"/>
      <c r="C71" s="26"/>
      <c r="D71" s="208"/>
      <c r="E71" s="355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7"/>
      <c r="BL71" s="325">
        <v>45310.0</v>
      </c>
      <c r="BM71" s="333" t="s">
        <v>808</v>
      </c>
      <c r="BN71" s="120">
        <v>83.0</v>
      </c>
      <c r="BO71" s="334">
        <v>3.0</v>
      </c>
      <c r="BP71" s="208"/>
      <c r="BQ71" s="208"/>
    </row>
    <row r="72">
      <c r="A72" s="25"/>
      <c r="B72" s="26"/>
      <c r="C72" s="26"/>
      <c r="D72" s="208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L72" s="325">
        <v>45311.0</v>
      </c>
      <c r="BM72" s="326"/>
      <c r="BN72" s="327"/>
      <c r="BO72" s="328"/>
      <c r="BP72" s="208"/>
      <c r="BQ72" s="208"/>
    </row>
    <row r="73">
      <c r="A73" s="25"/>
      <c r="B73" s="26"/>
      <c r="C73" s="26"/>
      <c r="D73" s="208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L73" s="325">
        <v>45312.0</v>
      </c>
      <c r="BM73" s="333" t="s">
        <v>801</v>
      </c>
      <c r="BN73" s="120">
        <v>30.0</v>
      </c>
      <c r="BO73" s="334">
        <v>1.0</v>
      </c>
      <c r="BP73" s="208"/>
      <c r="BQ73" s="208"/>
    </row>
    <row r="74">
      <c r="A74" s="25"/>
      <c r="B74" s="26"/>
      <c r="C74" s="26"/>
      <c r="D74" s="208"/>
      <c r="E74" s="358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359"/>
      <c r="AB74" s="359"/>
      <c r="AC74" s="359"/>
      <c r="AD74" s="359"/>
      <c r="AE74" s="359"/>
      <c r="AF74" s="359"/>
      <c r="AG74" s="359"/>
      <c r="AH74" s="359"/>
      <c r="AI74" s="359"/>
      <c r="AJ74" s="359"/>
      <c r="AK74" s="359"/>
      <c r="AL74" s="359"/>
      <c r="AM74" s="359"/>
      <c r="AN74" s="359"/>
      <c r="AO74" s="359"/>
      <c r="AP74" s="359"/>
      <c r="AQ74" s="359"/>
      <c r="AR74" s="359"/>
      <c r="AS74" s="359"/>
      <c r="AT74" s="359"/>
      <c r="AU74" s="359"/>
      <c r="AV74" s="359"/>
      <c r="AW74" s="359"/>
      <c r="AX74" s="359"/>
      <c r="AY74" s="359"/>
      <c r="AZ74" s="359"/>
      <c r="BA74" s="359"/>
      <c r="BB74" s="359"/>
      <c r="BC74" s="359"/>
      <c r="BD74" s="359"/>
      <c r="BE74" s="359"/>
      <c r="BF74" s="359"/>
      <c r="BG74" s="359"/>
      <c r="BH74" s="359"/>
      <c r="BI74" s="360"/>
      <c r="BL74" s="325">
        <v>45313.0</v>
      </c>
      <c r="BM74" s="326"/>
      <c r="BN74" s="327"/>
      <c r="BO74" s="328"/>
      <c r="BP74" s="208"/>
      <c r="BQ74" s="75"/>
    </row>
    <row r="75">
      <c r="A75" s="25"/>
      <c r="B75" s="26"/>
      <c r="C75" s="26"/>
      <c r="D75" s="208"/>
      <c r="E75" s="361"/>
      <c r="F75" s="362"/>
      <c r="G75" s="362"/>
      <c r="H75" s="363" t="str">
        <f>IFERROR(__xludf.DUMMYFUNCTION("LET(x,TEXT(MAX(H77:H83),""Mmm""),IF(ISNUMBER(SEARCH(x,JOIN(,$G75:G75))),,x))"),"Jan")</f>
        <v>Jan</v>
      </c>
      <c r="I75" s="363" t="str">
        <f>IFERROR(__xludf.DUMMYFUNCTION("LET(x,TEXT(MAX(I77:I83),""Mmm""),IF(ISNUMBER(SEARCH(x,JOIN(,$G75:H75))),,x))"),"")</f>
        <v/>
      </c>
      <c r="J75" s="363" t="str">
        <f>IFERROR(__xludf.DUMMYFUNCTION("LET(x,TEXT(MAX(J77:J83),""Mmm""),IF(ISNUMBER(SEARCH(x,JOIN(,$G75:I75))),,x))"),"")</f>
        <v/>
      </c>
      <c r="K75" s="363" t="str">
        <f>IFERROR(__xludf.DUMMYFUNCTION("LET(x,TEXT(MAX(K77:K83),""Mmm""),IF(ISNUMBER(SEARCH(x,JOIN(,$G75:J75))),,x))"),"")</f>
        <v/>
      </c>
      <c r="L75" s="363" t="str">
        <f>IFERROR(__xludf.DUMMYFUNCTION("LET(x,TEXT(MAX(L77:L83),""Mmm""),IF(ISNUMBER(SEARCH(x,JOIN(,$G75:K75))),,x))"),"")</f>
        <v/>
      </c>
      <c r="M75" s="363" t="str">
        <f>IFERROR(__xludf.DUMMYFUNCTION("LET(x,TEXT(MAX(M77:M83),""Mmm""),IF(ISNUMBER(SEARCH(x,JOIN(,$G75:L75))),,x))"),"Feb")</f>
        <v>Feb</v>
      </c>
      <c r="N75" s="363" t="str">
        <f>IFERROR(__xludf.DUMMYFUNCTION("LET(x,TEXT(MAX(N77:N83),""Mmm""),IF(ISNUMBER(SEARCH(x,JOIN(,$G75:M75))),,x))"),"")</f>
        <v/>
      </c>
      <c r="O75" s="363" t="str">
        <f>IFERROR(__xludf.DUMMYFUNCTION("LET(x,TEXT(MAX(O77:O83),""Mmm""),IF(ISNUMBER(SEARCH(x,JOIN(,$G75:N75))),,x))"),"")</f>
        <v/>
      </c>
      <c r="P75" s="363" t="str">
        <f>IFERROR(__xludf.DUMMYFUNCTION("LET(x,TEXT(MAX(P77:P83),""Mmm""),IF(ISNUMBER(SEARCH(x,JOIN(,$G75:O75))),,x))"),"")</f>
        <v/>
      </c>
      <c r="Q75" s="363" t="str">
        <f>IFERROR(__xludf.DUMMYFUNCTION("LET(x,TEXT(MAX(Q77:Q83),""Mmm""),IF(ISNUMBER(SEARCH(x,JOIN(,$G75:P75))),,x))"),"Mar")</f>
        <v>Mar</v>
      </c>
      <c r="R75" s="363" t="str">
        <f>IFERROR(__xludf.DUMMYFUNCTION("LET(x,TEXT(MAX(R77:R83),""Mmm""),IF(ISNUMBER(SEARCH(x,JOIN(,$G75:Q75))),,x))"),"")</f>
        <v/>
      </c>
      <c r="S75" s="363" t="str">
        <f>IFERROR(__xludf.DUMMYFUNCTION("LET(x,TEXT(MAX(S77:S83),""Mmm""),IF(ISNUMBER(SEARCH(x,JOIN(,$G75:R75))),,x))"),"")</f>
        <v/>
      </c>
      <c r="T75" s="363" t="str">
        <f>IFERROR(__xludf.DUMMYFUNCTION("LET(x,TEXT(MAX(T77:T83),""Mmm""),IF(ISNUMBER(SEARCH(x,JOIN(,$G75:S75))),,x))"),"")</f>
        <v/>
      </c>
      <c r="U75" s="363" t="str">
        <f>IFERROR(__xludf.DUMMYFUNCTION("LET(x,TEXT(MAX(U77:U83),""Mmm""),IF(ISNUMBER(SEARCH(x,JOIN(,$G75:T75))),,x))"),"Apr")</f>
        <v>Apr</v>
      </c>
      <c r="V75" s="363" t="str">
        <f>IFERROR(__xludf.DUMMYFUNCTION("LET(x,TEXT(MAX(V77:V83),""Mmm""),IF(ISNUMBER(SEARCH(x,JOIN(,$G75:U75))),,x))"),"")</f>
        <v/>
      </c>
      <c r="W75" s="363" t="str">
        <f>IFERROR(__xludf.DUMMYFUNCTION("LET(x,TEXT(MAX(W77:W83),""Mmm""),IF(ISNUMBER(SEARCH(x,JOIN(,$G75:V75))),,x))"),"")</f>
        <v/>
      </c>
      <c r="X75" s="363" t="str">
        <f>IFERROR(__xludf.DUMMYFUNCTION("LET(x,TEXT(MAX(X77:X83),""Mmm""),IF(ISNUMBER(SEARCH(x,JOIN(,$G75:W75))),,x))"),"")</f>
        <v/>
      </c>
      <c r="Y75" s="363" t="str">
        <f>IFERROR(__xludf.DUMMYFUNCTION("LET(x,TEXT(MAX(Y77:Y83),""Mmm""),IF(ISNUMBER(SEARCH(x,JOIN(,$G75:X75))),,x))"),"May")</f>
        <v>May</v>
      </c>
      <c r="Z75" s="363" t="str">
        <f>IFERROR(__xludf.DUMMYFUNCTION("LET(x,TEXT(MAX(Z77:Z83),""Mmm""),IF(ISNUMBER(SEARCH(x,JOIN(,$G75:Y75))),,x))"),"")</f>
        <v/>
      </c>
      <c r="AA75" s="363" t="str">
        <f>IFERROR(__xludf.DUMMYFUNCTION("LET(x,TEXT(MAX(AA77:AA83),""Mmm""),IF(ISNUMBER(SEARCH(x,JOIN(,$G75:Z75))),,x))"),"")</f>
        <v/>
      </c>
      <c r="AB75" s="363" t="str">
        <f>IFERROR(__xludf.DUMMYFUNCTION("LET(x,TEXT(MAX(AB77:AB83),""Mmm""),IF(ISNUMBER(SEARCH(x,JOIN(,$G75:AA75))),,x))"),"")</f>
        <v/>
      </c>
      <c r="AC75" s="363" t="str">
        <f>IFERROR(__xludf.DUMMYFUNCTION("LET(x,TEXT(MAX(AC77:AC83),""Mmm""),IF(ISNUMBER(SEARCH(x,JOIN(,$G75:AB75))),,x))"),"")</f>
        <v/>
      </c>
      <c r="AD75" s="363" t="str">
        <f>IFERROR(__xludf.DUMMYFUNCTION("LET(x,TEXT(MAX(AD77:AD83),""Mmm""),IF(ISNUMBER(SEARCH(x,JOIN(,$G75:AC75))),,x))"),"Jun")</f>
        <v>Jun</v>
      </c>
      <c r="AE75" s="363" t="str">
        <f>IFERROR(__xludf.DUMMYFUNCTION("LET(x,TEXT(MAX(AE77:AE83),""Mmm""),IF(ISNUMBER(SEARCH(x,JOIN(,$G75:AD75))),,x))"),"")</f>
        <v/>
      </c>
      <c r="AF75" s="363" t="str">
        <f>IFERROR(__xludf.DUMMYFUNCTION("LET(x,TEXT(MAX(AF77:AF83),""Mmm""),IF(ISNUMBER(SEARCH(x,JOIN(,$G75:AE75))),,x))"),"")</f>
        <v/>
      </c>
      <c r="AG75" s="363" t="str">
        <f>IFERROR(__xludf.DUMMYFUNCTION("LET(x,TEXT(MAX(AG77:AG83),""Mmm""),IF(ISNUMBER(SEARCH(x,JOIN(,$G75:AF75))),,x))"),"")</f>
        <v/>
      </c>
      <c r="AH75" s="363" t="str">
        <f>IFERROR(__xludf.DUMMYFUNCTION("LET(x,TEXT(MAX(AH77:AH83),""Mmm""),IF(ISNUMBER(SEARCH(x,JOIN(,$G75:AG75))),,x))"),"Jul")</f>
        <v>Jul</v>
      </c>
      <c r="AI75" s="363" t="str">
        <f>IFERROR(__xludf.DUMMYFUNCTION("LET(x,TEXT(MAX(AI77:AI83),""Mmm""),IF(ISNUMBER(SEARCH(x,JOIN(,$G75:AH75))),,x))"),"")</f>
        <v/>
      </c>
      <c r="AJ75" s="363" t="str">
        <f>IFERROR(__xludf.DUMMYFUNCTION("LET(x,TEXT(MAX(AJ77:AJ83),""Mmm""),IF(ISNUMBER(SEARCH(x,JOIN(,$G75:AI75))),,x))"),"")</f>
        <v/>
      </c>
      <c r="AK75" s="363" t="str">
        <f>IFERROR(__xludf.DUMMYFUNCTION("LET(x,TEXT(MAX(AK77:AK83),""Mmm""),IF(ISNUMBER(SEARCH(x,JOIN(,$G75:AJ75))),,x))"),"")</f>
        <v/>
      </c>
      <c r="AL75" s="363" t="str">
        <f>IFERROR(__xludf.DUMMYFUNCTION("LET(x,TEXT(MAX(AL77:AL83),""Mmm""),IF(ISNUMBER(SEARCH(x,JOIN(,$G75:AK75))),,x))"),"Aug")</f>
        <v>Aug</v>
      </c>
      <c r="AM75" s="363" t="str">
        <f>IFERROR(__xludf.DUMMYFUNCTION("LET(x,TEXT(MAX(AM77:AM83),""Mmm""),IF(ISNUMBER(SEARCH(x,JOIN(,$G75:AL75))),,x))"),"")</f>
        <v/>
      </c>
      <c r="AN75" s="363" t="str">
        <f>IFERROR(__xludf.DUMMYFUNCTION("LET(x,TEXT(MAX(AN77:AN83),""Mmm""),IF(ISNUMBER(SEARCH(x,JOIN(,$G75:AM75))),,x))"),"")</f>
        <v/>
      </c>
      <c r="AO75" s="363" t="str">
        <f>IFERROR(__xludf.DUMMYFUNCTION("LET(x,TEXT(MAX(AO77:AO83),""Mmm""),IF(ISNUMBER(SEARCH(x,JOIN(,$G75:AN75))),,x))"),"")</f>
        <v/>
      </c>
      <c r="AP75" s="363" t="str">
        <f>IFERROR(__xludf.DUMMYFUNCTION("LET(x,TEXT(MAX(AP77:AP83),""Mmm""),IF(ISNUMBER(SEARCH(x,JOIN(,$G75:AO75))),,x))"),"")</f>
        <v/>
      </c>
      <c r="AQ75" s="363" t="str">
        <f>IFERROR(__xludf.DUMMYFUNCTION("LET(x,TEXT(MAX(AQ77:AQ83),""Mmm""),IF(ISNUMBER(SEARCH(x,JOIN(,$G75:AP75))),,x))"),"Sep")</f>
        <v>Sep</v>
      </c>
      <c r="AR75" s="363" t="str">
        <f>IFERROR(__xludf.DUMMYFUNCTION("LET(x,TEXT(MAX(AR77:AR83),""Mmm""),IF(ISNUMBER(SEARCH(x,JOIN(,$G75:AQ75))),,x))"),"")</f>
        <v/>
      </c>
      <c r="AS75" s="363" t="str">
        <f>IFERROR(__xludf.DUMMYFUNCTION("LET(x,TEXT(MAX(AS77:AS83),""Mmm""),IF(ISNUMBER(SEARCH(x,JOIN(,$G75:AR75))),,x))"),"")</f>
        <v/>
      </c>
      <c r="AT75" s="363" t="str">
        <f>IFERROR(__xludf.DUMMYFUNCTION("LET(x,TEXT(MAX(AT77:AT83),""Mmm""),IF(ISNUMBER(SEARCH(x,JOIN(,$G75:AS75))),,x))"),"")</f>
        <v/>
      </c>
      <c r="AU75" s="363" t="str">
        <f>IFERROR(__xludf.DUMMYFUNCTION("LET(x,TEXT(MAX(AU77:AU83),""Mmm""),IF(ISNUMBER(SEARCH(x,JOIN(,$G75:AT75))),,x))"),"Oct")</f>
        <v>Oct</v>
      </c>
      <c r="AV75" s="363" t="str">
        <f>IFERROR(__xludf.DUMMYFUNCTION("LET(x,TEXT(MAX(AV77:AV83),""Mmm""),IF(ISNUMBER(SEARCH(x,JOIN(,$G75:AU75))),,x))"),"")</f>
        <v/>
      </c>
      <c r="AW75" s="363" t="str">
        <f>IFERROR(__xludf.DUMMYFUNCTION("LET(x,TEXT(MAX(AW77:AW83),""Mmm""),IF(ISNUMBER(SEARCH(x,JOIN(,$G75:AV75))),,x))"),"")</f>
        <v/>
      </c>
      <c r="AX75" s="363" t="str">
        <f>IFERROR(__xludf.DUMMYFUNCTION("LET(x,TEXT(MAX(AX77:AX83),""Mmm""),IF(ISNUMBER(SEARCH(x,JOIN(,$G75:AW75))),,x))"),"")</f>
        <v/>
      </c>
      <c r="AY75" s="363" t="str">
        <f>IFERROR(__xludf.DUMMYFUNCTION("LET(x,TEXT(MAX(AY77:AY83),""Mmm""),IF(ISNUMBER(SEARCH(x,JOIN(,$G75:AX75))),,x))"),"")</f>
        <v/>
      </c>
      <c r="AZ75" s="363" t="str">
        <f>IFERROR(__xludf.DUMMYFUNCTION("LET(x,TEXT(MAX(AZ77:AZ83),""Mmm""),IF(ISNUMBER(SEARCH(x,JOIN(,$G75:AY75))),,x))"),"Nov")</f>
        <v>Nov</v>
      </c>
      <c r="BA75" s="363" t="str">
        <f>IFERROR(__xludf.DUMMYFUNCTION("LET(x,TEXT(MAX(BA77:BA83),""Mmm""),IF(ISNUMBER(SEARCH(x,JOIN(,$G75:AZ75))),,x))"),"")</f>
        <v/>
      </c>
      <c r="BB75" s="363" t="str">
        <f>IFERROR(__xludf.DUMMYFUNCTION("LET(x,TEXT(MAX(BB77:BB83),""Mmm""),IF(ISNUMBER(SEARCH(x,JOIN(,$G75:BA75))),,x))"),"")</f>
        <v/>
      </c>
      <c r="BC75" s="363" t="str">
        <f>IFERROR(__xludf.DUMMYFUNCTION("LET(x,TEXT(MAX(BC77:BC83),""Mmm""),IF(ISNUMBER(SEARCH(x,JOIN(,$G75:BB75))),,x))"),"")</f>
        <v/>
      </c>
      <c r="BD75" s="363" t="str">
        <f>IFERROR(__xludf.DUMMYFUNCTION("LET(x,TEXT(MAX(BD77:BD83),""Mmm""),IF(ISNUMBER(SEARCH(x,JOIN(,$G75:BC75))),,x))"),"Dec")</f>
        <v>Dec</v>
      </c>
      <c r="BE75" s="363" t="str">
        <f>IFERROR(__xludf.DUMMYFUNCTION("LET(x,TEXT(MAX(BE77:BE83),""Mmm""),IF(ISNUMBER(SEARCH(x,JOIN(,$G75:BD75))),,x))"),"")</f>
        <v/>
      </c>
      <c r="BF75" s="363" t="str">
        <f>IFERROR(__xludf.DUMMYFUNCTION("LET(x,TEXT(MAX(BF77:BF83),""Mmm""),IF(ISNUMBER(SEARCH(x,JOIN(,$G75:BE75))),,x))"),"")</f>
        <v/>
      </c>
      <c r="BG75" s="363" t="str">
        <f>IFERROR(__xludf.DUMMYFUNCTION("LET(x,TEXT(MAX(BG77:BG83),""Mmm""),IF(ISNUMBER(SEARCH(x,JOIN(,$G75:BF75))),,x))"),"")</f>
        <v/>
      </c>
      <c r="BH75" s="363" t="str">
        <f>IFERROR(__xludf.DUMMYFUNCTION("LET(x,TEXT(MAX(BH77:BH83),""Mmm""),IF(ISNUMBER(SEARCH(x,JOIN(,$G75:BG75))),,x))"),"")</f>
        <v/>
      </c>
      <c r="BI75" s="364"/>
      <c r="BL75" s="325">
        <v>45314.0</v>
      </c>
      <c r="BM75" s="326"/>
      <c r="BN75" s="327"/>
      <c r="BO75" s="328"/>
      <c r="BP75" s="208"/>
      <c r="BQ75" s="75"/>
    </row>
    <row r="76">
      <c r="A76" s="25"/>
      <c r="B76" s="26"/>
      <c r="C76" s="26"/>
      <c r="D76" s="208"/>
      <c r="E76" s="361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  <c r="AC76" s="362"/>
      <c r="AD76" s="362"/>
      <c r="AE76" s="362"/>
      <c r="AF76" s="362"/>
      <c r="AG76" s="362"/>
      <c r="AH76" s="362"/>
      <c r="AI76" s="362"/>
      <c r="AJ76" s="362"/>
      <c r="AK76" s="362"/>
      <c r="AL76" s="362"/>
      <c r="AM76" s="362"/>
      <c r="AN76" s="362"/>
      <c r="AO76" s="362"/>
      <c r="AP76" s="362"/>
      <c r="AQ76" s="362"/>
      <c r="AR76" s="362"/>
      <c r="AS76" s="362"/>
      <c r="AT76" s="362"/>
      <c r="AU76" s="362"/>
      <c r="AV76" s="362"/>
      <c r="AW76" s="362"/>
      <c r="AX76" s="362"/>
      <c r="AY76" s="362"/>
      <c r="AZ76" s="362"/>
      <c r="BA76" s="362"/>
      <c r="BB76" s="362"/>
      <c r="BC76" s="362"/>
      <c r="BD76" s="362"/>
      <c r="BE76" s="362"/>
      <c r="BF76" s="362"/>
      <c r="BG76" s="362"/>
      <c r="BH76" s="362"/>
      <c r="BI76" s="364"/>
      <c r="BL76" s="325">
        <v>45315.0</v>
      </c>
      <c r="BM76" s="333" t="s">
        <v>809</v>
      </c>
      <c r="BN76" s="120">
        <v>31.0</v>
      </c>
      <c r="BO76" s="334">
        <v>1.0</v>
      </c>
      <c r="BP76" s="208"/>
      <c r="BQ76" s="75"/>
    </row>
    <row r="77">
      <c r="A77" s="26"/>
      <c r="B77" s="26"/>
      <c r="C77" s="26"/>
      <c r="D77" s="208"/>
      <c r="E77" s="361"/>
      <c r="F77" s="362"/>
      <c r="G77" s="362"/>
      <c r="H77" s="365">
        <f t="array" ref="H77:BH83">LET(a,YEAR(TODAY()),x,DATE(a,1,1),y,x-MOD(WEEKDAY(x)-1,7),TRANSPOSE(SEQUENCE(53,7,y)))</f>
        <v>46019</v>
      </c>
      <c r="I77" s="365">
        <v>46026.0</v>
      </c>
      <c r="J77" s="365">
        <v>46033.0</v>
      </c>
      <c r="K77" s="365">
        <v>46040.0</v>
      </c>
      <c r="L77" s="365">
        <v>46047.0</v>
      </c>
      <c r="M77" s="365">
        <v>46054.0</v>
      </c>
      <c r="N77" s="365">
        <v>46061.0</v>
      </c>
      <c r="O77" s="365">
        <v>46068.0</v>
      </c>
      <c r="P77" s="365">
        <v>46075.0</v>
      </c>
      <c r="Q77" s="365">
        <v>46082.0</v>
      </c>
      <c r="R77" s="365">
        <v>46089.0</v>
      </c>
      <c r="S77" s="365">
        <v>46096.0</v>
      </c>
      <c r="T77" s="365">
        <v>46103.0</v>
      </c>
      <c r="U77" s="365">
        <v>46110.0</v>
      </c>
      <c r="V77" s="365">
        <v>46117.0</v>
      </c>
      <c r="W77" s="365">
        <v>46124.0</v>
      </c>
      <c r="X77" s="365">
        <v>46131.0</v>
      </c>
      <c r="Y77" s="365">
        <v>46138.0</v>
      </c>
      <c r="Z77" s="365">
        <v>46145.0</v>
      </c>
      <c r="AA77" s="365">
        <v>46152.0</v>
      </c>
      <c r="AB77" s="365">
        <v>46159.0</v>
      </c>
      <c r="AC77" s="365">
        <v>46166.0</v>
      </c>
      <c r="AD77" s="365">
        <v>46173.0</v>
      </c>
      <c r="AE77" s="365">
        <v>46180.0</v>
      </c>
      <c r="AF77" s="365">
        <v>46187.0</v>
      </c>
      <c r="AG77" s="365">
        <v>46194.0</v>
      </c>
      <c r="AH77" s="365">
        <v>46201.0</v>
      </c>
      <c r="AI77" s="365">
        <v>46208.0</v>
      </c>
      <c r="AJ77" s="365">
        <v>46215.0</v>
      </c>
      <c r="AK77" s="365">
        <v>46222.0</v>
      </c>
      <c r="AL77" s="365">
        <v>46229.0</v>
      </c>
      <c r="AM77" s="365">
        <v>46236.0</v>
      </c>
      <c r="AN77" s="365">
        <v>46243.0</v>
      </c>
      <c r="AO77" s="365">
        <v>46250.0</v>
      </c>
      <c r="AP77" s="365">
        <v>46257.0</v>
      </c>
      <c r="AQ77" s="365">
        <v>46264.0</v>
      </c>
      <c r="AR77" s="365">
        <v>46271.0</v>
      </c>
      <c r="AS77" s="365">
        <v>46278.0</v>
      </c>
      <c r="AT77" s="365">
        <v>46285.0</v>
      </c>
      <c r="AU77" s="365">
        <v>46292.0</v>
      </c>
      <c r="AV77" s="365">
        <v>46299.0</v>
      </c>
      <c r="AW77" s="365">
        <v>46306.0</v>
      </c>
      <c r="AX77" s="365">
        <v>46313.0</v>
      </c>
      <c r="AY77" s="365">
        <v>46320.0</v>
      </c>
      <c r="AZ77" s="365">
        <v>46327.0</v>
      </c>
      <c r="BA77" s="365">
        <v>46334.0</v>
      </c>
      <c r="BB77" s="365">
        <v>46341.0</v>
      </c>
      <c r="BC77" s="365">
        <v>46348.0</v>
      </c>
      <c r="BD77" s="365">
        <v>46355.0</v>
      </c>
      <c r="BE77" s="365">
        <v>46362.0</v>
      </c>
      <c r="BF77" s="365">
        <v>46369.0</v>
      </c>
      <c r="BG77" s="365">
        <v>46376.0</v>
      </c>
      <c r="BH77" s="365">
        <v>46383.0</v>
      </c>
      <c r="BI77" s="364"/>
      <c r="BL77" s="325">
        <v>45316.0</v>
      </c>
      <c r="BM77" s="333" t="s">
        <v>810</v>
      </c>
      <c r="BN77" s="120">
        <v>617.0</v>
      </c>
      <c r="BO77" s="334">
        <v>4.0</v>
      </c>
      <c r="BP77" s="208"/>
      <c r="BQ77" s="75"/>
    </row>
    <row r="78">
      <c r="A78" s="25"/>
      <c r="B78" s="26"/>
      <c r="C78" s="26"/>
      <c r="D78" s="208"/>
      <c r="E78" s="361"/>
      <c r="F78" s="363" t="s">
        <v>804</v>
      </c>
      <c r="G78" s="362"/>
      <c r="H78" s="365">
        <v>46020.0</v>
      </c>
      <c r="I78" s="365">
        <v>46027.0</v>
      </c>
      <c r="J78" s="365">
        <v>46034.0</v>
      </c>
      <c r="K78" s="365">
        <v>46041.0</v>
      </c>
      <c r="L78" s="365">
        <v>46048.0</v>
      </c>
      <c r="M78" s="365">
        <v>46055.0</v>
      </c>
      <c r="N78" s="365">
        <v>46062.0</v>
      </c>
      <c r="O78" s="365">
        <v>46069.0</v>
      </c>
      <c r="P78" s="365">
        <v>46076.0</v>
      </c>
      <c r="Q78" s="365">
        <v>46083.0</v>
      </c>
      <c r="R78" s="365">
        <v>46090.0</v>
      </c>
      <c r="S78" s="365">
        <v>46097.0</v>
      </c>
      <c r="T78" s="365">
        <v>46104.0</v>
      </c>
      <c r="U78" s="365">
        <v>46111.0</v>
      </c>
      <c r="V78" s="365">
        <v>46118.0</v>
      </c>
      <c r="W78" s="365">
        <v>46125.0</v>
      </c>
      <c r="X78" s="365">
        <v>46132.0</v>
      </c>
      <c r="Y78" s="365">
        <v>46139.0</v>
      </c>
      <c r="Z78" s="365">
        <v>46146.0</v>
      </c>
      <c r="AA78" s="365">
        <v>46153.0</v>
      </c>
      <c r="AB78" s="365">
        <v>46160.0</v>
      </c>
      <c r="AC78" s="365">
        <v>46167.0</v>
      </c>
      <c r="AD78" s="365">
        <v>46174.0</v>
      </c>
      <c r="AE78" s="365">
        <v>46181.0</v>
      </c>
      <c r="AF78" s="365">
        <v>46188.0</v>
      </c>
      <c r="AG78" s="365">
        <v>46195.0</v>
      </c>
      <c r="AH78" s="365">
        <v>46202.0</v>
      </c>
      <c r="AI78" s="365">
        <v>46209.0</v>
      </c>
      <c r="AJ78" s="365">
        <v>46216.0</v>
      </c>
      <c r="AK78" s="365">
        <v>46223.0</v>
      </c>
      <c r="AL78" s="365">
        <v>46230.0</v>
      </c>
      <c r="AM78" s="365">
        <v>46237.0</v>
      </c>
      <c r="AN78" s="365">
        <v>46244.0</v>
      </c>
      <c r="AO78" s="365">
        <v>46251.0</v>
      </c>
      <c r="AP78" s="365">
        <v>46258.0</v>
      </c>
      <c r="AQ78" s="365">
        <v>46265.0</v>
      </c>
      <c r="AR78" s="365">
        <v>46272.0</v>
      </c>
      <c r="AS78" s="365">
        <v>46279.0</v>
      </c>
      <c r="AT78" s="365">
        <v>46286.0</v>
      </c>
      <c r="AU78" s="365">
        <v>46293.0</v>
      </c>
      <c r="AV78" s="365">
        <v>46300.0</v>
      </c>
      <c r="AW78" s="365">
        <v>46307.0</v>
      </c>
      <c r="AX78" s="365">
        <v>46314.0</v>
      </c>
      <c r="AY78" s="365">
        <v>46321.0</v>
      </c>
      <c r="AZ78" s="365">
        <v>46328.0</v>
      </c>
      <c r="BA78" s="365">
        <v>46335.0</v>
      </c>
      <c r="BB78" s="365">
        <v>46342.0</v>
      </c>
      <c r="BC78" s="365">
        <v>46349.0</v>
      </c>
      <c r="BD78" s="365">
        <v>46356.0</v>
      </c>
      <c r="BE78" s="365">
        <v>46363.0</v>
      </c>
      <c r="BF78" s="365">
        <v>46370.0</v>
      </c>
      <c r="BG78" s="365">
        <v>46377.0</v>
      </c>
      <c r="BH78" s="365">
        <v>46384.0</v>
      </c>
      <c r="BI78" s="364"/>
      <c r="BL78" s="325">
        <v>45317.0</v>
      </c>
      <c r="BM78" s="333" t="s">
        <v>801</v>
      </c>
      <c r="BN78" s="120">
        <v>40.0</v>
      </c>
      <c r="BO78" s="334">
        <v>2.0</v>
      </c>
      <c r="BP78" s="208"/>
      <c r="BQ78" s="75"/>
    </row>
    <row r="79">
      <c r="A79" s="25"/>
      <c r="B79" s="26"/>
      <c r="C79" s="26"/>
      <c r="D79" s="208"/>
      <c r="E79" s="361"/>
      <c r="F79" s="362"/>
      <c r="G79" s="362"/>
      <c r="H79" s="365">
        <v>46021.0</v>
      </c>
      <c r="I79" s="365">
        <v>46028.0</v>
      </c>
      <c r="J79" s="365">
        <v>46035.0</v>
      </c>
      <c r="K79" s="365">
        <v>46042.0</v>
      </c>
      <c r="L79" s="365">
        <v>46049.0</v>
      </c>
      <c r="M79" s="365">
        <v>46056.0</v>
      </c>
      <c r="N79" s="365">
        <v>46063.0</v>
      </c>
      <c r="O79" s="365">
        <v>46070.0</v>
      </c>
      <c r="P79" s="365">
        <v>46077.0</v>
      </c>
      <c r="Q79" s="365">
        <v>46084.0</v>
      </c>
      <c r="R79" s="365">
        <v>46091.0</v>
      </c>
      <c r="S79" s="365">
        <v>46098.0</v>
      </c>
      <c r="T79" s="365">
        <v>46105.0</v>
      </c>
      <c r="U79" s="365">
        <v>46112.0</v>
      </c>
      <c r="V79" s="365">
        <v>46119.0</v>
      </c>
      <c r="W79" s="365">
        <v>46126.0</v>
      </c>
      <c r="X79" s="365">
        <v>46133.0</v>
      </c>
      <c r="Y79" s="365">
        <v>46140.0</v>
      </c>
      <c r="Z79" s="365">
        <v>46147.0</v>
      </c>
      <c r="AA79" s="365">
        <v>46154.0</v>
      </c>
      <c r="AB79" s="365">
        <v>46161.0</v>
      </c>
      <c r="AC79" s="365">
        <v>46168.0</v>
      </c>
      <c r="AD79" s="365">
        <v>46175.0</v>
      </c>
      <c r="AE79" s="365">
        <v>46182.0</v>
      </c>
      <c r="AF79" s="365">
        <v>46189.0</v>
      </c>
      <c r="AG79" s="365">
        <v>46196.0</v>
      </c>
      <c r="AH79" s="365">
        <v>46203.0</v>
      </c>
      <c r="AI79" s="365">
        <v>46210.0</v>
      </c>
      <c r="AJ79" s="365">
        <v>46217.0</v>
      </c>
      <c r="AK79" s="365">
        <v>46224.0</v>
      </c>
      <c r="AL79" s="365">
        <v>46231.0</v>
      </c>
      <c r="AM79" s="365">
        <v>46238.0</v>
      </c>
      <c r="AN79" s="365">
        <v>46245.0</v>
      </c>
      <c r="AO79" s="365">
        <v>46252.0</v>
      </c>
      <c r="AP79" s="365">
        <v>46259.0</v>
      </c>
      <c r="AQ79" s="365">
        <v>46266.0</v>
      </c>
      <c r="AR79" s="365">
        <v>46273.0</v>
      </c>
      <c r="AS79" s="365">
        <v>46280.0</v>
      </c>
      <c r="AT79" s="365">
        <v>46287.0</v>
      </c>
      <c r="AU79" s="365">
        <v>46294.0</v>
      </c>
      <c r="AV79" s="365">
        <v>46301.0</v>
      </c>
      <c r="AW79" s="365">
        <v>46308.0</v>
      </c>
      <c r="AX79" s="365">
        <v>46315.0</v>
      </c>
      <c r="AY79" s="365">
        <v>46322.0</v>
      </c>
      <c r="AZ79" s="365">
        <v>46329.0</v>
      </c>
      <c r="BA79" s="365">
        <v>46336.0</v>
      </c>
      <c r="BB79" s="365">
        <v>46343.0</v>
      </c>
      <c r="BC79" s="365">
        <v>46350.0</v>
      </c>
      <c r="BD79" s="365">
        <v>46357.0</v>
      </c>
      <c r="BE79" s="365">
        <v>46364.0</v>
      </c>
      <c r="BF79" s="365">
        <v>46371.0</v>
      </c>
      <c r="BG79" s="365">
        <v>46378.0</v>
      </c>
      <c r="BH79" s="365">
        <v>46385.0</v>
      </c>
      <c r="BI79" s="364"/>
      <c r="BL79" s="325">
        <v>45318.0</v>
      </c>
      <c r="BM79" s="333" t="s">
        <v>811</v>
      </c>
      <c r="BN79" s="120">
        <v>40.0</v>
      </c>
      <c r="BO79" s="334">
        <v>2.0</v>
      </c>
      <c r="BP79" s="208"/>
      <c r="BQ79" s="75"/>
    </row>
    <row r="80">
      <c r="A80" s="25"/>
      <c r="B80" s="26"/>
      <c r="C80" s="26"/>
      <c r="D80" s="208"/>
      <c r="E80" s="361"/>
      <c r="F80" s="363" t="s">
        <v>805</v>
      </c>
      <c r="G80" s="362"/>
      <c r="H80" s="365">
        <v>46022.0</v>
      </c>
      <c r="I80" s="365">
        <v>46029.0</v>
      </c>
      <c r="J80" s="365">
        <v>46036.0</v>
      </c>
      <c r="K80" s="365">
        <v>46043.0</v>
      </c>
      <c r="L80" s="365">
        <v>46050.0</v>
      </c>
      <c r="M80" s="365">
        <v>46057.0</v>
      </c>
      <c r="N80" s="365">
        <v>46064.0</v>
      </c>
      <c r="O80" s="365">
        <v>46071.0</v>
      </c>
      <c r="P80" s="365">
        <v>46078.0</v>
      </c>
      <c r="Q80" s="365">
        <v>46085.0</v>
      </c>
      <c r="R80" s="365">
        <v>46092.0</v>
      </c>
      <c r="S80" s="365">
        <v>46099.0</v>
      </c>
      <c r="T80" s="365">
        <v>46106.0</v>
      </c>
      <c r="U80" s="365">
        <v>46113.0</v>
      </c>
      <c r="V80" s="365">
        <v>46120.0</v>
      </c>
      <c r="W80" s="365">
        <v>46127.0</v>
      </c>
      <c r="X80" s="365">
        <v>46134.0</v>
      </c>
      <c r="Y80" s="365">
        <v>46141.0</v>
      </c>
      <c r="Z80" s="365">
        <v>46148.0</v>
      </c>
      <c r="AA80" s="365">
        <v>46155.0</v>
      </c>
      <c r="AB80" s="365">
        <v>46162.0</v>
      </c>
      <c r="AC80" s="365">
        <v>46169.0</v>
      </c>
      <c r="AD80" s="365">
        <v>46176.0</v>
      </c>
      <c r="AE80" s="365">
        <v>46183.0</v>
      </c>
      <c r="AF80" s="365">
        <v>46190.0</v>
      </c>
      <c r="AG80" s="365">
        <v>46197.0</v>
      </c>
      <c r="AH80" s="365">
        <v>46204.0</v>
      </c>
      <c r="AI80" s="365">
        <v>46211.0</v>
      </c>
      <c r="AJ80" s="365">
        <v>46218.0</v>
      </c>
      <c r="AK80" s="365">
        <v>46225.0</v>
      </c>
      <c r="AL80" s="365">
        <v>46232.0</v>
      </c>
      <c r="AM80" s="365">
        <v>46239.0</v>
      </c>
      <c r="AN80" s="365">
        <v>46246.0</v>
      </c>
      <c r="AO80" s="365">
        <v>46253.0</v>
      </c>
      <c r="AP80" s="365">
        <v>46260.0</v>
      </c>
      <c r="AQ80" s="365">
        <v>46267.0</v>
      </c>
      <c r="AR80" s="365">
        <v>46274.0</v>
      </c>
      <c r="AS80" s="365">
        <v>46281.0</v>
      </c>
      <c r="AT80" s="365">
        <v>46288.0</v>
      </c>
      <c r="AU80" s="365">
        <v>46295.0</v>
      </c>
      <c r="AV80" s="365">
        <v>46302.0</v>
      </c>
      <c r="AW80" s="365">
        <v>46309.0</v>
      </c>
      <c r="AX80" s="365">
        <v>46316.0</v>
      </c>
      <c r="AY80" s="365">
        <v>46323.0</v>
      </c>
      <c r="AZ80" s="365">
        <v>46330.0</v>
      </c>
      <c r="BA80" s="365">
        <v>46337.0</v>
      </c>
      <c r="BB80" s="365">
        <v>46344.0</v>
      </c>
      <c r="BC80" s="365">
        <v>46351.0</v>
      </c>
      <c r="BD80" s="365">
        <v>46358.0</v>
      </c>
      <c r="BE80" s="365">
        <v>46365.0</v>
      </c>
      <c r="BF80" s="365">
        <v>46372.0</v>
      </c>
      <c r="BG80" s="365">
        <v>46379.0</v>
      </c>
      <c r="BH80" s="365">
        <v>46386.0</v>
      </c>
      <c r="BI80" s="364"/>
      <c r="BL80" s="325">
        <v>45319.0</v>
      </c>
      <c r="BM80" s="333" t="s">
        <v>812</v>
      </c>
      <c r="BN80" s="120">
        <v>25.0</v>
      </c>
      <c r="BO80" s="334">
        <v>1.0</v>
      </c>
      <c r="BP80" s="208"/>
      <c r="BQ80" s="75"/>
    </row>
    <row r="81">
      <c r="A81" s="25"/>
      <c r="B81" s="26"/>
      <c r="C81" s="26"/>
      <c r="D81" s="208"/>
      <c r="E81" s="361"/>
      <c r="F81" s="362"/>
      <c r="G81" s="362"/>
      <c r="H81" s="365">
        <v>46023.0</v>
      </c>
      <c r="I81" s="365">
        <v>46030.0</v>
      </c>
      <c r="J81" s="365">
        <v>46037.0</v>
      </c>
      <c r="K81" s="365">
        <v>46044.0</v>
      </c>
      <c r="L81" s="365">
        <v>46051.0</v>
      </c>
      <c r="M81" s="365">
        <v>46058.0</v>
      </c>
      <c r="N81" s="365">
        <v>46065.0</v>
      </c>
      <c r="O81" s="365">
        <v>46072.0</v>
      </c>
      <c r="P81" s="365">
        <v>46079.0</v>
      </c>
      <c r="Q81" s="365">
        <v>46086.0</v>
      </c>
      <c r="R81" s="365">
        <v>46093.0</v>
      </c>
      <c r="S81" s="365">
        <v>46100.0</v>
      </c>
      <c r="T81" s="365">
        <v>46107.0</v>
      </c>
      <c r="U81" s="365">
        <v>46114.0</v>
      </c>
      <c r="V81" s="365">
        <v>46121.0</v>
      </c>
      <c r="W81" s="365">
        <v>46128.0</v>
      </c>
      <c r="X81" s="365">
        <v>46135.0</v>
      </c>
      <c r="Y81" s="365">
        <v>46142.0</v>
      </c>
      <c r="Z81" s="365">
        <v>46149.0</v>
      </c>
      <c r="AA81" s="365">
        <v>46156.0</v>
      </c>
      <c r="AB81" s="365">
        <v>46163.0</v>
      </c>
      <c r="AC81" s="365">
        <v>46170.0</v>
      </c>
      <c r="AD81" s="365">
        <v>46177.0</v>
      </c>
      <c r="AE81" s="365">
        <v>46184.0</v>
      </c>
      <c r="AF81" s="365">
        <v>46191.0</v>
      </c>
      <c r="AG81" s="365">
        <v>46198.0</v>
      </c>
      <c r="AH81" s="365">
        <v>46205.0</v>
      </c>
      <c r="AI81" s="365">
        <v>46212.0</v>
      </c>
      <c r="AJ81" s="365">
        <v>46219.0</v>
      </c>
      <c r="AK81" s="365">
        <v>46226.0</v>
      </c>
      <c r="AL81" s="365">
        <v>46233.0</v>
      </c>
      <c r="AM81" s="365">
        <v>46240.0</v>
      </c>
      <c r="AN81" s="365">
        <v>46247.0</v>
      </c>
      <c r="AO81" s="365">
        <v>46254.0</v>
      </c>
      <c r="AP81" s="365">
        <v>46261.0</v>
      </c>
      <c r="AQ81" s="365">
        <v>46268.0</v>
      </c>
      <c r="AR81" s="365">
        <v>46275.0</v>
      </c>
      <c r="AS81" s="365">
        <v>46282.0</v>
      </c>
      <c r="AT81" s="365">
        <v>46289.0</v>
      </c>
      <c r="AU81" s="365">
        <v>46296.0</v>
      </c>
      <c r="AV81" s="365">
        <v>46303.0</v>
      </c>
      <c r="AW81" s="365">
        <v>46310.0</v>
      </c>
      <c r="AX81" s="365">
        <v>46317.0</v>
      </c>
      <c r="AY81" s="365">
        <v>46324.0</v>
      </c>
      <c r="AZ81" s="365">
        <v>46331.0</v>
      </c>
      <c r="BA81" s="365">
        <v>46338.0</v>
      </c>
      <c r="BB81" s="365">
        <v>46345.0</v>
      </c>
      <c r="BC81" s="365">
        <v>46352.0</v>
      </c>
      <c r="BD81" s="365">
        <v>46359.0</v>
      </c>
      <c r="BE81" s="365">
        <v>46366.0</v>
      </c>
      <c r="BF81" s="365">
        <v>46373.0</v>
      </c>
      <c r="BG81" s="365">
        <v>46380.0</v>
      </c>
      <c r="BH81" s="365">
        <v>46387.0</v>
      </c>
      <c r="BI81" s="364"/>
      <c r="BL81" s="325">
        <v>45320.0</v>
      </c>
      <c r="BM81" s="326"/>
      <c r="BN81" s="327"/>
      <c r="BO81" s="328"/>
      <c r="BP81" s="208"/>
      <c r="BQ81" s="75"/>
    </row>
    <row r="82">
      <c r="A82" s="25"/>
      <c r="B82" s="26"/>
      <c r="C82" s="26"/>
      <c r="D82" s="208"/>
      <c r="E82" s="361"/>
      <c r="F82" s="363" t="s">
        <v>807</v>
      </c>
      <c r="G82" s="362"/>
      <c r="H82" s="365">
        <v>46024.0</v>
      </c>
      <c r="I82" s="365">
        <v>46031.0</v>
      </c>
      <c r="J82" s="365">
        <v>46038.0</v>
      </c>
      <c r="K82" s="365">
        <v>46045.0</v>
      </c>
      <c r="L82" s="365">
        <v>46052.0</v>
      </c>
      <c r="M82" s="365">
        <v>46059.0</v>
      </c>
      <c r="N82" s="365">
        <v>46066.0</v>
      </c>
      <c r="O82" s="365">
        <v>46073.0</v>
      </c>
      <c r="P82" s="365">
        <v>46080.0</v>
      </c>
      <c r="Q82" s="365">
        <v>46087.0</v>
      </c>
      <c r="R82" s="365">
        <v>46094.0</v>
      </c>
      <c r="S82" s="365">
        <v>46101.0</v>
      </c>
      <c r="T82" s="365">
        <v>46108.0</v>
      </c>
      <c r="U82" s="365">
        <v>46115.0</v>
      </c>
      <c r="V82" s="365">
        <v>46122.0</v>
      </c>
      <c r="W82" s="365">
        <v>46129.0</v>
      </c>
      <c r="X82" s="365">
        <v>46136.0</v>
      </c>
      <c r="Y82" s="365">
        <v>46143.0</v>
      </c>
      <c r="Z82" s="365">
        <v>46150.0</v>
      </c>
      <c r="AA82" s="365">
        <v>46157.0</v>
      </c>
      <c r="AB82" s="365">
        <v>46164.0</v>
      </c>
      <c r="AC82" s="365">
        <v>46171.0</v>
      </c>
      <c r="AD82" s="365">
        <v>46178.0</v>
      </c>
      <c r="AE82" s="365">
        <v>46185.0</v>
      </c>
      <c r="AF82" s="365">
        <v>46192.0</v>
      </c>
      <c r="AG82" s="365">
        <v>46199.0</v>
      </c>
      <c r="AH82" s="365">
        <v>46206.0</v>
      </c>
      <c r="AI82" s="365">
        <v>46213.0</v>
      </c>
      <c r="AJ82" s="365">
        <v>46220.0</v>
      </c>
      <c r="AK82" s="365">
        <v>46227.0</v>
      </c>
      <c r="AL82" s="365">
        <v>46234.0</v>
      </c>
      <c r="AM82" s="365">
        <v>46241.0</v>
      </c>
      <c r="AN82" s="365">
        <v>46248.0</v>
      </c>
      <c r="AO82" s="365">
        <v>46255.0</v>
      </c>
      <c r="AP82" s="365">
        <v>46262.0</v>
      </c>
      <c r="AQ82" s="365">
        <v>46269.0</v>
      </c>
      <c r="AR82" s="365">
        <v>46276.0</v>
      </c>
      <c r="AS82" s="365">
        <v>46283.0</v>
      </c>
      <c r="AT82" s="365">
        <v>46290.0</v>
      </c>
      <c r="AU82" s="365">
        <v>46297.0</v>
      </c>
      <c r="AV82" s="365">
        <v>46304.0</v>
      </c>
      <c r="AW82" s="365">
        <v>46311.0</v>
      </c>
      <c r="AX82" s="365">
        <v>46318.0</v>
      </c>
      <c r="AY82" s="365">
        <v>46325.0</v>
      </c>
      <c r="AZ82" s="365">
        <v>46332.0</v>
      </c>
      <c r="BA82" s="365">
        <v>46339.0</v>
      </c>
      <c r="BB82" s="365">
        <v>46346.0</v>
      </c>
      <c r="BC82" s="365">
        <v>46353.0</v>
      </c>
      <c r="BD82" s="365">
        <v>46360.0</v>
      </c>
      <c r="BE82" s="365">
        <v>46367.0</v>
      </c>
      <c r="BF82" s="365">
        <v>46374.0</v>
      </c>
      <c r="BG82" s="365">
        <v>46381.0</v>
      </c>
      <c r="BH82" s="365">
        <v>46388.0</v>
      </c>
      <c r="BI82" s="364"/>
      <c r="BL82" s="325">
        <v>45321.0</v>
      </c>
      <c r="BM82" s="326"/>
      <c r="BN82" s="327"/>
      <c r="BO82" s="328"/>
      <c r="BP82" s="208"/>
      <c r="BQ82" s="75"/>
    </row>
    <row r="83">
      <c r="A83" s="25"/>
      <c r="B83" s="26"/>
      <c r="C83" s="26"/>
      <c r="D83" s="208"/>
      <c r="E83" s="361"/>
      <c r="F83" s="362"/>
      <c r="G83" s="362"/>
      <c r="H83" s="365">
        <v>46025.0</v>
      </c>
      <c r="I83" s="365">
        <v>46032.0</v>
      </c>
      <c r="J83" s="365">
        <v>46039.0</v>
      </c>
      <c r="K83" s="365">
        <v>46046.0</v>
      </c>
      <c r="L83" s="365">
        <v>46053.0</v>
      </c>
      <c r="M83" s="365">
        <v>46060.0</v>
      </c>
      <c r="N83" s="365">
        <v>46067.0</v>
      </c>
      <c r="O83" s="365">
        <v>46074.0</v>
      </c>
      <c r="P83" s="365">
        <v>46081.0</v>
      </c>
      <c r="Q83" s="365">
        <v>46088.0</v>
      </c>
      <c r="R83" s="365">
        <v>46095.0</v>
      </c>
      <c r="S83" s="365">
        <v>46102.0</v>
      </c>
      <c r="T83" s="365">
        <v>46109.0</v>
      </c>
      <c r="U83" s="365">
        <v>46116.0</v>
      </c>
      <c r="V83" s="365">
        <v>46123.0</v>
      </c>
      <c r="W83" s="365">
        <v>46130.0</v>
      </c>
      <c r="X83" s="365">
        <v>46137.0</v>
      </c>
      <c r="Y83" s="365">
        <v>46144.0</v>
      </c>
      <c r="Z83" s="365">
        <v>46151.0</v>
      </c>
      <c r="AA83" s="365">
        <v>46158.0</v>
      </c>
      <c r="AB83" s="365">
        <v>46165.0</v>
      </c>
      <c r="AC83" s="365">
        <v>46172.0</v>
      </c>
      <c r="AD83" s="365">
        <v>46179.0</v>
      </c>
      <c r="AE83" s="365">
        <v>46186.0</v>
      </c>
      <c r="AF83" s="365">
        <v>46193.0</v>
      </c>
      <c r="AG83" s="365">
        <v>46200.0</v>
      </c>
      <c r="AH83" s="365">
        <v>46207.0</v>
      </c>
      <c r="AI83" s="365">
        <v>46214.0</v>
      </c>
      <c r="AJ83" s="365">
        <v>46221.0</v>
      </c>
      <c r="AK83" s="365">
        <v>46228.0</v>
      </c>
      <c r="AL83" s="365">
        <v>46235.0</v>
      </c>
      <c r="AM83" s="365">
        <v>46242.0</v>
      </c>
      <c r="AN83" s="365">
        <v>46249.0</v>
      </c>
      <c r="AO83" s="365">
        <v>46256.0</v>
      </c>
      <c r="AP83" s="365">
        <v>46263.0</v>
      </c>
      <c r="AQ83" s="365">
        <v>46270.0</v>
      </c>
      <c r="AR83" s="365">
        <v>46277.0</v>
      </c>
      <c r="AS83" s="365">
        <v>46284.0</v>
      </c>
      <c r="AT83" s="365">
        <v>46291.0</v>
      </c>
      <c r="AU83" s="365">
        <v>46298.0</v>
      </c>
      <c r="AV83" s="365">
        <v>46305.0</v>
      </c>
      <c r="AW83" s="365">
        <v>46312.0</v>
      </c>
      <c r="AX83" s="365">
        <v>46319.0</v>
      </c>
      <c r="AY83" s="365">
        <v>46326.0</v>
      </c>
      <c r="AZ83" s="365">
        <v>46333.0</v>
      </c>
      <c r="BA83" s="365">
        <v>46340.0</v>
      </c>
      <c r="BB83" s="365">
        <v>46347.0</v>
      </c>
      <c r="BC83" s="365">
        <v>46354.0</v>
      </c>
      <c r="BD83" s="365">
        <v>46361.0</v>
      </c>
      <c r="BE83" s="365">
        <v>46368.0</v>
      </c>
      <c r="BF83" s="365">
        <v>46375.0</v>
      </c>
      <c r="BG83" s="365">
        <v>46382.0</v>
      </c>
      <c r="BH83" s="365">
        <v>46389.0</v>
      </c>
      <c r="BI83" s="364"/>
      <c r="BL83" s="325">
        <v>45322.0</v>
      </c>
      <c r="BM83" s="326"/>
      <c r="BN83" s="327"/>
      <c r="BO83" s="328"/>
      <c r="BP83" s="208"/>
      <c r="BQ83" s="75"/>
    </row>
    <row r="84">
      <c r="A84" s="302" t="s">
        <v>740</v>
      </c>
      <c r="B84" s="26"/>
      <c r="C84" s="26"/>
      <c r="D84" s="208"/>
      <c r="E84" s="366"/>
      <c r="F84" s="367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  <c r="AA84" s="367"/>
      <c r="AB84" s="367"/>
      <c r="AC84" s="367"/>
      <c r="AD84" s="367"/>
      <c r="AE84" s="367"/>
      <c r="AF84" s="367"/>
      <c r="AG84" s="367"/>
      <c r="AH84" s="367"/>
      <c r="AI84" s="367"/>
      <c r="AJ84" s="367"/>
      <c r="AK84" s="367"/>
      <c r="AL84" s="367"/>
      <c r="AM84" s="367"/>
      <c r="AN84" s="367"/>
      <c r="AO84" s="367"/>
      <c r="AP84" s="367"/>
      <c r="AQ84" s="367"/>
      <c r="AR84" s="367"/>
      <c r="AS84" s="367"/>
      <c r="AT84" s="367"/>
      <c r="AU84" s="367"/>
      <c r="AV84" s="367"/>
      <c r="AW84" s="367"/>
      <c r="AX84" s="367"/>
      <c r="AY84" s="367"/>
      <c r="AZ84" s="367"/>
      <c r="BA84" s="367"/>
      <c r="BB84" s="367"/>
      <c r="BC84" s="367"/>
      <c r="BD84" s="367"/>
      <c r="BE84" s="367"/>
      <c r="BF84" s="367"/>
      <c r="BG84" s="367"/>
      <c r="BH84" s="367"/>
      <c r="BI84" s="368"/>
      <c r="BL84" s="325">
        <v>45323.0</v>
      </c>
      <c r="BM84" s="333" t="s">
        <v>813</v>
      </c>
      <c r="BN84" s="120">
        <v>71.0</v>
      </c>
      <c r="BO84" s="334">
        <v>3.0</v>
      </c>
      <c r="BP84" s="208"/>
      <c r="BQ84" s="75"/>
    </row>
    <row r="85" hidden="1">
      <c r="A85" s="25"/>
      <c r="B85" s="26"/>
      <c r="C85" s="26"/>
      <c r="D85" s="208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L85" s="369">
        <v>45324.0</v>
      </c>
      <c r="BM85" s="370" t="s">
        <v>814</v>
      </c>
      <c r="BN85" s="371">
        <v>60.0</v>
      </c>
      <c r="BO85" s="372">
        <v>2.0</v>
      </c>
      <c r="BP85" s="208"/>
      <c r="BQ85" s="75"/>
    </row>
    <row r="86" hidden="1">
      <c r="A86" s="25"/>
      <c r="B86" s="26"/>
      <c r="C86" s="26"/>
      <c r="D86" s="208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L86" s="369">
        <v>45325.0</v>
      </c>
      <c r="BM86" s="370" t="s">
        <v>815</v>
      </c>
      <c r="BN86" s="371">
        <v>71.0</v>
      </c>
      <c r="BO86" s="372">
        <v>3.0</v>
      </c>
      <c r="BP86" s="208"/>
      <c r="BQ86" s="75"/>
    </row>
    <row r="87" hidden="1">
      <c r="A87" s="25"/>
      <c r="B87" s="26"/>
      <c r="C87" s="26"/>
      <c r="D87" s="208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L87" s="369">
        <v>45326.0</v>
      </c>
      <c r="BM87" s="370" t="s">
        <v>816</v>
      </c>
      <c r="BN87" s="371">
        <v>54.0</v>
      </c>
      <c r="BO87" s="372">
        <v>2.0</v>
      </c>
      <c r="BP87" s="208"/>
      <c r="BQ87" s="75"/>
    </row>
    <row r="88" hidden="1">
      <c r="A88" s="25"/>
      <c r="B88" s="26"/>
      <c r="C88" s="26"/>
      <c r="D88" s="208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L88" s="369">
        <v>45327.0</v>
      </c>
      <c r="BM88" s="373"/>
      <c r="BN88" s="374"/>
      <c r="BO88" s="375"/>
      <c r="BP88" s="208"/>
      <c r="BQ88" s="75"/>
    </row>
    <row r="89" hidden="1">
      <c r="A89" s="25"/>
      <c r="B89" s="26"/>
      <c r="C89" s="26"/>
      <c r="D89" s="208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L89" s="369">
        <v>45328.0</v>
      </c>
      <c r="BM89" s="370" t="s">
        <v>817</v>
      </c>
      <c r="BN89" s="371">
        <v>62.0</v>
      </c>
      <c r="BO89" s="372">
        <v>2.0</v>
      </c>
      <c r="BP89" s="208"/>
      <c r="BQ89" s="75"/>
    </row>
    <row r="90" hidden="1">
      <c r="A90" s="25"/>
      <c r="B90" s="26"/>
      <c r="C90" s="26"/>
      <c r="D90" s="208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L90" s="369">
        <v>45329.0</v>
      </c>
      <c r="BM90" s="373"/>
      <c r="BN90" s="374"/>
      <c r="BO90" s="375"/>
      <c r="BP90" s="208"/>
      <c r="BQ90" s="75"/>
    </row>
    <row r="91" hidden="1">
      <c r="A91" s="25"/>
      <c r="B91" s="26"/>
      <c r="C91" s="26"/>
      <c r="D91" s="208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L91" s="369">
        <v>45330.0</v>
      </c>
      <c r="BM91" s="370" t="s">
        <v>818</v>
      </c>
      <c r="BN91" s="371">
        <v>13.0</v>
      </c>
      <c r="BO91" s="372">
        <v>1.0</v>
      </c>
      <c r="BP91" s="208"/>
      <c r="BQ91" s="75"/>
    </row>
    <row r="92" hidden="1">
      <c r="A92" s="25"/>
      <c r="B92" s="26"/>
      <c r="C92" s="26"/>
      <c r="D92" s="208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L92" s="369">
        <v>45331.0</v>
      </c>
      <c r="BM92" s="373"/>
      <c r="BN92" s="374"/>
      <c r="BO92" s="375"/>
      <c r="BP92" s="208"/>
      <c r="BQ92" s="75"/>
    </row>
    <row r="93" hidden="1">
      <c r="A93" s="25"/>
      <c r="B93" s="26"/>
      <c r="C93" s="26"/>
      <c r="D93" s="208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L93" s="369">
        <v>45332.0</v>
      </c>
      <c r="BM93" s="370" t="s">
        <v>819</v>
      </c>
      <c r="BN93" s="371">
        <v>41.0</v>
      </c>
      <c r="BO93" s="372">
        <v>2.0</v>
      </c>
      <c r="BP93" s="208"/>
      <c r="BQ93" s="75"/>
    </row>
    <row r="94" hidden="1">
      <c r="A94" s="25"/>
      <c r="B94" s="26"/>
      <c r="C94" s="26"/>
      <c r="D94" s="208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L94" s="369">
        <v>45333.0</v>
      </c>
      <c r="BM94" s="370" t="s">
        <v>800</v>
      </c>
      <c r="BN94" s="371">
        <v>61.0</v>
      </c>
      <c r="BO94" s="372">
        <v>2.0</v>
      </c>
      <c r="BP94" s="208"/>
      <c r="BQ94" s="75"/>
    </row>
    <row r="95" hidden="1">
      <c r="A95" s="25"/>
      <c r="B95" s="26"/>
      <c r="C95" s="26"/>
      <c r="D95" s="208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L95" s="369">
        <v>45334.0</v>
      </c>
      <c r="BM95" s="370" t="s">
        <v>822</v>
      </c>
      <c r="BN95" s="371">
        <v>93.0</v>
      </c>
      <c r="BO95" s="372">
        <v>3.0</v>
      </c>
      <c r="BP95" s="208"/>
      <c r="BQ95" s="75"/>
    </row>
    <row r="96" hidden="1">
      <c r="A96" s="25"/>
      <c r="B96" s="26"/>
      <c r="C96" s="26"/>
      <c r="D96" s="208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L96" s="369">
        <v>45335.0</v>
      </c>
      <c r="BM96" s="370" t="s">
        <v>823</v>
      </c>
      <c r="BN96" s="371">
        <v>34.0</v>
      </c>
      <c r="BO96" s="372">
        <v>2.0</v>
      </c>
      <c r="BP96" s="208"/>
      <c r="BQ96" s="75"/>
    </row>
    <row r="97" hidden="1">
      <c r="A97" s="25"/>
      <c r="B97" s="26"/>
      <c r="C97" s="26"/>
      <c r="D97" s="208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L97" s="369">
        <v>45336.0</v>
      </c>
      <c r="BM97" s="373"/>
      <c r="BN97" s="374"/>
      <c r="BO97" s="375"/>
      <c r="BP97" s="208"/>
      <c r="BQ97" s="75"/>
    </row>
    <row r="98" hidden="1">
      <c r="A98" s="25"/>
      <c r="B98" s="26"/>
      <c r="C98" s="26"/>
      <c r="D98" s="208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L98" s="369">
        <v>45337.0</v>
      </c>
      <c r="BM98" s="373"/>
      <c r="BN98" s="374"/>
      <c r="BO98" s="375"/>
      <c r="BP98" s="208"/>
      <c r="BQ98" s="75"/>
    </row>
    <row r="99" hidden="1">
      <c r="A99" s="25"/>
      <c r="B99" s="26"/>
      <c r="C99" s="26"/>
      <c r="D99" s="208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L99" s="369">
        <v>45338.0</v>
      </c>
      <c r="BM99" s="373"/>
      <c r="BN99" s="374"/>
      <c r="BO99" s="375"/>
      <c r="BP99" s="208"/>
      <c r="BQ99" s="75"/>
    </row>
    <row r="100" hidden="1">
      <c r="A100" s="25"/>
      <c r="B100" s="26"/>
      <c r="C100" s="26"/>
      <c r="D100" s="208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L100" s="369">
        <v>45339.0</v>
      </c>
      <c r="BM100" s="370" t="s">
        <v>812</v>
      </c>
      <c r="BN100" s="371">
        <v>42.0</v>
      </c>
      <c r="BO100" s="372">
        <v>2.0</v>
      </c>
      <c r="BP100" s="208"/>
      <c r="BQ100" s="75"/>
    </row>
    <row r="101" hidden="1">
      <c r="A101" s="25"/>
      <c r="B101" s="26"/>
      <c r="C101" s="26"/>
      <c r="D101" s="208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L101" s="369">
        <v>45340.0</v>
      </c>
      <c r="BM101" s="373"/>
      <c r="BN101" s="374"/>
      <c r="BO101" s="375"/>
      <c r="BP101" s="208"/>
      <c r="BQ101" s="75"/>
    </row>
    <row r="102" hidden="1">
      <c r="A102" s="25"/>
      <c r="B102" s="26"/>
      <c r="C102" s="26"/>
      <c r="D102" s="208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L102" s="369">
        <v>45341.0</v>
      </c>
      <c r="BM102" s="370" t="s">
        <v>826</v>
      </c>
      <c r="BN102" s="371">
        <v>27.0</v>
      </c>
      <c r="BO102" s="372">
        <v>1.0</v>
      </c>
      <c r="BP102" s="208"/>
      <c r="BQ102" s="75"/>
    </row>
    <row r="103" hidden="1">
      <c r="A103" s="25"/>
      <c r="B103" s="26"/>
      <c r="C103" s="26"/>
      <c r="D103" s="208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L103" s="369">
        <v>45342.0</v>
      </c>
      <c r="BM103" s="370" t="s">
        <v>828</v>
      </c>
      <c r="BN103" s="371">
        <v>47.0</v>
      </c>
      <c r="BO103" s="372">
        <v>2.0</v>
      </c>
      <c r="BP103" s="208"/>
      <c r="BQ103" s="75"/>
    </row>
    <row r="104" hidden="1">
      <c r="A104" s="25"/>
      <c r="B104" s="26"/>
      <c r="C104" s="26"/>
      <c r="D104" s="208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L104" s="369">
        <v>45343.0</v>
      </c>
      <c r="BM104" s="373"/>
      <c r="BN104" s="374"/>
      <c r="BO104" s="375"/>
      <c r="BP104" s="208"/>
      <c r="BQ104" s="75"/>
    </row>
    <row r="105" hidden="1">
      <c r="A105" s="25"/>
      <c r="B105" s="26"/>
      <c r="C105" s="26"/>
      <c r="D105" s="208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L105" s="369">
        <v>45344.0</v>
      </c>
      <c r="BM105" s="370" t="s">
        <v>830</v>
      </c>
      <c r="BN105" s="371">
        <v>61.0</v>
      </c>
      <c r="BO105" s="372">
        <v>2.0</v>
      </c>
      <c r="BP105" s="208"/>
      <c r="BQ105" s="75"/>
    </row>
    <row r="106" hidden="1">
      <c r="A106" s="25"/>
      <c r="B106" s="26"/>
      <c r="C106" s="26"/>
      <c r="D106" s="208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L106" s="369">
        <v>45345.0</v>
      </c>
      <c r="BM106" s="373"/>
      <c r="BN106" s="374"/>
      <c r="BO106" s="375"/>
      <c r="BP106" s="208"/>
      <c r="BQ106" s="75"/>
    </row>
    <row r="107" hidden="1">
      <c r="A107" s="25"/>
      <c r="B107" s="26"/>
      <c r="C107" s="26"/>
      <c r="D107" s="208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L107" s="369">
        <v>45346.0</v>
      </c>
      <c r="BM107" s="373"/>
      <c r="BN107" s="374"/>
      <c r="BO107" s="375"/>
      <c r="BP107" s="208"/>
      <c r="BQ107" s="75"/>
    </row>
    <row r="108" hidden="1">
      <c r="A108" s="25"/>
      <c r="B108" s="26"/>
      <c r="C108" s="26"/>
      <c r="D108" s="208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L108" s="369">
        <v>45347.0</v>
      </c>
      <c r="BM108" s="373"/>
      <c r="BN108" s="374"/>
      <c r="BO108" s="375"/>
      <c r="BP108" s="208"/>
      <c r="BQ108" s="75"/>
    </row>
    <row r="109" hidden="1">
      <c r="A109" s="25"/>
      <c r="B109" s="26"/>
      <c r="C109" s="26"/>
      <c r="D109" s="208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L109" s="369">
        <v>45348.0</v>
      </c>
      <c r="BM109" s="370" t="s">
        <v>823</v>
      </c>
      <c r="BN109" s="371">
        <v>39.0</v>
      </c>
      <c r="BO109" s="372">
        <v>2.0</v>
      </c>
      <c r="BP109" s="208"/>
      <c r="BQ109" s="75"/>
    </row>
    <row r="110" hidden="1">
      <c r="A110" s="25"/>
      <c r="B110" s="26"/>
      <c r="C110" s="26"/>
      <c r="D110" s="208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L110" s="369">
        <v>45349.0</v>
      </c>
      <c r="BM110" s="373"/>
      <c r="BN110" s="374"/>
      <c r="BO110" s="375"/>
      <c r="BP110" s="208"/>
      <c r="BQ110" s="75"/>
    </row>
    <row r="111" hidden="1">
      <c r="A111" s="25"/>
      <c r="B111" s="26"/>
      <c r="C111" s="26"/>
      <c r="D111" s="208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L111" s="369">
        <v>45350.0</v>
      </c>
      <c r="BM111" s="373"/>
      <c r="BN111" s="374"/>
      <c r="BO111" s="375"/>
      <c r="BP111" s="208"/>
      <c r="BQ111" s="75"/>
    </row>
    <row r="112" hidden="1">
      <c r="A112" s="25"/>
      <c r="B112" s="26"/>
      <c r="C112" s="26"/>
      <c r="D112" s="208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L112" s="369">
        <v>45351.0</v>
      </c>
      <c r="BM112" s="370" t="s">
        <v>834</v>
      </c>
      <c r="BN112" s="371">
        <v>572.0</v>
      </c>
      <c r="BO112" s="372">
        <v>4.0</v>
      </c>
      <c r="BP112" s="208"/>
      <c r="BQ112" s="75"/>
    </row>
    <row r="113" hidden="1">
      <c r="A113" s="25"/>
      <c r="B113" s="26"/>
      <c r="C113" s="26"/>
      <c r="D113" s="208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L113" s="369">
        <v>45352.0</v>
      </c>
      <c r="BM113" s="373"/>
      <c r="BN113" s="374"/>
      <c r="BO113" s="375"/>
      <c r="BP113" s="208"/>
      <c r="BQ113" s="75"/>
    </row>
    <row r="114" hidden="1">
      <c r="A114" s="25"/>
      <c r="B114" s="26"/>
      <c r="C114" s="26"/>
      <c r="D114" s="208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L114" s="369">
        <v>45353.0</v>
      </c>
      <c r="BM114" s="370" t="s">
        <v>836</v>
      </c>
      <c r="BN114" s="371">
        <v>34.0</v>
      </c>
      <c r="BO114" s="372">
        <v>2.0</v>
      </c>
      <c r="BP114" s="208"/>
      <c r="BQ114" s="75"/>
    </row>
    <row r="115" hidden="1">
      <c r="A115" s="25"/>
      <c r="B115" s="26"/>
      <c r="C115" s="26"/>
      <c r="D115" s="208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L115" s="369">
        <v>45354.0</v>
      </c>
      <c r="BM115" s="373"/>
      <c r="BN115" s="374"/>
      <c r="BO115" s="375"/>
      <c r="BP115" s="208"/>
      <c r="BQ115" s="75"/>
    </row>
    <row r="116" hidden="1">
      <c r="A116" s="25"/>
      <c r="B116" s="26"/>
      <c r="C116" s="26"/>
      <c r="D116" s="208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L116" s="369">
        <v>45355.0</v>
      </c>
      <c r="BM116" s="373"/>
      <c r="BN116" s="374"/>
      <c r="BO116" s="375"/>
      <c r="BP116" s="208"/>
      <c r="BQ116" s="75"/>
    </row>
    <row r="117" hidden="1">
      <c r="A117" s="25"/>
      <c r="B117" s="26"/>
      <c r="C117" s="26"/>
      <c r="D117" s="208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L117" s="369">
        <v>45356.0</v>
      </c>
      <c r="BM117" s="373"/>
      <c r="BN117" s="374"/>
      <c r="BO117" s="375"/>
      <c r="BP117" s="208"/>
      <c r="BQ117" s="75"/>
    </row>
    <row r="118" hidden="1">
      <c r="A118" s="25"/>
      <c r="B118" s="26"/>
      <c r="C118" s="26"/>
      <c r="D118" s="208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L118" s="369">
        <v>45357.0</v>
      </c>
      <c r="BM118" s="370" t="s">
        <v>834</v>
      </c>
      <c r="BN118" s="371">
        <v>544.0</v>
      </c>
      <c r="BO118" s="372">
        <v>4.0</v>
      </c>
      <c r="BP118" s="208"/>
      <c r="BQ118" s="75"/>
    </row>
    <row r="119" hidden="1">
      <c r="A119" s="25"/>
      <c r="B119" s="26"/>
      <c r="C119" s="26"/>
      <c r="D119" s="208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L119" s="369">
        <v>45358.0</v>
      </c>
      <c r="BM119" s="373"/>
      <c r="BN119" s="374"/>
      <c r="BO119" s="375"/>
      <c r="BP119" s="208"/>
      <c r="BQ119" s="75"/>
    </row>
    <row r="120" hidden="1">
      <c r="A120" s="25"/>
      <c r="B120" s="26"/>
      <c r="C120" s="26"/>
      <c r="D120" s="208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L120" s="369">
        <v>45359.0</v>
      </c>
      <c r="BM120" s="370" t="s">
        <v>818</v>
      </c>
      <c r="BN120" s="371">
        <v>991.0</v>
      </c>
      <c r="BO120" s="372">
        <v>4.0</v>
      </c>
      <c r="BP120" s="208"/>
      <c r="BQ120" s="75"/>
    </row>
    <row r="121" hidden="1">
      <c r="A121" s="25"/>
      <c r="B121" s="26"/>
      <c r="C121" s="26"/>
      <c r="D121" s="208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L121" s="369">
        <v>45360.0</v>
      </c>
      <c r="BM121" s="370" t="s">
        <v>834</v>
      </c>
      <c r="BN121" s="371">
        <v>448.0</v>
      </c>
      <c r="BO121" s="372">
        <v>4.0</v>
      </c>
      <c r="BP121" s="208"/>
      <c r="BQ121" s="75"/>
    </row>
    <row r="122" hidden="1">
      <c r="A122" s="25"/>
      <c r="B122" s="26"/>
      <c r="C122" s="26"/>
      <c r="D122" s="208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L122" s="369">
        <v>45361.0</v>
      </c>
      <c r="BM122" s="373"/>
      <c r="BN122" s="374"/>
      <c r="BO122" s="375"/>
      <c r="BP122" s="208"/>
      <c r="BQ122" s="75"/>
    </row>
    <row r="123" hidden="1">
      <c r="A123" s="25"/>
      <c r="B123" s="26"/>
      <c r="C123" s="26"/>
      <c r="D123" s="208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L123" s="369">
        <v>45362.0</v>
      </c>
      <c r="BM123" s="370" t="s">
        <v>838</v>
      </c>
      <c r="BN123" s="371">
        <v>60.0</v>
      </c>
      <c r="BO123" s="372">
        <v>2.0</v>
      </c>
      <c r="BP123" s="208"/>
      <c r="BQ123" s="75"/>
    </row>
    <row r="124" hidden="1">
      <c r="A124" s="25"/>
      <c r="B124" s="26"/>
      <c r="C124" s="26"/>
      <c r="D124" s="208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75"/>
      <c r="BG124" s="75"/>
      <c r="BH124" s="75"/>
      <c r="BI124" s="75"/>
      <c r="BL124" s="369">
        <v>45363.0</v>
      </c>
      <c r="BM124" s="370" t="s">
        <v>812</v>
      </c>
      <c r="BN124" s="371">
        <v>40.0</v>
      </c>
      <c r="BO124" s="372">
        <v>2.0</v>
      </c>
      <c r="BP124" s="208"/>
      <c r="BQ124" s="75"/>
    </row>
    <row r="125" hidden="1">
      <c r="A125" s="25"/>
      <c r="B125" s="26"/>
      <c r="C125" s="26"/>
      <c r="D125" s="208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L125" s="369">
        <v>45364.0</v>
      </c>
      <c r="BM125" s="370" t="s">
        <v>839</v>
      </c>
      <c r="BN125" s="371">
        <v>77.0</v>
      </c>
      <c r="BO125" s="372">
        <v>3.0</v>
      </c>
      <c r="BP125" s="208"/>
      <c r="BQ125" s="75"/>
    </row>
    <row r="126" hidden="1">
      <c r="A126" s="25"/>
      <c r="B126" s="26"/>
      <c r="C126" s="26"/>
      <c r="D126" s="208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L126" s="369">
        <v>45365.0</v>
      </c>
      <c r="BM126" s="373"/>
      <c r="BN126" s="374"/>
      <c r="BO126" s="375"/>
      <c r="BP126" s="208"/>
      <c r="BQ126" s="75"/>
    </row>
    <row r="127" hidden="1">
      <c r="A127" s="25"/>
      <c r="B127" s="26"/>
      <c r="C127" s="26"/>
      <c r="D127" s="208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L127" s="369">
        <v>45366.0</v>
      </c>
      <c r="BM127" s="370" t="s">
        <v>840</v>
      </c>
      <c r="BN127" s="371">
        <v>40.0</v>
      </c>
      <c r="BO127" s="372">
        <v>2.0</v>
      </c>
      <c r="BP127" s="208"/>
      <c r="BQ127" s="75"/>
    </row>
    <row r="128" hidden="1">
      <c r="A128" s="25"/>
      <c r="B128" s="26"/>
      <c r="C128" s="26"/>
      <c r="D128" s="208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L128" s="369">
        <v>45367.0</v>
      </c>
      <c r="BM128" s="370" t="s">
        <v>841</v>
      </c>
      <c r="BN128" s="371">
        <v>61.0</v>
      </c>
      <c r="BO128" s="372">
        <v>2.0</v>
      </c>
      <c r="BP128" s="208"/>
      <c r="BQ128" s="75"/>
    </row>
    <row r="129" hidden="1">
      <c r="A129" s="25"/>
      <c r="B129" s="26"/>
      <c r="C129" s="26"/>
      <c r="D129" s="208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L129" s="369">
        <v>45368.0</v>
      </c>
      <c r="BM129" s="373"/>
      <c r="BN129" s="374"/>
      <c r="BO129" s="375"/>
      <c r="BP129" s="208"/>
      <c r="BQ129" s="75"/>
    </row>
    <row r="130" hidden="1">
      <c r="A130" s="25"/>
      <c r="B130" s="26"/>
      <c r="C130" s="26"/>
      <c r="D130" s="208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L130" s="369">
        <v>45369.0</v>
      </c>
      <c r="BM130" s="373"/>
      <c r="BN130" s="374"/>
      <c r="BO130" s="375"/>
      <c r="BP130" s="208"/>
      <c r="BQ130" s="75"/>
    </row>
    <row r="131" hidden="1">
      <c r="A131" s="25"/>
      <c r="B131" s="26"/>
      <c r="C131" s="26"/>
      <c r="D131" s="208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L131" s="369">
        <v>45370.0</v>
      </c>
      <c r="BM131" s="373"/>
      <c r="BN131" s="374"/>
      <c r="BO131" s="375"/>
      <c r="BP131" s="208"/>
      <c r="BQ131" s="75"/>
    </row>
    <row r="132" hidden="1">
      <c r="A132" s="25"/>
      <c r="B132" s="26"/>
      <c r="C132" s="26"/>
      <c r="D132" s="208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L132" s="369">
        <v>45371.0</v>
      </c>
      <c r="BM132" s="373"/>
      <c r="BN132" s="374"/>
      <c r="BO132" s="375"/>
      <c r="BP132" s="208"/>
      <c r="BQ132" s="75"/>
    </row>
    <row r="133" hidden="1">
      <c r="A133" s="25"/>
      <c r="B133" s="26"/>
      <c r="C133" s="26"/>
      <c r="D133" s="208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L133" s="369">
        <v>45372.0</v>
      </c>
      <c r="BM133" s="370" t="s">
        <v>826</v>
      </c>
      <c r="BN133" s="371">
        <v>97.0</v>
      </c>
      <c r="BO133" s="372">
        <v>3.0</v>
      </c>
      <c r="BP133" s="208"/>
      <c r="BQ133" s="75"/>
    </row>
    <row r="134" hidden="1">
      <c r="A134" s="25"/>
      <c r="B134" s="26"/>
      <c r="C134" s="26"/>
      <c r="D134" s="208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L134" s="369">
        <v>45373.0</v>
      </c>
      <c r="BM134" s="373"/>
      <c r="BN134" s="374"/>
      <c r="BO134" s="375"/>
      <c r="BP134" s="208"/>
      <c r="BQ134" s="75"/>
    </row>
    <row r="135" hidden="1">
      <c r="A135" s="25"/>
      <c r="B135" s="26"/>
      <c r="C135" s="26"/>
      <c r="D135" s="208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L135" s="369">
        <v>45374.0</v>
      </c>
      <c r="BM135" s="373"/>
      <c r="BN135" s="374"/>
      <c r="BO135" s="375"/>
      <c r="BP135" s="208"/>
      <c r="BQ135" s="75"/>
    </row>
    <row r="136" hidden="1">
      <c r="A136" s="25"/>
      <c r="B136" s="26"/>
      <c r="C136" s="26"/>
      <c r="D136" s="208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L136" s="369">
        <v>45375.0</v>
      </c>
      <c r="BM136" s="370" t="s">
        <v>836</v>
      </c>
      <c r="BN136" s="371">
        <v>95.0</v>
      </c>
      <c r="BO136" s="372">
        <v>3.0</v>
      </c>
      <c r="BP136" s="208"/>
      <c r="BQ136" s="75"/>
    </row>
    <row r="137" hidden="1">
      <c r="A137" s="25"/>
      <c r="B137" s="26"/>
      <c r="C137" s="26"/>
      <c r="D137" s="208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L137" s="369">
        <v>45376.0</v>
      </c>
      <c r="BM137" s="373"/>
      <c r="BN137" s="374"/>
      <c r="BO137" s="375"/>
      <c r="BP137" s="208"/>
      <c r="BQ137" s="75"/>
    </row>
    <row r="138" hidden="1">
      <c r="A138" s="25"/>
      <c r="B138" s="26"/>
      <c r="C138" s="26"/>
      <c r="D138" s="208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L138" s="369">
        <v>45377.0</v>
      </c>
      <c r="BM138" s="373"/>
      <c r="BN138" s="374"/>
      <c r="BO138" s="375"/>
      <c r="BP138" s="208"/>
      <c r="BQ138" s="75"/>
    </row>
    <row r="139" hidden="1">
      <c r="A139" s="25"/>
      <c r="B139" s="26"/>
      <c r="C139" s="26"/>
      <c r="D139" s="208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L139" s="369">
        <v>45378.0</v>
      </c>
      <c r="BM139" s="373"/>
      <c r="BN139" s="374"/>
      <c r="BO139" s="375"/>
      <c r="BP139" s="208"/>
      <c r="BQ139" s="75"/>
    </row>
    <row r="140" hidden="1">
      <c r="A140" s="25"/>
      <c r="B140" s="26"/>
      <c r="C140" s="26"/>
      <c r="D140" s="208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L140" s="369">
        <v>45379.0</v>
      </c>
      <c r="BM140" s="373"/>
      <c r="BN140" s="374"/>
      <c r="BO140" s="375"/>
      <c r="BP140" s="208"/>
      <c r="BQ140" s="75"/>
    </row>
    <row r="141" hidden="1">
      <c r="A141" s="25"/>
      <c r="B141" s="26"/>
      <c r="C141" s="26"/>
      <c r="D141" s="208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L141" s="369">
        <v>45380.0</v>
      </c>
      <c r="BM141" s="370" t="s">
        <v>813</v>
      </c>
      <c r="BN141" s="371">
        <v>23.0</v>
      </c>
      <c r="BO141" s="372">
        <v>1.0</v>
      </c>
      <c r="BP141" s="208"/>
      <c r="BQ141" s="75"/>
    </row>
    <row r="142" hidden="1">
      <c r="A142" s="25"/>
      <c r="B142" s="26"/>
      <c r="C142" s="26"/>
      <c r="D142" s="208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L142" s="369">
        <v>45381.0</v>
      </c>
      <c r="BM142" s="373"/>
      <c r="BN142" s="374"/>
      <c r="BO142" s="375"/>
      <c r="BP142" s="208"/>
      <c r="BQ142" s="75"/>
    </row>
    <row r="143" hidden="1">
      <c r="A143" s="25"/>
      <c r="B143" s="26"/>
      <c r="C143" s="26"/>
      <c r="D143" s="208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L143" s="369">
        <v>45382.0</v>
      </c>
      <c r="BM143" s="373"/>
      <c r="BN143" s="374"/>
      <c r="BO143" s="375"/>
      <c r="BP143" s="208"/>
      <c r="BQ143" s="75"/>
    </row>
    <row r="144" hidden="1">
      <c r="A144" s="25"/>
      <c r="B144" s="26"/>
      <c r="C144" s="26"/>
      <c r="D144" s="208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L144" s="369">
        <v>45383.0</v>
      </c>
      <c r="BM144" s="373"/>
      <c r="BN144" s="374"/>
      <c r="BO144" s="375"/>
      <c r="BP144" s="208"/>
      <c r="BQ144" s="75"/>
    </row>
    <row r="145" hidden="1">
      <c r="A145" s="25"/>
      <c r="B145" s="26"/>
      <c r="C145" s="26"/>
      <c r="D145" s="208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L145" s="369">
        <v>45384.0</v>
      </c>
      <c r="BM145" s="373"/>
      <c r="BN145" s="374"/>
      <c r="BO145" s="375"/>
      <c r="BP145" s="208"/>
      <c r="BQ145" s="75"/>
    </row>
    <row r="146" hidden="1">
      <c r="A146" s="25"/>
      <c r="B146" s="26"/>
      <c r="C146" s="26"/>
      <c r="D146" s="208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L146" s="369">
        <v>45385.0</v>
      </c>
      <c r="BM146" s="373"/>
      <c r="BN146" s="374"/>
      <c r="BO146" s="375"/>
      <c r="BP146" s="208"/>
      <c r="BQ146" s="75"/>
    </row>
    <row r="147" hidden="1">
      <c r="A147" s="25"/>
      <c r="B147" s="26"/>
      <c r="C147" s="26"/>
      <c r="D147" s="208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L147" s="369">
        <v>45386.0</v>
      </c>
      <c r="BM147" s="373"/>
      <c r="BN147" s="374"/>
      <c r="BO147" s="375"/>
      <c r="BP147" s="208"/>
      <c r="BQ147" s="75"/>
    </row>
    <row r="148" hidden="1">
      <c r="A148" s="25"/>
      <c r="B148" s="26"/>
      <c r="C148" s="26"/>
      <c r="D148" s="208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L148" s="369">
        <v>45387.0</v>
      </c>
      <c r="BM148" s="373"/>
      <c r="BN148" s="374"/>
      <c r="BO148" s="375"/>
      <c r="BP148" s="208"/>
      <c r="BQ148" s="75"/>
    </row>
    <row r="149" hidden="1">
      <c r="A149" s="25"/>
      <c r="B149" s="26"/>
      <c r="C149" s="26"/>
      <c r="D149" s="208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L149" s="369">
        <v>45388.0</v>
      </c>
      <c r="BM149" s="373"/>
      <c r="BN149" s="374"/>
      <c r="BO149" s="375"/>
      <c r="BP149" s="208"/>
      <c r="BQ149" s="75"/>
    </row>
    <row r="150" hidden="1">
      <c r="A150" s="25"/>
      <c r="B150" s="26"/>
      <c r="C150" s="26"/>
      <c r="D150" s="208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L150" s="369">
        <v>45389.0</v>
      </c>
      <c r="BM150" s="370" t="s">
        <v>826</v>
      </c>
      <c r="BN150" s="371">
        <v>911.0</v>
      </c>
      <c r="BO150" s="372">
        <v>4.0</v>
      </c>
      <c r="BP150" s="208"/>
      <c r="BQ150" s="75"/>
    </row>
    <row r="151" hidden="1">
      <c r="A151" s="25"/>
      <c r="B151" s="26"/>
      <c r="C151" s="26"/>
      <c r="D151" s="208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L151" s="369">
        <v>45390.0</v>
      </c>
      <c r="BM151" s="370" t="s">
        <v>843</v>
      </c>
      <c r="BN151" s="371">
        <v>41.0</v>
      </c>
      <c r="BO151" s="372">
        <v>2.0</v>
      </c>
      <c r="BP151" s="208"/>
      <c r="BQ151" s="75"/>
    </row>
    <row r="152" hidden="1">
      <c r="A152" s="25"/>
      <c r="B152" s="26"/>
      <c r="C152" s="26"/>
      <c r="D152" s="208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L152" s="369">
        <v>45391.0</v>
      </c>
      <c r="BM152" s="370" t="s">
        <v>844</v>
      </c>
      <c r="BN152" s="371">
        <v>18.0</v>
      </c>
      <c r="BO152" s="372">
        <v>1.0</v>
      </c>
      <c r="BP152" s="208"/>
      <c r="BQ152" s="75"/>
    </row>
    <row r="153" hidden="1">
      <c r="A153" s="25"/>
      <c r="B153" s="26"/>
      <c r="C153" s="26"/>
      <c r="D153" s="208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L153" s="369">
        <v>45392.0</v>
      </c>
      <c r="BM153" s="373"/>
      <c r="BN153" s="374"/>
      <c r="BO153" s="375"/>
      <c r="BP153" s="208"/>
      <c r="BQ153" s="75"/>
    </row>
    <row r="154" hidden="1">
      <c r="A154" s="25"/>
      <c r="B154" s="26"/>
      <c r="C154" s="26"/>
      <c r="D154" s="208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L154" s="369">
        <v>45393.0</v>
      </c>
      <c r="BM154" s="370" t="s">
        <v>813</v>
      </c>
      <c r="BN154" s="371">
        <v>39.0</v>
      </c>
      <c r="BO154" s="372">
        <v>2.0</v>
      </c>
      <c r="BP154" s="208"/>
      <c r="BQ154" s="75"/>
    </row>
    <row r="155" hidden="1">
      <c r="A155" s="25"/>
      <c r="B155" s="26"/>
      <c r="C155" s="26"/>
      <c r="D155" s="208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L155" s="369">
        <v>45394.0</v>
      </c>
      <c r="BM155" s="373"/>
      <c r="BN155" s="374"/>
      <c r="BO155" s="375"/>
      <c r="BP155" s="208"/>
      <c r="BQ155" s="75"/>
    </row>
    <row r="156" hidden="1">
      <c r="A156" s="25"/>
      <c r="B156" s="26"/>
      <c r="C156" s="26"/>
      <c r="D156" s="208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L156" s="369">
        <v>45395.0</v>
      </c>
      <c r="BM156" s="373"/>
      <c r="BN156" s="374"/>
      <c r="BO156" s="375"/>
      <c r="BP156" s="208"/>
      <c r="BQ156" s="75"/>
    </row>
    <row r="157" hidden="1">
      <c r="A157" s="25"/>
      <c r="B157" s="26"/>
      <c r="C157" s="26"/>
      <c r="D157" s="208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L157" s="369">
        <v>45396.0</v>
      </c>
      <c r="BM157" s="373"/>
      <c r="BN157" s="374"/>
      <c r="BO157" s="375"/>
      <c r="BP157" s="208"/>
      <c r="BQ157" s="75"/>
    </row>
    <row r="158" hidden="1">
      <c r="A158" s="25"/>
      <c r="B158" s="26"/>
      <c r="C158" s="26"/>
      <c r="D158" s="208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L158" s="369">
        <v>45397.0</v>
      </c>
      <c r="BM158" s="370" t="s">
        <v>845</v>
      </c>
      <c r="BN158" s="371">
        <v>23.0</v>
      </c>
      <c r="BO158" s="372">
        <v>1.0</v>
      </c>
      <c r="BP158" s="208"/>
      <c r="BQ158" s="75"/>
    </row>
    <row r="159" hidden="1">
      <c r="A159" s="25"/>
      <c r="B159" s="26"/>
      <c r="C159" s="26"/>
      <c r="D159" s="208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L159" s="369">
        <v>45398.0</v>
      </c>
      <c r="BM159" s="373"/>
      <c r="BN159" s="374"/>
      <c r="BO159" s="375"/>
      <c r="BP159" s="208"/>
      <c r="BQ159" s="75"/>
    </row>
    <row r="160" hidden="1">
      <c r="A160" s="25"/>
      <c r="B160" s="26"/>
      <c r="C160" s="26"/>
      <c r="D160" s="208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L160" s="369">
        <v>45399.0</v>
      </c>
      <c r="BM160" s="370" t="s">
        <v>846</v>
      </c>
      <c r="BN160" s="371">
        <v>999.0</v>
      </c>
      <c r="BO160" s="372">
        <v>4.0</v>
      </c>
      <c r="BP160" s="208"/>
      <c r="BQ160" s="75"/>
    </row>
    <row r="161" hidden="1">
      <c r="A161" s="25"/>
      <c r="B161" s="26"/>
      <c r="C161" s="26"/>
      <c r="D161" s="208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L161" s="369">
        <v>45400.0</v>
      </c>
      <c r="BM161" s="373"/>
      <c r="BN161" s="374"/>
      <c r="BO161" s="375"/>
      <c r="BP161" s="208"/>
      <c r="BQ161" s="75"/>
    </row>
    <row r="162" hidden="1">
      <c r="A162" s="25"/>
      <c r="B162" s="26"/>
      <c r="C162" s="26"/>
      <c r="D162" s="208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L162" s="369">
        <v>45401.0</v>
      </c>
      <c r="BM162" s="373"/>
      <c r="BN162" s="374"/>
      <c r="BO162" s="375"/>
      <c r="BP162" s="208"/>
      <c r="BQ162" s="75"/>
    </row>
    <row r="163" hidden="1">
      <c r="A163" s="25"/>
      <c r="B163" s="26"/>
      <c r="C163" s="26"/>
      <c r="D163" s="208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L163" s="369">
        <v>45402.0</v>
      </c>
      <c r="BM163" s="373"/>
      <c r="BN163" s="374"/>
      <c r="BO163" s="375"/>
      <c r="BP163" s="208"/>
      <c r="BQ163" s="75"/>
    </row>
    <row r="164" hidden="1">
      <c r="A164" s="25"/>
      <c r="B164" s="26"/>
      <c r="C164" s="26"/>
      <c r="D164" s="208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L164" s="369">
        <v>45403.0</v>
      </c>
      <c r="BM164" s="373"/>
      <c r="BN164" s="374"/>
      <c r="BO164" s="375"/>
      <c r="BP164" s="208"/>
      <c r="BQ164" s="75"/>
    </row>
    <row r="165" hidden="1">
      <c r="A165" s="25"/>
      <c r="B165" s="26"/>
      <c r="C165" s="26"/>
      <c r="D165" s="208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L165" s="369">
        <v>45404.0</v>
      </c>
      <c r="BM165" s="373"/>
      <c r="BN165" s="374"/>
      <c r="BO165" s="375"/>
      <c r="BP165" s="208"/>
      <c r="BQ165" s="75"/>
    </row>
    <row r="166" hidden="1">
      <c r="A166" s="25"/>
      <c r="B166" s="26"/>
      <c r="C166" s="26"/>
      <c r="D166" s="208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L166" s="369">
        <v>45405.0</v>
      </c>
      <c r="BM166" s="370" t="s">
        <v>818</v>
      </c>
      <c r="BN166" s="371">
        <v>31.0</v>
      </c>
      <c r="BO166" s="372">
        <v>1.0</v>
      </c>
      <c r="BP166" s="208"/>
      <c r="BQ166" s="75"/>
    </row>
    <row r="167" hidden="1">
      <c r="A167" s="25"/>
      <c r="B167" s="26"/>
      <c r="C167" s="26"/>
      <c r="D167" s="208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L167" s="369">
        <v>45406.0</v>
      </c>
      <c r="BM167" s="373"/>
      <c r="BN167" s="374"/>
      <c r="BO167" s="375"/>
      <c r="BP167" s="208"/>
      <c r="BQ167" s="75"/>
    </row>
    <row r="168" hidden="1">
      <c r="A168" s="25"/>
      <c r="B168" s="26"/>
      <c r="C168" s="26"/>
      <c r="D168" s="208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L168" s="369">
        <v>45407.0</v>
      </c>
      <c r="BM168" s="373"/>
      <c r="BN168" s="374"/>
      <c r="BO168" s="375"/>
      <c r="BP168" s="208"/>
      <c r="BQ168" s="75"/>
    </row>
    <row r="169" hidden="1">
      <c r="A169" s="25"/>
      <c r="B169" s="26"/>
      <c r="C169" s="26"/>
      <c r="D169" s="208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L169" s="369">
        <v>45408.0</v>
      </c>
      <c r="BM169" s="370" t="s">
        <v>802</v>
      </c>
      <c r="BN169" s="371">
        <v>81.0</v>
      </c>
      <c r="BO169" s="372">
        <v>3.0</v>
      </c>
      <c r="BP169" s="208"/>
      <c r="BQ169" s="75"/>
    </row>
    <row r="170" hidden="1">
      <c r="A170" s="25"/>
      <c r="B170" s="26"/>
      <c r="C170" s="26"/>
      <c r="D170" s="208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L170" s="369">
        <v>45409.0</v>
      </c>
      <c r="BM170" s="373"/>
      <c r="BN170" s="374"/>
      <c r="BO170" s="375"/>
      <c r="BP170" s="208"/>
      <c r="BQ170" s="75"/>
    </row>
    <row r="171" hidden="1">
      <c r="A171" s="25"/>
      <c r="B171" s="26"/>
      <c r="C171" s="26"/>
      <c r="D171" s="208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L171" s="369">
        <v>45410.0</v>
      </c>
      <c r="BM171" s="373"/>
      <c r="BN171" s="374"/>
      <c r="BO171" s="375"/>
      <c r="BP171" s="208"/>
      <c r="BQ171" s="75"/>
    </row>
    <row r="172" hidden="1">
      <c r="A172" s="25"/>
      <c r="B172" s="26"/>
      <c r="C172" s="26"/>
      <c r="D172" s="208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L172" s="369">
        <v>45411.0</v>
      </c>
      <c r="BM172" s="373"/>
      <c r="BN172" s="374"/>
      <c r="BO172" s="375"/>
      <c r="BP172" s="208"/>
      <c r="BQ172" s="75"/>
    </row>
    <row r="173" hidden="1">
      <c r="A173" s="25"/>
      <c r="B173" s="26"/>
      <c r="C173" s="26"/>
      <c r="D173" s="208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L173" s="369">
        <v>45412.0</v>
      </c>
      <c r="BM173" s="370" t="s">
        <v>852</v>
      </c>
      <c r="BN173" s="371">
        <v>96.0</v>
      </c>
      <c r="BO173" s="372">
        <v>3.0</v>
      </c>
      <c r="BP173" s="208"/>
      <c r="BQ173" s="75"/>
    </row>
    <row r="174" hidden="1">
      <c r="A174" s="25"/>
      <c r="B174" s="26"/>
      <c r="C174" s="26"/>
      <c r="D174" s="208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L174" s="369">
        <v>45413.0</v>
      </c>
      <c r="BM174" s="373"/>
      <c r="BN174" s="374"/>
      <c r="BO174" s="375"/>
      <c r="BP174" s="208"/>
      <c r="BQ174" s="75"/>
    </row>
    <row r="175" hidden="1">
      <c r="A175" s="25"/>
      <c r="B175" s="26"/>
      <c r="C175" s="26"/>
      <c r="D175" s="208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L175" s="369">
        <v>45414.0</v>
      </c>
      <c r="BM175" s="373"/>
      <c r="BN175" s="374"/>
      <c r="BO175" s="375"/>
      <c r="BP175" s="208"/>
      <c r="BQ175" s="75"/>
    </row>
    <row r="176" hidden="1">
      <c r="A176" s="25"/>
      <c r="B176" s="26"/>
      <c r="C176" s="26"/>
      <c r="D176" s="208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L176" s="369">
        <v>45415.0</v>
      </c>
      <c r="BM176" s="370" t="s">
        <v>853</v>
      </c>
      <c r="BN176" s="371">
        <v>44.0</v>
      </c>
      <c r="BO176" s="372">
        <v>2.0</v>
      </c>
      <c r="BP176" s="208"/>
      <c r="BQ176" s="75"/>
    </row>
    <row r="177" hidden="1">
      <c r="A177" s="25"/>
      <c r="B177" s="26"/>
      <c r="C177" s="26"/>
      <c r="D177" s="208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L177" s="369">
        <v>45416.0</v>
      </c>
      <c r="BM177" s="373"/>
      <c r="BN177" s="374"/>
      <c r="BO177" s="375"/>
      <c r="BP177" s="208"/>
      <c r="BQ177" s="75"/>
    </row>
    <row r="178" hidden="1">
      <c r="A178" s="25"/>
      <c r="B178" s="26"/>
      <c r="C178" s="26"/>
      <c r="D178" s="208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L178" s="369">
        <v>45417.0</v>
      </c>
      <c r="BM178" s="370" t="s">
        <v>854</v>
      </c>
      <c r="BN178" s="371">
        <v>15.0</v>
      </c>
      <c r="BO178" s="372">
        <v>1.0</v>
      </c>
      <c r="BP178" s="208"/>
      <c r="BQ178" s="75"/>
    </row>
    <row r="179" hidden="1">
      <c r="A179" s="25"/>
      <c r="B179" s="26"/>
      <c r="C179" s="26"/>
      <c r="D179" s="208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L179" s="369">
        <v>45418.0</v>
      </c>
      <c r="BM179" s="373"/>
      <c r="BN179" s="374"/>
      <c r="BO179" s="375"/>
      <c r="BP179" s="208"/>
      <c r="BQ179" s="75"/>
    </row>
    <row r="180" hidden="1">
      <c r="A180" s="25"/>
      <c r="B180" s="26"/>
      <c r="C180" s="26"/>
      <c r="D180" s="208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L180" s="369">
        <v>45419.0</v>
      </c>
      <c r="BM180" s="373"/>
      <c r="BN180" s="374"/>
      <c r="BO180" s="375"/>
      <c r="BP180" s="208"/>
      <c r="BQ180" s="75"/>
    </row>
    <row r="181" hidden="1">
      <c r="A181" s="25"/>
      <c r="B181" s="26"/>
      <c r="C181" s="26"/>
      <c r="D181" s="208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L181" s="369">
        <v>45420.0</v>
      </c>
      <c r="BM181" s="373"/>
      <c r="BN181" s="374"/>
      <c r="BO181" s="375"/>
      <c r="BP181" s="208"/>
      <c r="BQ181" s="75"/>
    </row>
    <row r="182" hidden="1">
      <c r="A182" s="25"/>
      <c r="B182" s="26"/>
      <c r="C182" s="26"/>
      <c r="D182" s="208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L182" s="369">
        <v>45421.0</v>
      </c>
      <c r="BM182" s="373"/>
      <c r="BN182" s="374"/>
      <c r="BO182" s="375"/>
      <c r="BP182" s="208"/>
      <c r="BQ182" s="75"/>
    </row>
    <row r="183" hidden="1">
      <c r="A183" s="25"/>
      <c r="B183" s="26"/>
      <c r="C183" s="26"/>
      <c r="D183" s="208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L183" s="369">
        <v>45422.0</v>
      </c>
      <c r="BM183" s="370" t="s">
        <v>855</v>
      </c>
      <c r="BN183" s="371">
        <v>64.0</v>
      </c>
      <c r="BO183" s="372">
        <v>2.0</v>
      </c>
      <c r="BP183" s="208"/>
      <c r="BQ183" s="75"/>
    </row>
    <row r="184" hidden="1">
      <c r="A184" s="25"/>
      <c r="B184" s="26"/>
      <c r="C184" s="26"/>
      <c r="D184" s="208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L184" s="369">
        <v>45423.0</v>
      </c>
      <c r="BM184" s="373"/>
      <c r="BN184" s="374"/>
      <c r="BO184" s="375"/>
      <c r="BP184" s="208"/>
      <c r="BQ184" s="75"/>
    </row>
    <row r="185" hidden="1">
      <c r="A185" s="25"/>
      <c r="B185" s="26"/>
      <c r="C185" s="26"/>
      <c r="D185" s="208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L185" s="369">
        <v>45424.0</v>
      </c>
      <c r="BM185" s="370" t="s">
        <v>819</v>
      </c>
      <c r="BN185" s="371">
        <v>39.0</v>
      </c>
      <c r="BO185" s="372">
        <v>2.0</v>
      </c>
      <c r="BP185" s="208"/>
      <c r="BQ185" s="75"/>
    </row>
    <row r="186" hidden="1">
      <c r="A186" s="25"/>
      <c r="B186" s="26"/>
      <c r="C186" s="26"/>
      <c r="D186" s="208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L186" s="369">
        <v>45425.0</v>
      </c>
      <c r="BM186" s="373"/>
      <c r="BN186" s="374"/>
      <c r="BO186" s="375"/>
      <c r="BP186" s="208"/>
      <c r="BQ186" s="75"/>
    </row>
    <row r="187" hidden="1">
      <c r="A187" s="25"/>
      <c r="B187" s="26"/>
      <c r="C187" s="26"/>
      <c r="D187" s="208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L187" s="369">
        <v>45426.0</v>
      </c>
      <c r="BM187" s="373"/>
      <c r="BN187" s="374"/>
      <c r="BO187" s="375"/>
      <c r="BP187" s="208"/>
      <c r="BQ187" s="75"/>
    </row>
    <row r="188" hidden="1">
      <c r="A188" s="25"/>
      <c r="B188" s="26"/>
      <c r="C188" s="26"/>
      <c r="D188" s="208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L188" s="369">
        <v>45427.0</v>
      </c>
      <c r="BM188" s="373"/>
      <c r="BN188" s="374"/>
      <c r="BO188" s="375"/>
      <c r="BP188" s="208"/>
      <c r="BQ188" s="75"/>
    </row>
    <row r="189" hidden="1">
      <c r="A189" s="25"/>
      <c r="B189" s="26"/>
      <c r="C189" s="26"/>
      <c r="D189" s="208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L189" s="369">
        <v>45428.0</v>
      </c>
      <c r="BM189" s="373"/>
      <c r="BN189" s="374"/>
      <c r="BO189" s="375"/>
      <c r="BP189" s="208"/>
      <c r="BQ189" s="75"/>
    </row>
    <row r="190" hidden="1">
      <c r="A190" s="25"/>
      <c r="B190" s="26"/>
      <c r="C190" s="26"/>
      <c r="D190" s="208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L190" s="369">
        <v>45429.0</v>
      </c>
      <c r="BM190" s="373"/>
      <c r="BN190" s="374"/>
      <c r="BO190" s="375"/>
      <c r="BP190" s="208"/>
      <c r="BQ190" s="75"/>
    </row>
    <row r="191" hidden="1">
      <c r="A191" s="25"/>
      <c r="B191" s="26"/>
      <c r="C191" s="26"/>
      <c r="D191" s="208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L191" s="369">
        <v>45430.0</v>
      </c>
      <c r="BM191" s="370" t="s">
        <v>844</v>
      </c>
      <c r="BN191" s="371">
        <v>80.0</v>
      </c>
      <c r="BO191" s="372">
        <v>3.0</v>
      </c>
      <c r="BP191" s="208"/>
      <c r="BQ191" s="75"/>
    </row>
    <row r="192" hidden="1">
      <c r="A192" s="25"/>
      <c r="B192" s="26"/>
      <c r="C192" s="26"/>
      <c r="D192" s="208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L192" s="369">
        <v>45431.0</v>
      </c>
      <c r="BM192" s="370" t="s">
        <v>806</v>
      </c>
      <c r="BN192" s="371">
        <v>18.0</v>
      </c>
      <c r="BO192" s="372">
        <v>1.0</v>
      </c>
      <c r="BP192" s="208"/>
      <c r="BQ192" s="75"/>
    </row>
    <row r="193" hidden="1">
      <c r="A193" s="25"/>
      <c r="B193" s="26"/>
      <c r="C193" s="26"/>
      <c r="D193" s="208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L193" s="369">
        <v>45432.0</v>
      </c>
      <c r="BM193" s="373"/>
      <c r="BN193" s="374"/>
      <c r="BO193" s="375"/>
      <c r="BP193" s="208"/>
      <c r="BQ193" s="75"/>
    </row>
    <row r="194" hidden="1">
      <c r="A194" s="25"/>
      <c r="B194" s="26"/>
      <c r="C194" s="26"/>
      <c r="D194" s="208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L194" s="369">
        <v>45433.0</v>
      </c>
      <c r="BM194" s="373"/>
      <c r="BN194" s="374"/>
      <c r="BO194" s="375"/>
      <c r="BP194" s="208"/>
      <c r="BQ194" s="75"/>
    </row>
    <row r="195" hidden="1">
      <c r="A195" s="25"/>
      <c r="B195" s="26"/>
      <c r="C195" s="26"/>
      <c r="D195" s="208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L195" s="369">
        <v>45434.0</v>
      </c>
      <c r="BM195" s="373"/>
      <c r="BN195" s="374"/>
      <c r="BO195" s="375"/>
      <c r="BP195" s="208"/>
      <c r="BQ195" s="75"/>
    </row>
    <row r="196" hidden="1">
      <c r="A196" s="25"/>
      <c r="B196" s="26"/>
      <c r="C196" s="26"/>
      <c r="D196" s="208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L196" s="369">
        <v>45435.0</v>
      </c>
      <c r="BM196" s="370" t="s">
        <v>856</v>
      </c>
      <c r="BN196" s="371">
        <v>603.0</v>
      </c>
      <c r="BO196" s="372">
        <v>4.0</v>
      </c>
      <c r="BP196" s="208"/>
      <c r="BQ196" s="75"/>
    </row>
    <row r="197" hidden="1">
      <c r="A197" s="25"/>
      <c r="B197" s="26"/>
      <c r="C197" s="26"/>
      <c r="D197" s="208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L197" s="369">
        <v>45436.0</v>
      </c>
      <c r="BM197" s="370" t="s">
        <v>806</v>
      </c>
      <c r="BN197" s="371">
        <v>0.0</v>
      </c>
      <c r="BO197" s="372">
        <v>1.0</v>
      </c>
      <c r="BP197" s="208"/>
      <c r="BQ197" s="75"/>
    </row>
    <row r="198" hidden="1">
      <c r="A198" s="25"/>
      <c r="B198" s="26"/>
      <c r="C198" s="26"/>
      <c r="D198" s="208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L198" s="369">
        <v>45437.0</v>
      </c>
      <c r="BM198" s="370" t="s">
        <v>857</v>
      </c>
      <c r="BN198" s="371">
        <v>43.0</v>
      </c>
      <c r="BO198" s="372">
        <v>2.0</v>
      </c>
      <c r="BP198" s="208"/>
      <c r="BQ198" s="75"/>
    </row>
    <row r="199" hidden="1">
      <c r="A199" s="25"/>
      <c r="B199" s="26"/>
      <c r="C199" s="26"/>
      <c r="D199" s="208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L199" s="369">
        <v>45438.0</v>
      </c>
      <c r="BM199" s="373"/>
      <c r="BN199" s="374"/>
      <c r="BO199" s="375"/>
      <c r="BP199" s="208"/>
      <c r="BQ199" s="75"/>
    </row>
    <row r="200" hidden="1">
      <c r="A200" s="25"/>
      <c r="B200" s="26"/>
      <c r="C200" s="26"/>
      <c r="D200" s="208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L200" s="369">
        <v>45439.0</v>
      </c>
      <c r="BM200" s="370" t="s">
        <v>858</v>
      </c>
      <c r="BN200" s="371">
        <v>93.0</v>
      </c>
      <c r="BO200" s="372">
        <v>3.0</v>
      </c>
      <c r="BP200" s="208"/>
      <c r="BQ200" s="75"/>
    </row>
    <row r="201" hidden="1">
      <c r="A201" s="25"/>
      <c r="B201" s="26"/>
      <c r="C201" s="26"/>
      <c r="D201" s="208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L201" s="369">
        <v>45440.0</v>
      </c>
      <c r="BM201" s="370" t="s">
        <v>790</v>
      </c>
      <c r="BN201" s="371">
        <v>87.0</v>
      </c>
      <c r="BO201" s="372">
        <v>3.0</v>
      </c>
      <c r="BP201" s="208"/>
      <c r="BQ201" s="75"/>
    </row>
    <row r="202" hidden="1">
      <c r="A202" s="25"/>
      <c r="B202" s="26"/>
      <c r="C202" s="26"/>
      <c r="D202" s="208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L202" s="369">
        <v>45441.0</v>
      </c>
      <c r="BM202" s="373"/>
      <c r="BN202" s="374"/>
      <c r="BO202" s="375"/>
      <c r="BP202" s="208"/>
      <c r="BQ202" s="75"/>
    </row>
    <row r="203" hidden="1">
      <c r="A203" s="25"/>
      <c r="B203" s="26"/>
      <c r="C203" s="26"/>
      <c r="D203" s="208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L203" s="369">
        <v>45442.0</v>
      </c>
      <c r="BM203" s="370" t="s">
        <v>811</v>
      </c>
      <c r="BN203" s="371">
        <v>16.0</v>
      </c>
      <c r="BO203" s="372">
        <v>1.0</v>
      </c>
      <c r="BP203" s="208"/>
      <c r="BQ203" s="75"/>
    </row>
    <row r="204" hidden="1">
      <c r="A204" s="25"/>
      <c r="B204" s="26"/>
      <c r="C204" s="26"/>
      <c r="D204" s="208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L204" s="369">
        <v>45443.0</v>
      </c>
      <c r="BM204" s="373"/>
      <c r="BN204" s="374"/>
      <c r="BO204" s="375"/>
      <c r="BP204" s="208"/>
      <c r="BQ204" s="75"/>
    </row>
    <row r="205" hidden="1">
      <c r="A205" s="25"/>
      <c r="B205" s="26"/>
      <c r="C205" s="26"/>
      <c r="D205" s="208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L205" s="369">
        <v>45444.0</v>
      </c>
      <c r="BM205" s="373"/>
      <c r="BN205" s="374"/>
      <c r="BO205" s="375"/>
      <c r="BP205" s="208"/>
      <c r="BQ205" s="75"/>
    </row>
    <row r="206" hidden="1">
      <c r="A206" s="25"/>
      <c r="B206" s="26"/>
      <c r="C206" s="26"/>
      <c r="D206" s="208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L206" s="369">
        <v>45445.0</v>
      </c>
      <c r="BM206" s="370" t="s">
        <v>859</v>
      </c>
      <c r="BN206" s="371">
        <v>66.0</v>
      </c>
      <c r="BO206" s="372">
        <v>2.0</v>
      </c>
      <c r="BP206" s="208"/>
      <c r="BQ206" s="75"/>
    </row>
    <row r="207" hidden="1">
      <c r="A207" s="25"/>
      <c r="B207" s="26"/>
      <c r="C207" s="26"/>
      <c r="D207" s="208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L207" s="369">
        <v>45446.0</v>
      </c>
      <c r="BM207" s="370" t="s">
        <v>860</v>
      </c>
      <c r="BN207" s="371">
        <v>47.0</v>
      </c>
      <c r="BO207" s="372">
        <v>2.0</v>
      </c>
      <c r="BP207" s="208"/>
      <c r="BQ207" s="75"/>
    </row>
    <row r="208" hidden="1">
      <c r="A208" s="25"/>
      <c r="B208" s="26"/>
      <c r="C208" s="26"/>
      <c r="D208" s="208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L208" s="369">
        <v>45447.0</v>
      </c>
      <c r="BM208" s="373"/>
      <c r="BN208" s="374"/>
      <c r="BO208" s="375"/>
      <c r="BP208" s="208"/>
      <c r="BQ208" s="75"/>
    </row>
    <row r="209" hidden="1">
      <c r="A209" s="25"/>
      <c r="B209" s="26"/>
      <c r="C209" s="26"/>
      <c r="D209" s="208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L209" s="369">
        <v>45448.0</v>
      </c>
      <c r="BM209" s="373"/>
      <c r="BN209" s="374"/>
      <c r="BO209" s="375"/>
      <c r="BP209" s="208"/>
      <c r="BQ209" s="75"/>
    </row>
    <row r="210" hidden="1">
      <c r="A210" s="25"/>
      <c r="B210" s="26"/>
      <c r="C210" s="26"/>
      <c r="D210" s="208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L210" s="369">
        <v>45449.0</v>
      </c>
      <c r="BM210" s="373"/>
      <c r="BN210" s="374"/>
      <c r="BO210" s="375"/>
      <c r="BP210" s="208"/>
      <c r="BQ210" s="75"/>
    </row>
    <row r="211" hidden="1">
      <c r="A211" s="25"/>
      <c r="B211" s="26"/>
      <c r="C211" s="26"/>
      <c r="D211" s="208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L211" s="369">
        <v>45450.0</v>
      </c>
      <c r="BM211" s="370" t="s">
        <v>857</v>
      </c>
      <c r="BN211" s="371">
        <v>54.0</v>
      </c>
      <c r="BO211" s="372">
        <v>2.0</v>
      </c>
      <c r="BP211" s="208"/>
      <c r="BQ211" s="75"/>
    </row>
    <row r="212" hidden="1">
      <c r="A212" s="25"/>
      <c r="B212" s="26"/>
      <c r="C212" s="26"/>
      <c r="D212" s="208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L212" s="369">
        <v>45451.0</v>
      </c>
      <c r="BM212" s="373"/>
      <c r="BN212" s="374"/>
      <c r="BO212" s="375"/>
      <c r="BP212" s="208"/>
      <c r="BQ212" s="75"/>
    </row>
    <row r="213" hidden="1">
      <c r="A213" s="25"/>
      <c r="B213" s="26"/>
      <c r="C213" s="26"/>
      <c r="D213" s="208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L213" s="369">
        <v>45452.0</v>
      </c>
      <c r="BM213" s="370" t="s">
        <v>836</v>
      </c>
      <c r="BN213" s="371">
        <v>62.0</v>
      </c>
      <c r="BO213" s="372">
        <v>2.0</v>
      </c>
      <c r="BP213" s="208"/>
      <c r="BQ213" s="75"/>
    </row>
    <row r="214" hidden="1">
      <c r="A214" s="25"/>
      <c r="B214" s="26"/>
      <c r="C214" s="26"/>
      <c r="D214" s="208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L214" s="369">
        <v>45453.0</v>
      </c>
      <c r="BM214" s="373"/>
      <c r="BN214" s="374"/>
      <c r="BO214" s="375"/>
      <c r="BP214" s="208"/>
      <c r="BQ214" s="75"/>
    </row>
    <row r="215" hidden="1">
      <c r="A215" s="25"/>
      <c r="B215" s="26"/>
      <c r="C215" s="26"/>
      <c r="D215" s="208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L215" s="369">
        <v>45454.0</v>
      </c>
      <c r="BM215" s="373"/>
      <c r="BN215" s="374"/>
      <c r="BO215" s="375"/>
      <c r="BP215" s="208"/>
      <c r="BQ215" s="75"/>
    </row>
    <row r="216" hidden="1">
      <c r="A216" s="25"/>
      <c r="B216" s="26"/>
      <c r="C216" s="26"/>
      <c r="D216" s="208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L216" s="369">
        <v>45455.0</v>
      </c>
      <c r="BM216" s="373"/>
      <c r="BN216" s="374"/>
      <c r="BO216" s="375"/>
      <c r="BP216" s="208"/>
      <c r="BQ216" s="75"/>
    </row>
    <row r="217" hidden="1">
      <c r="A217" s="25"/>
      <c r="B217" s="26"/>
      <c r="C217" s="26"/>
      <c r="D217" s="208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L217" s="369">
        <v>45456.0</v>
      </c>
      <c r="BM217" s="370" t="s">
        <v>861</v>
      </c>
      <c r="BN217" s="371">
        <v>1.0</v>
      </c>
      <c r="BO217" s="372">
        <v>1.0</v>
      </c>
      <c r="BP217" s="208"/>
      <c r="BQ217" s="75"/>
    </row>
    <row r="218" hidden="1">
      <c r="A218" s="25"/>
      <c r="B218" s="26"/>
      <c r="C218" s="26"/>
      <c r="D218" s="208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L218" s="369">
        <v>45457.0</v>
      </c>
      <c r="BM218" s="373"/>
      <c r="BN218" s="374"/>
      <c r="BO218" s="375"/>
      <c r="BP218" s="208"/>
      <c r="BQ218" s="75"/>
    </row>
    <row r="219" hidden="1">
      <c r="A219" s="25"/>
      <c r="B219" s="26"/>
      <c r="C219" s="26"/>
      <c r="D219" s="208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L219" s="369">
        <v>45458.0</v>
      </c>
      <c r="BM219" s="370" t="s">
        <v>790</v>
      </c>
      <c r="BN219" s="371">
        <v>62.0</v>
      </c>
      <c r="BO219" s="372">
        <v>2.0</v>
      </c>
      <c r="BP219" s="208"/>
      <c r="BQ219" s="75"/>
    </row>
    <row r="220" hidden="1">
      <c r="A220" s="25"/>
      <c r="B220" s="26"/>
      <c r="C220" s="26"/>
      <c r="D220" s="208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L220" s="369">
        <v>45459.0</v>
      </c>
      <c r="BM220" s="373"/>
      <c r="BN220" s="374"/>
      <c r="BO220" s="375"/>
      <c r="BP220" s="208"/>
      <c r="BQ220" s="75"/>
    </row>
    <row r="221" hidden="1">
      <c r="A221" s="25"/>
      <c r="B221" s="26"/>
      <c r="C221" s="26"/>
      <c r="D221" s="208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L221" s="369">
        <v>45460.0</v>
      </c>
      <c r="BM221" s="373"/>
      <c r="BN221" s="374"/>
      <c r="BO221" s="375"/>
      <c r="BP221" s="208"/>
      <c r="BQ221" s="75"/>
    </row>
    <row r="222" hidden="1">
      <c r="A222" s="25"/>
      <c r="B222" s="26"/>
      <c r="C222" s="26"/>
      <c r="D222" s="208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L222" s="369">
        <v>45461.0</v>
      </c>
      <c r="BM222" s="370" t="s">
        <v>828</v>
      </c>
      <c r="BN222" s="371">
        <v>61.0</v>
      </c>
      <c r="BO222" s="372">
        <v>2.0</v>
      </c>
      <c r="BP222" s="208"/>
      <c r="BQ222" s="75"/>
    </row>
    <row r="223" hidden="1">
      <c r="A223" s="25"/>
      <c r="B223" s="26"/>
      <c r="C223" s="26"/>
      <c r="D223" s="208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L223" s="369">
        <v>45462.0</v>
      </c>
      <c r="BM223" s="373"/>
      <c r="BN223" s="374"/>
      <c r="BO223" s="375"/>
      <c r="BP223" s="208"/>
      <c r="BQ223" s="75"/>
    </row>
    <row r="224" hidden="1">
      <c r="A224" s="25"/>
      <c r="B224" s="26"/>
      <c r="C224" s="26"/>
      <c r="D224" s="208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L224" s="369">
        <v>45463.0</v>
      </c>
      <c r="BM224" s="370" t="s">
        <v>862</v>
      </c>
      <c r="BN224" s="371">
        <v>37.0</v>
      </c>
      <c r="BO224" s="372">
        <v>2.0</v>
      </c>
      <c r="BP224" s="208"/>
      <c r="BQ224" s="75"/>
    </row>
    <row r="225" hidden="1">
      <c r="A225" s="25"/>
      <c r="B225" s="26"/>
      <c r="C225" s="26"/>
      <c r="D225" s="208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L225" s="369">
        <v>45464.0</v>
      </c>
      <c r="BM225" s="370" t="s">
        <v>839</v>
      </c>
      <c r="BN225" s="371">
        <v>82.0</v>
      </c>
      <c r="BO225" s="372">
        <v>3.0</v>
      </c>
      <c r="BP225" s="208"/>
      <c r="BQ225" s="75"/>
    </row>
    <row r="226" hidden="1">
      <c r="A226" s="25"/>
      <c r="B226" s="26"/>
      <c r="C226" s="26"/>
      <c r="D226" s="208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L226" s="369">
        <v>45465.0</v>
      </c>
      <c r="BM226" s="373"/>
      <c r="BN226" s="374"/>
      <c r="BO226" s="375"/>
      <c r="BP226" s="208"/>
      <c r="BQ226" s="75"/>
    </row>
    <row r="227" hidden="1">
      <c r="A227" s="25"/>
      <c r="B227" s="26"/>
      <c r="C227" s="26"/>
      <c r="D227" s="208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L227" s="369">
        <v>45466.0</v>
      </c>
      <c r="BM227" s="370" t="s">
        <v>863</v>
      </c>
      <c r="BN227" s="371">
        <v>275.0</v>
      </c>
      <c r="BO227" s="372">
        <v>4.0</v>
      </c>
      <c r="BP227" s="208"/>
      <c r="BQ227" s="75"/>
    </row>
    <row r="228" hidden="1">
      <c r="A228" s="25"/>
      <c r="B228" s="26"/>
      <c r="C228" s="26"/>
      <c r="D228" s="208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L228" s="369">
        <v>45467.0</v>
      </c>
      <c r="BM228" s="373"/>
      <c r="BN228" s="374"/>
      <c r="BO228" s="375"/>
      <c r="BP228" s="208"/>
      <c r="BQ228" s="75"/>
    </row>
    <row r="229" hidden="1">
      <c r="A229" s="25"/>
      <c r="B229" s="26"/>
      <c r="C229" s="26"/>
      <c r="D229" s="208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L229" s="369">
        <v>45468.0</v>
      </c>
      <c r="BM229" s="373"/>
      <c r="BN229" s="374"/>
      <c r="BO229" s="375"/>
      <c r="BP229" s="208"/>
      <c r="BQ229" s="75"/>
    </row>
    <row r="230" hidden="1">
      <c r="A230" s="25"/>
      <c r="B230" s="26"/>
      <c r="C230" s="26"/>
      <c r="D230" s="208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L230" s="369">
        <v>45469.0</v>
      </c>
      <c r="BM230" s="373"/>
      <c r="BN230" s="374"/>
      <c r="BO230" s="375"/>
      <c r="BP230" s="208"/>
      <c r="BQ230" s="75"/>
    </row>
    <row r="231" hidden="1">
      <c r="A231" s="25"/>
      <c r="B231" s="26"/>
      <c r="C231" s="26"/>
      <c r="D231" s="208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L231" s="369">
        <v>45470.0</v>
      </c>
      <c r="BM231" s="373"/>
      <c r="BN231" s="374"/>
      <c r="BO231" s="375"/>
      <c r="BP231" s="208"/>
      <c r="BQ231" s="75"/>
    </row>
    <row r="232" hidden="1">
      <c r="A232" s="25"/>
      <c r="B232" s="26"/>
      <c r="C232" s="26"/>
      <c r="D232" s="208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L232" s="369">
        <v>45471.0</v>
      </c>
      <c r="BM232" s="370" t="s">
        <v>822</v>
      </c>
      <c r="BN232" s="371">
        <v>717.0</v>
      </c>
      <c r="BO232" s="372">
        <v>4.0</v>
      </c>
      <c r="BP232" s="208"/>
      <c r="BQ232" s="75"/>
    </row>
    <row r="233" hidden="1">
      <c r="A233" s="25"/>
      <c r="B233" s="26"/>
      <c r="C233" s="26"/>
      <c r="D233" s="208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L233" s="369">
        <v>45472.0</v>
      </c>
      <c r="BM233" s="370" t="s">
        <v>864</v>
      </c>
      <c r="BN233" s="371">
        <v>47.0</v>
      </c>
      <c r="BO233" s="372">
        <v>2.0</v>
      </c>
      <c r="BP233" s="208"/>
      <c r="BQ233" s="75"/>
    </row>
    <row r="234" hidden="1">
      <c r="A234" s="25"/>
      <c r="B234" s="26"/>
      <c r="C234" s="26"/>
      <c r="D234" s="208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L234" s="369">
        <v>45473.0</v>
      </c>
      <c r="BM234" s="373"/>
      <c r="BN234" s="374"/>
      <c r="BO234" s="375"/>
      <c r="BP234" s="208"/>
      <c r="BQ234" s="75"/>
    </row>
    <row r="235" hidden="1">
      <c r="A235" s="25"/>
      <c r="B235" s="26"/>
      <c r="C235" s="26"/>
      <c r="D235" s="208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L235" s="369">
        <v>45474.0</v>
      </c>
      <c r="BM235" s="370" t="s">
        <v>865</v>
      </c>
      <c r="BN235" s="371">
        <v>37.0</v>
      </c>
      <c r="BO235" s="372">
        <v>2.0</v>
      </c>
      <c r="BP235" s="208"/>
      <c r="BQ235" s="75"/>
    </row>
    <row r="236" hidden="1">
      <c r="A236" s="25"/>
      <c r="B236" s="26"/>
      <c r="C236" s="26"/>
      <c r="D236" s="208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L236" s="369">
        <v>45475.0</v>
      </c>
      <c r="BM236" s="370" t="s">
        <v>866</v>
      </c>
      <c r="BN236" s="371">
        <v>60.0</v>
      </c>
      <c r="BO236" s="372">
        <v>2.0</v>
      </c>
      <c r="BP236" s="208"/>
      <c r="BQ236" s="75"/>
    </row>
    <row r="237" hidden="1">
      <c r="A237" s="25"/>
      <c r="B237" s="26"/>
      <c r="C237" s="26"/>
      <c r="D237" s="208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L237" s="369">
        <v>45476.0</v>
      </c>
      <c r="BM237" s="370" t="s">
        <v>863</v>
      </c>
      <c r="BN237" s="371">
        <v>777.0</v>
      </c>
      <c r="BO237" s="372">
        <v>4.0</v>
      </c>
      <c r="BP237" s="208"/>
      <c r="BQ237" s="75"/>
    </row>
    <row r="238" hidden="1">
      <c r="A238" s="25"/>
      <c r="B238" s="26"/>
      <c r="C238" s="26"/>
      <c r="D238" s="208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L238" s="369">
        <v>45477.0</v>
      </c>
      <c r="BM238" s="373"/>
      <c r="BN238" s="374"/>
      <c r="BO238" s="375"/>
      <c r="BP238" s="208"/>
      <c r="BQ238" s="75"/>
    </row>
    <row r="239" hidden="1">
      <c r="A239" s="25"/>
      <c r="B239" s="26"/>
      <c r="C239" s="26"/>
      <c r="D239" s="208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L239" s="369">
        <v>45478.0</v>
      </c>
      <c r="BM239" s="373"/>
      <c r="BN239" s="374"/>
      <c r="BO239" s="375"/>
      <c r="BP239" s="208"/>
      <c r="BQ239" s="75"/>
    </row>
    <row r="240" hidden="1">
      <c r="A240" s="25"/>
      <c r="B240" s="26"/>
      <c r="C240" s="26"/>
      <c r="D240" s="208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L240" s="369">
        <v>45479.0</v>
      </c>
      <c r="BM240" s="373"/>
      <c r="BN240" s="374"/>
      <c r="BO240" s="375"/>
      <c r="BP240" s="208"/>
      <c r="BQ240" s="75"/>
    </row>
    <row r="241" hidden="1">
      <c r="A241" s="25"/>
      <c r="B241" s="26"/>
      <c r="C241" s="26"/>
      <c r="D241" s="208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L241" s="369">
        <v>45480.0</v>
      </c>
      <c r="BM241" s="373"/>
      <c r="BN241" s="374"/>
      <c r="BO241" s="375"/>
      <c r="BP241" s="208"/>
      <c r="BQ241" s="75"/>
    </row>
    <row r="242" hidden="1">
      <c r="A242" s="25"/>
      <c r="B242" s="26"/>
      <c r="C242" s="26"/>
      <c r="D242" s="208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L242" s="369">
        <v>45481.0</v>
      </c>
      <c r="BM242" s="373"/>
      <c r="BN242" s="374"/>
      <c r="BO242" s="375"/>
      <c r="BP242" s="208"/>
      <c r="BQ242" s="75"/>
    </row>
    <row r="243" hidden="1">
      <c r="A243" s="25"/>
      <c r="B243" s="26"/>
      <c r="C243" s="26"/>
      <c r="D243" s="208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L243" s="369">
        <v>45482.0</v>
      </c>
      <c r="BM243" s="373"/>
      <c r="BN243" s="374"/>
      <c r="BO243" s="375"/>
      <c r="BP243" s="208"/>
      <c r="BQ243" s="75"/>
    </row>
    <row r="244" hidden="1">
      <c r="A244" s="25"/>
      <c r="B244" s="26"/>
      <c r="C244" s="26"/>
      <c r="D244" s="208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L244" s="369">
        <v>45483.0</v>
      </c>
      <c r="BM244" s="373"/>
      <c r="BN244" s="374"/>
      <c r="BO244" s="375"/>
      <c r="BP244" s="208"/>
      <c r="BQ244" s="75"/>
    </row>
    <row r="245" hidden="1">
      <c r="A245" s="25"/>
      <c r="B245" s="26"/>
      <c r="C245" s="26"/>
      <c r="D245" s="208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L245" s="369">
        <v>45484.0</v>
      </c>
      <c r="BM245" s="370" t="s">
        <v>867</v>
      </c>
      <c r="BN245" s="371">
        <v>69.0</v>
      </c>
      <c r="BO245" s="372">
        <v>3.0</v>
      </c>
      <c r="BP245" s="208"/>
      <c r="BQ245" s="75"/>
    </row>
    <row r="246" hidden="1">
      <c r="A246" s="25"/>
      <c r="B246" s="26"/>
      <c r="C246" s="26"/>
      <c r="D246" s="208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L246" s="369">
        <v>45485.0</v>
      </c>
      <c r="BM246" s="370" t="s">
        <v>868</v>
      </c>
      <c r="BN246" s="371">
        <v>22.0</v>
      </c>
      <c r="BO246" s="372">
        <v>1.0</v>
      </c>
      <c r="BP246" s="208"/>
      <c r="BQ246" s="75"/>
    </row>
    <row r="247" hidden="1">
      <c r="A247" s="25"/>
      <c r="B247" s="26"/>
      <c r="C247" s="26"/>
      <c r="D247" s="208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L247" s="369">
        <v>45486.0</v>
      </c>
      <c r="BM247" s="373"/>
      <c r="BN247" s="374"/>
      <c r="BO247" s="375"/>
      <c r="BP247" s="208"/>
      <c r="BQ247" s="75"/>
    </row>
    <row r="248" hidden="1">
      <c r="A248" s="25"/>
      <c r="B248" s="26"/>
      <c r="C248" s="26"/>
      <c r="D248" s="208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L248" s="369">
        <v>45487.0</v>
      </c>
      <c r="BM248" s="370" t="s">
        <v>845</v>
      </c>
      <c r="BN248" s="371">
        <v>4.0</v>
      </c>
      <c r="BO248" s="372">
        <v>1.0</v>
      </c>
      <c r="BP248" s="208"/>
      <c r="BQ248" s="75"/>
    </row>
    <row r="249" hidden="1">
      <c r="A249" s="25"/>
      <c r="B249" s="26"/>
      <c r="C249" s="26"/>
      <c r="D249" s="208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L249" s="369">
        <v>45488.0</v>
      </c>
      <c r="BM249" s="370" t="s">
        <v>869</v>
      </c>
      <c r="BN249" s="371">
        <v>72.0</v>
      </c>
      <c r="BO249" s="372">
        <v>3.0</v>
      </c>
      <c r="BP249" s="208"/>
      <c r="BQ249" s="75"/>
    </row>
    <row r="250" hidden="1">
      <c r="A250" s="25"/>
      <c r="B250" s="26"/>
      <c r="C250" s="26"/>
      <c r="D250" s="208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L250" s="369">
        <v>45489.0</v>
      </c>
      <c r="BM250" s="373"/>
      <c r="BN250" s="374"/>
      <c r="BO250" s="375"/>
      <c r="BP250" s="208"/>
      <c r="BQ250" s="75"/>
    </row>
    <row r="251" hidden="1">
      <c r="A251" s="25"/>
      <c r="B251" s="26"/>
      <c r="C251" s="26"/>
      <c r="D251" s="208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L251" s="369">
        <v>45490.0</v>
      </c>
      <c r="BM251" s="373"/>
      <c r="BN251" s="374"/>
      <c r="BO251" s="375"/>
      <c r="BP251" s="208"/>
      <c r="BQ251" s="75"/>
    </row>
    <row r="252" hidden="1">
      <c r="A252" s="25"/>
      <c r="B252" s="26"/>
      <c r="C252" s="26"/>
      <c r="D252" s="208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L252" s="369">
        <v>45491.0</v>
      </c>
      <c r="BM252" s="373"/>
      <c r="BN252" s="374"/>
      <c r="BO252" s="375"/>
      <c r="BP252" s="208"/>
      <c r="BQ252" s="75"/>
    </row>
    <row r="253" hidden="1">
      <c r="A253" s="25"/>
      <c r="B253" s="26"/>
      <c r="C253" s="26"/>
      <c r="D253" s="208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L253" s="369">
        <v>45492.0</v>
      </c>
      <c r="BM253" s="373"/>
      <c r="BN253" s="374"/>
      <c r="BO253" s="375"/>
      <c r="BP253" s="208"/>
      <c r="BQ253" s="75"/>
    </row>
    <row r="254" hidden="1">
      <c r="A254" s="25"/>
      <c r="B254" s="26"/>
      <c r="C254" s="26"/>
      <c r="D254" s="208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L254" s="369">
        <v>45493.0</v>
      </c>
      <c r="BM254" s="373"/>
      <c r="BN254" s="374"/>
      <c r="BO254" s="375"/>
      <c r="BP254" s="208"/>
      <c r="BQ254" s="75"/>
    </row>
    <row r="255" hidden="1">
      <c r="A255" s="25"/>
      <c r="B255" s="26"/>
      <c r="C255" s="26"/>
      <c r="D255" s="208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L255" s="369">
        <v>45494.0</v>
      </c>
      <c r="BM255" s="370" t="s">
        <v>863</v>
      </c>
      <c r="BN255" s="371">
        <v>343.0</v>
      </c>
      <c r="BO255" s="372">
        <v>4.0</v>
      </c>
      <c r="BP255" s="208"/>
      <c r="BQ255" s="75"/>
    </row>
    <row r="256" hidden="1">
      <c r="A256" s="25"/>
      <c r="B256" s="26"/>
      <c r="C256" s="26"/>
      <c r="D256" s="208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L256" s="369">
        <v>45495.0</v>
      </c>
      <c r="BM256" s="373"/>
      <c r="BN256" s="374"/>
      <c r="BO256" s="375"/>
      <c r="BP256" s="208"/>
      <c r="BQ256" s="75"/>
    </row>
    <row r="257" hidden="1">
      <c r="A257" s="25"/>
      <c r="B257" s="26"/>
      <c r="C257" s="26"/>
      <c r="D257" s="208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L257" s="369">
        <v>45496.0</v>
      </c>
      <c r="BM257" s="370" t="s">
        <v>870</v>
      </c>
      <c r="BN257" s="371">
        <v>144.0</v>
      </c>
      <c r="BO257" s="372">
        <v>4.0</v>
      </c>
      <c r="BP257" s="208"/>
      <c r="BQ257" s="75"/>
    </row>
    <row r="258" hidden="1">
      <c r="A258" s="25"/>
      <c r="B258" s="26"/>
      <c r="C258" s="26"/>
      <c r="D258" s="208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L258" s="369">
        <v>45497.0</v>
      </c>
      <c r="BM258" s="373"/>
      <c r="BN258" s="374"/>
      <c r="BO258" s="375"/>
      <c r="BP258" s="208"/>
      <c r="BQ258" s="75"/>
    </row>
    <row r="259" hidden="1">
      <c r="A259" s="25"/>
      <c r="B259" s="26"/>
      <c r="C259" s="26"/>
      <c r="D259" s="208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75"/>
      <c r="BI259" s="75"/>
      <c r="BL259" s="369">
        <v>45498.0</v>
      </c>
      <c r="BM259" s="370" t="s">
        <v>871</v>
      </c>
      <c r="BN259" s="371">
        <v>17.0</v>
      </c>
      <c r="BO259" s="372">
        <v>1.0</v>
      </c>
      <c r="BP259" s="208"/>
      <c r="BQ259" s="75"/>
    </row>
    <row r="260" hidden="1">
      <c r="A260" s="25"/>
      <c r="B260" s="26"/>
      <c r="C260" s="26"/>
      <c r="D260" s="208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L260" s="369">
        <v>45499.0</v>
      </c>
      <c r="BM260" s="373"/>
      <c r="BN260" s="374"/>
      <c r="BO260" s="375"/>
      <c r="BP260" s="208"/>
      <c r="BQ260" s="75"/>
    </row>
    <row r="261" hidden="1">
      <c r="A261" s="25"/>
      <c r="B261" s="26"/>
      <c r="C261" s="26"/>
      <c r="D261" s="208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L261" s="369">
        <v>45500.0</v>
      </c>
      <c r="BM261" s="373"/>
      <c r="BN261" s="374"/>
      <c r="BO261" s="375"/>
      <c r="BP261" s="208"/>
      <c r="BQ261" s="75"/>
    </row>
    <row r="262" hidden="1">
      <c r="A262" s="25"/>
      <c r="B262" s="26"/>
      <c r="C262" s="26"/>
      <c r="D262" s="208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L262" s="369">
        <v>45501.0</v>
      </c>
      <c r="BM262" s="370" t="s">
        <v>860</v>
      </c>
      <c r="BN262" s="371">
        <v>46.0</v>
      </c>
      <c r="BO262" s="372">
        <v>2.0</v>
      </c>
      <c r="BP262" s="208"/>
      <c r="BQ262" s="75"/>
    </row>
    <row r="263" hidden="1">
      <c r="A263" s="25"/>
      <c r="B263" s="26"/>
      <c r="C263" s="26"/>
      <c r="D263" s="208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L263" s="369">
        <v>45502.0</v>
      </c>
      <c r="BM263" s="373"/>
      <c r="BN263" s="374"/>
      <c r="BO263" s="375"/>
      <c r="BP263" s="208"/>
      <c r="BQ263" s="75"/>
    </row>
    <row r="264" hidden="1">
      <c r="A264" s="25"/>
      <c r="B264" s="26"/>
      <c r="C264" s="26"/>
      <c r="D264" s="208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L264" s="369">
        <v>45503.0</v>
      </c>
      <c r="BM264" s="370" t="s">
        <v>872</v>
      </c>
      <c r="BN264" s="371">
        <v>576.0</v>
      </c>
      <c r="BO264" s="372">
        <v>4.0</v>
      </c>
      <c r="BP264" s="208"/>
      <c r="BQ264" s="75"/>
    </row>
    <row r="265" hidden="1">
      <c r="A265" s="25"/>
      <c r="B265" s="26"/>
      <c r="C265" s="26"/>
      <c r="D265" s="208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L265" s="369">
        <v>45504.0</v>
      </c>
      <c r="BM265" s="373"/>
      <c r="BN265" s="374"/>
      <c r="BO265" s="375"/>
      <c r="BP265" s="208"/>
      <c r="BQ265" s="75"/>
    </row>
    <row r="266" hidden="1">
      <c r="A266" s="25"/>
      <c r="B266" s="26"/>
      <c r="C266" s="26"/>
      <c r="D266" s="208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L266" s="369">
        <v>45505.0</v>
      </c>
      <c r="BM266" s="373"/>
      <c r="BN266" s="374"/>
      <c r="BO266" s="375"/>
      <c r="BP266" s="208"/>
      <c r="BQ266" s="75"/>
    </row>
    <row r="267" hidden="1">
      <c r="A267" s="25"/>
      <c r="B267" s="26"/>
      <c r="C267" s="26"/>
      <c r="D267" s="208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75"/>
      <c r="BI267" s="75"/>
      <c r="BL267" s="369">
        <v>45506.0</v>
      </c>
      <c r="BM267" s="373"/>
      <c r="BN267" s="374"/>
      <c r="BO267" s="375"/>
      <c r="BP267" s="208"/>
      <c r="BQ267" s="75"/>
    </row>
    <row r="268" hidden="1">
      <c r="A268" s="25"/>
      <c r="B268" s="26"/>
      <c r="C268" s="26"/>
      <c r="D268" s="208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75"/>
      <c r="BI268" s="75"/>
      <c r="BL268" s="369">
        <v>45507.0</v>
      </c>
      <c r="BM268" s="373"/>
      <c r="BN268" s="374"/>
      <c r="BO268" s="375"/>
      <c r="BP268" s="208"/>
      <c r="BQ268" s="75"/>
    </row>
    <row r="269" hidden="1">
      <c r="A269" s="25"/>
      <c r="B269" s="26"/>
      <c r="C269" s="26"/>
      <c r="D269" s="208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75"/>
      <c r="BI269" s="75"/>
      <c r="BL269" s="369">
        <v>45508.0</v>
      </c>
      <c r="BM269" s="373"/>
      <c r="BN269" s="374"/>
      <c r="BO269" s="375"/>
      <c r="BP269" s="208"/>
      <c r="BQ269" s="75"/>
    </row>
    <row r="270" hidden="1">
      <c r="A270" s="25"/>
      <c r="B270" s="26"/>
      <c r="C270" s="26"/>
      <c r="D270" s="208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L270" s="369">
        <v>45509.0</v>
      </c>
      <c r="BM270" s="370" t="s">
        <v>873</v>
      </c>
      <c r="BN270" s="371">
        <v>42.0</v>
      </c>
      <c r="BO270" s="372">
        <v>2.0</v>
      </c>
      <c r="BP270" s="208"/>
      <c r="BQ270" s="75"/>
    </row>
    <row r="271" hidden="1">
      <c r="A271" s="25"/>
      <c r="B271" s="26"/>
      <c r="C271" s="26"/>
      <c r="D271" s="208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L271" s="369">
        <v>45510.0</v>
      </c>
      <c r="BM271" s="373"/>
      <c r="BN271" s="374"/>
      <c r="BO271" s="375"/>
      <c r="BP271" s="208"/>
      <c r="BQ271" s="75"/>
    </row>
    <row r="272" hidden="1">
      <c r="A272" s="25"/>
      <c r="B272" s="26"/>
      <c r="C272" s="26"/>
      <c r="D272" s="208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75"/>
      <c r="BI272" s="75"/>
      <c r="BL272" s="369">
        <v>45511.0</v>
      </c>
      <c r="BM272" s="370" t="s">
        <v>874</v>
      </c>
      <c r="BN272" s="371">
        <v>468.0</v>
      </c>
      <c r="BO272" s="372">
        <v>4.0</v>
      </c>
      <c r="BP272" s="208"/>
      <c r="BQ272" s="75"/>
    </row>
    <row r="273" hidden="1">
      <c r="A273" s="25"/>
      <c r="B273" s="26"/>
      <c r="C273" s="26"/>
      <c r="D273" s="208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L273" s="369">
        <v>45512.0</v>
      </c>
      <c r="BM273" s="373"/>
      <c r="BN273" s="374"/>
      <c r="BO273" s="375"/>
      <c r="BP273" s="208"/>
      <c r="BQ273" s="75"/>
    </row>
    <row r="274" hidden="1">
      <c r="A274" s="25"/>
      <c r="B274" s="26"/>
      <c r="C274" s="26"/>
      <c r="D274" s="208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L274" s="369">
        <v>45513.0</v>
      </c>
      <c r="BM274" s="370" t="s">
        <v>875</v>
      </c>
      <c r="BN274" s="371">
        <v>41.0</v>
      </c>
      <c r="BO274" s="372">
        <v>2.0</v>
      </c>
      <c r="BP274" s="208"/>
      <c r="BQ274" s="75"/>
    </row>
    <row r="275" hidden="1">
      <c r="A275" s="25"/>
      <c r="B275" s="26"/>
      <c r="C275" s="26"/>
      <c r="D275" s="208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L275" s="369">
        <v>45514.0</v>
      </c>
      <c r="BM275" s="373"/>
      <c r="BN275" s="374"/>
      <c r="BO275" s="375"/>
      <c r="BP275" s="208"/>
      <c r="BQ275" s="75"/>
    </row>
    <row r="276" hidden="1">
      <c r="A276" s="25"/>
      <c r="B276" s="26"/>
      <c r="C276" s="26"/>
      <c r="D276" s="208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L276" s="369">
        <v>45515.0</v>
      </c>
      <c r="BM276" s="373"/>
      <c r="BN276" s="374"/>
      <c r="BO276" s="375"/>
      <c r="BP276" s="208"/>
      <c r="BQ276" s="75"/>
    </row>
    <row r="277" hidden="1">
      <c r="A277" s="25"/>
      <c r="B277" s="26"/>
      <c r="C277" s="26"/>
      <c r="D277" s="208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L277" s="369">
        <v>45516.0</v>
      </c>
      <c r="BM277" s="373"/>
      <c r="BN277" s="374"/>
      <c r="BO277" s="375"/>
      <c r="BP277" s="208"/>
      <c r="BQ277" s="75"/>
    </row>
    <row r="278" hidden="1">
      <c r="A278" s="25"/>
      <c r="B278" s="26"/>
      <c r="C278" s="26"/>
      <c r="D278" s="208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L278" s="369">
        <v>45517.0</v>
      </c>
      <c r="BM278" s="373"/>
      <c r="BN278" s="374"/>
      <c r="BO278" s="375"/>
      <c r="BP278" s="208"/>
      <c r="BQ278" s="75"/>
    </row>
    <row r="279" hidden="1">
      <c r="A279" s="25"/>
      <c r="B279" s="26"/>
      <c r="C279" s="26"/>
      <c r="D279" s="208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L279" s="369">
        <v>45518.0</v>
      </c>
      <c r="BM279" s="373"/>
      <c r="BN279" s="374"/>
      <c r="BO279" s="375"/>
      <c r="BP279" s="208"/>
      <c r="BQ279" s="75"/>
    </row>
    <row r="280" hidden="1">
      <c r="A280" s="25"/>
      <c r="B280" s="26"/>
      <c r="C280" s="26"/>
      <c r="D280" s="208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L280" s="369">
        <v>45519.0</v>
      </c>
      <c r="BM280" s="373"/>
      <c r="BN280" s="374"/>
      <c r="BO280" s="375"/>
      <c r="BP280" s="208"/>
      <c r="BQ280" s="75"/>
    </row>
    <row r="281" hidden="1">
      <c r="A281" s="25"/>
      <c r="B281" s="26"/>
      <c r="C281" s="26"/>
      <c r="D281" s="208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L281" s="369">
        <v>45520.0</v>
      </c>
      <c r="BM281" s="373"/>
      <c r="BN281" s="374"/>
      <c r="BO281" s="375"/>
      <c r="BP281" s="208"/>
      <c r="BQ281" s="75"/>
    </row>
    <row r="282" hidden="1">
      <c r="A282" s="25"/>
      <c r="B282" s="26"/>
      <c r="C282" s="26"/>
      <c r="D282" s="208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L282" s="369">
        <v>45521.0</v>
      </c>
      <c r="BM282" s="370" t="s">
        <v>876</v>
      </c>
      <c r="BN282" s="371">
        <v>30.0</v>
      </c>
      <c r="BO282" s="372">
        <v>1.0</v>
      </c>
      <c r="BP282" s="208"/>
      <c r="BQ282" s="75"/>
    </row>
    <row r="283" hidden="1">
      <c r="A283" s="25"/>
      <c r="B283" s="26"/>
      <c r="C283" s="26"/>
      <c r="D283" s="208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L283" s="369">
        <v>45522.0</v>
      </c>
      <c r="BM283" s="373"/>
      <c r="BN283" s="374"/>
      <c r="BO283" s="375"/>
      <c r="BP283" s="208"/>
      <c r="BQ283" s="75"/>
    </row>
    <row r="284" hidden="1">
      <c r="A284" s="25"/>
      <c r="B284" s="26"/>
      <c r="C284" s="26"/>
      <c r="D284" s="208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L284" s="369">
        <v>45523.0</v>
      </c>
      <c r="BM284" s="373"/>
      <c r="BN284" s="374"/>
      <c r="BO284" s="375"/>
      <c r="BP284" s="208"/>
      <c r="BQ284" s="75"/>
    </row>
    <row r="285" hidden="1">
      <c r="A285" s="25"/>
      <c r="B285" s="26"/>
      <c r="C285" s="26"/>
      <c r="D285" s="208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L285" s="369">
        <v>45524.0</v>
      </c>
      <c r="BM285" s="370" t="s">
        <v>822</v>
      </c>
      <c r="BN285" s="371">
        <v>100.0</v>
      </c>
      <c r="BO285" s="372">
        <v>3.0</v>
      </c>
      <c r="BP285" s="208"/>
      <c r="BQ285" s="75"/>
    </row>
    <row r="286" hidden="1">
      <c r="A286" s="25"/>
      <c r="B286" s="26"/>
      <c r="C286" s="26"/>
      <c r="D286" s="208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L286" s="369">
        <v>45525.0</v>
      </c>
      <c r="BM286" s="370" t="s">
        <v>877</v>
      </c>
      <c r="BN286" s="371">
        <v>56.0</v>
      </c>
      <c r="BO286" s="372">
        <v>2.0</v>
      </c>
      <c r="BP286" s="208"/>
      <c r="BQ286" s="75"/>
    </row>
    <row r="287" hidden="1">
      <c r="A287" s="25"/>
      <c r="B287" s="26"/>
      <c r="C287" s="26"/>
      <c r="D287" s="208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L287" s="369">
        <v>45526.0</v>
      </c>
      <c r="BM287" s="373"/>
      <c r="BN287" s="374"/>
      <c r="BO287" s="375"/>
      <c r="BP287" s="208"/>
      <c r="BQ287" s="75"/>
    </row>
    <row r="288" hidden="1">
      <c r="A288" s="25"/>
      <c r="B288" s="26"/>
      <c r="C288" s="26"/>
      <c r="D288" s="208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L288" s="369">
        <v>45527.0</v>
      </c>
      <c r="BM288" s="370" t="s">
        <v>878</v>
      </c>
      <c r="BN288" s="371">
        <v>85.0</v>
      </c>
      <c r="BO288" s="372">
        <v>3.0</v>
      </c>
      <c r="BP288" s="208"/>
      <c r="BQ288" s="75"/>
    </row>
    <row r="289" hidden="1">
      <c r="A289" s="25"/>
      <c r="B289" s="26"/>
      <c r="C289" s="26"/>
      <c r="D289" s="208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L289" s="369">
        <v>45528.0</v>
      </c>
      <c r="BM289" s="373"/>
      <c r="BN289" s="374"/>
      <c r="BO289" s="375"/>
      <c r="BP289" s="208"/>
      <c r="BQ289" s="75"/>
    </row>
    <row r="290" hidden="1">
      <c r="A290" s="25"/>
      <c r="B290" s="26"/>
      <c r="C290" s="26"/>
      <c r="D290" s="208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L290" s="369">
        <v>45529.0</v>
      </c>
      <c r="BM290" s="373"/>
      <c r="BN290" s="374"/>
      <c r="BO290" s="375"/>
      <c r="BP290" s="208"/>
      <c r="BQ290" s="75"/>
    </row>
    <row r="291" hidden="1">
      <c r="A291" s="25"/>
      <c r="B291" s="26"/>
      <c r="C291" s="26"/>
      <c r="D291" s="208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L291" s="369">
        <v>45530.0</v>
      </c>
      <c r="BM291" s="373"/>
      <c r="BN291" s="374"/>
      <c r="BO291" s="375"/>
      <c r="BP291" s="208"/>
      <c r="BQ291" s="75"/>
    </row>
    <row r="292" hidden="1">
      <c r="A292" s="25"/>
      <c r="B292" s="26"/>
      <c r="C292" s="26"/>
      <c r="D292" s="208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L292" s="369">
        <v>45531.0</v>
      </c>
      <c r="BM292" s="370" t="s">
        <v>871</v>
      </c>
      <c r="BN292" s="371">
        <v>25.0</v>
      </c>
      <c r="BO292" s="372">
        <v>1.0</v>
      </c>
      <c r="BP292" s="208"/>
      <c r="BQ292" s="75"/>
    </row>
    <row r="293" hidden="1">
      <c r="A293" s="25"/>
      <c r="B293" s="26"/>
      <c r="C293" s="26"/>
      <c r="D293" s="208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L293" s="369">
        <v>45532.0</v>
      </c>
      <c r="BM293" s="370" t="s">
        <v>879</v>
      </c>
      <c r="BN293" s="371">
        <v>100.0</v>
      </c>
      <c r="BO293" s="372">
        <v>3.0</v>
      </c>
      <c r="BP293" s="208"/>
      <c r="BQ293" s="75"/>
    </row>
    <row r="294" hidden="1">
      <c r="A294" s="25"/>
      <c r="B294" s="26"/>
      <c r="C294" s="26"/>
      <c r="D294" s="208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L294" s="369">
        <v>45533.0</v>
      </c>
      <c r="BM294" s="373"/>
      <c r="BN294" s="374"/>
      <c r="BO294" s="375"/>
      <c r="BP294" s="208"/>
      <c r="BQ294" s="75"/>
    </row>
    <row r="295" hidden="1">
      <c r="A295" s="25"/>
      <c r="B295" s="26"/>
      <c r="C295" s="26"/>
      <c r="D295" s="208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L295" s="369">
        <v>45534.0</v>
      </c>
      <c r="BM295" s="373"/>
      <c r="BN295" s="374"/>
      <c r="BO295" s="375"/>
      <c r="BP295" s="208"/>
      <c r="BQ295" s="75"/>
    </row>
    <row r="296" hidden="1">
      <c r="A296" s="25"/>
      <c r="B296" s="26"/>
      <c r="C296" s="26"/>
      <c r="D296" s="208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L296" s="369">
        <v>45535.0</v>
      </c>
      <c r="BM296" s="373"/>
      <c r="BN296" s="374"/>
      <c r="BO296" s="375"/>
      <c r="BP296" s="208"/>
      <c r="BQ296" s="75"/>
    </row>
    <row r="297" hidden="1">
      <c r="A297" s="25"/>
      <c r="B297" s="26"/>
      <c r="C297" s="26"/>
      <c r="D297" s="208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L297" s="369">
        <v>45536.0</v>
      </c>
      <c r="BM297" s="373"/>
      <c r="BN297" s="374"/>
      <c r="BO297" s="375"/>
      <c r="BP297" s="208"/>
      <c r="BQ297" s="75"/>
    </row>
    <row r="298" hidden="1">
      <c r="A298" s="25"/>
      <c r="B298" s="26"/>
      <c r="C298" s="26"/>
      <c r="D298" s="208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L298" s="369">
        <v>45537.0</v>
      </c>
      <c r="BM298" s="373"/>
      <c r="BN298" s="374"/>
      <c r="BO298" s="375"/>
      <c r="BP298" s="208"/>
      <c r="BQ298" s="75"/>
    </row>
    <row r="299" hidden="1">
      <c r="A299" s="25"/>
      <c r="B299" s="26"/>
      <c r="C299" s="26"/>
      <c r="D299" s="208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L299" s="369">
        <v>45538.0</v>
      </c>
      <c r="BM299" s="370" t="s">
        <v>880</v>
      </c>
      <c r="BN299" s="371">
        <v>27.0</v>
      </c>
      <c r="BO299" s="372">
        <v>1.0</v>
      </c>
      <c r="BP299" s="208"/>
      <c r="BQ299" s="75"/>
    </row>
    <row r="300" hidden="1">
      <c r="A300" s="25"/>
      <c r="B300" s="26"/>
      <c r="C300" s="26"/>
      <c r="D300" s="208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L300" s="369">
        <v>45539.0</v>
      </c>
      <c r="BM300" s="373"/>
      <c r="BN300" s="374"/>
      <c r="BO300" s="375"/>
      <c r="BP300" s="208"/>
      <c r="BQ300" s="75"/>
    </row>
    <row r="301" hidden="1">
      <c r="A301" s="25"/>
      <c r="B301" s="26"/>
      <c r="C301" s="26"/>
      <c r="D301" s="208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L301" s="369">
        <v>45540.0</v>
      </c>
      <c r="BM301" s="373"/>
      <c r="BN301" s="374"/>
      <c r="BO301" s="375"/>
      <c r="BP301" s="208"/>
      <c r="BQ301" s="75"/>
    </row>
    <row r="302" hidden="1">
      <c r="A302" s="25"/>
      <c r="B302" s="26"/>
      <c r="C302" s="26"/>
      <c r="D302" s="208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L302" s="369">
        <v>45541.0</v>
      </c>
      <c r="BM302" s="370" t="s">
        <v>881</v>
      </c>
      <c r="BN302" s="371">
        <v>41.0</v>
      </c>
      <c r="BO302" s="372">
        <v>2.0</v>
      </c>
      <c r="BP302" s="208"/>
      <c r="BQ302" s="75"/>
    </row>
    <row r="303" hidden="1">
      <c r="A303" s="25"/>
      <c r="B303" s="26"/>
      <c r="C303" s="26"/>
      <c r="D303" s="208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L303" s="369">
        <v>45542.0</v>
      </c>
      <c r="BM303" s="373"/>
      <c r="BN303" s="374"/>
      <c r="BO303" s="375"/>
      <c r="BP303" s="208"/>
      <c r="BQ303" s="75"/>
    </row>
    <row r="304" hidden="1">
      <c r="A304" s="25"/>
      <c r="B304" s="26"/>
      <c r="C304" s="26"/>
      <c r="D304" s="208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L304" s="369">
        <v>45543.0</v>
      </c>
      <c r="BM304" s="373"/>
      <c r="BN304" s="374"/>
      <c r="BO304" s="375"/>
      <c r="BP304" s="208"/>
      <c r="BQ304" s="75"/>
    </row>
    <row r="305" hidden="1">
      <c r="A305" s="25"/>
      <c r="B305" s="26"/>
      <c r="C305" s="26"/>
      <c r="D305" s="208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L305" s="369">
        <v>45544.0</v>
      </c>
      <c r="BM305" s="370" t="s">
        <v>861</v>
      </c>
      <c r="BN305" s="371">
        <v>61.0</v>
      </c>
      <c r="BO305" s="372">
        <v>2.0</v>
      </c>
      <c r="BP305" s="208"/>
      <c r="BQ305" s="75"/>
    </row>
    <row r="306" hidden="1">
      <c r="A306" s="25"/>
      <c r="B306" s="26"/>
      <c r="C306" s="26"/>
      <c r="D306" s="208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L306" s="369">
        <v>45545.0</v>
      </c>
      <c r="BM306" s="373"/>
      <c r="BN306" s="374"/>
      <c r="BO306" s="375"/>
      <c r="BP306" s="208"/>
      <c r="BQ306" s="75"/>
    </row>
    <row r="307" hidden="1">
      <c r="A307" s="25"/>
      <c r="B307" s="26"/>
      <c r="C307" s="26"/>
      <c r="D307" s="208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L307" s="369">
        <v>45546.0</v>
      </c>
      <c r="BM307" s="373"/>
      <c r="BN307" s="374"/>
      <c r="BO307" s="375"/>
      <c r="BP307" s="208"/>
      <c r="BQ307" s="75"/>
    </row>
    <row r="308" hidden="1">
      <c r="A308" s="25"/>
      <c r="B308" s="26"/>
      <c r="C308" s="26"/>
      <c r="D308" s="208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L308" s="369">
        <v>45547.0</v>
      </c>
      <c r="BM308" s="373"/>
      <c r="BN308" s="374"/>
      <c r="BO308" s="375"/>
      <c r="BP308" s="208"/>
      <c r="BQ308" s="75"/>
    </row>
    <row r="309" hidden="1">
      <c r="A309" s="25"/>
      <c r="B309" s="26"/>
      <c r="C309" s="26"/>
      <c r="D309" s="208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L309" s="369">
        <v>45548.0</v>
      </c>
      <c r="BM309" s="373"/>
      <c r="BN309" s="374"/>
      <c r="BO309" s="375"/>
      <c r="BP309" s="208"/>
      <c r="BQ309" s="75"/>
    </row>
    <row r="310" hidden="1">
      <c r="A310" s="25"/>
      <c r="B310" s="26"/>
      <c r="C310" s="26"/>
      <c r="D310" s="208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75"/>
      <c r="BI310" s="75"/>
      <c r="BL310" s="369">
        <v>45549.0</v>
      </c>
      <c r="BM310" s="373"/>
      <c r="BN310" s="374"/>
      <c r="BO310" s="375"/>
      <c r="BP310" s="208"/>
      <c r="BQ310" s="75"/>
    </row>
    <row r="311" hidden="1">
      <c r="A311" s="25"/>
      <c r="B311" s="26"/>
      <c r="C311" s="26"/>
      <c r="D311" s="208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L311" s="369">
        <v>45550.0</v>
      </c>
      <c r="BM311" s="370" t="s">
        <v>852</v>
      </c>
      <c r="BN311" s="371">
        <v>7.0</v>
      </c>
      <c r="BO311" s="372">
        <v>1.0</v>
      </c>
      <c r="BP311" s="208"/>
      <c r="BQ311" s="75"/>
    </row>
    <row r="312" hidden="1">
      <c r="A312" s="25"/>
      <c r="B312" s="26"/>
      <c r="C312" s="26"/>
      <c r="D312" s="208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75"/>
      <c r="BI312" s="75"/>
      <c r="BL312" s="369">
        <v>45551.0</v>
      </c>
      <c r="BM312" s="373"/>
      <c r="BN312" s="374"/>
      <c r="BO312" s="375"/>
      <c r="BP312" s="208"/>
      <c r="BQ312" s="75"/>
    </row>
    <row r="313" hidden="1">
      <c r="A313" s="25"/>
      <c r="B313" s="26"/>
      <c r="C313" s="26"/>
      <c r="D313" s="208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75"/>
      <c r="BI313" s="75"/>
      <c r="BL313" s="369">
        <v>45552.0</v>
      </c>
      <c r="BM313" s="373"/>
      <c r="BN313" s="374"/>
      <c r="BO313" s="375"/>
      <c r="BP313" s="208"/>
      <c r="BQ313" s="75"/>
    </row>
    <row r="314" hidden="1">
      <c r="A314" s="25"/>
      <c r="B314" s="26"/>
      <c r="C314" s="26"/>
      <c r="D314" s="208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75"/>
      <c r="BI314" s="75"/>
      <c r="BL314" s="369">
        <v>45553.0</v>
      </c>
      <c r="BM314" s="370" t="s">
        <v>882</v>
      </c>
      <c r="BN314" s="371">
        <v>553.0</v>
      </c>
      <c r="BO314" s="372">
        <v>4.0</v>
      </c>
      <c r="BP314" s="208"/>
      <c r="BQ314" s="75"/>
    </row>
    <row r="315" hidden="1">
      <c r="A315" s="25"/>
      <c r="B315" s="26"/>
      <c r="C315" s="26"/>
      <c r="D315" s="208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L315" s="369">
        <v>45554.0</v>
      </c>
      <c r="BM315" s="373"/>
      <c r="BN315" s="374"/>
      <c r="BO315" s="375"/>
      <c r="BP315" s="208"/>
      <c r="BQ315" s="75"/>
    </row>
    <row r="316" hidden="1">
      <c r="A316" s="25"/>
      <c r="B316" s="26"/>
      <c r="C316" s="26"/>
      <c r="D316" s="208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75"/>
      <c r="BI316" s="75"/>
      <c r="BL316" s="369">
        <v>45555.0</v>
      </c>
      <c r="BM316" s="373"/>
      <c r="BN316" s="374"/>
      <c r="BO316" s="375"/>
      <c r="BP316" s="208"/>
      <c r="BQ316" s="75"/>
    </row>
    <row r="317" hidden="1">
      <c r="A317" s="25"/>
      <c r="B317" s="26"/>
      <c r="C317" s="26"/>
      <c r="D317" s="208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75"/>
      <c r="BI317" s="75"/>
      <c r="BL317" s="369">
        <v>45556.0</v>
      </c>
      <c r="BM317" s="370" t="s">
        <v>838</v>
      </c>
      <c r="BN317" s="371">
        <v>16.0</v>
      </c>
      <c r="BO317" s="372">
        <v>1.0</v>
      </c>
      <c r="BP317" s="208"/>
      <c r="BQ317" s="75"/>
    </row>
    <row r="318" hidden="1">
      <c r="A318" s="25"/>
      <c r="B318" s="26"/>
      <c r="C318" s="26"/>
      <c r="D318" s="208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75"/>
      <c r="BI318" s="75"/>
      <c r="BL318" s="369">
        <v>45557.0</v>
      </c>
      <c r="BM318" s="373"/>
      <c r="BN318" s="374"/>
      <c r="BO318" s="375"/>
      <c r="BP318" s="208"/>
      <c r="BQ318" s="75"/>
    </row>
    <row r="319" hidden="1">
      <c r="A319" s="25"/>
      <c r="B319" s="26"/>
      <c r="C319" s="26"/>
      <c r="D319" s="208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75"/>
      <c r="BI319" s="75"/>
      <c r="BL319" s="369">
        <v>45558.0</v>
      </c>
      <c r="BM319" s="373"/>
      <c r="BN319" s="374"/>
      <c r="BO319" s="375"/>
      <c r="BP319" s="208"/>
      <c r="BQ319" s="75"/>
    </row>
    <row r="320" hidden="1">
      <c r="A320" s="25"/>
      <c r="B320" s="26"/>
      <c r="C320" s="26"/>
      <c r="D320" s="208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75"/>
      <c r="BI320" s="75"/>
      <c r="BL320" s="369">
        <v>45559.0</v>
      </c>
      <c r="BM320" s="370" t="s">
        <v>819</v>
      </c>
      <c r="BN320" s="371">
        <v>97.0</v>
      </c>
      <c r="BO320" s="372">
        <v>3.0</v>
      </c>
      <c r="BP320" s="208"/>
      <c r="BQ320" s="75"/>
    </row>
    <row r="321" hidden="1">
      <c r="A321" s="25"/>
      <c r="B321" s="26"/>
      <c r="C321" s="26"/>
      <c r="D321" s="208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75"/>
      <c r="BI321" s="75"/>
      <c r="BL321" s="369">
        <v>45560.0</v>
      </c>
      <c r="BM321" s="370" t="s">
        <v>818</v>
      </c>
      <c r="BN321" s="371">
        <v>90.0</v>
      </c>
      <c r="BO321" s="372">
        <v>3.0</v>
      </c>
      <c r="BP321" s="208"/>
      <c r="BQ321" s="75"/>
    </row>
    <row r="322" hidden="1">
      <c r="A322" s="25"/>
      <c r="B322" s="26"/>
      <c r="C322" s="26"/>
      <c r="D322" s="208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75"/>
      <c r="BI322" s="75"/>
      <c r="BL322" s="369">
        <v>45561.0</v>
      </c>
      <c r="BM322" s="373"/>
      <c r="BN322" s="374"/>
      <c r="BO322" s="375"/>
      <c r="BP322" s="208"/>
      <c r="BQ322" s="75"/>
    </row>
    <row r="323" hidden="1">
      <c r="A323" s="25"/>
      <c r="B323" s="26"/>
      <c r="C323" s="26"/>
      <c r="D323" s="208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75"/>
      <c r="BI323" s="75"/>
      <c r="BL323" s="369">
        <v>45562.0</v>
      </c>
      <c r="BM323" s="373"/>
      <c r="BN323" s="374"/>
      <c r="BO323" s="375"/>
      <c r="BP323" s="208"/>
      <c r="BQ323" s="75"/>
    </row>
    <row r="324" hidden="1">
      <c r="A324" s="25"/>
      <c r="B324" s="26"/>
      <c r="C324" s="26"/>
      <c r="D324" s="208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75"/>
      <c r="BI324" s="75"/>
      <c r="BL324" s="369">
        <v>45563.0</v>
      </c>
      <c r="BM324" s="373"/>
      <c r="BN324" s="374"/>
      <c r="BO324" s="375"/>
      <c r="BP324" s="208"/>
      <c r="BQ324" s="75"/>
    </row>
    <row r="325" hidden="1">
      <c r="A325" s="25"/>
      <c r="B325" s="26"/>
      <c r="C325" s="26"/>
      <c r="D325" s="208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  <c r="BA325" s="75"/>
      <c r="BB325" s="75"/>
      <c r="BC325" s="75"/>
      <c r="BD325" s="75"/>
      <c r="BE325" s="75"/>
      <c r="BF325" s="75"/>
      <c r="BG325" s="75"/>
      <c r="BH325" s="75"/>
      <c r="BI325" s="75"/>
      <c r="BL325" s="369">
        <v>45564.0</v>
      </c>
      <c r="BM325" s="370" t="s">
        <v>876</v>
      </c>
      <c r="BN325" s="371">
        <v>14.0</v>
      </c>
      <c r="BO325" s="372">
        <v>1.0</v>
      </c>
      <c r="BP325" s="208"/>
      <c r="BQ325" s="75"/>
    </row>
    <row r="326" hidden="1">
      <c r="A326" s="25"/>
      <c r="B326" s="26"/>
      <c r="C326" s="26"/>
      <c r="D326" s="208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  <c r="BA326" s="75"/>
      <c r="BB326" s="75"/>
      <c r="BC326" s="75"/>
      <c r="BD326" s="75"/>
      <c r="BE326" s="75"/>
      <c r="BF326" s="75"/>
      <c r="BG326" s="75"/>
      <c r="BH326" s="75"/>
      <c r="BI326" s="75"/>
      <c r="BL326" s="369">
        <v>45565.0</v>
      </c>
      <c r="BM326" s="373"/>
      <c r="BN326" s="374"/>
      <c r="BO326" s="375"/>
      <c r="BP326" s="208"/>
      <c r="BQ326" s="75"/>
    </row>
    <row r="327" hidden="1">
      <c r="A327" s="25"/>
      <c r="B327" s="26"/>
      <c r="C327" s="26"/>
      <c r="D327" s="208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  <c r="BA327" s="75"/>
      <c r="BB327" s="75"/>
      <c r="BC327" s="75"/>
      <c r="BD327" s="75"/>
      <c r="BE327" s="75"/>
      <c r="BF327" s="75"/>
      <c r="BG327" s="75"/>
      <c r="BH327" s="75"/>
      <c r="BI327" s="75"/>
      <c r="BL327" s="369">
        <v>45566.0</v>
      </c>
      <c r="BM327" s="373"/>
      <c r="BN327" s="374"/>
      <c r="BO327" s="375"/>
      <c r="BP327" s="208"/>
      <c r="BQ327" s="75"/>
    </row>
    <row r="328" hidden="1">
      <c r="A328" s="25"/>
      <c r="B328" s="26"/>
      <c r="C328" s="26"/>
      <c r="D328" s="208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  <c r="BB328" s="75"/>
      <c r="BC328" s="75"/>
      <c r="BD328" s="75"/>
      <c r="BE328" s="75"/>
      <c r="BF328" s="75"/>
      <c r="BG328" s="75"/>
      <c r="BH328" s="75"/>
      <c r="BI328" s="75"/>
      <c r="BL328" s="369">
        <v>45567.0</v>
      </c>
      <c r="BM328" s="370" t="s">
        <v>822</v>
      </c>
      <c r="BN328" s="371">
        <v>79.0</v>
      </c>
      <c r="BO328" s="372">
        <v>3.0</v>
      </c>
      <c r="BP328" s="208"/>
      <c r="BQ328" s="75"/>
    </row>
    <row r="329" hidden="1">
      <c r="A329" s="25"/>
      <c r="B329" s="26"/>
      <c r="C329" s="26"/>
      <c r="D329" s="208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  <c r="BA329" s="75"/>
      <c r="BB329" s="75"/>
      <c r="BC329" s="75"/>
      <c r="BD329" s="75"/>
      <c r="BE329" s="75"/>
      <c r="BF329" s="75"/>
      <c r="BG329" s="75"/>
      <c r="BH329" s="75"/>
      <c r="BI329" s="75"/>
      <c r="BL329" s="369">
        <v>45568.0</v>
      </c>
      <c r="BM329" s="373"/>
      <c r="BN329" s="374"/>
      <c r="BO329" s="375"/>
      <c r="BP329" s="208"/>
      <c r="BQ329" s="75"/>
    </row>
    <row r="330" hidden="1">
      <c r="A330" s="25"/>
      <c r="B330" s="26"/>
      <c r="C330" s="26"/>
      <c r="D330" s="208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  <c r="BB330" s="75"/>
      <c r="BC330" s="75"/>
      <c r="BD330" s="75"/>
      <c r="BE330" s="75"/>
      <c r="BF330" s="75"/>
      <c r="BG330" s="75"/>
      <c r="BH330" s="75"/>
      <c r="BI330" s="75"/>
      <c r="BL330" s="369">
        <v>45569.0</v>
      </c>
      <c r="BM330" s="373"/>
      <c r="BN330" s="374"/>
      <c r="BO330" s="375"/>
      <c r="BP330" s="208"/>
      <c r="BQ330" s="75"/>
    </row>
    <row r="331" hidden="1">
      <c r="A331" s="25"/>
      <c r="B331" s="26"/>
      <c r="C331" s="26"/>
      <c r="D331" s="208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  <c r="BG331" s="75"/>
      <c r="BH331" s="75"/>
      <c r="BI331" s="75"/>
      <c r="BL331" s="369">
        <v>45570.0</v>
      </c>
      <c r="BM331" s="373"/>
      <c r="BN331" s="374"/>
      <c r="BO331" s="375"/>
      <c r="BP331" s="208"/>
      <c r="BQ331" s="75"/>
    </row>
    <row r="332" hidden="1">
      <c r="A332" s="25"/>
      <c r="B332" s="26"/>
      <c r="C332" s="26"/>
      <c r="D332" s="208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  <c r="BB332" s="75"/>
      <c r="BC332" s="75"/>
      <c r="BD332" s="75"/>
      <c r="BE332" s="75"/>
      <c r="BF332" s="75"/>
      <c r="BG332" s="75"/>
      <c r="BH332" s="75"/>
      <c r="BI332" s="75"/>
      <c r="BL332" s="369">
        <v>45571.0</v>
      </c>
      <c r="BM332" s="373"/>
      <c r="BN332" s="374"/>
      <c r="BO332" s="375"/>
      <c r="BP332" s="208"/>
      <c r="BQ332" s="75"/>
    </row>
    <row r="333" hidden="1">
      <c r="A333" s="25"/>
      <c r="B333" s="26"/>
      <c r="C333" s="26"/>
      <c r="D333" s="208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  <c r="BG333" s="75"/>
      <c r="BH333" s="75"/>
      <c r="BI333" s="75"/>
      <c r="BL333" s="369">
        <v>45572.0</v>
      </c>
      <c r="BM333" s="373"/>
      <c r="BN333" s="374"/>
      <c r="BO333" s="375"/>
      <c r="BP333" s="208"/>
      <c r="BQ333" s="75"/>
    </row>
    <row r="334" hidden="1">
      <c r="A334" s="25"/>
      <c r="B334" s="26"/>
      <c r="C334" s="26"/>
      <c r="D334" s="208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  <c r="BG334" s="75"/>
      <c r="BH334" s="75"/>
      <c r="BI334" s="75"/>
      <c r="BL334" s="369">
        <v>45573.0</v>
      </c>
      <c r="BM334" s="370" t="s">
        <v>797</v>
      </c>
      <c r="BN334" s="371">
        <v>11.0</v>
      </c>
      <c r="BO334" s="372">
        <v>1.0</v>
      </c>
      <c r="BP334" s="208"/>
      <c r="BQ334" s="75"/>
    </row>
    <row r="335" hidden="1">
      <c r="A335" s="25"/>
      <c r="B335" s="26"/>
      <c r="C335" s="26"/>
      <c r="D335" s="208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  <c r="BB335" s="75"/>
      <c r="BC335" s="75"/>
      <c r="BD335" s="75"/>
      <c r="BE335" s="75"/>
      <c r="BF335" s="75"/>
      <c r="BG335" s="75"/>
      <c r="BH335" s="75"/>
      <c r="BI335" s="75"/>
      <c r="BL335" s="369">
        <v>45574.0</v>
      </c>
      <c r="BM335" s="370" t="s">
        <v>880</v>
      </c>
      <c r="BN335" s="371">
        <v>28.0</v>
      </c>
      <c r="BO335" s="372">
        <v>1.0</v>
      </c>
      <c r="BP335" s="208"/>
      <c r="BQ335" s="75"/>
    </row>
    <row r="336" hidden="1">
      <c r="A336" s="25"/>
      <c r="B336" s="26"/>
      <c r="C336" s="26"/>
      <c r="D336" s="208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  <c r="BB336" s="75"/>
      <c r="BC336" s="75"/>
      <c r="BD336" s="75"/>
      <c r="BE336" s="75"/>
      <c r="BF336" s="75"/>
      <c r="BG336" s="75"/>
      <c r="BH336" s="75"/>
      <c r="BI336" s="75"/>
      <c r="BL336" s="369">
        <v>45575.0</v>
      </c>
      <c r="BM336" s="373"/>
      <c r="BN336" s="374"/>
      <c r="BO336" s="375"/>
      <c r="BP336" s="208"/>
      <c r="BQ336" s="75"/>
    </row>
    <row r="337" hidden="1">
      <c r="A337" s="25"/>
      <c r="B337" s="26"/>
      <c r="C337" s="26"/>
      <c r="D337" s="208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  <c r="BB337" s="75"/>
      <c r="BC337" s="75"/>
      <c r="BD337" s="75"/>
      <c r="BE337" s="75"/>
      <c r="BF337" s="75"/>
      <c r="BG337" s="75"/>
      <c r="BH337" s="75"/>
      <c r="BI337" s="75"/>
      <c r="BL337" s="369">
        <v>45576.0</v>
      </c>
      <c r="BM337" s="373"/>
      <c r="BN337" s="374"/>
      <c r="BO337" s="375"/>
      <c r="BP337" s="208"/>
      <c r="BQ337" s="75"/>
    </row>
    <row r="338" hidden="1">
      <c r="A338" s="25"/>
      <c r="B338" s="26"/>
      <c r="C338" s="26"/>
      <c r="D338" s="208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  <c r="BB338" s="75"/>
      <c r="BC338" s="75"/>
      <c r="BD338" s="75"/>
      <c r="BE338" s="75"/>
      <c r="BF338" s="75"/>
      <c r="BG338" s="75"/>
      <c r="BH338" s="75"/>
      <c r="BI338" s="75"/>
      <c r="BL338" s="369">
        <v>45577.0</v>
      </c>
      <c r="BM338" s="373"/>
      <c r="BN338" s="374"/>
      <c r="BO338" s="375"/>
      <c r="BP338" s="208"/>
      <c r="BQ338" s="75"/>
    </row>
    <row r="339" hidden="1">
      <c r="A339" s="25"/>
      <c r="B339" s="26"/>
      <c r="C339" s="26"/>
      <c r="D339" s="208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  <c r="BB339" s="75"/>
      <c r="BC339" s="75"/>
      <c r="BD339" s="75"/>
      <c r="BE339" s="75"/>
      <c r="BF339" s="75"/>
      <c r="BG339" s="75"/>
      <c r="BH339" s="75"/>
      <c r="BI339" s="75"/>
      <c r="BL339" s="369">
        <v>45578.0</v>
      </c>
      <c r="BM339" s="370" t="s">
        <v>883</v>
      </c>
      <c r="BN339" s="371">
        <v>36.0</v>
      </c>
      <c r="BO339" s="372">
        <v>2.0</v>
      </c>
      <c r="BP339" s="208"/>
      <c r="BQ339" s="75"/>
    </row>
    <row r="340" hidden="1">
      <c r="A340" s="25"/>
      <c r="B340" s="26"/>
      <c r="C340" s="26"/>
      <c r="D340" s="208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5"/>
      <c r="BC340" s="75"/>
      <c r="BD340" s="75"/>
      <c r="BE340" s="75"/>
      <c r="BF340" s="75"/>
      <c r="BG340" s="75"/>
      <c r="BH340" s="75"/>
      <c r="BI340" s="75"/>
      <c r="BL340" s="369">
        <v>45579.0</v>
      </c>
      <c r="BM340" s="373"/>
      <c r="BN340" s="374"/>
      <c r="BO340" s="375"/>
      <c r="BP340" s="208"/>
      <c r="BQ340" s="75"/>
    </row>
    <row r="341" hidden="1">
      <c r="A341" s="25"/>
      <c r="B341" s="26"/>
      <c r="C341" s="26"/>
      <c r="D341" s="208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L341" s="369">
        <v>45580.0</v>
      </c>
      <c r="BM341" s="370" t="s">
        <v>874</v>
      </c>
      <c r="BN341" s="371">
        <v>89.0</v>
      </c>
      <c r="BO341" s="372">
        <v>3.0</v>
      </c>
      <c r="BP341" s="208"/>
      <c r="BQ341" s="75"/>
    </row>
    <row r="342" hidden="1">
      <c r="A342" s="25"/>
      <c r="B342" s="26"/>
      <c r="C342" s="26"/>
      <c r="D342" s="208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  <c r="BB342" s="75"/>
      <c r="BC342" s="75"/>
      <c r="BD342" s="75"/>
      <c r="BE342" s="75"/>
      <c r="BF342" s="75"/>
      <c r="BG342" s="75"/>
      <c r="BH342" s="75"/>
      <c r="BI342" s="75"/>
      <c r="BL342" s="369">
        <v>45581.0</v>
      </c>
      <c r="BM342" s="370" t="s">
        <v>865</v>
      </c>
      <c r="BN342" s="371">
        <v>551.0</v>
      </c>
      <c r="BO342" s="372">
        <v>4.0</v>
      </c>
      <c r="BP342" s="208"/>
      <c r="BQ342" s="75"/>
    </row>
    <row r="343" hidden="1">
      <c r="A343" s="25"/>
      <c r="B343" s="26"/>
      <c r="C343" s="26"/>
      <c r="D343" s="208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  <c r="BB343" s="75"/>
      <c r="BC343" s="75"/>
      <c r="BD343" s="75"/>
      <c r="BE343" s="75"/>
      <c r="BF343" s="75"/>
      <c r="BG343" s="75"/>
      <c r="BH343" s="75"/>
      <c r="BI343" s="75"/>
      <c r="BL343" s="369">
        <v>45582.0</v>
      </c>
      <c r="BM343" s="370" t="s">
        <v>823</v>
      </c>
      <c r="BN343" s="371">
        <v>1.0</v>
      </c>
      <c r="BO343" s="372">
        <v>1.0</v>
      </c>
      <c r="BP343" s="208"/>
      <c r="BQ343" s="75"/>
    </row>
    <row r="344" hidden="1">
      <c r="A344" s="25"/>
      <c r="B344" s="26"/>
      <c r="C344" s="26"/>
      <c r="D344" s="208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  <c r="BB344" s="75"/>
      <c r="BC344" s="75"/>
      <c r="BD344" s="75"/>
      <c r="BE344" s="75"/>
      <c r="BF344" s="75"/>
      <c r="BG344" s="75"/>
      <c r="BH344" s="75"/>
      <c r="BI344" s="75"/>
      <c r="BL344" s="369">
        <v>45583.0</v>
      </c>
      <c r="BM344" s="373"/>
      <c r="BN344" s="374"/>
      <c r="BO344" s="375"/>
      <c r="BP344" s="208"/>
      <c r="BQ344" s="75"/>
    </row>
    <row r="345" hidden="1">
      <c r="A345" s="25"/>
      <c r="B345" s="26"/>
      <c r="C345" s="26"/>
      <c r="D345" s="208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  <c r="BB345" s="75"/>
      <c r="BC345" s="75"/>
      <c r="BD345" s="75"/>
      <c r="BE345" s="75"/>
      <c r="BF345" s="75"/>
      <c r="BG345" s="75"/>
      <c r="BH345" s="75"/>
      <c r="BI345" s="75"/>
      <c r="BL345" s="369">
        <v>45584.0</v>
      </c>
      <c r="BM345" s="373"/>
      <c r="BN345" s="374"/>
      <c r="BO345" s="375"/>
      <c r="BP345" s="208"/>
      <c r="BQ345" s="75"/>
    </row>
    <row r="346" hidden="1">
      <c r="A346" s="25"/>
      <c r="B346" s="26"/>
      <c r="C346" s="26"/>
      <c r="D346" s="208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  <c r="BB346" s="75"/>
      <c r="BC346" s="75"/>
      <c r="BD346" s="75"/>
      <c r="BE346" s="75"/>
      <c r="BF346" s="75"/>
      <c r="BG346" s="75"/>
      <c r="BH346" s="75"/>
      <c r="BI346" s="75"/>
      <c r="BL346" s="369">
        <v>45585.0</v>
      </c>
      <c r="BM346" s="373"/>
      <c r="BN346" s="374"/>
      <c r="BO346" s="375"/>
      <c r="BP346" s="208"/>
      <c r="BQ346" s="75"/>
    </row>
    <row r="347" hidden="1">
      <c r="A347" s="25"/>
      <c r="B347" s="26"/>
      <c r="C347" s="26"/>
      <c r="D347" s="208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  <c r="BB347" s="75"/>
      <c r="BC347" s="75"/>
      <c r="BD347" s="75"/>
      <c r="BE347" s="75"/>
      <c r="BF347" s="75"/>
      <c r="BG347" s="75"/>
      <c r="BH347" s="75"/>
      <c r="BI347" s="75"/>
      <c r="BL347" s="369">
        <v>45586.0</v>
      </c>
      <c r="BM347" s="370" t="s">
        <v>809</v>
      </c>
      <c r="BN347" s="371">
        <v>57.0</v>
      </c>
      <c r="BO347" s="372">
        <v>2.0</v>
      </c>
      <c r="BP347" s="208"/>
      <c r="BQ347" s="75"/>
    </row>
    <row r="348" hidden="1">
      <c r="A348" s="25"/>
      <c r="B348" s="26"/>
      <c r="C348" s="26"/>
      <c r="D348" s="208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  <c r="BB348" s="75"/>
      <c r="BC348" s="75"/>
      <c r="BD348" s="75"/>
      <c r="BE348" s="75"/>
      <c r="BF348" s="75"/>
      <c r="BG348" s="75"/>
      <c r="BH348" s="75"/>
      <c r="BI348" s="75"/>
      <c r="BL348" s="369">
        <v>45587.0</v>
      </c>
      <c r="BM348" s="373"/>
      <c r="BN348" s="374"/>
      <c r="BO348" s="375"/>
      <c r="BP348" s="208"/>
      <c r="BQ348" s="75"/>
    </row>
    <row r="349" hidden="1">
      <c r="A349" s="25"/>
      <c r="B349" s="26"/>
      <c r="C349" s="26"/>
      <c r="D349" s="208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  <c r="BB349" s="75"/>
      <c r="BC349" s="75"/>
      <c r="BD349" s="75"/>
      <c r="BE349" s="75"/>
      <c r="BF349" s="75"/>
      <c r="BG349" s="75"/>
      <c r="BH349" s="75"/>
      <c r="BI349" s="75"/>
      <c r="BL349" s="369">
        <v>45588.0</v>
      </c>
      <c r="BM349" s="373"/>
      <c r="BN349" s="374"/>
      <c r="BO349" s="375"/>
      <c r="BP349" s="208"/>
      <c r="BQ349" s="75"/>
    </row>
    <row r="350" hidden="1">
      <c r="A350" s="25"/>
      <c r="B350" s="26"/>
      <c r="C350" s="26"/>
      <c r="D350" s="208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5"/>
      <c r="BD350" s="75"/>
      <c r="BE350" s="75"/>
      <c r="BF350" s="75"/>
      <c r="BG350" s="75"/>
      <c r="BH350" s="75"/>
      <c r="BI350" s="75"/>
      <c r="BL350" s="369">
        <v>45589.0</v>
      </c>
      <c r="BM350" s="370" t="s">
        <v>885</v>
      </c>
      <c r="BN350" s="371">
        <v>34.0</v>
      </c>
      <c r="BO350" s="372">
        <v>2.0</v>
      </c>
      <c r="BP350" s="208"/>
      <c r="BQ350" s="75"/>
    </row>
    <row r="351" hidden="1">
      <c r="A351" s="25"/>
      <c r="B351" s="26"/>
      <c r="C351" s="26"/>
      <c r="D351" s="208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  <c r="BG351" s="75"/>
      <c r="BH351" s="75"/>
      <c r="BI351" s="75"/>
      <c r="BL351" s="369">
        <v>45590.0</v>
      </c>
      <c r="BM351" s="370" t="s">
        <v>810</v>
      </c>
      <c r="BN351" s="371">
        <v>397.0</v>
      </c>
      <c r="BO351" s="372">
        <v>4.0</v>
      </c>
      <c r="BP351" s="208"/>
      <c r="BQ351" s="75"/>
    </row>
    <row r="352" hidden="1">
      <c r="A352" s="25"/>
      <c r="B352" s="26"/>
      <c r="C352" s="26"/>
      <c r="D352" s="208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  <c r="BB352" s="75"/>
      <c r="BC352" s="75"/>
      <c r="BD352" s="75"/>
      <c r="BE352" s="75"/>
      <c r="BF352" s="75"/>
      <c r="BG352" s="75"/>
      <c r="BH352" s="75"/>
      <c r="BI352" s="75"/>
      <c r="BL352" s="369">
        <v>45591.0</v>
      </c>
      <c r="BM352" s="370" t="s">
        <v>877</v>
      </c>
      <c r="BN352" s="371">
        <v>60.0</v>
      </c>
      <c r="BO352" s="372">
        <v>2.0</v>
      </c>
      <c r="BP352" s="208"/>
      <c r="BQ352" s="75"/>
    </row>
    <row r="353" hidden="1">
      <c r="A353" s="25"/>
      <c r="B353" s="26"/>
      <c r="C353" s="26"/>
      <c r="D353" s="208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  <c r="BB353" s="75"/>
      <c r="BC353" s="75"/>
      <c r="BD353" s="75"/>
      <c r="BE353" s="75"/>
      <c r="BF353" s="75"/>
      <c r="BG353" s="75"/>
      <c r="BH353" s="75"/>
      <c r="BI353" s="75"/>
      <c r="BL353" s="369">
        <v>45592.0</v>
      </c>
      <c r="BM353" s="370" t="s">
        <v>800</v>
      </c>
      <c r="BN353" s="371">
        <v>607.0</v>
      </c>
      <c r="BO353" s="372">
        <v>4.0</v>
      </c>
      <c r="BP353" s="208"/>
      <c r="BQ353" s="75"/>
    </row>
    <row r="354" hidden="1">
      <c r="A354" s="25"/>
      <c r="B354" s="26"/>
      <c r="C354" s="26"/>
      <c r="D354" s="208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  <c r="BB354" s="75"/>
      <c r="BC354" s="75"/>
      <c r="BD354" s="75"/>
      <c r="BE354" s="75"/>
      <c r="BF354" s="75"/>
      <c r="BG354" s="75"/>
      <c r="BH354" s="75"/>
      <c r="BI354" s="75"/>
      <c r="BL354" s="369">
        <v>45593.0</v>
      </c>
      <c r="BM354" s="373"/>
      <c r="BN354" s="374"/>
      <c r="BO354" s="375"/>
      <c r="BP354" s="208"/>
      <c r="BQ354" s="75"/>
    </row>
    <row r="355" hidden="1">
      <c r="A355" s="25"/>
      <c r="B355" s="26"/>
      <c r="C355" s="26"/>
      <c r="D355" s="208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  <c r="BB355" s="75"/>
      <c r="BC355" s="75"/>
      <c r="BD355" s="75"/>
      <c r="BE355" s="75"/>
      <c r="BF355" s="75"/>
      <c r="BG355" s="75"/>
      <c r="BH355" s="75"/>
      <c r="BI355" s="75"/>
      <c r="BL355" s="369">
        <v>45594.0</v>
      </c>
      <c r="BM355" s="370" t="s">
        <v>870</v>
      </c>
      <c r="BN355" s="371">
        <v>65.0</v>
      </c>
      <c r="BO355" s="372">
        <v>2.0</v>
      </c>
      <c r="BP355" s="208"/>
      <c r="BQ355" s="75"/>
    </row>
    <row r="356" hidden="1">
      <c r="A356" s="25"/>
      <c r="B356" s="26"/>
      <c r="C356" s="26"/>
      <c r="D356" s="208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  <c r="BB356" s="75"/>
      <c r="BC356" s="75"/>
      <c r="BD356" s="75"/>
      <c r="BE356" s="75"/>
      <c r="BF356" s="75"/>
      <c r="BG356" s="75"/>
      <c r="BH356" s="75"/>
      <c r="BI356" s="75"/>
      <c r="BL356" s="369">
        <v>45595.0</v>
      </c>
      <c r="BM356" s="370" t="s">
        <v>865</v>
      </c>
      <c r="BN356" s="371">
        <v>64.0</v>
      </c>
      <c r="BO356" s="372">
        <v>2.0</v>
      </c>
      <c r="BP356" s="208"/>
      <c r="BQ356" s="75"/>
    </row>
    <row r="357" hidden="1">
      <c r="A357" s="25"/>
      <c r="B357" s="26"/>
      <c r="C357" s="26"/>
      <c r="D357" s="208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  <c r="BB357" s="75"/>
      <c r="BC357" s="75"/>
      <c r="BD357" s="75"/>
      <c r="BE357" s="75"/>
      <c r="BF357" s="75"/>
      <c r="BG357" s="75"/>
      <c r="BH357" s="75"/>
      <c r="BI357" s="75"/>
      <c r="BL357" s="369">
        <v>45596.0</v>
      </c>
      <c r="BM357" s="373"/>
      <c r="BN357" s="374"/>
      <c r="BO357" s="375"/>
      <c r="BP357" s="208"/>
      <c r="BQ357" s="75"/>
    </row>
    <row r="358" hidden="1">
      <c r="A358" s="25"/>
      <c r="B358" s="26"/>
      <c r="C358" s="26"/>
      <c r="D358" s="208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  <c r="BG358" s="75"/>
      <c r="BH358" s="75"/>
      <c r="BI358" s="75"/>
      <c r="BL358" s="369">
        <v>45597.0</v>
      </c>
      <c r="BM358" s="373"/>
      <c r="BN358" s="374"/>
      <c r="BO358" s="375"/>
      <c r="BP358" s="208"/>
      <c r="BQ358" s="75"/>
    </row>
    <row r="359" hidden="1">
      <c r="A359" s="25"/>
      <c r="B359" s="26"/>
      <c r="C359" s="26"/>
      <c r="D359" s="208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  <c r="BB359" s="75"/>
      <c r="BC359" s="75"/>
      <c r="BD359" s="75"/>
      <c r="BE359" s="75"/>
      <c r="BF359" s="75"/>
      <c r="BG359" s="75"/>
      <c r="BH359" s="75"/>
      <c r="BI359" s="75"/>
      <c r="BL359" s="369">
        <v>45598.0</v>
      </c>
      <c r="BM359" s="370" t="s">
        <v>828</v>
      </c>
      <c r="BN359" s="371">
        <v>192.0</v>
      </c>
      <c r="BO359" s="372">
        <v>4.0</v>
      </c>
      <c r="BP359" s="208"/>
      <c r="BQ359" s="75"/>
    </row>
    <row r="360" hidden="1">
      <c r="A360" s="25"/>
      <c r="B360" s="26"/>
      <c r="C360" s="26"/>
      <c r="D360" s="208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  <c r="BG360" s="75"/>
      <c r="BH360" s="75"/>
      <c r="BI360" s="75"/>
      <c r="BL360" s="369">
        <v>45599.0</v>
      </c>
      <c r="BM360" s="370" t="s">
        <v>815</v>
      </c>
      <c r="BN360" s="371">
        <v>89.0</v>
      </c>
      <c r="BO360" s="372">
        <v>3.0</v>
      </c>
      <c r="BP360" s="208"/>
      <c r="BQ360" s="75"/>
    </row>
    <row r="361" hidden="1">
      <c r="A361" s="25"/>
      <c r="B361" s="26"/>
      <c r="C361" s="26"/>
      <c r="D361" s="208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L361" s="369">
        <v>45600.0</v>
      </c>
      <c r="BM361" s="373"/>
      <c r="BN361" s="374"/>
      <c r="BO361" s="375"/>
      <c r="BP361" s="208"/>
      <c r="BQ361" s="75"/>
    </row>
    <row r="362" hidden="1">
      <c r="A362" s="25"/>
      <c r="B362" s="26"/>
      <c r="C362" s="26"/>
      <c r="D362" s="208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  <c r="BG362" s="75"/>
      <c r="BH362" s="75"/>
      <c r="BI362" s="75"/>
      <c r="BL362" s="369">
        <v>45601.0</v>
      </c>
      <c r="BM362" s="373"/>
      <c r="BN362" s="374"/>
      <c r="BO362" s="375"/>
      <c r="BP362" s="208"/>
      <c r="BQ362" s="75"/>
    </row>
    <row r="363" hidden="1">
      <c r="A363" s="25"/>
      <c r="B363" s="26"/>
      <c r="C363" s="26"/>
      <c r="D363" s="208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  <c r="BG363" s="75"/>
      <c r="BH363" s="75"/>
      <c r="BI363" s="75"/>
      <c r="BL363" s="369">
        <v>45602.0</v>
      </c>
      <c r="BM363" s="373"/>
      <c r="BN363" s="374"/>
      <c r="BO363" s="375"/>
      <c r="BP363" s="208"/>
      <c r="BQ363" s="75"/>
    </row>
    <row r="364" hidden="1">
      <c r="A364" s="25"/>
      <c r="B364" s="26"/>
      <c r="C364" s="26"/>
      <c r="D364" s="208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  <c r="BG364" s="75"/>
      <c r="BH364" s="75"/>
      <c r="BI364" s="75"/>
      <c r="BL364" s="369">
        <v>45603.0</v>
      </c>
      <c r="BM364" s="373"/>
      <c r="BN364" s="374"/>
      <c r="BO364" s="375"/>
      <c r="BP364" s="208"/>
      <c r="BQ364" s="75"/>
    </row>
    <row r="365" hidden="1">
      <c r="A365" s="25"/>
      <c r="B365" s="26"/>
      <c r="C365" s="26"/>
      <c r="D365" s="208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  <c r="BB365" s="75"/>
      <c r="BC365" s="75"/>
      <c r="BD365" s="75"/>
      <c r="BE365" s="75"/>
      <c r="BF365" s="75"/>
      <c r="BG365" s="75"/>
      <c r="BH365" s="75"/>
      <c r="BI365" s="75"/>
      <c r="BL365" s="369">
        <v>45604.0</v>
      </c>
      <c r="BM365" s="370" t="s">
        <v>877</v>
      </c>
      <c r="BN365" s="371">
        <v>29.0</v>
      </c>
      <c r="BO365" s="372">
        <v>1.0</v>
      </c>
      <c r="BP365" s="208"/>
      <c r="BQ365" s="75"/>
    </row>
    <row r="366" hidden="1">
      <c r="A366" s="25"/>
      <c r="B366" s="26"/>
      <c r="C366" s="26"/>
      <c r="D366" s="208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  <c r="BB366" s="75"/>
      <c r="BC366" s="75"/>
      <c r="BD366" s="75"/>
      <c r="BE366" s="75"/>
      <c r="BF366" s="75"/>
      <c r="BG366" s="75"/>
      <c r="BH366" s="75"/>
      <c r="BI366" s="75"/>
      <c r="BL366" s="369">
        <v>45605.0</v>
      </c>
      <c r="BM366" s="373"/>
      <c r="BN366" s="374"/>
      <c r="BO366" s="375"/>
      <c r="BP366" s="208"/>
      <c r="BQ366" s="75"/>
    </row>
    <row r="367" hidden="1">
      <c r="A367" s="25"/>
      <c r="B367" s="26"/>
      <c r="C367" s="26"/>
      <c r="D367" s="208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  <c r="BB367" s="75"/>
      <c r="BC367" s="75"/>
      <c r="BD367" s="75"/>
      <c r="BE367" s="75"/>
      <c r="BF367" s="75"/>
      <c r="BG367" s="75"/>
      <c r="BH367" s="75"/>
      <c r="BI367" s="75"/>
      <c r="BL367" s="369">
        <v>45606.0</v>
      </c>
      <c r="BM367" s="370" t="s">
        <v>826</v>
      </c>
      <c r="BN367" s="371">
        <v>46.0</v>
      </c>
      <c r="BO367" s="372">
        <v>2.0</v>
      </c>
      <c r="BP367" s="208"/>
      <c r="BQ367" s="75"/>
    </row>
    <row r="368" hidden="1">
      <c r="A368" s="25"/>
      <c r="B368" s="26"/>
      <c r="C368" s="26"/>
      <c r="D368" s="208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  <c r="BB368" s="75"/>
      <c r="BC368" s="75"/>
      <c r="BD368" s="75"/>
      <c r="BE368" s="75"/>
      <c r="BF368" s="75"/>
      <c r="BG368" s="75"/>
      <c r="BH368" s="75"/>
      <c r="BI368" s="75"/>
      <c r="BL368" s="369">
        <v>45607.0</v>
      </c>
      <c r="BM368" s="373"/>
      <c r="BN368" s="374"/>
      <c r="BO368" s="375"/>
      <c r="BP368" s="208"/>
      <c r="BQ368" s="75"/>
    </row>
    <row r="369" hidden="1">
      <c r="A369" s="25"/>
      <c r="B369" s="26"/>
      <c r="C369" s="26"/>
      <c r="D369" s="208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  <c r="BB369" s="75"/>
      <c r="BC369" s="75"/>
      <c r="BD369" s="75"/>
      <c r="BE369" s="75"/>
      <c r="BF369" s="75"/>
      <c r="BG369" s="75"/>
      <c r="BH369" s="75"/>
      <c r="BI369" s="75"/>
      <c r="BL369" s="369">
        <v>45608.0</v>
      </c>
      <c r="BM369" s="370" t="s">
        <v>891</v>
      </c>
      <c r="BN369" s="371">
        <v>815.0</v>
      </c>
      <c r="BO369" s="372">
        <v>4.0</v>
      </c>
      <c r="BP369" s="208"/>
      <c r="BQ369" s="75"/>
    </row>
    <row r="370" hidden="1">
      <c r="A370" s="25"/>
      <c r="B370" s="26"/>
      <c r="C370" s="26"/>
      <c r="D370" s="208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  <c r="BB370" s="75"/>
      <c r="BC370" s="75"/>
      <c r="BD370" s="75"/>
      <c r="BE370" s="75"/>
      <c r="BF370" s="75"/>
      <c r="BG370" s="75"/>
      <c r="BH370" s="75"/>
      <c r="BI370" s="75"/>
      <c r="BL370" s="369">
        <v>45609.0</v>
      </c>
      <c r="BM370" s="370" t="s">
        <v>856</v>
      </c>
      <c r="BN370" s="371">
        <v>26.0</v>
      </c>
      <c r="BO370" s="372">
        <v>1.0</v>
      </c>
      <c r="BP370" s="208"/>
      <c r="BQ370" s="75"/>
    </row>
    <row r="371" hidden="1">
      <c r="A371" s="25"/>
      <c r="B371" s="26"/>
      <c r="C371" s="26"/>
      <c r="D371" s="208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  <c r="BB371" s="75"/>
      <c r="BC371" s="75"/>
      <c r="BD371" s="75"/>
      <c r="BE371" s="75"/>
      <c r="BF371" s="75"/>
      <c r="BG371" s="75"/>
      <c r="BH371" s="75"/>
      <c r="BI371" s="75"/>
      <c r="BL371" s="369">
        <v>45610.0</v>
      </c>
      <c r="BM371" s="373"/>
      <c r="BN371" s="374"/>
      <c r="BO371" s="375"/>
      <c r="BP371" s="208"/>
      <c r="BQ371" s="75"/>
    </row>
    <row r="372" hidden="1">
      <c r="A372" s="25"/>
      <c r="B372" s="26"/>
      <c r="C372" s="26"/>
      <c r="D372" s="208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  <c r="BE372" s="75"/>
      <c r="BF372" s="75"/>
      <c r="BG372" s="75"/>
      <c r="BH372" s="75"/>
      <c r="BI372" s="75"/>
      <c r="BL372" s="369">
        <v>45611.0</v>
      </c>
      <c r="BM372" s="373"/>
      <c r="BN372" s="374"/>
      <c r="BO372" s="375"/>
      <c r="BP372" s="208"/>
      <c r="BQ372" s="75"/>
    </row>
    <row r="373" hidden="1">
      <c r="A373" s="25"/>
      <c r="B373" s="26"/>
      <c r="C373" s="26"/>
      <c r="D373" s="208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  <c r="BB373" s="75"/>
      <c r="BC373" s="75"/>
      <c r="BD373" s="75"/>
      <c r="BE373" s="75"/>
      <c r="BF373" s="75"/>
      <c r="BG373" s="75"/>
      <c r="BH373" s="75"/>
      <c r="BI373" s="75"/>
      <c r="BL373" s="369">
        <v>45612.0</v>
      </c>
      <c r="BM373" s="370" t="s">
        <v>797</v>
      </c>
      <c r="BN373" s="371">
        <v>931.0</v>
      </c>
      <c r="BO373" s="372">
        <v>4.0</v>
      </c>
      <c r="BP373" s="208"/>
      <c r="BQ373" s="75"/>
    </row>
    <row r="374" hidden="1">
      <c r="A374" s="25"/>
      <c r="B374" s="26"/>
      <c r="C374" s="26"/>
      <c r="D374" s="208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  <c r="BG374" s="75"/>
      <c r="BH374" s="75"/>
      <c r="BI374" s="75"/>
      <c r="BL374" s="369">
        <v>45613.0</v>
      </c>
      <c r="BM374" s="373"/>
      <c r="BN374" s="374"/>
      <c r="BO374" s="375"/>
      <c r="BP374" s="208"/>
      <c r="BQ374" s="75"/>
    </row>
    <row r="375" hidden="1">
      <c r="A375" s="25"/>
      <c r="B375" s="26"/>
      <c r="C375" s="26"/>
      <c r="D375" s="208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L375" s="369">
        <v>45614.0</v>
      </c>
      <c r="BM375" s="370" t="s">
        <v>892</v>
      </c>
      <c r="BN375" s="371">
        <v>51.0</v>
      </c>
      <c r="BO375" s="372">
        <v>2.0</v>
      </c>
      <c r="BP375" s="208"/>
      <c r="BQ375" s="75"/>
    </row>
    <row r="376" hidden="1">
      <c r="A376" s="25"/>
      <c r="B376" s="26"/>
      <c r="C376" s="26"/>
      <c r="D376" s="208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  <c r="BG376" s="75"/>
      <c r="BH376" s="75"/>
      <c r="BI376" s="75"/>
      <c r="BL376" s="369">
        <v>45615.0</v>
      </c>
      <c r="BM376" s="373"/>
      <c r="BN376" s="374"/>
      <c r="BO376" s="375"/>
      <c r="BP376" s="208"/>
      <c r="BQ376" s="75"/>
    </row>
    <row r="377" hidden="1">
      <c r="A377" s="25"/>
      <c r="B377" s="26"/>
      <c r="C377" s="26"/>
      <c r="D377" s="208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  <c r="BB377" s="75"/>
      <c r="BC377" s="75"/>
      <c r="BD377" s="75"/>
      <c r="BE377" s="75"/>
      <c r="BF377" s="75"/>
      <c r="BG377" s="75"/>
      <c r="BH377" s="75"/>
      <c r="BI377" s="75"/>
      <c r="BL377" s="369">
        <v>45616.0</v>
      </c>
      <c r="BM377" s="370" t="s">
        <v>803</v>
      </c>
      <c r="BN377" s="371">
        <v>269.0</v>
      </c>
      <c r="BO377" s="372">
        <v>4.0</v>
      </c>
      <c r="BP377" s="208"/>
      <c r="BQ377" s="75"/>
    </row>
    <row r="378" hidden="1">
      <c r="A378" s="25"/>
      <c r="B378" s="26"/>
      <c r="C378" s="26"/>
      <c r="D378" s="208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  <c r="BB378" s="75"/>
      <c r="BC378" s="75"/>
      <c r="BD378" s="75"/>
      <c r="BE378" s="75"/>
      <c r="BF378" s="75"/>
      <c r="BG378" s="75"/>
      <c r="BH378" s="75"/>
      <c r="BI378" s="75"/>
      <c r="BL378" s="369">
        <v>45617.0</v>
      </c>
      <c r="BM378" s="370" t="s">
        <v>893</v>
      </c>
      <c r="BN378" s="371">
        <v>94.0</v>
      </c>
      <c r="BO378" s="372">
        <v>3.0</v>
      </c>
      <c r="BP378" s="208"/>
      <c r="BQ378" s="75"/>
    </row>
    <row r="379" hidden="1">
      <c r="A379" s="25"/>
      <c r="B379" s="26"/>
      <c r="C379" s="26"/>
      <c r="D379" s="208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  <c r="BG379" s="75"/>
      <c r="BH379" s="75"/>
      <c r="BI379" s="75"/>
      <c r="BL379" s="369">
        <v>45618.0</v>
      </c>
      <c r="BM379" s="373"/>
      <c r="BN379" s="374"/>
      <c r="BO379" s="375"/>
      <c r="BP379" s="208"/>
      <c r="BQ379" s="75"/>
    </row>
    <row r="380" hidden="1">
      <c r="A380" s="25"/>
      <c r="B380" s="26"/>
      <c r="C380" s="26"/>
      <c r="D380" s="208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  <c r="BG380" s="75"/>
      <c r="BH380" s="75"/>
      <c r="BI380" s="75"/>
      <c r="BL380" s="369">
        <v>45619.0</v>
      </c>
      <c r="BM380" s="370" t="s">
        <v>894</v>
      </c>
      <c r="BN380" s="371">
        <v>33.0</v>
      </c>
      <c r="BO380" s="372">
        <v>1.0</v>
      </c>
      <c r="BP380" s="208"/>
      <c r="BQ380" s="75"/>
    </row>
    <row r="381" hidden="1">
      <c r="A381" s="25"/>
      <c r="B381" s="26"/>
      <c r="C381" s="26"/>
      <c r="D381" s="208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  <c r="BB381" s="75"/>
      <c r="BC381" s="75"/>
      <c r="BD381" s="75"/>
      <c r="BE381" s="75"/>
      <c r="BF381" s="75"/>
      <c r="BG381" s="75"/>
      <c r="BH381" s="75"/>
      <c r="BI381" s="75"/>
      <c r="BL381" s="369">
        <v>45620.0</v>
      </c>
      <c r="BM381" s="373"/>
      <c r="BN381" s="374"/>
      <c r="BO381" s="375"/>
      <c r="BP381" s="208"/>
      <c r="BQ381" s="75"/>
    </row>
    <row r="382" hidden="1">
      <c r="A382" s="25"/>
      <c r="B382" s="26"/>
      <c r="C382" s="26"/>
      <c r="D382" s="208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  <c r="BG382" s="75"/>
      <c r="BH382" s="75"/>
      <c r="BI382" s="75"/>
      <c r="BL382" s="369">
        <v>45621.0</v>
      </c>
      <c r="BM382" s="373"/>
      <c r="BN382" s="374"/>
      <c r="BO382" s="375"/>
      <c r="BP382" s="208"/>
      <c r="BQ382" s="75"/>
    </row>
    <row r="383" hidden="1">
      <c r="A383" s="25"/>
      <c r="B383" s="26"/>
      <c r="C383" s="26"/>
      <c r="D383" s="208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L383" s="369">
        <v>45622.0</v>
      </c>
      <c r="BM383" s="373"/>
      <c r="BN383" s="374"/>
      <c r="BO383" s="375"/>
      <c r="BP383" s="208"/>
      <c r="BQ383" s="75"/>
    </row>
    <row r="384" hidden="1">
      <c r="A384" s="25"/>
      <c r="B384" s="26"/>
      <c r="C384" s="26"/>
      <c r="D384" s="208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  <c r="BG384" s="75"/>
      <c r="BH384" s="75"/>
      <c r="BI384" s="75"/>
      <c r="BL384" s="369">
        <v>45623.0</v>
      </c>
      <c r="BM384" s="373"/>
      <c r="BN384" s="374"/>
      <c r="BO384" s="375"/>
      <c r="BP384" s="208"/>
      <c r="BQ384" s="75"/>
    </row>
    <row r="385" hidden="1">
      <c r="A385" s="25"/>
      <c r="B385" s="26"/>
      <c r="C385" s="26"/>
      <c r="D385" s="208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  <c r="BG385" s="75"/>
      <c r="BH385" s="75"/>
      <c r="BI385" s="75"/>
      <c r="BL385" s="369">
        <v>45624.0</v>
      </c>
      <c r="BM385" s="373"/>
      <c r="BN385" s="374"/>
      <c r="BO385" s="375"/>
      <c r="BP385" s="208"/>
      <c r="BQ385" s="75"/>
    </row>
    <row r="386" hidden="1">
      <c r="A386" s="25"/>
      <c r="B386" s="26"/>
      <c r="C386" s="26"/>
      <c r="D386" s="208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  <c r="BG386" s="75"/>
      <c r="BH386" s="75"/>
      <c r="BI386" s="75"/>
      <c r="BL386" s="369">
        <v>45625.0</v>
      </c>
      <c r="BM386" s="373"/>
      <c r="BN386" s="374"/>
      <c r="BO386" s="375"/>
      <c r="BP386" s="208"/>
      <c r="BQ386" s="75"/>
    </row>
    <row r="387" hidden="1">
      <c r="A387" s="25"/>
      <c r="B387" s="26"/>
      <c r="C387" s="26"/>
      <c r="D387" s="208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  <c r="BG387" s="75"/>
      <c r="BH387" s="75"/>
      <c r="BI387" s="75"/>
      <c r="BL387" s="369">
        <v>45626.0</v>
      </c>
      <c r="BM387" s="370" t="s">
        <v>871</v>
      </c>
      <c r="BN387" s="371">
        <v>32.0</v>
      </c>
      <c r="BO387" s="372">
        <v>1.0</v>
      </c>
      <c r="BP387" s="208"/>
      <c r="BQ387" s="75"/>
    </row>
    <row r="388" hidden="1">
      <c r="A388" s="25"/>
      <c r="B388" s="26"/>
      <c r="C388" s="26"/>
      <c r="D388" s="208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  <c r="BG388" s="75"/>
      <c r="BH388" s="75"/>
      <c r="BI388" s="75"/>
      <c r="BL388" s="369">
        <v>45627.0</v>
      </c>
      <c r="BM388" s="370" t="s">
        <v>810</v>
      </c>
      <c r="BN388" s="371">
        <v>68.0</v>
      </c>
      <c r="BO388" s="372">
        <v>3.0</v>
      </c>
      <c r="BP388" s="208"/>
      <c r="BQ388" s="75"/>
    </row>
    <row r="389" hidden="1">
      <c r="A389" s="25"/>
      <c r="B389" s="26"/>
      <c r="C389" s="26"/>
      <c r="D389" s="208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  <c r="BG389" s="75"/>
      <c r="BH389" s="75"/>
      <c r="BI389" s="75"/>
      <c r="BL389" s="369">
        <v>45628.0</v>
      </c>
      <c r="BM389" s="373"/>
      <c r="BN389" s="374"/>
      <c r="BO389" s="375"/>
      <c r="BP389" s="208"/>
      <c r="BQ389" s="75"/>
    </row>
    <row r="390" hidden="1">
      <c r="A390" s="25"/>
      <c r="B390" s="26"/>
      <c r="C390" s="26"/>
      <c r="D390" s="208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L390" s="369">
        <v>45629.0</v>
      </c>
      <c r="BM390" s="370" t="s">
        <v>866</v>
      </c>
      <c r="BN390" s="371">
        <v>86.0</v>
      </c>
      <c r="BO390" s="372">
        <v>3.0</v>
      </c>
      <c r="BP390" s="208"/>
      <c r="BQ390" s="75"/>
    </row>
    <row r="391" hidden="1">
      <c r="A391" s="25"/>
      <c r="B391" s="26"/>
      <c r="C391" s="26"/>
      <c r="D391" s="208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  <c r="BG391" s="75"/>
      <c r="BH391" s="75"/>
      <c r="BI391" s="75"/>
      <c r="BL391" s="369">
        <v>45630.0</v>
      </c>
      <c r="BM391" s="373"/>
      <c r="BN391" s="374"/>
      <c r="BO391" s="375"/>
      <c r="BP391" s="208"/>
      <c r="BQ391" s="75"/>
    </row>
    <row r="392" hidden="1">
      <c r="A392" s="25"/>
      <c r="B392" s="26"/>
      <c r="C392" s="26"/>
      <c r="D392" s="208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  <c r="BB392" s="75"/>
      <c r="BC392" s="75"/>
      <c r="BD392" s="75"/>
      <c r="BE392" s="75"/>
      <c r="BF392" s="75"/>
      <c r="BG392" s="75"/>
      <c r="BH392" s="75"/>
      <c r="BI392" s="75"/>
      <c r="BL392" s="369">
        <v>45631.0</v>
      </c>
      <c r="BM392" s="370" t="s">
        <v>823</v>
      </c>
      <c r="BN392" s="371">
        <v>826.0</v>
      </c>
      <c r="BO392" s="372">
        <v>4.0</v>
      </c>
      <c r="BP392" s="208"/>
      <c r="BQ392" s="75"/>
    </row>
    <row r="393" hidden="1">
      <c r="A393" s="25"/>
      <c r="B393" s="26"/>
      <c r="C393" s="26"/>
      <c r="D393" s="208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  <c r="BB393" s="75"/>
      <c r="BC393" s="75"/>
      <c r="BD393" s="75"/>
      <c r="BE393" s="75"/>
      <c r="BF393" s="75"/>
      <c r="BG393" s="75"/>
      <c r="BH393" s="75"/>
      <c r="BI393" s="75"/>
      <c r="BL393" s="369">
        <v>45632.0</v>
      </c>
      <c r="BM393" s="373"/>
      <c r="BN393" s="374"/>
      <c r="BO393" s="375"/>
      <c r="BP393" s="208"/>
      <c r="BQ393" s="75"/>
    </row>
    <row r="394" hidden="1">
      <c r="A394" s="25"/>
      <c r="B394" s="26"/>
      <c r="C394" s="26"/>
      <c r="D394" s="208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5"/>
      <c r="BD394" s="75"/>
      <c r="BE394" s="75"/>
      <c r="BF394" s="75"/>
      <c r="BG394" s="75"/>
      <c r="BH394" s="75"/>
      <c r="BI394" s="75"/>
      <c r="BL394" s="369">
        <v>45633.0</v>
      </c>
      <c r="BM394" s="373"/>
      <c r="BN394" s="374"/>
      <c r="BO394" s="375"/>
      <c r="BP394" s="208"/>
      <c r="BQ394" s="75"/>
    </row>
    <row r="395" hidden="1">
      <c r="A395" s="25"/>
      <c r="B395" s="26"/>
      <c r="C395" s="26"/>
      <c r="D395" s="208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  <c r="BB395" s="75"/>
      <c r="BC395" s="75"/>
      <c r="BD395" s="75"/>
      <c r="BE395" s="75"/>
      <c r="BF395" s="75"/>
      <c r="BG395" s="75"/>
      <c r="BH395" s="75"/>
      <c r="BI395" s="75"/>
      <c r="BL395" s="369">
        <v>45634.0</v>
      </c>
      <c r="BM395" s="373"/>
      <c r="BN395" s="374"/>
      <c r="BO395" s="375"/>
      <c r="BP395" s="208"/>
      <c r="BQ395" s="75"/>
    </row>
    <row r="396" hidden="1">
      <c r="A396" s="25"/>
      <c r="B396" s="26"/>
      <c r="C396" s="26"/>
      <c r="D396" s="208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  <c r="BB396" s="75"/>
      <c r="BC396" s="75"/>
      <c r="BD396" s="75"/>
      <c r="BE396" s="75"/>
      <c r="BF396" s="75"/>
      <c r="BG396" s="75"/>
      <c r="BH396" s="75"/>
      <c r="BI396" s="75"/>
      <c r="BL396" s="369">
        <v>45635.0</v>
      </c>
      <c r="BM396" s="373"/>
      <c r="BN396" s="374"/>
      <c r="BO396" s="375"/>
      <c r="BP396" s="208"/>
      <c r="BQ396" s="75"/>
    </row>
    <row r="397" hidden="1">
      <c r="A397" s="25"/>
      <c r="B397" s="26"/>
      <c r="C397" s="26"/>
      <c r="D397" s="208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L397" s="369">
        <v>45636.0</v>
      </c>
      <c r="BM397" s="370" t="s">
        <v>834</v>
      </c>
      <c r="BN397" s="371">
        <v>79.0</v>
      </c>
      <c r="BO397" s="372">
        <v>3.0</v>
      </c>
      <c r="BP397" s="208"/>
      <c r="BQ397" s="75"/>
    </row>
    <row r="398" hidden="1">
      <c r="A398" s="25"/>
      <c r="B398" s="26"/>
      <c r="C398" s="26"/>
      <c r="D398" s="208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  <c r="BB398" s="75"/>
      <c r="BC398" s="75"/>
      <c r="BD398" s="75"/>
      <c r="BE398" s="75"/>
      <c r="BF398" s="75"/>
      <c r="BG398" s="75"/>
      <c r="BH398" s="75"/>
      <c r="BI398" s="75"/>
      <c r="BL398" s="369">
        <v>45637.0</v>
      </c>
      <c r="BM398" s="373"/>
      <c r="BN398" s="374"/>
      <c r="BO398" s="375"/>
      <c r="BP398" s="208"/>
      <c r="BQ398" s="75"/>
    </row>
    <row r="399" hidden="1">
      <c r="A399" s="25"/>
      <c r="B399" s="26"/>
      <c r="C399" s="26"/>
      <c r="D399" s="208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  <c r="BB399" s="75"/>
      <c r="BC399" s="75"/>
      <c r="BD399" s="75"/>
      <c r="BE399" s="75"/>
      <c r="BF399" s="75"/>
      <c r="BG399" s="75"/>
      <c r="BH399" s="75"/>
      <c r="BI399" s="75"/>
      <c r="BL399" s="369">
        <v>45638.0</v>
      </c>
      <c r="BM399" s="373"/>
      <c r="BN399" s="374"/>
      <c r="BO399" s="375"/>
      <c r="BP399" s="208"/>
      <c r="BQ399" s="75"/>
    </row>
    <row r="400" hidden="1">
      <c r="A400" s="25"/>
      <c r="B400" s="26"/>
      <c r="C400" s="26"/>
      <c r="D400" s="208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  <c r="BG400" s="75"/>
      <c r="BH400" s="75"/>
      <c r="BI400" s="75"/>
      <c r="BL400" s="369">
        <v>45639.0</v>
      </c>
      <c r="BM400" s="373"/>
      <c r="BN400" s="374"/>
      <c r="BO400" s="375"/>
      <c r="BP400" s="208"/>
      <c r="BQ400" s="75"/>
    </row>
    <row r="401" hidden="1">
      <c r="A401" s="25"/>
      <c r="B401" s="26"/>
      <c r="C401" s="26"/>
      <c r="D401" s="208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L401" s="369">
        <v>45640.0</v>
      </c>
      <c r="BM401" s="373"/>
      <c r="BN401" s="374"/>
      <c r="BO401" s="375"/>
      <c r="BP401" s="208"/>
      <c r="BQ401" s="75"/>
    </row>
    <row r="402" hidden="1">
      <c r="A402" s="25"/>
      <c r="B402" s="26"/>
      <c r="C402" s="26"/>
      <c r="D402" s="208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  <c r="BG402" s="75"/>
      <c r="BH402" s="75"/>
      <c r="BI402" s="75"/>
      <c r="BL402" s="369">
        <v>45641.0</v>
      </c>
      <c r="BM402" s="373"/>
      <c r="BN402" s="374"/>
      <c r="BO402" s="375"/>
      <c r="BP402" s="208"/>
      <c r="BQ402" s="75"/>
    </row>
    <row r="403" hidden="1">
      <c r="A403" s="25"/>
      <c r="B403" s="26"/>
      <c r="C403" s="26"/>
      <c r="D403" s="208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  <c r="BB403" s="75"/>
      <c r="BC403" s="75"/>
      <c r="BD403" s="75"/>
      <c r="BE403" s="75"/>
      <c r="BF403" s="75"/>
      <c r="BG403" s="75"/>
      <c r="BH403" s="75"/>
      <c r="BI403" s="75"/>
      <c r="BL403" s="369">
        <v>45642.0</v>
      </c>
      <c r="BM403" s="370" t="s">
        <v>895</v>
      </c>
      <c r="BN403" s="371">
        <v>54.0</v>
      </c>
      <c r="BO403" s="372">
        <v>2.0</v>
      </c>
      <c r="BP403" s="208"/>
      <c r="BQ403" s="75"/>
    </row>
    <row r="404" hidden="1">
      <c r="A404" s="25"/>
      <c r="B404" s="26"/>
      <c r="C404" s="26"/>
      <c r="D404" s="208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  <c r="BB404" s="75"/>
      <c r="BC404" s="75"/>
      <c r="BD404" s="75"/>
      <c r="BE404" s="75"/>
      <c r="BF404" s="75"/>
      <c r="BG404" s="75"/>
      <c r="BH404" s="75"/>
      <c r="BI404" s="75"/>
      <c r="BL404" s="369">
        <v>45643.0</v>
      </c>
      <c r="BM404" s="370" t="s">
        <v>826</v>
      </c>
      <c r="BN404" s="371">
        <v>0.0</v>
      </c>
      <c r="BO404" s="372">
        <v>1.0</v>
      </c>
      <c r="BP404" s="208"/>
      <c r="BQ404" s="75"/>
    </row>
    <row r="405" hidden="1">
      <c r="A405" s="25"/>
      <c r="B405" s="26"/>
      <c r="C405" s="26"/>
      <c r="D405" s="208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  <c r="BA405" s="75"/>
      <c r="BB405" s="75"/>
      <c r="BC405" s="75"/>
      <c r="BD405" s="75"/>
      <c r="BE405" s="75"/>
      <c r="BF405" s="75"/>
      <c r="BG405" s="75"/>
      <c r="BH405" s="75"/>
      <c r="BI405" s="75"/>
      <c r="BL405" s="369">
        <v>45644.0</v>
      </c>
      <c r="BM405" s="373"/>
      <c r="BN405" s="374"/>
      <c r="BO405" s="375"/>
      <c r="BP405" s="208"/>
      <c r="BQ405" s="75"/>
    </row>
    <row r="406" hidden="1">
      <c r="A406" s="25"/>
      <c r="B406" s="26"/>
      <c r="C406" s="26"/>
      <c r="D406" s="208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  <c r="BB406" s="75"/>
      <c r="BC406" s="75"/>
      <c r="BD406" s="75"/>
      <c r="BE406" s="75"/>
      <c r="BF406" s="75"/>
      <c r="BG406" s="75"/>
      <c r="BH406" s="75"/>
      <c r="BI406" s="75"/>
      <c r="BL406" s="369">
        <v>45645.0</v>
      </c>
      <c r="BM406" s="373"/>
      <c r="BN406" s="374"/>
      <c r="BO406" s="375"/>
      <c r="BP406" s="208"/>
      <c r="BQ406" s="75"/>
    </row>
    <row r="407" hidden="1">
      <c r="A407" s="25"/>
      <c r="B407" s="26"/>
      <c r="C407" s="26"/>
      <c r="D407" s="208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5"/>
      <c r="BD407" s="75"/>
      <c r="BE407" s="75"/>
      <c r="BF407" s="75"/>
      <c r="BG407" s="75"/>
      <c r="BH407" s="75"/>
      <c r="BI407" s="75"/>
      <c r="BL407" s="369">
        <v>45646.0</v>
      </c>
      <c r="BM407" s="373"/>
      <c r="BN407" s="374"/>
      <c r="BO407" s="375"/>
      <c r="BP407" s="208"/>
      <c r="BQ407" s="75"/>
    </row>
    <row r="408" hidden="1">
      <c r="A408" s="25"/>
      <c r="B408" s="26"/>
      <c r="C408" s="26"/>
      <c r="D408" s="208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  <c r="BB408" s="75"/>
      <c r="BC408" s="75"/>
      <c r="BD408" s="75"/>
      <c r="BE408" s="75"/>
      <c r="BF408" s="75"/>
      <c r="BG408" s="75"/>
      <c r="BH408" s="75"/>
      <c r="BI408" s="75"/>
      <c r="BL408" s="369">
        <v>45647.0</v>
      </c>
      <c r="BM408" s="373"/>
      <c r="BN408" s="374"/>
      <c r="BO408" s="375"/>
      <c r="BP408" s="208"/>
      <c r="BQ408" s="75"/>
    </row>
    <row r="409" hidden="1">
      <c r="A409" s="25"/>
      <c r="B409" s="26"/>
      <c r="C409" s="26"/>
      <c r="D409" s="208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5"/>
      <c r="BC409" s="75"/>
      <c r="BD409" s="75"/>
      <c r="BE409" s="75"/>
      <c r="BF409" s="75"/>
      <c r="BG409" s="75"/>
      <c r="BH409" s="75"/>
      <c r="BI409" s="75"/>
      <c r="BL409" s="369">
        <v>45648.0</v>
      </c>
      <c r="BM409" s="370" t="s">
        <v>871</v>
      </c>
      <c r="BN409" s="371">
        <v>95.0</v>
      </c>
      <c r="BO409" s="372">
        <v>3.0</v>
      </c>
      <c r="BP409" s="208"/>
      <c r="BQ409" s="75"/>
    </row>
    <row r="410" hidden="1">
      <c r="A410" s="25"/>
      <c r="B410" s="26"/>
      <c r="C410" s="26"/>
      <c r="D410" s="208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  <c r="BB410" s="75"/>
      <c r="BC410" s="75"/>
      <c r="BD410" s="75"/>
      <c r="BE410" s="75"/>
      <c r="BF410" s="75"/>
      <c r="BG410" s="75"/>
      <c r="BH410" s="75"/>
      <c r="BI410" s="75"/>
      <c r="BL410" s="369">
        <v>45649.0</v>
      </c>
      <c r="BM410" s="373"/>
      <c r="BN410" s="374"/>
      <c r="BO410" s="375"/>
      <c r="BP410" s="208"/>
      <c r="BQ410" s="75"/>
    </row>
    <row r="411" hidden="1">
      <c r="A411" s="25"/>
      <c r="B411" s="26"/>
      <c r="C411" s="26"/>
      <c r="D411" s="208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  <c r="BB411" s="75"/>
      <c r="BC411" s="75"/>
      <c r="BD411" s="75"/>
      <c r="BE411" s="75"/>
      <c r="BF411" s="75"/>
      <c r="BG411" s="75"/>
      <c r="BH411" s="75"/>
      <c r="BI411" s="75"/>
      <c r="BL411" s="369">
        <v>45650.0</v>
      </c>
      <c r="BM411" s="373"/>
      <c r="BN411" s="374"/>
      <c r="BO411" s="375"/>
      <c r="BP411" s="208"/>
      <c r="BQ411" s="75"/>
    </row>
    <row r="412" hidden="1">
      <c r="A412" s="25"/>
      <c r="B412" s="26"/>
      <c r="C412" s="26"/>
      <c r="D412" s="208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  <c r="BB412" s="75"/>
      <c r="BC412" s="75"/>
      <c r="BD412" s="75"/>
      <c r="BE412" s="75"/>
      <c r="BF412" s="75"/>
      <c r="BG412" s="75"/>
      <c r="BH412" s="75"/>
      <c r="BI412" s="75"/>
      <c r="BL412" s="369">
        <v>45651.0</v>
      </c>
      <c r="BM412" s="373"/>
      <c r="BN412" s="374"/>
      <c r="BO412" s="375"/>
      <c r="BP412" s="208"/>
      <c r="BQ412" s="75"/>
    </row>
    <row r="413" hidden="1">
      <c r="A413" s="25"/>
      <c r="B413" s="26"/>
      <c r="C413" s="26"/>
      <c r="D413" s="208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  <c r="BB413" s="75"/>
      <c r="BC413" s="75"/>
      <c r="BD413" s="75"/>
      <c r="BE413" s="75"/>
      <c r="BF413" s="75"/>
      <c r="BG413" s="75"/>
      <c r="BH413" s="75"/>
      <c r="BI413" s="75"/>
      <c r="BL413" s="369">
        <v>45652.0</v>
      </c>
      <c r="BM413" s="370" t="s">
        <v>822</v>
      </c>
      <c r="BN413" s="371">
        <v>95.0</v>
      </c>
      <c r="BO413" s="372">
        <v>3.0</v>
      </c>
      <c r="BP413" s="208"/>
      <c r="BQ413" s="75"/>
    </row>
    <row r="414" hidden="1">
      <c r="A414" s="25"/>
      <c r="B414" s="26"/>
      <c r="C414" s="26"/>
      <c r="D414" s="208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  <c r="BB414" s="75"/>
      <c r="BC414" s="75"/>
      <c r="BD414" s="75"/>
      <c r="BE414" s="75"/>
      <c r="BF414" s="75"/>
      <c r="BG414" s="75"/>
      <c r="BH414" s="75"/>
      <c r="BI414" s="75"/>
      <c r="BL414" s="369">
        <v>45653.0</v>
      </c>
      <c r="BM414" s="370" t="s">
        <v>823</v>
      </c>
      <c r="BN414" s="371">
        <v>48.0</v>
      </c>
      <c r="BO414" s="372">
        <v>2.0</v>
      </c>
      <c r="BP414" s="208"/>
      <c r="BQ414" s="75"/>
    </row>
    <row r="415" hidden="1">
      <c r="A415" s="25"/>
      <c r="B415" s="26"/>
      <c r="C415" s="26"/>
      <c r="D415" s="208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  <c r="BB415" s="75"/>
      <c r="BC415" s="75"/>
      <c r="BD415" s="75"/>
      <c r="BE415" s="75"/>
      <c r="BF415" s="75"/>
      <c r="BG415" s="75"/>
      <c r="BH415" s="75"/>
      <c r="BI415" s="75"/>
      <c r="BL415" s="369">
        <v>45654.0</v>
      </c>
      <c r="BM415" s="373"/>
      <c r="BN415" s="374"/>
      <c r="BO415" s="375"/>
      <c r="BP415" s="208"/>
      <c r="BQ415" s="75"/>
    </row>
    <row r="416" hidden="1">
      <c r="A416" s="25"/>
      <c r="B416" s="26"/>
      <c r="C416" s="26"/>
      <c r="D416" s="208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  <c r="BB416" s="75"/>
      <c r="BC416" s="75"/>
      <c r="BD416" s="75"/>
      <c r="BE416" s="75"/>
      <c r="BF416" s="75"/>
      <c r="BG416" s="75"/>
      <c r="BH416" s="75"/>
      <c r="BI416" s="75"/>
      <c r="BL416" s="369">
        <v>45655.0</v>
      </c>
      <c r="BM416" s="370" t="s">
        <v>836</v>
      </c>
      <c r="BN416" s="371">
        <v>87.0</v>
      </c>
      <c r="BO416" s="372">
        <v>3.0</v>
      </c>
      <c r="BP416" s="208"/>
      <c r="BQ416" s="75"/>
    </row>
    <row r="417" hidden="1">
      <c r="A417" s="25"/>
      <c r="B417" s="26"/>
      <c r="C417" s="26"/>
      <c r="D417" s="208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  <c r="BB417" s="75"/>
      <c r="BC417" s="75"/>
      <c r="BD417" s="75"/>
      <c r="BE417" s="75"/>
      <c r="BF417" s="75"/>
      <c r="BG417" s="75"/>
      <c r="BH417" s="75"/>
      <c r="BI417" s="75"/>
      <c r="BL417" s="369">
        <v>45656.0</v>
      </c>
      <c r="BM417" s="370" t="s">
        <v>896</v>
      </c>
      <c r="BN417" s="371">
        <v>78.0</v>
      </c>
      <c r="BO417" s="372">
        <v>3.0</v>
      </c>
      <c r="BP417" s="208"/>
      <c r="BQ417" s="75"/>
    </row>
    <row r="418" hidden="1">
      <c r="A418" s="25"/>
      <c r="B418" s="26"/>
      <c r="C418" s="26"/>
      <c r="D418" s="208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L418" s="369">
        <v>45657.0</v>
      </c>
      <c r="BM418" s="373"/>
      <c r="BN418" s="374"/>
      <c r="BO418" s="375"/>
      <c r="BP418" s="208"/>
      <c r="BQ418" s="75"/>
    </row>
    <row r="419">
      <c r="A419" s="25"/>
      <c r="B419" s="26"/>
      <c r="C419" s="26"/>
      <c r="D419" s="208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  <c r="BG419" s="75"/>
      <c r="BH419" s="75"/>
      <c r="BI419" s="75"/>
      <c r="BL419" s="75"/>
      <c r="BM419" s="75"/>
      <c r="BN419" s="322"/>
      <c r="BO419" s="388"/>
      <c r="BP419" s="208"/>
      <c r="BQ419" s="75"/>
    </row>
    <row r="420">
      <c r="A420" s="25"/>
      <c r="B420" s="26"/>
      <c r="C420" s="26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74"/>
      <c r="AC420" s="174"/>
      <c r="AD420" s="174"/>
      <c r="AE420" s="174"/>
      <c r="AF420" s="174"/>
      <c r="AG420" s="174"/>
      <c r="AH420" s="174"/>
      <c r="AI420" s="174"/>
      <c r="AJ420" s="174"/>
      <c r="AK420" s="174"/>
      <c r="AL420" s="174"/>
      <c r="AM420" s="174"/>
      <c r="AN420" s="174"/>
      <c r="AO420" s="174"/>
      <c r="AP420" s="174"/>
      <c r="AQ420" s="174"/>
      <c r="AR420" s="174"/>
      <c r="AS420" s="174"/>
      <c r="AT420" s="174"/>
      <c r="AU420" s="174"/>
      <c r="AV420" s="174"/>
      <c r="AW420" s="174"/>
      <c r="AX420" s="174"/>
      <c r="AY420" s="174"/>
      <c r="AZ420" s="174"/>
      <c r="BA420" s="174"/>
      <c r="BB420" s="174"/>
      <c r="BC420" s="174"/>
      <c r="BD420" s="174"/>
      <c r="BE420" s="174"/>
      <c r="BF420" s="174"/>
      <c r="BG420" s="174"/>
      <c r="BH420" s="174"/>
      <c r="BI420" s="174"/>
      <c r="BN420" s="310"/>
      <c r="BQ420" s="130"/>
    </row>
  </sheetData>
  <mergeCells count="21">
    <mergeCell ref="BL4:BO4"/>
    <mergeCell ref="BL5:BM5"/>
    <mergeCell ref="BL22:BO22"/>
    <mergeCell ref="BL23:BM23"/>
    <mergeCell ref="BL51:BO51"/>
    <mergeCell ref="E54:F54"/>
    <mergeCell ref="E55:F55"/>
    <mergeCell ref="E57:F57"/>
    <mergeCell ref="E58:F58"/>
    <mergeCell ref="G58:H58"/>
    <mergeCell ref="I58:J58"/>
    <mergeCell ref="E59:F59"/>
    <mergeCell ref="G59:H59"/>
    <mergeCell ref="I59:J59"/>
    <mergeCell ref="G55:H55"/>
    <mergeCell ref="I55:J55"/>
    <mergeCell ref="E56:F56"/>
    <mergeCell ref="G56:H56"/>
    <mergeCell ref="I56:J56"/>
    <mergeCell ref="G57:H57"/>
    <mergeCell ref="I57:J57"/>
  </mergeCells>
  <conditionalFormatting sqref="G61:BH70 G74:BH83">
    <cfRule type="expression" dxfId="0" priority="1">
      <formula>xlookup(G61,$BL:$BL,$BO:$BO,,)=4</formula>
    </cfRule>
  </conditionalFormatting>
  <conditionalFormatting sqref="G61:BH70 G74:BH83">
    <cfRule type="expression" dxfId="1" priority="2">
      <formula>xlookup(G61,$BL:$BL,$BO:$BO,,)=3</formula>
    </cfRule>
  </conditionalFormatting>
  <conditionalFormatting sqref="G61:BH70 G74:BH83">
    <cfRule type="expression" dxfId="2" priority="3">
      <formula>xlookup(G61,$BL:$BL,$BO:$BO,,)=2</formula>
    </cfRule>
  </conditionalFormatting>
  <conditionalFormatting sqref="G61:BH70 G74:BH83">
    <cfRule type="expression" dxfId="3" priority="4">
      <formula>xlookup(G61,$BL:$BL,$BO:$BO,,)=1</formula>
    </cfRule>
  </conditionalFormatting>
  <conditionalFormatting sqref="E21:AC45">
    <cfRule type="expression" dxfId="4" priority="5">
      <formula>E21=$BL$24</formula>
    </cfRule>
  </conditionalFormatting>
  <conditionalFormatting sqref="E21:AC45">
    <cfRule type="expression" dxfId="5" priority="6">
      <formula>E21=$BL$25</formula>
    </cfRule>
  </conditionalFormatting>
  <conditionalFormatting sqref="E21:AC45">
    <cfRule type="expression" dxfId="6" priority="7">
      <formula>E21=$BL$26</formula>
    </cfRule>
  </conditionalFormatting>
  <conditionalFormatting sqref="E21:AC45">
    <cfRule type="expression" dxfId="7" priority="8">
      <formula>E21=$BL$27</formula>
    </cfRule>
  </conditionalFormatting>
  <conditionalFormatting sqref="E21:AC45">
    <cfRule type="expression" dxfId="8" priority="9">
      <formula>E21=$BL$28</formula>
    </cfRule>
  </conditionalFormatting>
  <conditionalFormatting sqref="E5:N14">
    <cfRule type="expression" dxfId="9" priority="10">
      <formula>E5=$BL$6</formula>
    </cfRule>
  </conditionalFormatting>
  <conditionalFormatting sqref="E5:N14">
    <cfRule type="expression" dxfId="10" priority="11">
      <formula>E5=$BL$7</formula>
    </cfRule>
  </conditionalFormatting>
  <conditionalFormatting sqref="E5:N14">
    <cfRule type="expression" dxfId="11" priority="12">
      <formula>E5=$BL$8</formula>
    </cfRule>
  </conditionalFormatting>
  <hyperlinks>
    <hyperlink r:id="rId1" ref="B2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2.63"/>
    <col customWidth="1" min="2" max="2" width="36.38"/>
    <col customWidth="1" min="3" max="4" width="2.63"/>
    <col customWidth="1" min="5" max="5" width="93.5"/>
    <col customWidth="1" min="6" max="6" width="93.0"/>
    <col customWidth="1" min="7" max="7" width="3.75"/>
    <col customWidth="1" min="8" max="8" width="2.88"/>
    <col customWidth="1" min="9" max="9" width="26.5"/>
    <col customWidth="1" min="10" max="10" width="16.88"/>
    <col customWidth="1" min="11" max="11" width="20.88"/>
  </cols>
  <sheetData>
    <row r="1">
      <c r="A1" s="25"/>
      <c r="B1" s="26"/>
      <c r="C1" s="26"/>
      <c r="D1" s="23"/>
      <c r="E1" s="27"/>
      <c r="F1" s="27"/>
      <c r="G1" s="27"/>
      <c r="H1" s="27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>
      <c r="A2" s="25"/>
      <c r="B2" s="28" t="s">
        <v>14</v>
      </c>
      <c r="C2" s="28"/>
      <c r="D2" s="23"/>
      <c r="E2" s="129" t="s">
        <v>923</v>
      </c>
      <c r="F2" s="27"/>
      <c r="G2" s="27"/>
      <c r="H2" s="27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>
      <c r="A3" s="25"/>
      <c r="B3" s="31"/>
      <c r="C3" s="31"/>
      <c r="D3" s="23"/>
      <c r="E3" s="66"/>
      <c r="F3" s="33"/>
      <c r="G3" s="33"/>
      <c r="H3" s="34"/>
      <c r="M3" s="23"/>
      <c r="N3" s="23"/>
      <c r="O3" s="23"/>
      <c r="P3" s="23"/>
      <c r="Q3" s="23"/>
      <c r="R3" s="23"/>
      <c r="S3" s="23"/>
      <c r="T3" s="23"/>
      <c r="U3" s="23"/>
      <c r="V3" s="23"/>
    </row>
    <row r="4">
      <c r="A4" s="25"/>
      <c r="B4" s="35" t="s">
        <v>16</v>
      </c>
      <c r="C4" s="36"/>
      <c r="D4" s="23"/>
      <c r="E4" s="27"/>
      <c r="F4" s="27"/>
      <c r="G4" s="27"/>
      <c r="H4" s="27"/>
      <c r="I4" s="41" t="s">
        <v>924</v>
      </c>
      <c r="J4" s="33"/>
      <c r="K4" s="33"/>
      <c r="L4" s="34"/>
      <c r="M4" s="23"/>
      <c r="N4" s="23"/>
      <c r="O4" s="23"/>
      <c r="P4" s="23"/>
      <c r="Q4" s="23"/>
      <c r="R4" s="23"/>
      <c r="S4" s="23"/>
      <c r="T4" s="23"/>
      <c r="U4" s="23"/>
      <c r="V4" s="23"/>
    </row>
    <row r="5">
      <c r="A5" s="25"/>
      <c r="B5" s="37" t="s">
        <v>923</v>
      </c>
      <c r="C5" s="38"/>
      <c r="D5" s="23"/>
      <c r="E5" s="27"/>
      <c r="F5" s="27"/>
      <c r="G5" s="27"/>
      <c r="H5" s="27"/>
      <c r="I5" s="445" t="s">
        <v>47</v>
      </c>
      <c r="J5" s="445" t="s">
        <v>925</v>
      </c>
      <c r="K5" s="445" t="s">
        <v>926</v>
      </c>
      <c r="L5" s="445" t="s">
        <v>927</v>
      </c>
      <c r="M5" s="23"/>
      <c r="N5" s="446" t="s">
        <v>47</v>
      </c>
      <c r="O5" s="446" t="s">
        <v>925</v>
      </c>
      <c r="P5" s="23"/>
      <c r="Q5" s="23"/>
      <c r="R5" s="23"/>
      <c r="S5" s="23"/>
      <c r="T5" s="23"/>
      <c r="U5" s="23"/>
      <c r="V5" s="23"/>
    </row>
    <row r="6">
      <c r="A6" s="25"/>
      <c r="B6" s="37" t="s">
        <v>928</v>
      </c>
      <c r="C6" s="38"/>
      <c r="D6" s="23"/>
      <c r="E6" s="27"/>
      <c r="F6" s="27"/>
      <c r="G6" s="27"/>
      <c r="H6" s="27"/>
      <c r="I6" s="88" t="s">
        <v>50</v>
      </c>
      <c r="J6" s="447">
        <v>10000.0</v>
      </c>
      <c r="K6" s="448">
        <v>0.15</v>
      </c>
      <c r="L6" s="448">
        <v>0.82</v>
      </c>
      <c r="M6" s="23"/>
      <c r="N6" s="449" t="str">
        <f t="shared" ref="N6:O6" si="1">I6</f>
        <v>January</v>
      </c>
      <c r="O6" s="450">
        <f t="shared" si="1"/>
        <v>10000</v>
      </c>
      <c r="P6" s="23"/>
      <c r="Q6" s="23"/>
      <c r="R6" s="23"/>
      <c r="S6" s="23"/>
      <c r="T6" s="23"/>
      <c r="U6" s="23"/>
      <c r="V6" s="23"/>
    </row>
    <row r="7">
      <c r="A7" s="39"/>
      <c r="B7" s="42" t="s">
        <v>929</v>
      </c>
      <c r="C7" s="40"/>
      <c r="D7" s="23"/>
      <c r="E7" s="27"/>
      <c r="F7" s="27"/>
      <c r="G7" s="27"/>
      <c r="H7" s="27"/>
      <c r="I7" s="88" t="s">
        <v>52</v>
      </c>
      <c r="J7" s="447">
        <v>12000.0</v>
      </c>
      <c r="K7" s="448">
        <v>0.18</v>
      </c>
      <c r="L7" s="448">
        <v>0.85</v>
      </c>
      <c r="M7" s="23"/>
      <c r="N7" s="449" t="str">
        <f t="array" ref="N7">INDEX(I5:I17, COUNTA(I5:I17))</f>
        <v>December</v>
      </c>
      <c r="O7" s="450">
        <f t="array" ref="O7">iferror(INDEX(J5:J17, COUNTA(J5:J17)),"")</f>
        <v>20000</v>
      </c>
      <c r="P7" s="23"/>
      <c r="Q7" s="23"/>
      <c r="R7" s="23"/>
      <c r="S7" s="23"/>
      <c r="T7" s="23"/>
      <c r="U7" s="23"/>
      <c r="V7" s="23"/>
    </row>
    <row r="8">
      <c r="A8" s="25"/>
      <c r="B8" s="42" t="s">
        <v>930</v>
      </c>
      <c r="C8" s="43"/>
      <c r="D8" s="23"/>
      <c r="E8" s="27"/>
      <c r="F8" s="27"/>
      <c r="G8" s="27"/>
      <c r="H8" s="27"/>
      <c r="I8" s="88" t="s">
        <v>54</v>
      </c>
      <c r="J8" s="447">
        <v>14000.0</v>
      </c>
      <c r="K8" s="448">
        <v>0.17</v>
      </c>
      <c r="L8" s="448">
        <v>0.88</v>
      </c>
      <c r="M8" s="23"/>
      <c r="P8" s="23"/>
      <c r="Q8" s="23"/>
      <c r="R8" s="23"/>
      <c r="S8" s="23"/>
      <c r="T8" s="23"/>
      <c r="U8" s="23"/>
      <c r="V8" s="23"/>
    </row>
    <row r="9">
      <c r="A9" s="25"/>
      <c r="B9" s="37" t="s">
        <v>931</v>
      </c>
      <c r="C9" s="43"/>
      <c r="D9" s="23"/>
      <c r="E9" s="27"/>
      <c r="F9" s="27"/>
      <c r="G9" s="27"/>
      <c r="H9" s="27"/>
      <c r="I9" s="88" t="s">
        <v>55</v>
      </c>
      <c r="J9" s="447">
        <v>13500.0</v>
      </c>
      <c r="K9" s="448">
        <v>0.16</v>
      </c>
      <c r="L9" s="448">
        <v>0.84</v>
      </c>
      <c r="M9" s="23"/>
      <c r="N9" s="446" t="s">
        <v>47</v>
      </c>
      <c r="O9" s="446" t="s">
        <v>926</v>
      </c>
      <c r="P9" s="23"/>
      <c r="Q9" s="23"/>
      <c r="R9" s="23"/>
      <c r="S9" s="23"/>
      <c r="T9" s="23"/>
      <c r="U9" s="23"/>
      <c r="V9" s="23"/>
    </row>
    <row r="10">
      <c r="A10" s="25"/>
      <c r="B10" s="37" t="s">
        <v>932</v>
      </c>
      <c r="C10" s="43"/>
      <c r="D10" s="23"/>
      <c r="E10" s="27"/>
      <c r="F10" s="27"/>
      <c r="G10" s="27"/>
      <c r="H10" s="27"/>
      <c r="I10" s="88" t="s">
        <v>57</v>
      </c>
      <c r="J10" s="447">
        <v>15000.0</v>
      </c>
      <c r="K10" s="448">
        <v>0.19</v>
      </c>
      <c r="L10" s="448">
        <v>0.87</v>
      </c>
      <c r="M10" s="23"/>
      <c r="N10" s="449" t="str">
        <f>I6</f>
        <v>January</v>
      </c>
      <c r="O10" s="451">
        <f>K6</f>
        <v>0.15</v>
      </c>
      <c r="P10" s="23"/>
      <c r="Q10" s="23"/>
      <c r="R10" s="23"/>
      <c r="S10" s="23"/>
      <c r="T10" s="23"/>
      <c r="U10" s="23"/>
      <c r="V10" s="23"/>
    </row>
    <row r="11">
      <c r="A11" s="25"/>
      <c r="B11" s="37" t="s">
        <v>933</v>
      </c>
      <c r="C11" s="43"/>
      <c r="D11" s="23"/>
      <c r="E11" s="27"/>
      <c r="F11" s="27"/>
      <c r="G11" s="27"/>
      <c r="H11" s="27"/>
      <c r="I11" s="88" t="s">
        <v>59</v>
      </c>
      <c r="J11" s="447">
        <v>14500.0</v>
      </c>
      <c r="K11" s="448">
        <v>0.2</v>
      </c>
      <c r="L11" s="448">
        <v>0.9</v>
      </c>
      <c r="M11" s="23"/>
      <c r="N11" s="449" t="str">
        <f t="array" ref="N11">INDEX(I5:I17, COUNTA(I5:I17))</f>
        <v>December</v>
      </c>
      <c r="O11" s="451">
        <f t="array" ref="O11">iferror(INDEX(K5:K17, COUNTA(K5:K17)),"")</f>
        <v>0.25</v>
      </c>
      <c r="P11" s="23"/>
      <c r="Q11" s="23"/>
      <c r="R11" s="23"/>
      <c r="S11" s="23"/>
      <c r="T11" s="23"/>
      <c r="U11" s="23"/>
      <c r="V11" s="23"/>
    </row>
    <row r="12">
      <c r="A12" s="25"/>
      <c r="B12" s="48"/>
      <c r="C12" s="48"/>
      <c r="D12" s="23"/>
      <c r="F12" s="27"/>
      <c r="G12" s="27"/>
      <c r="H12" s="27"/>
      <c r="I12" s="88" t="s">
        <v>60</v>
      </c>
      <c r="J12" s="447">
        <v>16000.0</v>
      </c>
      <c r="K12" s="448">
        <v>0.21</v>
      </c>
      <c r="L12" s="448">
        <v>0.92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>
      <c r="A13" s="25"/>
      <c r="B13" s="48"/>
      <c r="C13" s="48"/>
      <c r="D13" s="23"/>
      <c r="E13" s="27"/>
      <c r="F13" s="27"/>
      <c r="G13" s="27"/>
      <c r="H13" s="27"/>
      <c r="I13" s="88" t="s">
        <v>61</v>
      </c>
      <c r="J13" s="447">
        <v>17500.0</v>
      </c>
      <c r="K13" s="448">
        <v>0.22</v>
      </c>
      <c r="L13" s="448">
        <v>0.93</v>
      </c>
      <c r="M13" s="23"/>
      <c r="N13" s="452" t="s">
        <v>47</v>
      </c>
      <c r="O13" s="452" t="s">
        <v>927</v>
      </c>
      <c r="P13" s="23"/>
      <c r="Q13" s="23"/>
      <c r="R13" s="23"/>
      <c r="S13" s="23"/>
      <c r="T13" s="23"/>
      <c r="U13" s="23"/>
      <c r="V13" s="23"/>
    </row>
    <row r="14">
      <c r="A14" s="25"/>
      <c r="B14" s="48"/>
      <c r="C14" s="48"/>
      <c r="D14" s="91"/>
      <c r="E14" s="27"/>
      <c r="F14" s="27"/>
      <c r="G14" s="27"/>
      <c r="H14" s="27"/>
      <c r="I14" s="88" t="s">
        <v>62</v>
      </c>
      <c r="J14" s="447">
        <v>16800.0</v>
      </c>
      <c r="K14" s="448">
        <v>0.2</v>
      </c>
      <c r="L14" s="448">
        <v>0.91</v>
      </c>
      <c r="M14" s="23"/>
      <c r="N14" s="449" t="str">
        <f>I6</f>
        <v>January</v>
      </c>
      <c r="O14" s="451">
        <f>L6</f>
        <v>0.82</v>
      </c>
      <c r="P14" s="23"/>
      <c r="Q14" s="23"/>
      <c r="R14" s="23"/>
      <c r="S14" s="23"/>
      <c r="T14" s="23"/>
      <c r="U14" s="23"/>
      <c r="V14" s="23"/>
    </row>
    <row r="15">
      <c r="A15" s="25"/>
      <c r="B15" s="48"/>
      <c r="C15" s="48"/>
      <c r="D15" s="91"/>
      <c r="E15" s="27"/>
      <c r="F15" s="27"/>
      <c r="G15" s="27"/>
      <c r="H15" s="27"/>
      <c r="I15" s="88" t="s">
        <v>63</v>
      </c>
      <c r="J15" s="447">
        <v>18000.0</v>
      </c>
      <c r="K15" s="448">
        <v>0.23</v>
      </c>
      <c r="L15" s="448">
        <v>0.94</v>
      </c>
      <c r="M15" s="23"/>
      <c r="N15" s="449" t="str">
        <f t="array" ref="N15">INDEX(I9:I21, COUNTA(I9:I21))</f>
        <v>December</v>
      </c>
      <c r="O15" s="451">
        <f t="array" ref="O15">iferror(INDEX(L5:L17, COUNTA(L5:L17)),"")</f>
        <v>0.96</v>
      </c>
      <c r="P15" s="23"/>
      <c r="Q15" s="23"/>
      <c r="R15" s="23"/>
      <c r="S15" s="23"/>
      <c r="T15" s="23"/>
      <c r="U15" s="23"/>
      <c r="V15" s="23"/>
    </row>
    <row r="16">
      <c r="A16" s="25"/>
      <c r="B16" s="48"/>
      <c r="C16" s="48"/>
      <c r="D16" s="91"/>
      <c r="E16" s="27"/>
      <c r="F16" s="27"/>
      <c r="G16" s="27"/>
      <c r="H16" s="27"/>
      <c r="I16" s="88" t="s">
        <v>64</v>
      </c>
      <c r="J16" s="447">
        <v>19000.0</v>
      </c>
      <c r="K16" s="448">
        <v>0.24</v>
      </c>
      <c r="L16" s="448">
        <v>0.95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>
      <c r="A17" s="25"/>
      <c r="B17" s="49"/>
      <c r="C17" s="48"/>
      <c r="D17" s="91"/>
      <c r="E17" s="27"/>
      <c r="F17" s="27"/>
      <c r="G17" s="27"/>
      <c r="H17" s="27"/>
      <c r="I17" s="88" t="s">
        <v>65</v>
      </c>
      <c r="J17" s="447">
        <v>20000.0</v>
      </c>
      <c r="K17" s="448">
        <v>0.25</v>
      </c>
      <c r="L17" s="448">
        <v>0.96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>
      <c r="A18" s="25"/>
      <c r="B18" s="48"/>
      <c r="C18" s="48"/>
      <c r="D18" s="91"/>
      <c r="E18" s="27"/>
      <c r="F18" s="27"/>
      <c r="G18" s="27"/>
      <c r="H18" s="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>
      <c r="A19" s="25"/>
      <c r="B19" s="48"/>
      <c r="C19" s="50"/>
      <c r="D19" s="23"/>
      <c r="E19" s="27"/>
      <c r="F19" s="27"/>
      <c r="G19" s="27"/>
      <c r="H19" s="27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>
      <c r="A20" s="25"/>
      <c r="B20" s="51" t="s">
        <v>32</v>
      </c>
      <c r="C20" s="52"/>
      <c r="D20" s="23"/>
      <c r="E20" s="27"/>
      <c r="F20" s="27"/>
      <c r="G20" s="27"/>
      <c r="H20" s="27"/>
      <c r="M20" s="453"/>
      <c r="N20" s="454"/>
      <c r="O20" s="23"/>
      <c r="P20" s="23"/>
      <c r="Q20" s="23"/>
      <c r="R20" s="23"/>
      <c r="S20" s="23"/>
      <c r="T20" s="23"/>
      <c r="U20" s="23"/>
      <c r="V20" s="23"/>
    </row>
    <row r="21">
      <c r="A21" s="25"/>
      <c r="B21" s="53"/>
      <c r="C21" s="51"/>
      <c r="D21" s="23"/>
      <c r="E21" s="27"/>
      <c r="F21" s="27"/>
      <c r="G21" s="27"/>
      <c r="H21" s="27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30.0" customHeight="1">
      <c r="A22" s="25"/>
      <c r="B22" s="25"/>
      <c r="C22" s="53"/>
      <c r="D22" s="23"/>
      <c r="E22" s="27"/>
      <c r="F22" s="27"/>
      <c r="G22" s="27"/>
      <c r="H22" s="27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>
      <c r="A23" s="25"/>
      <c r="B23" s="54"/>
      <c r="C23" s="53"/>
      <c r="D23" s="23"/>
      <c r="E23" s="66"/>
      <c r="F23" s="33"/>
      <c r="G23" s="33"/>
      <c r="H23" s="3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>
      <c r="A24" s="25"/>
      <c r="B24" s="54" t="s">
        <v>33</v>
      </c>
      <c r="C24" s="54"/>
      <c r="D24" s="23"/>
      <c r="F24" s="27"/>
      <c r="G24" s="27"/>
      <c r="H24" s="27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>
      <c r="A25" s="25"/>
      <c r="B25" s="55" t="s">
        <v>3</v>
      </c>
      <c r="C25" s="53"/>
      <c r="D25" s="23"/>
      <c r="E25" s="129" t="s">
        <v>928</v>
      </c>
      <c r="F25" s="27"/>
      <c r="G25" s="27"/>
      <c r="H25" s="27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>
      <c r="A26" s="25"/>
      <c r="B26" s="53"/>
      <c r="C26" s="53"/>
      <c r="D26" s="23"/>
      <c r="E26" s="27"/>
      <c r="F26" s="27"/>
      <c r="G26" s="27"/>
      <c r="H26" s="27"/>
      <c r="I26" s="41" t="s">
        <v>934</v>
      </c>
      <c r="J26" s="33"/>
      <c r="K26" s="33"/>
      <c r="L26" s="34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>
      <c r="A27" s="25"/>
      <c r="B27" s="56"/>
      <c r="C27" s="53"/>
      <c r="D27" s="23"/>
      <c r="E27" s="27"/>
      <c r="F27" s="27"/>
      <c r="G27" s="27"/>
      <c r="H27" s="27"/>
      <c r="I27" s="97" t="s">
        <v>935</v>
      </c>
      <c r="J27" s="97" t="s">
        <v>400</v>
      </c>
      <c r="K27" s="97" t="s">
        <v>401</v>
      </c>
      <c r="L27" s="97" t="s">
        <v>402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>
      <c r="A28" s="25"/>
      <c r="B28" s="53"/>
      <c r="C28" s="53"/>
      <c r="D28" s="23"/>
      <c r="E28" s="27"/>
      <c r="F28" s="27"/>
      <c r="G28" s="27"/>
      <c r="H28" s="27"/>
      <c r="I28" s="93" t="s">
        <v>538</v>
      </c>
      <c r="J28" s="93">
        <v>9.0</v>
      </c>
      <c r="K28" s="93">
        <v>8.0</v>
      </c>
      <c r="L28" s="93">
        <v>7.0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>
      <c r="A29" s="25"/>
      <c r="B29" s="56"/>
      <c r="C29" s="56"/>
      <c r="D29" s="23"/>
      <c r="E29" s="27"/>
      <c r="F29" s="27"/>
      <c r="G29" s="27"/>
      <c r="H29" s="27"/>
      <c r="I29" s="93" t="s">
        <v>936</v>
      </c>
      <c r="J29" s="93">
        <v>3.0</v>
      </c>
      <c r="K29" s="93">
        <v>6.0</v>
      </c>
      <c r="L29" s="93">
        <v>7.0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>
      <c r="A30" s="25"/>
      <c r="B30" s="26"/>
      <c r="C30" s="26"/>
      <c r="D30" s="23"/>
      <c r="E30" s="27"/>
      <c r="F30" s="27"/>
      <c r="G30" s="27"/>
      <c r="H30" s="27"/>
      <c r="I30" s="93" t="s">
        <v>937</v>
      </c>
      <c r="J30" s="93">
        <v>8.0</v>
      </c>
      <c r="K30" s="93">
        <v>9.0</v>
      </c>
      <c r="L30" s="93">
        <v>7.0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>
      <c r="A31" s="25"/>
      <c r="B31" s="26"/>
      <c r="C31" s="26"/>
      <c r="D31" s="23"/>
      <c r="E31" s="27"/>
      <c r="F31" s="27"/>
      <c r="G31" s="27"/>
      <c r="H31" s="27"/>
      <c r="I31" s="93" t="s">
        <v>938</v>
      </c>
      <c r="J31" s="93">
        <v>9.0</v>
      </c>
      <c r="K31" s="93">
        <v>8.0</v>
      </c>
      <c r="L31" s="93">
        <v>8.0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>
      <c r="A32" s="25"/>
      <c r="B32" s="26"/>
      <c r="C32" s="26"/>
      <c r="D32" s="23"/>
      <c r="E32" s="27"/>
      <c r="F32" s="27"/>
      <c r="G32" s="27"/>
      <c r="H32" s="27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>
      <c r="A33" s="25"/>
      <c r="B33" s="26"/>
      <c r="C33" s="26"/>
      <c r="D33" s="23"/>
      <c r="E33" s="27"/>
      <c r="F33" s="27"/>
      <c r="G33" s="27"/>
      <c r="H33" s="27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>
      <c r="A34" s="25"/>
      <c r="B34" s="26"/>
      <c r="C34" s="26"/>
      <c r="D34" s="23"/>
      <c r="E34" s="27"/>
      <c r="F34" s="27"/>
      <c r="G34" s="27"/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>
      <c r="A35" s="25"/>
      <c r="B35" s="26"/>
      <c r="C35" s="26"/>
      <c r="D35" s="23"/>
      <c r="E35" s="27"/>
      <c r="F35" s="27"/>
      <c r="G35" s="27"/>
      <c r="H35" s="27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>
      <c r="A36" s="25"/>
      <c r="B36" s="26"/>
      <c r="C36" s="26"/>
      <c r="D36" s="23"/>
      <c r="E36" s="27"/>
      <c r="F36" s="27"/>
      <c r="G36" s="27"/>
      <c r="H36" s="27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>
      <c r="A37" s="25"/>
      <c r="B37" s="26"/>
      <c r="C37" s="26"/>
      <c r="D37" s="23"/>
      <c r="E37" s="27"/>
      <c r="F37" s="27"/>
      <c r="G37" s="27"/>
      <c r="H37" s="27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>
      <c r="A38" s="25"/>
      <c r="B38" s="26"/>
      <c r="C38" s="26"/>
      <c r="D38" s="23"/>
      <c r="E38" s="27"/>
      <c r="F38" s="27"/>
      <c r="G38" s="27"/>
      <c r="H38" s="27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>
      <c r="A39" s="25"/>
      <c r="B39" s="26"/>
      <c r="C39" s="26"/>
      <c r="D39" s="23"/>
      <c r="E39" s="27"/>
      <c r="F39" s="27"/>
      <c r="G39" s="27"/>
      <c r="H39" s="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>
      <c r="A40" s="25"/>
      <c r="B40" s="26"/>
      <c r="C40" s="26"/>
      <c r="D40" s="23"/>
      <c r="E40" s="27"/>
      <c r="F40" s="27"/>
      <c r="G40" s="27"/>
      <c r="H40" s="27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>
      <c r="A41" s="25"/>
      <c r="B41" s="26"/>
      <c r="C41" s="26"/>
      <c r="D41" s="23"/>
      <c r="E41" s="27"/>
      <c r="F41" s="27"/>
      <c r="G41" s="27"/>
      <c r="H41" s="27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>
      <c r="A42" s="25"/>
      <c r="B42" s="26"/>
      <c r="C42" s="26"/>
      <c r="D42" s="23"/>
      <c r="E42" s="27"/>
      <c r="F42" s="27"/>
      <c r="G42" s="27"/>
      <c r="H42" s="27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>
      <c r="A43" s="25"/>
      <c r="B43" s="26"/>
      <c r="C43" s="26"/>
      <c r="D43" s="23"/>
      <c r="E43" s="27"/>
      <c r="F43" s="27"/>
      <c r="G43" s="27"/>
      <c r="H43" s="27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>
      <c r="A44" s="25"/>
      <c r="B44" s="26"/>
      <c r="C44" s="26"/>
      <c r="D44" s="23"/>
      <c r="E44" s="27"/>
      <c r="F44" s="27"/>
      <c r="G44" s="27"/>
      <c r="H44" s="27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>
      <c r="A45" s="25"/>
      <c r="B45" s="26"/>
      <c r="C45" s="26"/>
      <c r="D45" s="23"/>
      <c r="E45" s="66"/>
      <c r="F45" s="33"/>
      <c r="G45" s="33"/>
      <c r="H45" s="34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>
      <c r="A46" s="25"/>
      <c r="B46" s="26"/>
      <c r="C46" s="26"/>
      <c r="D46" s="23"/>
      <c r="E46" s="27"/>
      <c r="F46" s="27"/>
      <c r="G46" s="27"/>
      <c r="H46" s="27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>
      <c r="A47" s="25"/>
      <c r="B47" s="26"/>
      <c r="C47" s="26"/>
      <c r="D47" s="23"/>
      <c r="E47" s="27"/>
      <c r="F47" s="27"/>
      <c r="G47" s="27"/>
      <c r="H47" s="27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>
      <c r="A48" s="25"/>
      <c r="B48" s="26"/>
      <c r="C48" s="26"/>
      <c r="D48" s="23"/>
      <c r="F48" s="27"/>
      <c r="G48" s="27"/>
      <c r="H48" s="27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>
      <c r="A49" s="25"/>
      <c r="B49" s="26"/>
      <c r="C49" s="26"/>
      <c r="D49" s="23"/>
      <c r="E49" s="129" t="s">
        <v>939</v>
      </c>
      <c r="F49" s="27"/>
      <c r="G49" s="27"/>
      <c r="H49" s="27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>
      <c r="A50" s="25"/>
      <c r="B50" s="26"/>
      <c r="C50" s="26"/>
      <c r="D50" s="23"/>
      <c r="E50" s="27"/>
      <c r="F50" s="27"/>
      <c r="G50" s="27"/>
      <c r="H50" s="27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>
      <c r="A51" s="25"/>
      <c r="B51" s="26"/>
      <c r="C51" s="26"/>
      <c r="D51" s="23"/>
      <c r="E51" s="27"/>
      <c r="F51" s="27"/>
      <c r="G51" s="27"/>
      <c r="H51" s="27"/>
      <c r="I51" s="41" t="s">
        <v>940</v>
      </c>
      <c r="J51" s="33"/>
      <c r="K51" s="33"/>
      <c r="L51" s="34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>
      <c r="A52" s="25"/>
      <c r="B52" s="26"/>
      <c r="C52" s="26"/>
      <c r="D52" s="23"/>
      <c r="E52" s="27"/>
      <c r="F52" s="27"/>
      <c r="G52" s="27"/>
      <c r="H52" s="27"/>
      <c r="I52" s="455" t="s">
        <v>941</v>
      </c>
      <c r="J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>
      <c r="A53" s="25"/>
      <c r="B53" s="60"/>
      <c r="C53" s="60"/>
      <c r="D53" s="23"/>
      <c r="E53" s="27"/>
      <c r="F53" s="27"/>
      <c r="G53" s="27"/>
      <c r="H53" s="27"/>
      <c r="I53" s="456" t="s">
        <v>59</v>
      </c>
      <c r="J53" s="457">
        <f t="array" ref="J53">iferror(XLOOKUP(I53,I56:I67,L56:L67),"")</f>
        <v>0.8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>
      <c r="A54" s="25"/>
      <c r="B54" s="31"/>
      <c r="C54" s="31"/>
      <c r="D54" s="23"/>
      <c r="E54" s="27"/>
      <c r="F54" s="27"/>
      <c r="G54" s="27"/>
      <c r="H54" s="27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>
      <c r="A55" s="25"/>
      <c r="B55" s="31"/>
      <c r="C55" s="31"/>
      <c r="D55" s="23"/>
      <c r="E55" s="27"/>
      <c r="F55" s="27"/>
      <c r="G55" s="27"/>
      <c r="H55" s="27"/>
      <c r="I55" s="164" t="s">
        <v>47</v>
      </c>
      <c r="J55" s="164" t="s">
        <v>942</v>
      </c>
      <c r="K55" s="164" t="s">
        <v>258</v>
      </c>
      <c r="L55" s="446" t="s">
        <v>943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>
      <c r="A56" s="25"/>
      <c r="B56" s="61"/>
      <c r="C56" s="61"/>
      <c r="D56" s="23"/>
      <c r="E56" s="27"/>
      <c r="F56" s="27"/>
      <c r="G56" s="27"/>
      <c r="H56" s="27"/>
      <c r="I56" s="93" t="s">
        <v>50</v>
      </c>
      <c r="J56" s="458">
        <v>100000.0</v>
      </c>
      <c r="K56" s="458">
        <v>75000.0</v>
      </c>
      <c r="L56" s="459">
        <f t="shared" ref="L56:L67" si="2">iferror(K56/J56,"")</f>
        <v>0.75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>
      <c r="A57" s="25"/>
      <c r="B57" s="26"/>
      <c r="C57" s="26"/>
      <c r="D57" s="23"/>
      <c r="E57" s="27"/>
      <c r="F57" s="27"/>
      <c r="G57" s="27"/>
      <c r="H57" s="27"/>
      <c r="I57" s="93" t="s">
        <v>52</v>
      </c>
      <c r="J57" s="458">
        <v>100000.0</v>
      </c>
      <c r="K57" s="458">
        <v>90000.0</v>
      </c>
      <c r="L57" s="459">
        <f t="shared" si="2"/>
        <v>0.9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>
      <c r="A58" s="25"/>
      <c r="B58" s="26"/>
      <c r="C58" s="26"/>
      <c r="D58" s="23"/>
      <c r="E58" s="27"/>
      <c r="F58" s="27"/>
      <c r="G58" s="27"/>
      <c r="H58" s="27"/>
      <c r="I58" s="93" t="s">
        <v>54</v>
      </c>
      <c r="J58" s="458">
        <v>100000.0</v>
      </c>
      <c r="K58" s="458">
        <v>60000.0</v>
      </c>
      <c r="L58" s="459">
        <f t="shared" si="2"/>
        <v>0.6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>
      <c r="A59" s="25"/>
      <c r="B59" s="26"/>
      <c r="C59" s="26"/>
      <c r="D59" s="23"/>
      <c r="E59" s="27"/>
      <c r="F59" s="27"/>
      <c r="G59" s="27"/>
      <c r="H59" s="27"/>
      <c r="I59" s="93" t="s">
        <v>55</v>
      </c>
      <c r="J59" s="458">
        <v>100000.0</v>
      </c>
      <c r="K59" s="458">
        <v>65000.0</v>
      </c>
      <c r="L59" s="459">
        <f t="shared" si="2"/>
        <v>0.65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>
      <c r="A60" s="25"/>
      <c r="B60" s="26"/>
      <c r="C60" s="26"/>
      <c r="D60" s="23"/>
      <c r="E60" s="27"/>
      <c r="F60" s="27"/>
      <c r="G60" s="27"/>
      <c r="H60" s="27"/>
      <c r="I60" s="93" t="s">
        <v>57</v>
      </c>
      <c r="J60" s="458">
        <v>100000.0</v>
      </c>
      <c r="K60" s="458">
        <v>95000.0</v>
      </c>
      <c r="L60" s="459">
        <f t="shared" si="2"/>
        <v>0.95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>
      <c r="A61" s="25"/>
      <c r="B61" s="26"/>
      <c r="C61" s="26"/>
      <c r="D61" s="23"/>
      <c r="E61" s="27"/>
      <c r="F61" s="27"/>
      <c r="G61" s="27"/>
      <c r="H61" s="27"/>
      <c r="I61" s="93" t="s">
        <v>59</v>
      </c>
      <c r="J61" s="458">
        <v>100000.0</v>
      </c>
      <c r="K61" s="458">
        <v>80000.0</v>
      </c>
      <c r="L61" s="459">
        <f t="shared" si="2"/>
        <v>0.8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>
      <c r="A62" s="25"/>
      <c r="B62" s="26"/>
      <c r="C62" s="26"/>
      <c r="D62" s="23"/>
      <c r="E62" s="27"/>
      <c r="F62" s="27"/>
      <c r="G62" s="27"/>
      <c r="H62" s="27"/>
      <c r="I62" s="93" t="s">
        <v>60</v>
      </c>
      <c r="J62" s="458">
        <v>100000.0</v>
      </c>
      <c r="K62" s="458">
        <v>85000.0</v>
      </c>
      <c r="L62" s="459">
        <f t="shared" si="2"/>
        <v>0.85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>
      <c r="A63" s="25"/>
      <c r="B63" s="26"/>
      <c r="C63" s="26"/>
      <c r="D63" s="23"/>
      <c r="E63" s="27"/>
      <c r="F63" s="27"/>
      <c r="G63" s="27"/>
      <c r="H63" s="27"/>
      <c r="I63" s="93" t="s">
        <v>61</v>
      </c>
      <c r="J63" s="458">
        <v>100000.0</v>
      </c>
      <c r="K63" s="458">
        <v>92000.0</v>
      </c>
      <c r="L63" s="459">
        <f t="shared" si="2"/>
        <v>0.92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>
      <c r="A64" s="25"/>
      <c r="B64" s="26"/>
      <c r="C64" s="26"/>
      <c r="D64" s="23"/>
      <c r="E64" s="27"/>
      <c r="F64" s="27"/>
      <c r="G64" s="27"/>
      <c r="H64" s="27"/>
      <c r="I64" s="93" t="s">
        <v>62</v>
      </c>
      <c r="J64" s="458">
        <v>100000.0</v>
      </c>
      <c r="K64" s="458">
        <v>70000.0</v>
      </c>
      <c r="L64" s="459">
        <f t="shared" si="2"/>
        <v>0.7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>
      <c r="A65" s="25"/>
      <c r="B65" s="26"/>
      <c r="C65" s="26"/>
      <c r="D65" s="23"/>
      <c r="E65" s="27"/>
      <c r="F65" s="27"/>
      <c r="G65" s="27"/>
      <c r="H65" s="27"/>
      <c r="I65" s="93" t="s">
        <v>63</v>
      </c>
      <c r="J65" s="458">
        <v>100000.0</v>
      </c>
      <c r="K65" s="458">
        <v>78000.0</v>
      </c>
      <c r="L65" s="459">
        <f t="shared" si="2"/>
        <v>0.78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>
      <c r="A66" s="25"/>
      <c r="B66" s="26"/>
      <c r="C66" s="26"/>
      <c r="D66" s="23"/>
      <c r="F66" s="27"/>
      <c r="G66" s="27"/>
      <c r="H66" s="27"/>
      <c r="I66" s="93" t="s">
        <v>64</v>
      </c>
      <c r="J66" s="458">
        <v>100000.0</v>
      </c>
      <c r="K66" s="458">
        <v>88000.0</v>
      </c>
      <c r="L66" s="459">
        <f t="shared" si="2"/>
        <v>0.88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>
      <c r="A67" s="25"/>
      <c r="B67" s="26"/>
      <c r="C67" s="26"/>
      <c r="D67" s="23"/>
      <c r="E67" s="66"/>
      <c r="F67" s="33"/>
      <c r="G67" s="33"/>
      <c r="H67" s="34"/>
      <c r="I67" s="93" t="s">
        <v>65</v>
      </c>
      <c r="J67" s="458">
        <v>100000.0</v>
      </c>
      <c r="K67" s="458">
        <v>100000.0</v>
      </c>
      <c r="L67" s="459">
        <f t="shared" si="2"/>
        <v>1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>
      <c r="A68" s="25"/>
      <c r="B68" s="26"/>
      <c r="C68" s="26"/>
      <c r="D68" s="23"/>
      <c r="F68" s="27"/>
      <c r="G68" s="27"/>
      <c r="H68" s="27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>
      <c r="A69" s="25"/>
      <c r="B69" s="26"/>
      <c r="C69" s="26"/>
      <c r="D69" s="23"/>
      <c r="E69" s="27"/>
      <c r="F69" s="27"/>
      <c r="G69" s="27"/>
      <c r="H69" s="27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>
      <c r="A70" s="25"/>
      <c r="B70" s="26"/>
      <c r="C70" s="26"/>
      <c r="D70" s="23"/>
      <c r="E70" s="27"/>
      <c r="F70" s="27"/>
      <c r="G70" s="27"/>
      <c r="H70" s="27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>
      <c r="A71" s="25"/>
      <c r="B71" s="26"/>
      <c r="C71" s="26"/>
      <c r="D71" s="23"/>
      <c r="F71" s="27"/>
      <c r="G71" s="27"/>
      <c r="H71" s="27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>
      <c r="A72" s="25"/>
      <c r="B72" s="26"/>
      <c r="C72" s="26"/>
      <c r="D72" s="23"/>
      <c r="E72" s="27"/>
      <c r="F72" s="27"/>
      <c r="G72" s="27"/>
      <c r="H72" s="27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>
      <c r="A73" s="25"/>
      <c r="B73" s="26"/>
      <c r="C73" s="26"/>
      <c r="D73" s="23"/>
      <c r="E73" s="129" t="s">
        <v>930</v>
      </c>
      <c r="F73" s="27"/>
      <c r="G73" s="27"/>
      <c r="H73" s="27"/>
      <c r="I73" s="41" t="s">
        <v>944</v>
      </c>
      <c r="J73" s="33"/>
      <c r="K73" s="33"/>
      <c r="L73" s="34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>
      <c r="A74" s="25"/>
      <c r="B74" s="26"/>
      <c r="C74" s="26"/>
      <c r="D74" s="23"/>
      <c r="E74" s="27"/>
      <c r="F74" s="27"/>
      <c r="G74" s="27"/>
      <c r="H74" s="27"/>
      <c r="I74" s="97" t="s">
        <v>662</v>
      </c>
      <c r="J74" s="97" t="s">
        <v>945</v>
      </c>
      <c r="K74" s="97" t="s">
        <v>946</v>
      </c>
      <c r="L74" s="97" t="s">
        <v>947</v>
      </c>
      <c r="M74" s="97" t="s">
        <v>948</v>
      </c>
      <c r="N74" s="460" t="s">
        <v>949</v>
      </c>
      <c r="O74" s="23"/>
      <c r="P74" s="23"/>
      <c r="Q74" s="23"/>
      <c r="R74" s="23"/>
      <c r="S74" s="23"/>
      <c r="T74" s="23"/>
      <c r="U74" s="23"/>
      <c r="V74" s="23"/>
    </row>
    <row r="75">
      <c r="A75" s="25"/>
      <c r="B75" s="26"/>
      <c r="C75" s="26"/>
      <c r="D75" s="23"/>
      <c r="E75" s="27"/>
      <c r="F75" s="27"/>
      <c r="G75" s="27"/>
      <c r="H75" s="27"/>
      <c r="I75" s="461">
        <v>45566.0</v>
      </c>
      <c r="J75" s="93">
        <v>150.0</v>
      </c>
      <c r="K75" s="93">
        <v>155.0</v>
      </c>
      <c r="L75" s="93">
        <v>148.0</v>
      </c>
      <c r="M75" s="93">
        <v>153.0</v>
      </c>
      <c r="N75" s="462" t="str">
        <f t="shared" ref="N75:N104" si="3">TEXT(I75,"mmm d, yyyy")</f>
        <v>Oct 1, 2024</v>
      </c>
      <c r="O75" s="23"/>
      <c r="P75" s="23"/>
      <c r="Q75" s="23"/>
      <c r="R75" s="23"/>
      <c r="S75" s="23"/>
      <c r="T75" s="23"/>
      <c r="U75" s="23"/>
      <c r="V75" s="23"/>
    </row>
    <row r="76">
      <c r="A76" s="25"/>
      <c r="B76" s="26"/>
      <c r="C76" s="26"/>
      <c r="D76" s="23"/>
      <c r="E76" s="27"/>
      <c r="F76" s="27"/>
      <c r="G76" s="27"/>
      <c r="H76" s="27"/>
      <c r="I76" s="461">
        <v>45567.0</v>
      </c>
      <c r="J76" s="93">
        <v>153.0</v>
      </c>
      <c r="K76" s="93">
        <v>160.0</v>
      </c>
      <c r="L76" s="93">
        <v>151.0</v>
      </c>
      <c r="M76" s="93">
        <v>158.0</v>
      </c>
      <c r="N76" s="462" t="str">
        <f t="shared" si="3"/>
        <v>Oct 2, 2024</v>
      </c>
      <c r="O76" s="23"/>
      <c r="P76" s="23"/>
      <c r="Q76" s="23"/>
      <c r="R76" s="23"/>
      <c r="S76" s="23"/>
      <c r="T76" s="23"/>
      <c r="U76" s="23"/>
      <c r="V76" s="23"/>
    </row>
    <row r="77">
      <c r="A77" s="25"/>
      <c r="B77" s="26"/>
      <c r="C77" s="26"/>
      <c r="D77" s="23"/>
      <c r="E77" s="27"/>
      <c r="F77" s="27"/>
      <c r="G77" s="27"/>
      <c r="H77" s="27"/>
      <c r="I77" s="461">
        <v>45568.0</v>
      </c>
      <c r="J77" s="93">
        <v>158.0</v>
      </c>
      <c r="K77" s="93">
        <v>165.0</v>
      </c>
      <c r="L77" s="93">
        <v>156.0</v>
      </c>
      <c r="M77" s="93">
        <v>163.0</v>
      </c>
      <c r="N77" s="462" t="str">
        <f t="shared" si="3"/>
        <v>Oct 3, 2024</v>
      </c>
      <c r="O77" s="23"/>
      <c r="P77" s="23"/>
      <c r="Q77" s="23"/>
      <c r="R77" s="23"/>
      <c r="S77" s="23"/>
      <c r="T77" s="23"/>
      <c r="U77" s="23"/>
      <c r="V77" s="23"/>
    </row>
    <row r="78">
      <c r="A78" s="25"/>
      <c r="B78" s="26"/>
      <c r="C78" s="26"/>
      <c r="D78" s="23"/>
      <c r="E78" s="27"/>
      <c r="F78" s="27"/>
      <c r="G78" s="27"/>
      <c r="H78" s="27"/>
      <c r="I78" s="461">
        <v>45569.0</v>
      </c>
      <c r="J78" s="93">
        <v>163.0</v>
      </c>
      <c r="K78" s="93">
        <v>170.0</v>
      </c>
      <c r="L78" s="93">
        <v>160.0</v>
      </c>
      <c r="M78" s="93">
        <v>168.0</v>
      </c>
      <c r="N78" s="462" t="str">
        <f t="shared" si="3"/>
        <v>Oct 4, 2024</v>
      </c>
      <c r="O78" s="23"/>
      <c r="P78" s="23"/>
      <c r="Q78" s="23"/>
      <c r="R78" s="23"/>
      <c r="S78" s="23"/>
      <c r="T78" s="23"/>
      <c r="U78" s="23"/>
      <c r="V78" s="23"/>
    </row>
    <row r="79">
      <c r="A79" s="25"/>
      <c r="B79" s="26"/>
      <c r="C79" s="26"/>
      <c r="D79" s="23"/>
      <c r="E79" s="27"/>
      <c r="F79" s="27"/>
      <c r="G79" s="27"/>
      <c r="H79" s="27"/>
      <c r="I79" s="461">
        <v>45570.0</v>
      </c>
      <c r="J79" s="93">
        <v>168.0</v>
      </c>
      <c r="K79" s="93">
        <v>175.0</v>
      </c>
      <c r="L79" s="93">
        <v>165.0</v>
      </c>
      <c r="M79" s="93">
        <v>172.0</v>
      </c>
      <c r="N79" s="462" t="str">
        <f t="shared" si="3"/>
        <v>Oct 5, 2024</v>
      </c>
      <c r="O79" s="23"/>
      <c r="P79" s="23"/>
      <c r="Q79" s="23"/>
      <c r="R79" s="23"/>
      <c r="S79" s="23"/>
      <c r="T79" s="23"/>
      <c r="U79" s="23"/>
      <c r="V79" s="23"/>
    </row>
    <row r="80">
      <c r="A80" s="25"/>
      <c r="B80" s="26"/>
      <c r="C80" s="26"/>
      <c r="D80" s="23"/>
      <c r="E80" s="27"/>
      <c r="F80" s="27"/>
      <c r="G80" s="27"/>
      <c r="H80" s="27"/>
      <c r="I80" s="461">
        <v>45571.0</v>
      </c>
      <c r="J80" s="93">
        <v>172.0</v>
      </c>
      <c r="K80" s="93">
        <v>180.0</v>
      </c>
      <c r="L80" s="93">
        <v>170.0</v>
      </c>
      <c r="M80" s="93">
        <v>177.0</v>
      </c>
      <c r="N80" s="462" t="str">
        <f t="shared" si="3"/>
        <v>Oct 6, 2024</v>
      </c>
      <c r="O80" s="23"/>
      <c r="P80" s="23"/>
      <c r="Q80" s="23"/>
      <c r="R80" s="23"/>
      <c r="S80" s="23"/>
      <c r="T80" s="23"/>
      <c r="U80" s="23"/>
      <c r="V80" s="23"/>
    </row>
    <row r="81">
      <c r="A81" s="25"/>
      <c r="B81" s="26"/>
      <c r="C81" s="26"/>
      <c r="D81" s="23"/>
      <c r="E81" s="27"/>
      <c r="F81" s="27"/>
      <c r="G81" s="27"/>
      <c r="H81" s="27"/>
      <c r="I81" s="461">
        <v>45572.0</v>
      </c>
      <c r="J81" s="93">
        <v>177.0</v>
      </c>
      <c r="K81" s="93">
        <v>183.0</v>
      </c>
      <c r="L81" s="93">
        <v>175.0</v>
      </c>
      <c r="M81" s="93">
        <v>182.0</v>
      </c>
      <c r="N81" s="462" t="str">
        <f t="shared" si="3"/>
        <v>Oct 7, 2024</v>
      </c>
      <c r="O81" s="23"/>
      <c r="P81" s="23"/>
      <c r="Q81" s="23"/>
      <c r="R81" s="23"/>
      <c r="S81" s="23"/>
      <c r="T81" s="23"/>
      <c r="U81" s="23"/>
      <c r="V81" s="23"/>
    </row>
    <row r="82">
      <c r="A82" s="25"/>
      <c r="B82" s="26"/>
      <c r="C82" s="26"/>
      <c r="D82" s="23"/>
      <c r="E82" s="27"/>
      <c r="F82" s="27"/>
      <c r="G82" s="27"/>
      <c r="H82" s="27"/>
      <c r="I82" s="461">
        <v>45573.0</v>
      </c>
      <c r="J82" s="93">
        <v>182.0</v>
      </c>
      <c r="K82" s="93">
        <v>190.0</v>
      </c>
      <c r="L82" s="93">
        <v>180.0</v>
      </c>
      <c r="M82" s="93">
        <v>188.0</v>
      </c>
      <c r="N82" s="462" t="str">
        <f t="shared" si="3"/>
        <v>Oct 8, 2024</v>
      </c>
      <c r="O82" s="23"/>
      <c r="P82" s="23"/>
      <c r="Q82" s="23"/>
      <c r="R82" s="23"/>
      <c r="S82" s="23"/>
      <c r="T82" s="23"/>
      <c r="U82" s="23"/>
      <c r="V82" s="23"/>
    </row>
    <row r="83">
      <c r="A83" s="25"/>
      <c r="B83" s="26"/>
      <c r="C83" s="26"/>
      <c r="D83" s="23"/>
      <c r="E83" s="27"/>
      <c r="F83" s="27"/>
      <c r="G83" s="27"/>
      <c r="H83" s="27"/>
      <c r="I83" s="461">
        <v>45574.0</v>
      </c>
      <c r="J83" s="93">
        <v>188.0</v>
      </c>
      <c r="K83" s="93">
        <v>190.0</v>
      </c>
      <c r="L83" s="93">
        <v>185.0</v>
      </c>
      <c r="M83" s="93">
        <v>186.0</v>
      </c>
      <c r="N83" s="462" t="str">
        <f t="shared" si="3"/>
        <v>Oct 9, 2024</v>
      </c>
      <c r="O83" s="23"/>
      <c r="P83" s="23"/>
      <c r="Q83" s="23"/>
      <c r="R83" s="23"/>
      <c r="S83" s="23"/>
      <c r="T83" s="23"/>
      <c r="U83" s="23"/>
      <c r="V83" s="23"/>
    </row>
    <row r="84">
      <c r="A84" s="25"/>
      <c r="B84" s="26"/>
      <c r="C84" s="26"/>
      <c r="D84" s="23"/>
      <c r="E84" s="27"/>
      <c r="F84" s="27"/>
      <c r="G84" s="27"/>
      <c r="H84" s="27"/>
      <c r="I84" s="461">
        <v>45575.0</v>
      </c>
      <c r="J84" s="93">
        <v>186.0</v>
      </c>
      <c r="K84" s="93">
        <v>190.0</v>
      </c>
      <c r="L84" s="93">
        <v>184.0</v>
      </c>
      <c r="M84" s="93">
        <v>188.0</v>
      </c>
      <c r="N84" s="462" t="str">
        <f t="shared" si="3"/>
        <v>Oct 10, 2024</v>
      </c>
      <c r="O84" s="23"/>
      <c r="P84" s="23"/>
      <c r="Q84" s="23"/>
      <c r="R84" s="23"/>
      <c r="S84" s="23"/>
      <c r="T84" s="23"/>
      <c r="U84" s="23"/>
      <c r="V84" s="23"/>
    </row>
    <row r="85">
      <c r="A85" s="25"/>
      <c r="B85" s="26"/>
      <c r="C85" s="26"/>
      <c r="D85" s="23"/>
      <c r="E85" s="27"/>
      <c r="F85" s="27"/>
      <c r="G85" s="27"/>
      <c r="H85" s="27"/>
      <c r="I85" s="461">
        <v>45576.0</v>
      </c>
      <c r="J85" s="93">
        <v>188.0</v>
      </c>
      <c r="K85" s="93">
        <v>192.0</v>
      </c>
      <c r="L85" s="93">
        <v>185.0</v>
      </c>
      <c r="M85" s="93">
        <v>190.0</v>
      </c>
      <c r="N85" s="462" t="str">
        <f t="shared" si="3"/>
        <v>Oct 11, 2024</v>
      </c>
      <c r="O85" s="23"/>
      <c r="P85" s="23"/>
      <c r="Q85" s="23"/>
      <c r="R85" s="23"/>
      <c r="S85" s="23"/>
      <c r="T85" s="23"/>
      <c r="U85" s="23"/>
      <c r="V85" s="23"/>
    </row>
    <row r="86">
      <c r="A86" s="25"/>
      <c r="B86" s="26"/>
      <c r="C86" s="26"/>
      <c r="D86" s="23"/>
      <c r="E86" s="27"/>
      <c r="F86" s="27"/>
      <c r="G86" s="27"/>
      <c r="H86" s="27"/>
      <c r="I86" s="461">
        <v>45577.0</v>
      </c>
      <c r="J86" s="93">
        <v>190.0</v>
      </c>
      <c r="K86" s="93">
        <v>195.0</v>
      </c>
      <c r="L86" s="93">
        <v>188.0</v>
      </c>
      <c r="M86" s="93">
        <v>194.0</v>
      </c>
      <c r="N86" s="462" t="str">
        <f t="shared" si="3"/>
        <v>Oct 12, 2024</v>
      </c>
      <c r="O86" s="23"/>
      <c r="P86" s="23"/>
      <c r="Q86" s="23"/>
      <c r="R86" s="23"/>
      <c r="S86" s="23"/>
      <c r="T86" s="23"/>
      <c r="U86" s="23"/>
      <c r="V86" s="23"/>
    </row>
    <row r="87">
      <c r="A87" s="25"/>
      <c r="B87" s="26"/>
      <c r="C87" s="26"/>
      <c r="D87" s="23"/>
      <c r="E87" s="27"/>
      <c r="F87" s="27"/>
      <c r="G87" s="27"/>
      <c r="H87" s="27"/>
      <c r="I87" s="461">
        <v>45578.0</v>
      </c>
      <c r="J87" s="93">
        <v>194.0</v>
      </c>
      <c r="K87" s="93">
        <v>198.0</v>
      </c>
      <c r="L87" s="93">
        <v>192.0</v>
      </c>
      <c r="M87" s="93">
        <v>196.0</v>
      </c>
      <c r="N87" s="462" t="str">
        <f t="shared" si="3"/>
        <v>Oct 13, 2024</v>
      </c>
      <c r="O87" s="23"/>
      <c r="P87" s="23"/>
      <c r="Q87" s="23"/>
      <c r="R87" s="23"/>
      <c r="S87" s="23"/>
      <c r="T87" s="23"/>
      <c r="U87" s="23"/>
      <c r="V87" s="23"/>
    </row>
    <row r="88">
      <c r="A88" s="25"/>
      <c r="B88" s="26"/>
      <c r="C88" s="26"/>
      <c r="D88" s="23"/>
      <c r="E88" s="66"/>
      <c r="F88" s="33"/>
      <c r="G88" s="33"/>
      <c r="H88" s="34"/>
      <c r="I88" s="461">
        <v>45579.0</v>
      </c>
      <c r="J88" s="93">
        <v>196.0</v>
      </c>
      <c r="K88" s="93">
        <v>200.0</v>
      </c>
      <c r="L88" s="93">
        <v>190.0</v>
      </c>
      <c r="M88" s="93">
        <v>192.0</v>
      </c>
      <c r="N88" s="462" t="str">
        <f t="shared" si="3"/>
        <v>Oct 14, 2024</v>
      </c>
      <c r="O88" s="23"/>
      <c r="P88" s="23"/>
      <c r="Q88" s="23"/>
      <c r="R88" s="23"/>
      <c r="S88" s="23"/>
      <c r="T88" s="23"/>
      <c r="U88" s="23"/>
      <c r="V88" s="23"/>
    </row>
    <row r="89">
      <c r="A89" s="25"/>
      <c r="B89" s="26"/>
      <c r="C89" s="26"/>
      <c r="D89" s="23"/>
      <c r="E89" s="27"/>
      <c r="F89" s="27"/>
      <c r="G89" s="27"/>
      <c r="H89" s="27"/>
      <c r="I89" s="461">
        <v>45580.0</v>
      </c>
      <c r="J89" s="93">
        <v>192.0</v>
      </c>
      <c r="K89" s="93">
        <v>195.0</v>
      </c>
      <c r="L89" s="93">
        <v>185.0</v>
      </c>
      <c r="M89" s="93">
        <v>188.0</v>
      </c>
      <c r="N89" s="462" t="str">
        <f t="shared" si="3"/>
        <v>Oct 15, 2024</v>
      </c>
      <c r="O89" s="23"/>
      <c r="P89" s="23"/>
      <c r="Q89" s="23"/>
      <c r="R89" s="23"/>
      <c r="S89" s="23"/>
      <c r="T89" s="23"/>
      <c r="U89" s="23"/>
      <c r="V89" s="23"/>
    </row>
    <row r="90">
      <c r="A90" s="25"/>
      <c r="B90" s="26"/>
      <c r="C90" s="26"/>
      <c r="D90" s="23"/>
      <c r="E90" s="27"/>
      <c r="F90" s="27"/>
      <c r="G90" s="27"/>
      <c r="H90" s="27"/>
      <c r="I90" s="461">
        <v>45581.0</v>
      </c>
      <c r="J90" s="93">
        <v>188.0</v>
      </c>
      <c r="K90" s="93">
        <v>192.0</v>
      </c>
      <c r="L90" s="93">
        <v>180.0</v>
      </c>
      <c r="M90" s="93">
        <v>184.0</v>
      </c>
      <c r="N90" s="462" t="str">
        <f t="shared" si="3"/>
        <v>Oct 16, 2024</v>
      </c>
      <c r="O90" s="23"/>
      <c r="P90" s="23"/>
      <c r="Q90" s="23"/>
      <c r="R90" s="23"/>
      <c r="S90" s="23"/>
      <c r="T90" s="23"/>
      <c r="U90" s="23"/>
      <c r="V90" s="23"/>
    </row>
    <row r="91">
      <c r="A91" s="25"/>
      <c r="B91" s="26"/>
      <c r="C91" s="26"/>
      <c r="D91" s="23"/>
      <c r="E91" s="27"/>
      <c r="F91" s="27"/>
      <c r="G91" s="27"/>
      <c r="H91" s="27"/>
      <c r="I91" s="461">
        <v>45582.0</v>
      </c>
      <c r="J91" s="93">
        <v>184.0</v>
      </c>
      <c r="K91" s="93">
        <v>188.0</v>
      </c>
      <c r="L91" s="93">
        <v>175.0</v>
      </c>
      <c r="M91" s="93">
        <v>178.0</v>
      </c>
      <c r="N91" s="462" t="str">
        <f t="shared" si="3"/>
        <v>Oct 17, 2024</v>
      </c>
      <c r="O91" s="23"/>
      <c r="P91" s="23"/>
      <c r="Q91" s="23"/>
      <c r="R91" s="23"/>
      <c r="S91" s="23"/>
      <c r="T91" s="23"/>
      <c r="U91" s="23"/>
      <c r="V91" s="23"/>
    </row>
    <row r="92">
      <c r="A92" s="25"/>
      <c r="B92" s="26"/>
      <c r="C92" s="26"/>
      <c r="D92" s="23"/>
      <c r="E92" s="27"/>
      <c r="F92" s="27"/>
      <c r="G92" s="27"/>
      <c r="H92" s="27"/>
      <c r="I92" s="461">
        <v>45583.0</v>
      </c>
      <c r="J92" s="93">
        <v>178.0</v>
      </c>
      <c r="K92" s="93">
        <v>185.0</v>
      </c>
      <c r="L92" s="93">
        <v>170.0</v>
      </c>
      <c r="M92" s="93">
        <v>176.0</v>
      </c>
      <c r="N92" s="462" t="str">
        <f t="shared" si="3"/>
        <v>Oct 18, 2024</v>
      </c>
      <c r="O92" s="23"/>
      <c r="P92" s="23"/>
      <c r="Q92" s="23"/>
      <c r="R92" s="23"/>
      <c r="S92" s="23"/>
      <c r="T92" s="23"/>
      <c r="U92" s="23"/>
      <c r="V92" s="23"/>
    </row>
    <row r="93">
      <c r="A93" s="25"/>
      <c r="B93" s="26"/>
      <c r="C93" s="26"/>
      <c r="D93" s="23"/>
      <c r="E93" s="27"/>
      <c r="F93" s="27"/>
      <c r="G93" s="27"/>
      <c r="H93" s="27"/>
      <c r="I93" s="461">
        <v>45584.0</v>
      </c>
      <c r="J93" s="93">
        <v>176.0</v>
      </c>
      <c r="K93" s="93">
        <v>182.0</v>
      </c>
      <c r="L93" s="93">
        <v>165.0</v>
      </c>
      <c r="M93" s="93">
        <v>172.0</v>
      </c>
      <c r="N93" s="462" t="str">
        <f t="shared" si="3"/>
        <v>Oct 19, 2024</v>
      </c>
      <c r="O93" s="23"/>
      <c r="P93" s="23"/>
      <c r="Q93" s="23"/>
      <c r="R93" s="23"/>
      <c r="S93" s="23"/>
      <c r="T93" s="23"/>
      <c r="U93" s="23"/>
      <c r="V93" s="23"/>
    </row>
    <row r="94">
      <c r="A94" s="25"/>
      <c r="B94" s="26"/>
      <c r="C94" s="26"/>
      <c r="D94" s="23"/>
      <c r="E94" s="27"/>
      <c r="F94" s="27"/>
      <c r="G94" s="27"/>
      <c r="H94" s="27"/>
      <c r="I94" s="461">
        <v>45585.0</v>
      </c>
      <c r="J94" s="93">
        <v>172.0</v>
      </c>
      <c r="K94" s="93">
        <v>180.0</v>
      </c>
      <c r="L94" s="93">
        <v>160.0</v>
      </c>
      <c r="M94" s="93">
        <v>168.0</v>
      </c>
      <c r="N94" s="462" t="str">
        <f t="shared" si="3"/>
        <v>Oct 20, 2024</v>
      </c>
      <c r="O94" s="23"/>
      <c r="P94" s="23"/>
      <c r="Q94" s="23"/>
      <c r="R94" s="23"/>
      <c r="S94" s="23"/>
      <c r="T94" s="23"/>
      <c r="U94" s="23"/>
      <c r="V94" s="23"/>
    </row>
    <row r="95">
      <c r="A95" s="25"/>
      <c r="B95" s="26"/>
      <c r="C95" s="26"/>
      <c r="D95" s="23"/>
      <c r="E95" s="27"/>
      <c r="F95" s="27"/>
      <c r="G95" s="27"/>
      <c r="H95" s="27"/>
      <c r="I95" s="461">
        <v>45586.0</v>
      </c>
      <c r="J95" s="93">
        <v>168.0</v>
      </c>
      <c r="K95" s="93">
        <v>174.0</v>
      </c>
      <c r="L95" s="93">
        <v>162.0</v>
      </c>
      <c r="M95" s="93">
        <v>170.0</v>
      </c>
      <c r="N95" s="462" t="str">
        <f t="shared" si="3"/>
        <v>Oct 21, 2024</v>
      </c>
      <c r="O95" s="23"/>
      <c r="P95" s="23"/>
      <c r="Q95" s="23"/>
      <c r="R95" s="23"/>
      <c r="S95" s="23"/>
      <c r="T95" s="23"/>
      <c r="U95" s="23"/>
      <c r="V95" s="23"/>
    </row>
    <row r="96">
      <c r="A96" s="25"/>
      <c r="B96" s="26"/>
      <c r="C96" s="26"/>
      <c r="D96" s="23"/>
      <c r="E96" s="27"/>
      <c r="F96" s="27"/>
      <c r="G96" s="27"/>
      <c r="H96" s="27"/>
      <c r="I96" s="461">
        <v>45587.0</v>
      </c>
      <c r="J96" s="93">
        <v>170.0</v>
      </c>
      <c r="K96" s="93">
        <v>176.0</v>
      </c>
      <c r="L96" s="93">
        <v>166.0</v>
      </c>
      <c r="M96" s="93">
        <v>174.0</v>
      </c>
      <c r="N96" s="462" t="str">
        <f t="shared" si="3"/>
        <v>Oct 22, 2024</v>
      </c>
      <c r="O96" s="23"/>
      <c r="P96" s="23"/>
      <c r="Q96" s="23"/>
      <c r="R96" s="23"/>
      <c r="S96" s="23"/>
      <c r="T96" s="23"/>
      <c r="U96" s="23"/>
      <c r="V96" s="23"/>
    </row>
    <row r="97">
      <c r="A97" s="25"/>
      <c r="B97" s="26"/>
      <c r="C97" s="26"/>
      <c r="D97" s="23"/>
      <c r="E97" s="27"/>
      <c r="F97" s="27"/>
      <c r="G97" s="27"/>
      <c r="H97" s="27"/>
      <c r="I97" s="461">
        <v>45588.0</v>
      </c>
      <c r="J97" s="93">
        <v>174.0</v>
      </c>
      <c r="K97" s="93">
        <v>180.0</v>
      </c>
      <c r="L97" s="93">
        <v>170.0</v>
      </c>
      <c r="M97" s="93">
        <v>178.0</v>
      </c>
      <c r="N97" s="462" t="str">
        <f t="shared" si="3"/>
        <v>Oct 23, 2024</v>
      </c>
      <c r="O97" s="23"/>
      <c r="P97" s="23"/>
      <c r="Q97" s="23"/>
      <c r="R97" s="23"/>
      <c r="S97" s="23"/>
      <c r="T97" s="23"/>
      <c r="U97" s="23"/>
      <c r="V97" s="23"/>
    </row>
    <row r="98">
      <c r="A98" s="25"/>
      <c r="B98" s="26"/>
      <c r="C98" s="26"/>
      <c r="D98" s="23"/>
      <c r="E98" s="27"/>
      <c r="F98" s="27"/>
      <c r="G98" s="27"/>
      <c r="H98" s="27"/>
      <c r="I98" s="461">
        <v>45589.0</v>
      </c>
      <c r="J98" s="93">
        <v>178.0</v>
      </c>
      <c r="K98" s="93">
        <v>185.0</v>
      </c>
      <c r="L98" s="93">
        <v>175.0</v>
      </c>
      <c r="M98" s="93">
        <v>182.0</v>
      </c>
      <c r="N98" s="462" t="str">
        <f t="shared" si="3"/>
        <v>Oct 24, 2024</v>
      </c>
      <c r="O98" s="23"/>
      <c r="P98" s="23"/>
      <c r="Q98" s="23"/>
      <c r="R98" s="23"/>
      <c r="S98" s="23"/>
      <c r="T98" s="23"/>
      <c r="U98" s="23"/>
      <c r="V98" s="23"/>
    </row>
    <row r="99">
      <c r="A99" s="25"/>
      <c r="B99" s="26"/>
      <c r="C99" s="26"/>
      <c r="D99" s="23"/>
      <c r="E99" s="27"/>
      <c r="F99" s="27"/>
      <c r="G99" s="27"/>
      <c r="H99" s="27"/>
      <c r="I99" s="461">
        <v>45590.0</v>
      </c>
      <c r="J99" s="93">
        <v>182.0</v>
      </c>
      <c r="K99" s="93">
        <v>190.0</v>
      </c>
      <c r="L99" s="93">
        <v>180.0</v>
      </c>
      <c r="M99" s="93">
        <v>188.0</v>
      </c>
      <c r="N99" s="462" t="str">
        <f t="shared" si="3"/>
        <v>Oct 25, 2024</v>
      </c>
      <c r="O99" s="23"/>
      <c r="P99" s="23"/>
      <c r="Q99" s="23"/>
      <c r="R99" s="23"/>
      <c r="S99" s="23"/>
      <c r="T99" s="23"/>
      <c r="U99" s="23"/>
      <c r="V99" s="23"/>
    </row>
    <row r="100">
      <c r="A100" s="25"/>
      <c r="B100" s="26"/>
      <c r="C100" s="26"/>
      <c r="D100" s="23"/>
      <c r="E100" s="27"/>
      <c r="F100" s="27"/>
      <c r="G100" s="27"/>
      <c r="H100" s="27"/>
      <c r="I100" s="461">
        <v>45591.0</v>
      </c>
      <c r="J100" s="93">
        <v>188.0</v>
      </c>
      <c r="K100" s="93">
        <v>195.0</v>
      </c>
      <c r="L100" s="93">
        <v>185.0</v>
      </c>
      <c r="M100" s="93">
        <v>193.0</v>
      </c>
      <c r="N100" s="462" t="str">
        <f t="shared" si="3"/>
        <v>Oct 26, 2024</v>
      </c>
      <c r="O100" s="23"/>
      <c r="P100" s="23"/>
      <c r="Q100" s="23"/>
      <c r="R100" s="23"/>
      <c r="S100" s="23"/>
      <c r="T100" s="23"/>
      <c r="U100" s="23"/>
      <c r="V100" s="23"/>
    </row>
    <row r="101">
      <c r="A101" s="25"/>
      <c r="B101" s="26"/>
      <c r="C101" s="26"/>
      <c r="D101" s="23"/>
      <c r="E101" s="27"/>
      <c r="F101" s="27"/>
      <c r="G101" s="27"/>
      <c r="H101" s="27"/>
      <c r="I101" s="461">
        <v>45592.0</v>
      </c>
      <c r="J101" s="93">
        <v>193.0</v>
      </c>
      <c r="K101" s="93">
        <v>200.0</v>
      </c>
      <c r="L101" s="93">
        <v>190.0</v>
      </c>
      <c r="M101" s="93">
        <v>198.0</v>
      </c>
      <c r="N101" s="462" t="str">
        <f t="shared" si="3"/>
        <v>Oct 27, 2024</v>
      </c>
      <c r="O101" s="23"/>
      <c r="P101" s="23"/>
      <c r="Q101" s="23"/>
      <c r="R101" s="23"/>
      <c r="S101" s="23"/>
      <c r="T101" s="23"/>
      <c r="U101" s="23"/>
      <c r="V101" s="23"/>
    </row>
    <row r="102">
      <c r="A102" s="25"/>
      <c r="B102" s="26"/>
      <c r="C102" s="26"/>
      <c r="D102" s="23"/>
      <c r="E102" s="27"/>
      <c r="F102" s="27"/>
      <c r="G102" s="27"/>
      <c r="H102" s="27"/>
      <c r="I102" s="461">
        <v>45593.0</v>
      </c>
      <c r="J102" s="93">
        <v>198.0</v>
      </c>
      <c r="K102" s="93">
        <v>205.0</v>
      </c>
      <c r="L102" s="93">
        <v>195.0</v>
      </c>
      <c r="M102" s="93">
        <v>202.0</v>
      </c>
      <c r="N102" s="462" t="str">
        <f t="shared" si="3"/>
        <v>Oct 28, 2024</v>
      </c>
      <c r="O102" s="23"/>
      <c r="P102" s="23"/>
      <c r="Q102" s="23"/>
      <c r="R102" s="23"/>
      <c r="S102" s="23"/>
      <c r="T102" s="23"/>
      <c r="U102" s="23"/>
      <c r="V102" s="23"/>
    </row>
    <row r="103">
      <c r="A103" s="25"/>
      <c r="B103" s="26"/>
      <c r="C103" s="26"/>
      <c r="D103" s="23"/>
      <c r="E103" s="27"/>
      <c r="F103" s="27"/>
      <c r="G103" s="27"/>
      <c r="H103" s="27"/>
      <c r="I103" s="461">
        <v>45594.0</v>
      </c>
      <c r="J103" s="93">
        <v>202.0</v>
      </c>
      <c r="K103" s="93">
        <v>208.0</v>
      </c>
      <c r="L103" s="93">
        <v>198.0</v>
      </c>
      <c r="M103" s="93">
        <v>205.0</v>
      </c>
      <c r="N103" s="462" t="str">
        <f t="shared" si="3"/>
        <v>Oct 29, 2024</v>
      </c>
      <c r="O103" s="23"/>
      <c r="P103" s="23"/>
      <c r="Q103" s="23"/>
      <c r="R103" s="23"/>
      <c r="S103" s="23"/>
      <c r="T103" s="23"/>
      <c r="U103" s="23"/>
      <c r="V103" s="23"/>
    </row>
    <row r="104">
      <c r="A104" s="25"/>
      <c r="B104" s="26"/>
      <c r="C104" s="26"/>
      <c r="D104" s="23"/>
      <c r="E104" s="27"/>
      <c r="G104" s="27"/>
      <c r="H104" s="27"/>
      <c r="I104" s="461">
        <v>45595.0</v>
      </c>
      <c r="J104" s="93">
        <v>205.0</v>
      </c>
      <c r="K104" s="93">
        <v>210.0</v>
      </c>
      <c r="L104" s="93">
        <v>200.0</v>
      </c>
      <c r="M104" s="93">
        <v>208.0</v>
      </c>
      <c r="N104" s="462" t="str">
        <f t="shared" si="3"/>
        <v>Oct 30, 2024</v>
      </c>
      <c r="O104" s="23"/>
      <c r="P104" s="23"/>
      <c r="Q104" s="23"/>
      <c r="R104" s="23"/>
      <c r="S104" s="23"/>
      <c r="T104" s="23"/>
      <c r="U104" s="23"/>
      <c r="V104" s="23"/>
    </row>
    <row r="105">
      <c r="A105" s="25"/>
      <c r="B105" s="26"/>
      <c r="C105" s="26"/>
      <c r="D105" s="23"/>
      <c r="E105" s="27"/>
      <c r="F105" s="27"/>
      <c r="G105" s="27"/>
      <c r="H105" s="27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>
      <c r="A106" s="25"/>
      <c r="B106" s="26"/>
      <c r="C106" s="26"/>
      <c r="D106" s="23"/>
      <c r="E106" s="27"/>
      <c r="F106" s="27"/>
      <c r="G106" s="27"/>
      <c r="H106" s="27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>
      <c r="A107" s="25"/>
      <c r="B107" s="26"/>
      <c r="C107" s="26"/>
      <c r="D107" s="23"/>
      <c r="E107" s="27"/>
      <c r="F107" s="27"/>
      <c r="G107" s="27"/>
      <c r="H107" s="27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>
      <c r="A108" s="25"/>
      <c r="B108" s="26"/>
      <c r="C108" s="26"/>
      <c r="D108" s="23"/>
      <c r="E108" s="27"/>
      <c r="F108" s="27"/>
      <c r="G108" s="27"/>
      <c r="H108" s="27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>
      <c r="A109" s="25"/>
      <c r="B109" s="26"/>
      <c r="C109" s="26"/>
      <c r="D109" s="23"/>
      <c r="E109" s="66"/>
      <c r="F109" s="33"/>
      <c r="G109" s="33"/>
      <c r="H109" s="34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>
      <c r="A110" s="25"/>
      <c r="B110" s="26"/>
      <c r="C110" s="26"/>
      <c r="D110" s="23"/>
      <c r="F110" s="27"/>
      <c r="G110" s="27"/>
      <c r="H110" s="27"/>
      <c r="I110" s="41" t="s">
        <v>931</v>
      </c>
      <c r="J110" s="33"/>
      <c r="K110" s="33"/>
      <c r="L110" s="34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>
      <c r="A111" s="25"/>
      <c r="B111" s="26"/>
      <c r="C111" s="26"/>
      <c r="D111" s="23"/>
      <c r="E111" s="129" t="s">
        <v>931</v>
      </c>
      <c r="F111" s="27"/>
      <c r="G111" s="27"/>
      <c r="H111" s="27"/>
      <c r="I111" s="164" t="s">
        <v>950</v>
      </c>
      <c r="J111" s="164" t="s">
        <v>951</v>
      </c>
      <c r="K111" s="164" t="s">
        <v>952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>
      <c r="A112" s="25"/>
      <c r="B112" s="26"/>
      <c r="C112" s="26"/>
      <c r="D112" s="23"/>
      <c r="E112" s="27"/>
      <c r="F112" s="27"/>
      <c r="G112" s="27"/>
      <c r="H112" s="27"/>
      <c r="I112" s="93" t="s">
        <v>953</v>
      </c>
      <c r="J112" s="93"/>
      <c r="K112" s="93" t="s">
        <v>954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>
      <c r="A113" s="25"/>
      <c r="B113" s="26"/>
      <c r="C113" s="26"/>
      <c r="D113" s="23"/>
      <c r="E113" s="27"/>
      <c r="F113" s="27"/>
      <c r="G113" s="27"/>
      <c r="H113" s="27"/>
      <c r="I113" s="93" t="s">
        <v>955</v>
      </c>
      <c r="J113" s="93" t="s">
        <v>953</v>
      </c>
      <c r="K113" s="93" t="s">
        <v>956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>
      <c r="A114" s="25"/>
      <c r="B114" s="26"/>
      <c r="C114" s="26"/>
      <c r="D114" s="23"/>
      <c r="E114" s="27"/>
      <c r="F114" s="27"/>
      <c r="G114" s="27"/>
      <c r="H114" s="27"/>
      <c r="I114" s="93" t="s">
        <v>957</v>
      </c>
      <c r="J114" s="93" t="s">
        <v>953</v>
      </c>
      <c r="K114" s="93" t="s">
        <v>958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>
      <c r="A115" s="25"/>
      <c r="B115" s="26"/>
      <c r="C115" s="26"/>
      <c r="D115" s="23"/>
      <c r="E115" s="27"/>
      <c r="F115" s="27"/>
      <c r="G115" s="27"/>
      <c r="H115" s="27"/>
      <c r="I115" s="93" t="s">
        <v>959</v>
      </c>
      <c r="J115" s="93" t="s">
        <v>953</v>
      </c>
      <c r="K115" s="93" t="s">
        <v>960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>
      <c r="A116" s="25"/>
      <c r="B116" s="26"/>
      <c r="C116" s="26"/>
      <c r="D116" s="23"/>
      <c r="E116" s="27"/>
      <c r="F116" s="27"/>
      <c r="G116" s="27"/>
      <c r="H116" s="27"/>
      <c r="I116" s="93" t="s">
        <v>961</v>
      </c>
      <c r="J116" s="93" t="s">
        <v>953</v>
      </c>
      <c r="K116" s="93" t="s">
        <v>962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>
      <c r="A117" s="25"/>
      <c r="B117" s="26"/>
      <c r="C117" s="26"/>
      <c r="D117" s="23"/>
      <c r="E117" s="27"/>
      <c r="F117" s="27"/>
      <c r="G117" s="27"/>
      <c r="H117" s="27"/>
      <c r="I117" s="93" t="s">
        <v>963</v>
      </c>
      <c r="J117" s="93" t="s">
        <v>953</v>
      </c>
      <c r="K117" s="93" t="s">
        <v>964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>
      <c r="A118" s="25"/>
      <c r="B118" s="26"/>
      <c r="C118" s="26"/>
      <c r="D118" s="23"/>
      <c r="E118" s="27"/>
      <c r="F118" s="27"/>
      <c r="G118" s="27"/>
      <c r="H118" s="27"/>
      <c r="I118" s="93" t="s">
        <v>965</v>
      </c>
      <c r="J118" s="93" t="s">
        <v>955</v>
      </c>
      <c r="K118" s="93" t="s">
        <v>966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>
      <c r="A119" s="25"/>
      <c r="B119" s="26"/>
      <c r="C119" s="26"/>
      <c r="D119" s="23"/>
      <c r="E119" s="27"/>
      <c r="F119" s="27"/>
      <c r="G119" s="27"/>
      <c r="H119" s="27"/>
      <c r="I119" s="93" t="s">
        <v>967</v>
      </c>
      <c r="J119" s="93" t="s">
        <v>957</v>
      </c>
      <c r="K119" s="93" t="s">
        <v>968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>
      <c r="A120" s="25"/>
      <c r="B120" s="26"/>
      <c r="C120" s="26"/>
      <c r="D120" s="23"/>
      <c r="E120" s="27"/>
      <c r="F120" s="27"/>
      <c r="G120" s="27"/>
      <c r="H120" s="27"/>
      <c r="I120" s="93" t="s">
        <v>969</v>
      </c>
      <c r="J120" s="93" t="s">
        <v>959</v>
      </c>
      <c r="K120" s="93" t="s">
        <v>970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>
      <c r="A121" s="25"/>
      <c r="B121" s="26"/>
      <c r="C121" s="26"/>
      <c r="D121" s="23"/>
      <c r="E121" s="27"/>
      <c r="F121" s="27"/>
      <c r="G121" s="27"/>
      <c r="H121" s="27"/>
      <c r="I121" s="93" t="s">
        <v>971</v>
      </c>
      <c r="J121" s="93" t="s">
        <v>961</v>
      </c>
      <c r="K121" s="93" t="s">
        <v>972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>
      <c r="A122" s="25"/>
      <c r="B122" s="26"/>
      <c r="C122" s="26"/>
      <c r="D122" s="23"/>
      <c r="E122" s="27"/>
      <c r="F122" s="27"/>
      <c r="G122" s="27"/>
      <c r="H122" s="27"/>
      <c r="I122" s="93" t="s">
        <v>973</v>
      </c>
      <c r="J122" s="93" t="s">
        <v>963</v>
      </c>
      <c r="K122" s="93" t="s">
        <v>974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>
      <c r="A123" s="25"/>
      <c r="B123" s="26"/>
      <c r="C123" s="26"/>
      <c r="D123" s="23"/>
      <c r="E123" s="27"/>
      <c r="F123" s="27"/>
      <c r="G123" s="27"/>
      <c r="H123" s="27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>
      <c r="A124" s="25"/>
      <c r="B124" s="26"/>
      <c r="C124" s="26"/>
      <c r="D124" s="23"/>
      <c r="E124" s="27"/>
      <c r="F124" s="27"/>
      <c r="G124" s="27"/>
      <c r="H124" s="27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>
      <c r="A125" s="25"/>
      <c r="B125" s="26"/>
      <c r="C125" s="26"/>
      <c r="D125" s="23"/>
      <c r="E125" s="27"/>
      <c r="F125" s="27"/>
      <c r="G125" s="27"/>
      <c r="H125" s="27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>
      <c r="A126" s="25"/>
      <c r="B126" s="26"/>
      <c r="C126" s="26"/>
      <c r="D126" s="23"/>
      <c r="E126" s="27"/>
      <c r="F126" s="27"/>
      <c r="G126" s="27"/>
      <c r="H126" s="27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>
      <c r="A127" s="25"/>
      <c r="B127" s="26"/>
      <c r="C127" s="26"/>
      <c r="D127" s="23"/>
      <c r="E127" s="27"/>
      <c r="F127" s="27"/>
      <c r="G127" s="27"/>
      <c r="H127" s="27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>
      <c r="A128" s="25"/>
      <c r="B128" s="26"/>
      <c r="C128" s="26"/>
      <c r="D128" s="23"/>
      <c r="E128" s="27"/>
      <c r="F128" s="27"/>
      <c r="G128" s="27"/>
      <c r="H128" s="27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>
      <c r="A129" s="25"/>
      <c r="B129" s="26"/>
      <c r="C129" s="26"/>
      <c r="D129" s="23"/>
      <c r="E129" s="129"/>
      <c r="F129" s="414"/>
      <c r="G129" s="414"/>
      <c r="H129" s="414"/>
      <c r="L129" s="46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>
      <c r="A130" s="25"/>
      <c r="B130" s="26"/>
      <c r="C130" s="26"/>
      <c r="D130" s="23"/>
      <c r="E130" s="129" t="s">
        <v>932</v>
      </c>
      <c r="F130" s="414"/>
      <c r="G130" s="414"/>
      <c r="H130" s="414"/>
      <c r="I130" s="41" t="s">
        <v>975</v>
      </c>
      <c r="J130" s="33"/>
      <c r="K130" s="33"/>
      <c r="L130" s="34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>
      <c r="A131" s="25"/>
      <c r="B131" s="26"/>
      <c r="C131" s="26"/>
      <c r="D131" s="23"/>
      <c r="E131" s="27"/>
      <c r="F131" s="27"/>
      <c r="G131" s="27"/>
      <c r="H131" s="27"/>
      <c r="I131" s="464" t="s">
        <v>950</v>
      </c>
      <c r="J131" s="464" t="s">
        <v>951</v>
      </c>
      <c r="K131" s="464" t="s">
        <v>976</v>
      </c>
      <c r="L131" s="464" t="s">
        <v>977</v>
      </c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>
      <c r="A132" s="25"/>
      <c r="B132" s="26"/>
      <c r="C132" s="26"/>
      <c r="D132" s="23"/>
      <c r="E132" s="27"/>
      <c r="F132" s="27"/>
      <c r="G132" s="27"/>
      <c r="H132" s="27"/>
      <c r="I132" s="465" t="s">
        <v>978</v>
      </c>
      <c r="J132" s="34"/>
      <c r="K132" s="466">
        <v>1200000.0</v>
      </c>
      <c r="L132" s="467">
        <v>2.6E7</v>
      </c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>
      <c r="A133" s="25"/>
      <c r="B133" s="26"/>
      <c r="C133" s="26"/>
      <c r="D133" s="23"/>
      <c r="E133" s="27"/>
      <c r="F133" s="27"/>
      <c r="G133" s="27"/>
      <c r="H133" s="27"/>
      <c r="I133" s="468" t="s">
        <v>979</v>
      </c>
      <c r="J133" s="468" t="s">
        <v>978</v>
      </c>
      <c r="K133" s="469">
        <f t="shared" ref="K133:L133" si="4">sum(K134:K136)</f>
        <v>500000</v>
      </c>
      <c r="L133" s="470">
        <f t="shared" si="4"/>
        <v>10000000</v>
      </c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>
      <c r="A134" s="25"/>
      <c r="B134" s="26"/>
      <c r="C134" s="26"/>
      <c r="D134" s="23"/>
      <c r="E134" s="27"/>
      <c r="F134" s="27"/>
      <c r="G134" s="27"/>
      <c r="H134" s="27"/>
      <c r="I134" s="471" t="s">
        <v>42</v>
      </c>
      <c r="J134" s="471" t="s">
        <v>979</v>
      </c>
      <c r="K134" s="472">
        <v>200000.0</v>
      </c>
      <c r="L134" s="473">
        <v>4500000.0</v>
      </c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>
      <c r="A135" s="25"/>
      <c r="B135" s="26"/>
      <c r="C135" s="26"/>
      <c r="D135" s="23"/>
      <c r="E135" s="27"/>
      <c r="F135" s="27"/>
      <c r="G135" s="27"/>
      <c r="H135" s="27"/>
      <c r="I135" s="474" t="s">
        <v>980</v>
      </c>
      <c r="J135" s="474" t="s">
        <v>979</v>
      </c>
      <c r="K135" s="475">
        <v>150000.0</v>
      </c>
      <c r="L135" s="476">
        <v>3000000.0</v>
      </c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>
      <c r="A136" s="25"/>
      <c r="B136" s="26"/>
      <c r="C136" s="26"/>
      <c r="D136" s="23"/>
      <c r="E136" s="27"/>
      <c r="F136" s="27"/>
      <c r="G136" s="27"/>
      <c r="H136" s="27"/>
      <c r="I136" s="474" t="s">
        <v>89</v>
      </c>
      <c r="J136" s="474" t="s">
        <v>979</v>
      </c>
      <c r="K136" s="475">
        <v>150000.0</v>
      </c>
      <c r="L136" s="476">
        <v>2500000.0</v>
      </c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>
      <c r="A137" s="25"/>
      <c r="B137" s="26"/>
      <c r="C137" s="26"/>
      <c r="D137" s="23"/>
      <c r="E137" s="27"/>
      <c r="F137" s="27"/>
      <c r="G137" s="27"/>
      <c r="H137" s="27"/>
      <c r="I137" s="468" t="s">
        <v>981</v>
      </c>
      <c r="J137" s="468" t="s">
        <v>978</v>
      </c>
      <c r="K137" s="469">
        <f t="shared" ref="K137:L137" si="5">sum(K138:K140)</f>
        <v>400000</v>
      </c>
      <c r="L137" s="470">
        <f t="shared" si="5"/>
        <v>10000000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>
      <c r="A138" s="25"/>
      <c r="B138" s="26"/>
      <c r="C138" s="26"/>
      <c r="D138" s="23"/>
      <c r="E138" s="27"/>
      <c r="F138" s="27"/>
      <c r="G138" s="27"/>
      <c r="H138" s="27"/>
      <c r="I138" s="471" t="s">
        <v>337</v>
      </c>
      <c r="J138" s="471" t="s">
        <v>981</v>
      </c>
      <c r="K138" s="472">
        <v>200000.0</v>
      </c>
      <c r="L138" s="473">
        <v>5000000.0</v>
      </c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>
      <c r="A139" s="25"/>
      <c r="B139" s="26"/>
      <c r="C139" s="26"/>
      <c r="D139" s="23"/>
      <c r="E139" s="27"/>
      <c r="F139" s="27"/>
      <c r="G139" s="27"/>
      <c r="H139" s="27"/>
      <c r="I139" s="474" t="s">
        <v>982</v>
      </c>
      <c r="J139" s="474" t="s">
        <v>981</v>
      </c>
      <c r="K139" s="475">
        <v>130000.0</v>
      </c>
      <c r="L139" s="476">
        <v>3500000.0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>
      <c r="A140" s="25"/>
      <c r="B140" s="26"/>
      <c r="C140" s="26"/>
      <c r="D140" s="23"/>
      <c r="E140" s="27"/>
      <c r="F140" s="27"/>
      <c r="G140" s="27"/>
      <c r="H140" s="27"/>
      <c r="I140" s="474" t="s">
        <v>983</v>
      </c>
      <c r="J140" s="474" t="s">
        <v>981</v>
      </c>
      <c r="K140" s="475">
        <v>70000.0</v>
      </c>
      <c r="L140" s="476">
        <v>1500000.0</v>
      </c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>
      <c r="A141" s="25"/>
      <c r="B141" s="26"/>
      <c r="C141" s="26"/>
      <c r="D141" s="23"/>
      <c r="E141" s="27"/>
      <c r="F141" s="27"/>
      <c r="G141" s="27"/>
      <c r="H141" s="27"/>
      <c r="I141" s="468" t="s">
        <v>984</v>
      </c>
      <c r="J141" s="468" t="s">
        <v>978</v>
      </c>
      <c r="K141" s="469">
        <f t="shared" ref="K141:L141" si="6">sum(K142:K144)</f>
        <v>300000</v>
      </c>
      <c r="L141" s="470">
        <f t="shared" si="6"/>
        <v>6000000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>
      <c r="A142" s="25"/>
      <c r="B142" s="26"/>
      <c r="C142" s="26"/>
      <c r="D142" s="23"/>
      <c r="E142" s="27"/>
      <c r="F142" s="27"/>
      <c r="G142" s="27"/>
      <c r="H142" s="27"/>
      <c r="I142" s="471" t="s">
        <v>438</v>
      </c>
      <c r="J142" s="471" t="s">
        <v>984</v>
      </c>
      <c r="K142" s="472">
        <v>150000.0</v>
      </c>
      <c r="L142" s="473">
        <v>2500000.0</v>
      </c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>
      <c r="A143" s="25"/>
      <c r="B143" s="26"/>
      <c r="C143" s="26"/>
      <c r="D143" s="23"/>
      <c r="E143" s="27"/>
      <c r="F143" s="27"/>
      <c r="G143" s="27"/>
      <c r="H143" s="27"/>
      <c r="I143" s="474" t="s">
        <v>985</v>
      </c>
      <c r="J143" s="474" t="s">
        <v>984</v>
      </c>
      <c r="K143" s="475">
        <v>100000.0</v>
      </c>
      <c r="L143" s="476">
        <v>2000000.0</v>
      </c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>
      <c r="A144" s="25"/>
      <c r="B144" s="26"/>
      <c r="C144" s="26"/>
      <c r="D144" s="23"/>
      <c r="E144" s="27"/>
      <c r="F144" s="27"/>
      <c r="G144" s="27"/>
      <c r="H144" s="27"/>
      <c r="I144" s="474" t="s">
        <v>986</v>
      </c>
      <c r="J144" s="474" t="s">
        <v>984</v>
      </c>
      <c r="K144" s="475">
        <v>50000.0</v>
      </c>
      <c r="L144" s="476">
        <v>1500000.0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>
      <c r="A145" s="25"/>
      <c r="B145" s="26"/>
      <c r="C145" s="26"/>
      <c r="D145" s="23"/>
      <c r="E145" s="27"/>
      <c r="F145" s="27"/>
      <c r="G145" s="27"/>
      <c r="H145" s="27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>
      <c r="A146" s="25"/>
      <c r="B146" s="26"/>
      <c r="C146" s="26"/>
      <c r="D146" s="23"/>
      <c r="E146" s="27"/>
      <c r="F146" s="27"/>
      <c r="G146" s="27"/>
      <c r="H146" s="27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>
      <c r="A147" s="25"/>
      <c r="B147" s="26"/>
      <c r="C147" s="26"/>
      <c r="D147" s="23"/>
      <c r="E147" s="27"/>
      <c r="F147" s="27"/>
      <c r="G147" s="27"/>
      <c r="H147" s="27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>
      <c r="A148" s="25"/>
      <c r="B148" s="26"/>
      <c r="C148" s="26"/>
      <c r="D148" s="23"/>
      <c r="E148" s="27"/>
      <c r="F148" s="27"/>
      <c r="G148" s="27"/>
      <c r="H148" s="27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>
      <c r="A149" s="25"/>
      <c r="B149" s="26"/>
      <c r="C149" s="26"/>
      <c r="D149" s="23"/>
      <c r="E149" s="27"/>
      <c r="F149" s="27"/>
      <c r="G149" s="27"/>
      <c r="H149" s="27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>
      <c r="A150" s="25"/>
      <c r="B150" s="26"/>
      <c r="C150" s="26"/>
      <c r="D150" s="23"/>
      <c r="E150" s="27"/>
      <c r="F150" s="27"/>
      <c r="G150" s="27"/>
      <c r="H150" s="27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>
      <c r="A151" s="25"/>
      <c r="B151" s="26"/>
      <c r="C151" s="26"/>
      <c r="D151" s="23"/>
      <c r="E151" s="27"/>
      <c r="F151" s="27"/>
      <c r="G151" s="27"/>
      <c r="H151" s="27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>
      <c r="A152" s="25"/>
      <c r="B152" s="26"/>
      <c r="C152" s="26"/>
      <c r="D152" s="23"/>
      <c r="E152" s="129" t="s">
        <v>933</v>
      </c>
      <c r="I152" s="41" t="s">
        <v>933</v>
      </c>
      <c r="J152" s="33"/>
      <c r="K152" s="33"/>
      <c r="L152" s="34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>
      <c r="A153" s="25"/>
      <c r="B153" s="26"/>
      <c r="C153" s="26"/>
      <c r="D153" s="23"/>
      <c r="E153" s="66"/>
      <c r="F153" s="33"/>
      <c r="G153" s="33"/>
      <c r="H153" s="34"/>
      <c r="I153" s="164" t="s">
        <v>950</v>
      </c>
      <c r="J153" s="164" t="s">
        <v>951</v>
      </c>
      <c r="K153" s="164" t="s">
        <v>976</v>
      </c>
      <c r="L153" s="164" t="s">
        <v>35</v>
      </c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>
      <c r="A154" s="25"/>
      <c r="B154" s="26"/>
      <c r="C154" s="26"/>
      <c r="D154" s="23"/>
      <c r="E154" s="27"/>
      <c r="F154" s="27"/>
      <c r="G154" s="27"/>
      <c r="H154" s="27"/>
      <c r="I154" s="465" t="s">
        <v>42</v>
      </c>
      <c r="J154" s="477"/>
      <c r="K154" s="466">
        <f t="shared" ref="K154:L154" si="7">SUM(K155:K173)</f>
        <v>3400000</v>
      </c>
      <c r="L154" s="466">
        <f t="shared" si="7"/>
        <v>116000000</v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>
      <c r="A155" s="25"/>
      <c r="B155" s="26"/>
      <c r="C155" s="26"/>
      <c r="D155" s="23"/>
      <c r="E155" s="27"/>
      <c r="F155" s="27"/>
      <c r="G155" s="27"/>
      <c r="H155" s="27"/>
      <c r="I155" s="474" t="s">
        <v>83</v>
      </c>
      <c r="J155" s="474" t="s">
        <v>42</v>
      </c>
      <c r="K155" s="475">
        <v>500000.0</v>
      </c>
      <c r="L155" s="476">
        <v>2.0E7</v>
      </c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>
      <c r="A156" s="25"/>
      <c r="B156" s="26"/>
      <c r="C156" s="26"/>
      <c r="D156" s="23"/>
      <c r="E156" s="27"/>
      <c r="F156" s="27"/>
      <c r="G156" s="27"/>
      <c r="H156" s="27"/>
      <c r="I156" s="474" t="s">
        <v>987</v>
      </c>
      <c r="J156" s="474" t="s">
        <v>42</v>
      </c>
      <c r="K156" s="475">
        <v>250000.0</v>
      </c>
      <c r="L156" s="476">
        <v>1.05E7</v>
      </c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>
      <c r="A157" s="25"/>
      <c r="B157" s="26"/>
      <c r="C157" s="26"/>
      <c r="D157" s="23"/>
      <c r="E157" s="27"/>
      <c r="F157" s="27"/>
      <c r="G157" s="27"/>
      <c r="H157" s="27"/>
      <c r="I157" s="474" t="s">
        <v>988</v>
      </c>
      <c r="J157" s="474" t="s">
        <v>42</v>
      </c>
      <c r="K157" s="475">
        <v>250000.0</v>
      </c>
      <c r="L157" s="476">
        <v>9500000.0</v>
      </c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>
      <c r="A158" s="25"/>
      <c r="B158" s="26"/>
      <c r="C158" s="26"/>
      <c r="D158" s="23"/>
      <c r="E158" s="27"/>
      <c r="F158" s="27"/>
      <c r="G158" s="27"/>
      <c r="H158" s="27"/>
      <c r="I158" s="474" t="s">
        <v>84</v>
      </c>
      <c r="J158" s="474" t="s">
        <v>42</v>
      </c>
      <c r="K158" s="475">
        <v>400000.0</v>
      </c>
      <c r="L158" s="476">
        <v>1.5E7</v>
      </c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>
      <c r="A159" s="25"/>
      <c r="B159" s="26"/>
      <c r="C159" s="26"/>
      <c r="D159" s="23"/>
      <c r="E159" s="27"/>
      <c r="F159" s="27"/>
      <c r="G159" s="27"/>
      <c r="H159" s="27"/>
      <c r="I159" s="474" t="s">
        <v>989</v>
      </c>
      <c r="J159" s="474" t="s">
        <v>42</v>
      </c>
      <c r="K159" s="475">
        <v>150000.0</v>
      </c>
      <c r="L159" s="476">
        <v>8000000.0</v>
      </c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>
      <c r="A160" s="25"/>
      <c r="B160" s="26"/>
      <c r="C160" s="26"/>
      <c r="D160" s="23"/>
      <c r="E160" s="27"/>
      <c r="F160" s="27"/>
      <c r="G160" s="27"/>
      <c r="H160" s="27"/>
      <c r="I160" s="474" t="s">
        <v>990</v>
      </c>
      <c r="J160" s="474" t="s">
        <v>42</v>
      </c>
      <c r="K160" s="475">
        <v>250000.0</v>
      </c>
      <c r="L160" s="476">
        <v>7000000.0</v>
      </c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>
      <c r="A161" s="25"/>
      <c r="B161" s="26"/>
      <c r="C161" s="26"/>
      <c r="D161" s="23"/>
      <c r="E161" s="27"/>
      <c r="F161" s="27"/>
      <c r="G161" s="27"/>
      <c r="H161" s="27"/>
      <c r="I161" s="474" t="s">
        <v>991</v>
      </c>
      <c r="J161" s="474" t="s">
        <v>42</v>
      </c>
      <c r="K161" s="475">
        <v>300000.0</v>
      </c>
      <c r="L161" s="476">
        <v>8500000.0</v>
      </c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>
      <c r="A162" s="25"/>
      <c r="B162" s="26"/>
      <c r="C162" s="26"/>
      <c r="D162" s="23"/>
      <c r="E162" s="27"/>
      <c r="F162" s="27"/>
      <c r="G162" s="27"/>
      <c r="H162" s="27"/>
      <c r="I162" s="474" t="s">
        <v>992</v>
      </c>
      <c r="J162" s="474" t="s">
        <v>42</v>
      </c>
      <c r="K162" s="475">
        <v>150000.0</v>
      </c>
      <c r="L162" s="476">
        <v>5000000.0</v>
      </c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>
      <c r="A163" s="25"/>
      <c r="B163" s="26"/>
      <c r="C163" s="26"/>
      <c r="D163" s="23"/>
      <c r="E163" s="27"/>
      <c r="F163" s="27"/>
      <c r="G163" s="27"/>
      <c r="H163" s="27"/>
      <c r="I163" s="474" t="s">
        <v>993</v>
      </c>
      <c r="J163" s="474" t="s">
        <v>42</v>
      </c>
      <c r="K163" s="475">
        <v>100000.0</v>
      </c>
      <c r="L163" s="476">
        <v>3000000.0</v>
      </c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>
      <c r="A164" s="25"/>
      <c r="B164" s="26"/>
      <c r="C164" s="26"/>
      <c r="D164" s="23"/>
      <c r="E164" s="27"/>
      <c r="F164" s="27"/>
      <c r="G164" s="27"/>
      <c r="H164" s="27"/>
      <c r="I164" s="474" t="s">
        <v>994</v>
      </c>
      <c r="J164" s="474" t="s">
        <v>42</v>
      </c>
      <c r="K164" s="475">
        <v>50000.0</v>
      </c>
      <c r="L164" s="476">
        <v>500000.0</v>
      </c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>
      <c r="A165" s="25"/>
      <c r="B165" s="26"/>
      <c r="C165" s="26"/>
      <c r="D165" s="23"/>
      <c r="E165" s="27"/>
      <c r="F165" s="27"/>
      <c r="G165" s="27"/>
      <c r="H165" s="27"/>
      <c r="I165" s="474" t="s">
        <v>85</v>
      </c>
      <c r="J165" s="474" t="s">
        <v>42</v>
      </c>
      <c r="K165" s="475">
        <v>200000.0</v>
      </c>
      <c r="L165" s="476">
        <v>5500000.0</v>
      </c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>
      <c r="A166" s="25"/>
      <c r="B166" s="26"/>
      <c r="C166" s="26"/>
      <c r="D166" s="23"/>
      <c r="E166" s="27"/>
      <c r="F166" s="27"/>
      <c r="G166" s="27"/>
      <c r="H166" s="27"/>
      <c r="I166" s="474" t="s">
        <v>995</v>
      </c>
      <c r="J166" s="474" t="s">
        <v>42</v>
      </c>
      <c r="K166" s="475">
        <v>150000.0</v>
      </c>
      <c r="L166" s="476">
        <v>3500000.0</v>
      </c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>
      <c r="A167" s="25"/>
      <c r="B167" s="26"/>
      <c r="C167" s="26"/>
      <c r="D167" s="23"/>
      <c r="E167" s="27"/>
      <c r="F167" s="27"/>
      <c r="G167" s="27"/>
      <c r="H167" s="27"/>
      <c r="I167" s="474" t="s">
        <v>996</v>
      </c>
      <c r="J167" s="474" t="s">
        <v>42</v>
      </c>
      <c r="K167" s="475">
        <v>50000.0</v>
      </c>
      <c r="L167" s="476">
        <v>2000000.0</v>
      </c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>
      <c r="A168" s="25"/>
      <c r="B168" s="26"/>
      <c r="C168" s="26"/>
      <c r="D168" s="23"/>
      <c r="E168" s="27"/>
      <c r="F168" s="27"/>
      <c r="G168" s="27"/>
      <c r="H168" s="27"/>
      <c r="I168" s="474" t="s">
        <v>997</v>
      </c>
      <c r="J168" s="474" t="s">
        <v>42</v>
      </c>
      <c r="K168" s="475">
        <v>100000.0</v>
      </c>
      <c r="L168" s="476">
        <v>3000000.0</v>
      </c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>
      <c r="A169" s="25"/>
      <c r="B169" s="26"/>
      <c r="C169" s="26"/>
      <c r="D169" s="23"/>
      <c r="E169" s="27"/>
      <c r="F169" s="27"/>
      <c r="G169" s="27"/>
      <c r="H169" s="27"/>
      <c r="I169" s="474" t="s">
        <v>998</v>
      </c>
      <c r="J169" s="474" t="s">
        <v>42</v>
      </c>
      <c r="K169" s="475">
        <v>70000.0</v>
      </c>
      <c r="L169" s="476">
        <v>2100000.0</v>
      </c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>
      <c r="A170" s="25"/>
      <c r="B170" s="26"/>
      <c r="C170" s="26"/>
      <c r="D170" s="23"/>
      <c r="E170" s="27"/>
      <c r="F170" s="27"/>
      <c r="G170" s="27"/>
      <c r="H170" s="27"/>
      <c r="I170" s="474" t="s">
        <v>999</v>
      </c>
      <c r="J170" s="474" t="s">
        <v>42</v>
      </c>
      <c r="K170" s="475">
        <v>30000.0</v>
      </c>
      <c r="L170" s="476">
        <v>900000.0</v>
      </c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>
      <c r="A171" s="25"/>
      <c r="B171" s="26"/>
      <c r="C171" s="26"/>
      <c r="D171" s="23"/>
      <c r="E171" s="76"/>
      <c r="F171" s="76"/>
      <c r="G171" s="76"/>
      <c r="H171" s="76"/>
      <c r="I171" s="474" t="s">
        <v>1000</v>
      </c>
      <c r="J171" s="474" t="s">
        <v>42</v>
      </c>
      <c r="K171" s="475">
        <v>200000.0</v>
      </c>
      <c r="L171" s="476">
        <v>6000000.0</v>
      </c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>
      <c r="A172" s="25"/>
      <c r="B172" s="26"/>
      <c r="C172" s="26"/>
      <c r="D172" s="23"/>
      <c r="E172" s="76"/>
      <c r="F172" s="76"/>
      <c r="G172" s="76"/>
      <c r="H172" s="76"/>
      <c r="I172" s="474" t="s">
        <v>1001</v>
      </c>
      <c r="J172" s="474" t="s">
        <v>42</v>
      </c>
      <c r="K172" s="475">
        <v>150000.0</v>
      </c>
      <c r="L172" s="476">
        <v>4000000.0</v>
      </c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>
      <c r="A173" s="25"/>
      <c r="B173" s="26"/>
      <c r="C173" s="26"/>
      <c r="D173" s="23"/>
      <c r="E173" s="76"/>
      <c r="F173" s="76"/>
      <c r="G173" s="76"/>
      <c r="H173" s="76"/>
      <c r="I173" s="474" t="s">
        <v>1002</v>
      </c>
      <c r="J173" s="474" t="s">
        <v>42</v>
      </c>
      <c r="K173" s="475">
        <v>50000.0</v>
      </c>
      <c r="L173" s="476">
        <v>2000000.0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>
      <c r="A174" s="25"/>
      <c r="B174" s="26"/>
      <c r="C174" s="26"/>
      <c r="D174" s="23"/>
      <c r="E174" s="76"/>
      <c r="F174" s="76"/>
      <c r="G174" s="76"/>
      <c r="H174" s="76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>
      <c r="A175" s="25"/>
      <c r="B175" s="26"/>
      <c r="C175" s="26"/>
      <c r="D175" s="23"/>
      <c r="E175" s="76"/>
      <c r="F175" s="76"/>
      <c r="G175" s="76"/>
      <c r="H175" s="76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>
      <c r="A176" s="25"/>
      <c r="B176" s="26"/>
      <c r="C176" s="26"/>
      <c r="D176" s="23"/>
      <c r="E176" s="76"/>
      <c r="F176" s="76"/>
      <c r="G176" s="76"/>
      <c r="H176" s="76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>
      <c r="A177" s="25"/>
      <c r="B177" s="26"/>
      <c r="C177" s="26"/>
      <c r="D177" s="23"/>
      <c r="E177" s="76"/>
      <c r="F177" s="76"/>
      <c r="G177" s="76"/>
      <c r="H177" s="76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>
      <c r="A178" s="25"/>
      <c r="B178" s="26"/>
      <c r="C178" s="26"/>
      <c r="D178" s="23"/>
      <c r="E178" s="76"/>
      <c r="F178" s="76"/>
      <c r="G178" s="76"/>
      <c r="H178" s="76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</sheetData>
  <mergeCells count="15">
    <mergeCell ref="E67:H67"/>
    <mergeCell ref="E88:H88"/>
    <mergeCell ref="E109:H109"/>
    <mergeCell ref="I110:L110"/>
    <mergeCell ref="I130:L130"/>
    <mergeCell ref="I132:J132"/>
    <mergeCell ref="I152:L152"/>
    <mergeCell ref="E153:H153"/>
    <mergeCell ref="E3:H3"/>
    <mergeCell ref="I4:L4"/>
    <mergeCell ref="E23:H23"/>
    <mergeCell ref="I26:L26"/>
    <mergeCell ref="E45:H45"/>
    <mergeCell ref="I51:L51"/>
    <mergeCell ref="I73:L73"/>
  </mergeCells>
  <dataValidations>
    <dataValidation type="list" allowBlank="1" showErrorMessage="1" sqref="I53">
      <formula1>'Misc Charts'!$I$56:$I$67</formula1>
    </dataValidation>
  </dataValidations>
  <hyperlinks>
    <hyperlink r:id="rId1" ref="B25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77F1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  <col customWidth="1" min="2" max="2" width="6.63"/>
    <col customWidth="1" min="3" max="3" width="40.5"/>
    <col customWidth="1" min="4" max="4" width="10.38"/>
    <col customWidth="1" min="5" max="5" width="4.38"/>
    <col customWidth="1" min="6" max="6" width="7.13"/>
    <col customWidth="1" min="7" max="7" width="47.63"/>
    <col customWidth="1" min="8" max="8" width="5.13"/>
    <col customWidth="1" min="9" max="9" width="4.25"/>
    <col customWidth="1" min="10" max="10" width="6.38"/>
    <col customWidth="1" min="11" max="11" width="39.5"/>
    <col customWidth="1" min="12" max="12" width="2.5"/>
  </cols>
  <sheetData>
    <row r="1" ht="15.0" customHeight="1">
      <c r="A1" s="390"/>
      <c r="B1" s="391"/>
      <c r="C1" s="392"/>
      <c r="D1" s="392"/>
      <c r="E1" s="392"/>
      <c r="F1" s="392"/>
      <c r="G1" s="392"/>
      <c r="H1" s="392"/>
      <c r="I1" s="392"/>
      <c r="J1" s="392"/>
      <c r="K1" s="392"/>
      <c r="L1" s="392"/>
    </row>
    <row r="2" ht="49.5" customHeight="1">
      <c r="A2" s="390"/>
      <c r="B2" s="391"/>
      <c r="C2" s="392"/>
      <c r="D2" s="393"/>
      <c r="E2" s="392"/>
      <c r="F2" s="393"/>
      <c r="G2" s="392"/>
      <c r="H2" s="394"/>
    </row>
    <row r="3" ht="60.0" customHeight="1">
      <c r="A3" s="395"/>
      <c r="B3" s="396"/>
      <c r="C3" s="397"/>
      <c r="D3" s="398"/>
      <c r="E3" s="398"/>
      <c r="F3" s="399"/>
      <c r="G3" s="398"/>
    </row>
    <row r="4" ht="60.0" customHeight="1">
      <c r="A4" s="395"/>
      <c r="B4" s="396"/>
      <c r="C4" s="397"/>
      <c r="D4" s="398"/>
      <c r="E4" s="398"/>
      <c r="F4" s="399"/>
      <c r="G4" s="398"/>
      <c r="H4" s="394"/>
      <c r="I4" s="394"/>
      <c r="J4" s="394"/>
      <c r="K4" s="394"/>
      <c r="L4" s="394"/>
    </row>
    <row r="5" ht="60.0" customHeight="1">
      <c r="A5" s="395"/>
      <c r="B5" s="396"/>
      <c r="C5" s="397"/>
      <c r="D5" s="398"/>
      <c r="E5" s="398"/>
      <c r="F5" s="399"/>
      <c r="G5" s="398"/>
      <c r="H5" s="394"/>
      <c r="I5" s="394"/>
      <c r="J5" s="394"/>
      <c r="K5" s="394"/>
      <c r="L5" s="394"/>
    </row>
    <row r="6" ht="38.25" customHeight="1">
      <c r="A6" s="395"/>
      <c r="B6" s="396"/>
      <c r="C6" s="397"/>
      <c r="D6" s="398"/>
      <c r="E6" s="398"/>
      <c r="F6" s="399"/>
      <c r="G6" s="398"/>
      <c r="H6" s="394"/>
      <c r="I6" s="394"/>
      <c r="J6" s="394"/>
      <c r="K6" s="394"/>
      <c r="L6" s="394"/>
    </row>
    <row r="7" ht="64.5" customHeight="1">
      <c r="A7" s="7"/>
      <c r="B7" s="400" t="s">
        <v>897</v>
      </c>
      <c r="C7" s="401" t="s">
        <v>898</v>
      </c>
      <c r="D7" s="7"/>
      <c r="E7" s="7"/>
      <c r="F7" s="400" t="s">
        <v>899</v>
      </c>
      <c r="G7" s="402" t="s">
        <v>900</v>
      </c>
      <c r="H7" s="7"/>
      <c r="I7" s="7"/>
      <c r="J7" s="400" t="s">
        <v>901</v>
      </c>
      <c r="K7" s="401" t="s">
        <v>902</v>
      </c>
      <c r="L7" s="7"/>
    </row>
    <row r="8" ht="76.5" customHeight="1">
      <c r="A8" s="7"/>
      <c r="B8" s="128"/>
      <c r="C8" s="403"/>
      <c r="D8" s="404" t="s">
        <v>903</v>
      </c>
      <c r="E8" s="405"/>
      <c r="F8" s="128"/>
      <c r="G8" s="406" t="s">
        <v>904</v>
      </c>
      <c r="H8" s="7"/>
      <c r="I8" s="7"/>
      <c r="J8" s="128"/>
      <c r="K8" s="407" t="s">
        <v>905</v>
      </c>
      <c r="L8" s="7"/>
    </row>
    <row r="9" ht="55.5" customHeight="1">
      <c r="A9" s="7"/>
      <c r="B9" s="128"/>
      <c r="C9" s="408" t="s">
        <v>906</v>
      </c>
      <c r="D9" s="7"/>
      <c r="E9" s="7"/>
      <c r="F9" s="128"/>
      <c r="H9" s="7"/>
      <c r="I9" s="7"/>
      <c r="J9" s="128"/>
      <c r="L9" s="7"/>
    </row>
    <row r="10" ht="18.0" customHeight="1">
      <c r="A10" s="7"/>
      <c r="B10" s="128"/>
      <c r="C10" s="409"/>
      <c r="D10" s="7"/>
      <c r="E10" s="7"/>
      <c r="F10" s="128"/>
      <c r="G10" s="410"/>
      <c r="H10" s="7"/>
      <c r="I10" s="7"/>
      <c r="J10" s="7"/>
      <c r="K10" s="7"/>
      <c r="L10" s="7"/>
    </row>
    <row r="11" ht="30.75" customHeight="1">
      <c r="A11" s="7"/>
      <c r="B11" s="128"/>
      <c r="C11" s="411" t="s">
        <v>907</v>
      </c>
      <c r="D11" s="7"/>
      <c r="E11" s="7"/>
      <c r="F11" s="128"/>
      <c r="G11" s="410"/>
      <c r="H11" s="7"/>
      <c r="I11" s="7"/>
      <c r="J11" s="7"/>
      <c r="K11" s="7"/>
      <c r="L11" s="7"/>
    </row>
    <row r="12" ht="17.25" customHeight="1">
      <c r="A12" s="7"/>
      <c r="B12" s="128"/>
      <c r="C12" s="412"/>
      <c r="D12" s="7"/>
      <c r="E12" s="7"/>
      <c r="F12" s="128"/>
      <c r="G12" s="410"/>
      <c r="H12" s="7"/>
      <c r="I12" s="7"/>
      <c r="J12" s="7"/>
      <c r="K12" s="7"/>
      <c r="L12" s="7"/>
    </row>
    <row r="13" ht="26.25" customHeight="1">
      <c r="A13" s="7"/>
      <c r="B13" s="128"/>
      <c r="C13" s="413" t="s">
        <v>908</v>
      </c>
      <c r="D13" s="7"/>
      <c r="E13" s="7"/>
      <c r="F13" s="128"/>
      <c r="G13" s="410"/>
      <c r="H13" s="7"/>
      <c r="I13" s="7"/>
      <c r="J13" s="7"/>
      <c r="K13" s="7"/>
      <c r="L13" s="7"/>
    </row>
    <row r="14" ht="41.25" customHeight="1">
      <c r="A14" s="414"/>
      <c r="B14" s="415"/>
      <c r="C14" s="414"/>
      <c r="D14" s="414"/>
      <c r="E14" s="414"/>
      <c r="F14" s="414"/>
      <c r="G14" s="414"/>
      <c r="H14" s="414"/>
      <c r="I14" s="414"/>
      <c r="J14" s="414"/>
      <c r="K14" s="414"/>
      <c r="L14" s="414"/>
    </row>
    <row r="15">
      <c r="A15" s="416"/>
      <c r="B15" s="417"/>
      <c r="C15" s="418"/>
      <c r="D15" s="416"/>
      <c r="E15" s="419"/>
      <c r="F15" s="416"/>
      <c r="G15" s="420"/>
      <c r="H15" s="421"/>
      <c r="I15" s="422"/>
      <c r="J15" s="423"/>
      <c r="K15" s="421"/>
      <c r="L15" s="416"/>
    </row>
  </sheetData>
  <mergeCells count="3">
    <mergeCell ref="H2:L3"/>
    <mergeCell ref="G8:G9"/>
    <mergeCell ref="K8:K9"/>
  </mergeCells>
  <hyperlinks>
    <hyperlink r:id="rId1" ref="C11"/>
    <hyperlink r:id="rId2" ref="C1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</cols>
  <sheetData>
    <row r="1" ht="22.5" customHeight="1"/>
    <row r="2" ht="45.0" customHeight="1">
      <c r="A2" s="83"/>
      <c r="B2" s="424" t="s">
        <v>909</v>
      </c>
      <c r="C2" s="83"/>
      <c r="D2" s="83"/>
      <c r="E2" s="83"/>
      <c r="F2" s="83"/>
      <c r="G2" s="83"/>
      <c r="H2" s="83"/>
      <c r="I2" s="83"/>
      <c r="J2" s="83"/>
      <c r="K2" s="425" t="s">
        <v>910</v>
      </c>
      <c r="N2" s="83"/>
    </row>
  </sheetData>
  <mergeCells count="1">
    <mergeCell ref="K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</cols>
  <sheetData>
    <row r="1" ht="22.5" customHeight="1">
      <c r="A1" s="426"/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2" ht="45.0" customHeight="1">
      <c r="A2" s="427"/>
      <c r="B2" s="428" t="s">
        <v>909</v>
      </c>
      <c r="C2" s="427"/>
      <c r="D2" s="427"/>
      <c r="E2" s="427"/>
      <c r="F2" s="427"/>
      <c r="G2" s="427"/>
      <c r="H2" s="427"/>
      <c r="I2" s="427"/>
      <c r="J2" s="427"/>
      <c r="K2" s="429" t="s">
        <v>910</v>
      </c>
      <c r="N2" s="427"/>
    </row>
    <row r="3">
      <c r="A3" s="426"/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</row>
    <row r="4">
      <c r="A4" s="426"/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</row>
    <row r="5">
      <c r="A5" s="426"/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</row>
    <row r="6">
      <c r="A6" s="426"/>
      <c r="B6" s="426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</row>
    <row r="7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6"/>
      <c r="N7" s="426"/>
    </row>
    <row r="8">
      <c r="A8" s="426"/>
      <c r="B8" s="426"/>
      <c r="C8" s="426"/>
      <c r="D8" s="426"/>
      <c r="E8" s="426"/>
      <c r="F8" s="426"/>
      <c r="G8" s="426"/>
      <c r="H8" s="426"/>
      <c r="I8" s="426"/>
      <c r="J8" s="426"/>
      <c r="K8" s="426"/>
      <c r="L8" s="426"/>
      <c r="M8" s="426"/>
      <c r="N8" s="426"/>
    </row>
    <row r="9">
      <c r="A9" s="426"/>
      <c r="B9" s="426"/>
      <c r="C9" s="426"/>
      <c r="D9" s="426"/>
      <c r="E9" s="426"/>
      <c r="F9" s="426"/>
      <c r="G9" s="426"/>
      <c r="H9" s="426"/>
      <c r="I9" s="426"/>
      <c r="J9" s="426"/>
      <c r="K9" s="426"/>
      <c r="L9" s="426"/>
      <c r="M9" s="426"/>
      <c r="N9" s="426"/>
    </row>
    <row r="10">
      <c r="A10" s="426"/>
      <c r="B10" s="426"/>
      <c r="C10" s="426"/>
      <c r="D10" s="426"/>
      <c r="E10" s="426"/>
      <c r="F10" s="426"/>
      <c r="G10" s="426"/>
      <c r="H10" s="426"/>
      <c r="I10" s="426"/>
      <c r="J10" s="426"/>
      <c r="K10" s="426"/>
      <c r="L10" s="426"/>
      <c r="M10" s="426"/>
      <c r="N10" s="426"/>
    </row>
    <row r="11">
      <c r="A11" s="426"/>
      <c r="B11" s="426"/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</row>
    <row r="12">
      <c r="A12" s="426"/>
      <c r="B12" s="426"/>
      <c r="C12" s="426"/>
      <c r="D12" s="426"/>
      <c r="E12" s="426"/>
      <c r="F12" s="426"/>
      <c r="G12" s="426"/>
      <c r="H12" s="426"/>
      <c r="I12" s="426"/>
      <c r="J12" s="426"/>
      <c r="K12" s="426"/>
      <c r="L12" s="426"/>
      <c r="M12" s="426"/>
      <c r="N12" s="426"/>
    </row>
    <row r="13">
      <c r="A13" s="426"/>
      <c r="B13" s="426"/>
      <c r="C13" s="426"/>
      <c r="D13" s="426"/>
      <c r="E13" s="426"/>
      <c r="F13" s="426"/>
      <c r="G13" s="426"/>
      <c r="H13" s="426"/>
      <c r="I13" s="426"/>
      <c r="J13" s="426"/>
      <c r="K13" s="426"/>
      <c r="L13" s="426"/>
      <c r="M13" s="426"/>
      <c r="N13" s="426"/>
    </row>
    <row r="14">
      <c r="A14" s="426"/>
      <c r="B14" s="426"/>
      <c r="C14" s="426"/>
      <c r="D14" s="426"/>
      <c r="E14" s="426"/>
      <c r="F14" s="426"/>
      <c r="G14" s="426"/>
      <c r="H14" s="426"/>
      <c r="I14" s="426"/>
      <c r="J14" s="426"/>
      <c r="K14" s="426"/>
      <c r="L14" s="426"/>
      <c r="M14" s="426"/>
      <c r="N14" s="426"/>
    </row>
    <row r="15">
      <c r="A15" s="426"/>
      <c r="B15" s="426"/>
      <c r="C15" s="42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6"/>
    </row>
    <row r="16">
      <c r="A16" s="426"/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</row>
    <row r="17">
      <c r="A17" s="426"/>
      <c r="B17" s="426"/>
      <c r="C17" s="426"/>
      <c r="D17" s="426"/>
      <c r="E17" s="426"/>
      <c r="F17" s="426"/>
      <c r="G17" s="426"/>
      <c r="H17" s="426"/>
      <c r="I17" s="426"/>
      <c r="J17" s="426"/>
      <c r="K17" s="426"/>
      <c r="L17" s="426"/>
      <c r="M17" s="426"/>
      <c r="N17" s="426"/>
    </row>
    <row r="18">
      <c r="A18" s="426"/>
      <c r="B18" s="426"/>
      <c r="C18" s="426"/>
      <c r="D18" s="426"/>
      <c r="E18" s="426"/>
      <c r="F18" s="426"/>
      <c r="G18" s="426"/>
      <c r="H18" s="426"/>
      <c r="I18" s="426"/>
      <c r="J18" s="426"/>
      <c r="K18" s="426"/>
      <c r="L18" s="426"/>
      <c r="M18" s="426"/>
      <c r="N18" s="426"/>
    </row>
    <row r="19">
      <c r="A19" s="426"/>
      <c r="B19" s="426"/>
      <c r="C19" s="426"/>
      <c r="D19" s="426"/>
      <c r="E19" s="426"/>
      <c r="F19" s="426"/>
      <c r="G19" s="426"/>
      <c r="H19" s="426"/>
      <c r="I19" s="426"/>
      <c r="J19" s="426"/>
      <c r="K19" s="426"/>
      <c r="L19" s="426"/>
      <c r="M19" s="426"/>
      <c r="N19" s="426"/>
    </row>
    <row r="20">
      <c r="A20" s="426"/>
      <c r="B20" s="426"/>
      <c r="C20" s="426"/>
      <c r="D20" s="426"/>
      <c r="E20" s="426"/>
      <c r="F20" s="426"/>
      <c r="G20" s="426"/>
      <c r="H20" s="426"/>
      <c r="I20" s="426"/>
      <c r="J20" s="426"/>
      <c r="K20" s="426"/>
      <c r="L20" s="426"/>
      <c r="M20" s="426"/>
      <c r="N20" s="426"/>
    </row>
    <row r="21">
      <c r="A21" s="426"/>
      <c r="B21" s="426"/>
      <c r="C21" s="426"/>
      <c r="D21" s="426"/>
      <c r="E21" s="426"/>
      <c r="F21" s="426"/>
      <c r="G21" s="426"/>
      <c r="H21" s="426"/>
      <c r="I21" s="426"/>
      <c r="J21" s="426"/>
      <c r="K21" s="426"/>
      <c r="L21" s="426"/>
      <c r="M21" s="426"/>
      <c r="N21" s="426"/>
    </row>
    <row r="22">
      <c r="A22" s="426"/>
      <c r="B22" s="426"/>
      <c r="C22" s="426"/>
      <c r="D22" s="426"/>
      <c r="E22" s="426"/>
      <c r="F22" s="426"/>
      <c r="G22" s="426"/>
      <c r="H22" s="426"/>
      <c r="I22" s="426"/>
      <c r="J22" s="426"/>
      <c r="K22" s="426"/>
      <c r="L22" s="426"/>
      <c r="M22" s="426"/>
      <c r="N22" s="426"/>
    </row>
    <row r="23">
      <c r="A23" s="426"/>
      <c r="B23" s="426"/>
      <c r="C23" s="426"/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</row>
    <row r="24">
      <c r="A24" s="426"/>
      <c r="B24" s="426"/>
      <c r="C24" s="426"/>
      <c r="D24" s="426"/>
      <c r="E24" s="426"/>
      <c r="F24" s="426"/>
      <c r="G24" s="426"/>
      <c r="H24" s="426"/>
      <c r="I24" s="426"/>
      <c r="J24" s="426"/>
      <c r="K24" s="426"/>
      <c r="L24" s="426"/>
      <c r="M24" s="426"/>
      <c r="N24" s="426"/>
    </row>
    <row r="25">
      <c r="A25" s="426"/>
      <c r="B25" s="426"/>
      <c r="C25" s="426"/>
      <c r="D25" s="426"/>
      <c r="E25" s="426"/>
      <c r="F25" s="426"/>
      <c r="G25" s="426"/>
      <c r="H25" s="426"/>
      <c r="I25" s="426"/>
      <c r="J25" s="426"/>
      <c r="K25" s="426"/>
      <c r="L25" s="426"/>
      <c r="M25" s="426"/>
      <c r="N25" s="426"/>
    </row>
    <row r="26">
      <c r="A26" s="426"/>
      <c r="B26" s="426"/>
      <c r="C26" s="426"/>
      <c r="D26" s="426"/>
      <c r="E26" s="426"/>
      <c r="F26" s="426"/>
      <c r="G26" s="426"/>
      <c r="H26" s="426"/>
      <c r="I26" s="426"/>
      <c r="J26" s="426"/>
      <c r="K26" s="426"/>
      <c r="L26" s="426"/>
      <c r="M26" s="426"/>
      <c r="N26" s="426"/>
    </row>
    <row r="27">
      <c r="A27" s="426"/>
      <c r="B27" s="426"/>
      <c r="C27" s="426"/>
      <c r="D27" s="426"/>
      <c r="E27" s="426"/>
      <c r="F27" s="426"/>
      <c r="G27" s="426"/>
      <c r="H27" s="426"/>
      <c r="I27" s="426"/>
      <c r="J27" s="426"/>
      <c r="K27" s="426"/>
      <c r="L27" s="426"/>
      <c r="M27" s="426"/>
      <c r="N27" s="426"/>
    </row>
    <row r="28">
      <c r="A28" s="426"/>
      <c r="B28" s="426"/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6"/>
      <c r="N28" s="426"/>
    </row>
    <row r="29">
      <c r="A29" s="426"/>
      <c r="B29" s="426"/>
      <c r="C29" s="426"/>
      <c r="D29" s="426"/>
      <c r="E29" s="426"/>
      <c r="F29" s="426"/>
      <c r="G29" s="426"/>
      <c r="H29" s="426"/>
      <c r="I29" s="426"/>
      <c r="J29" s="426"/>
      <c r="K29" s="426"/>
      <c r="L29" s="426"/>
      <c r="M29" s="426"/>
      <c r="N29" s="426"/>
    </row>
    <row r="30">
      <c r="A30" s="426"/>
      <c r="B30" s="426"/>
      <c r="C30" s="426"/>
      <c r="D30" s="426"/>
      <c r="E30" s="426"/>
      <c r="F30" s="426"/>
      <c r="G30" s="426"/>
      <c r="H30" s="426"/>
      <c r="I30" s="426"/>
      <c r="J30" s="426"/>
      <c r="K30" s="426"/>
      <c r="L30" s="426"/>
      <c r="M30" s="426"/>
      <c r="N30" s="426"/>
    </row>
    <row r="31">
      <c r="A31" s="426"/>
      <c r="B31" s="426"/>
      <c r="C31" s="426"/>
      <c r="D31" s="426"/>
      <c r="E31" s="426"/>
      <c r="F31" s="426"/>
      <c r="G31" s="426"/>
      <c r="H31" s="426"/>
      <c r="I31" s="426"/>
      <c r="J31" s="426"/>
      <c r="K31" s="426"/>
      <c r="L31" s="426"/>
      <c r="M31" s="426"/>
      <c r="N31" s="426"/>
    </row>
    <row r="32">
      <c r="A32" s="426"/>
      <c r="B32" s="426"/>
      <c r="C32" s="426"/>
      <c r="D32" s="426"/>
      <c r="E32" s="426"/>
      <c r="F32" s="426"/>
      <c r="G32" s="426"/>
      <c r="H32" s="426"/>
      <c r="I32" s="426"/>
      <c r="J32" s="426"/>
      <c r="K32" s="426"/>
      <c r="L32" s="426"/>
      <c r="M32" s="426"/>
      <c r="N32" s="426"/>
    </row>
    <row r="33">
      <c r="A33" s="426"/>
      <c r="B33" s="426"/>
      <c r="C33" s="426"/>
      <c r="D33" s="426"/>
      <c r="E33" s="426"/>
      <c r="F33" s="426"/>
      <c r="G33" s="426"/>
      <c r="H33" s="426"/>
      <c r="I33" s="426"/>
      <c r="J33" s="426"/>
      <c r="K33" s="426"/>
      <c r="L33" s="426"/>
      <c r="M33" s="426"/>
      <c r="N33" s="426"/>
    </row>
    <row r="34">
      <c r="A34" s="426"/>
      <c r="B34" s="426"/>
      <c r="C34" s="426"/>
      <c r="D34" s="426"/>
      <c r="E34" s="426"/>
      <c r="F34" s="426"/>
      <c r="G34" s="426"/>
      <c r="H34" s="426"/>
      <c r="I34" s="426"/>
      <c r="J34" s="426"/>
      <c r="K34" s="426"/>
      <c r="L34" s="426"/>
      <c r="M34" s="426"/>
      <c r="N34" s="426"/>
    </row>
    <row r="35">
      <c r="A35" s="426"/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426"/>
      <c r="M35" s="426"/>
      <c r="N35" s="426"/>
    </row>
    <row r="36">
      <c r="A36" s="426"/>
      <c r="B36" s="426"/>
      <c r="C36" s="426"/>
      <c r="D36" s="426"/>
      <c r="E36" s="426"/>
      <c r="F36" s="426"/>
      <c r="G36" s="426"/>
      <c r="H36" s="426"/>
      <c r="I36" s="426"/>
      <c r="J36" s="426"/>
      <c r="K36" s="426"/>
      <c r="L36" s="426"/>
      <c r="M36" s="426"/>
      <c r="N36" s="426"/>
    </row>
    <row r="37">
      <c r="A37" s="426"/>
      <c r="B37" s="426"/>
      <c r="C37" s="426"/>
      <c r="D37" s="426"/>
      <c r="E37" s="426"/>
      <c r="F37" s="426"/>
      <c r="G37" s="426"/>
      <c r="H37" s="426"/>
      <c r="I37" s="426"/>
      <c r="J37" s="426"/>
      <c r="K37" s="426"/>
      <c r="L37" s="426"/>
      <c r="M37" s="426"/>
      <c r="N37" s="426"/>
    </row>
    <row r="38">
      <c r="A38" s="426"/>
      <c r="B38" s="426"/>
      <c r="C38" s="426"/>
      <c r="D38" s="426"/>
      <c r="E38" s="426"/>
      <c r="F38" s="426"/>
      <c r="G38" s="426"/>
      <c r="H38" s="426"/>
      <c r="I38" s="426"/>
      <c r="J38" s="426"/>
      <c r="K38" s="426"/>
      <c r="L38" s="426"/>
      <c r="M38" s="426"/>
      <c r="N38" s="426"/>
    </row>
    <row r="39">
      <c r="A39" s="426"/>
      <c r="B39" s="426"/>
      <c r="C39" s="426"/>
      <c r="D39" s="426"/>
      <c r="E39" s="426"/>
      <c r="F39" s="426"/>
      <c r="G39" s="426"/>
      <c r="H39" s="426"/>
      <c r="I39" s="426"/>
      <c r="J39" s="426"/>
      <c r="K39" s="426"/>
      <c r="L39" s="426"/>
      <c r="M39" s="426"/>
      <c r="N39" s="426"/>
    </row>
    <row r="40">
      <c r="A40" s="426"/>
      <c r="B40" s="426"/>
      <c r="C40" s="426"/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</row>
    <row r="41">
      <c r="A41" s="426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</row>
    <row r="42">
      <c r="A42" s="426"/>
      <c r="B42" s="426"/>
      <c r="C42" s="426"/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</row>
    <row r="43">
      <c r="A43" s="426"/>
      <c r="B43" s="426"/>
      <c r="C43" s="426"/>
      <c r="D43" s="426"/>
      <c r="E43" s="426"/>
      <c r="F43" s="426"/>
      <c r="G43" s="426"/>
      <c r="H43" s="426"/>
      <c r="I43" s="426"/>
      <c r="J43" s="426"/>
      <c r="K43" s="426"/>
      <c r="L43" s="426"/>
      <c r="M43" s="426"/>
      <c r="N43" s="426"/>
    </row>
    <row r="44">
      <c r="A44" s="426"/>
      <c r="B44" s="426"/>
      <c r="C44" s="426"/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</row>
    <row r="45">
      <c r="A45" s="426"/>
      <c r="B45" s="426"/>
      <c r="C45" s="426"/>
      <c r="D45" s="426"/>
      <c r="E45" s="426"/>
      <c r="F45" s="426"/>
      <c r="G45" s="426"/>
      <c r="H45" s="426"/>
      <c r="I45" s="426"/>
      <c r="J45" s="426"/>
      <c r="K45" s="426"/>
      <c r="L45" s="426"/>
      <c r="M45" s="426"/>
      <c r="N45" s="426"/>
    </row>
  </sheetData>
  <mergeCells count="1">
    <mergeCell ref="K2:M2"/>
  </mergeCells>
  <drawing r:id="rId1"/>
</worksheet>
</file>